
<file path=[Content_Types].xml><?xml version="1.0" encoding="utf-8"?>
<Types xmlns="http://schemas.openxmlformats.org/package/2006/content-types">
  <Default Extension="bin" ContentType="application/vnd.openxmlformats-officedocument.spreadsheetml.printerSettings"/>
  <Default Extension="png" ContentType="image/png"/>
  <Default Extension="emf" ContentType="image/x-emf"/>
  <Default Extension="rels" ContentType="application/vnd.openxmlformats-package.relationships+xml"/>
  <Default Extension="xml" ContentType="application/xml"/>
  <Default Extension="vml" ContentType="application/vnd.openxmlformats-officedocument.vmlDrawing"/>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worksheets/sheet38.xml" ContentType="application/vnd.openxmlformats-officedocument.spreadsheetml.worksheet+xml"/>
  <Override PartName="/xl/worksheets/sheet39.xml" ContentType="application/vnd.openxmlformats-officedocument.spreadsheetml.worksheet+xml"/>
  <Override PartName="/xl/worksheets/sheet40.xml" ContentType="application/vnd.openxmlformats-officedocument.spreadsheetml.worksheet+xml"/>
  <Override PartName="/xl/worksheets/sheet41.xml" ContentType="application/vnd.openxmlformats-officedocument.spreadsheetml.worksheet+xml"/>
  <Override PartName="/xl/worksheets/sheet42.xml" ContentType="application/vnd.openxmlformats-officedocument.spreadsheetml.worksheet+xml"/>
  <Override PartName="/xl/worksheets/sheet43.xml" ContentType="application/vnd.openxmlformats-officedocument.spreadsheetml.worksheet+xml"/>
  <Override PartName="/xl/worksheets/sheet44.xml" ContentType="application/vnd.openxmlformats-officedocument.spreadsheetml.worksheet+xml"/>
  <Override PartName="/xl/worksheets/sheet45.xml" ContentType="application/vnd.openxmlformats-officedocument.spreadsheetml.worksheet+xml"/>
  <Override PartName="/xl/worksheets/sheet46.xml" ContentType="application/vnd.openxmlformats-officedocument.spreadsheetml.worksheet+xml"/>
  <Override PartName="/xl/worksheets/sheet47.xml" ContentType="application/vnd.openxmlformats-officedocument.spreadsheetml.worksheet+xml"/>
  <Override PartName="/xl/worksheets/sheet48.xml" ContentType="application/vnd.openxmlformats-officedocument.spreadsheetml.worksheet+xml"/>
  <Override PartName="/xl/worksheets/sheet49.xml" ContentType="application/vnd.openxmlformats-officedocument.spreadsheetml.worksheet+xml"/>
  <Override PartName="/xl/worksheets/sheet50.xml" ContentType="application/vnd.openxmlformats-officedocument.spreadsheetml.worksheet+xml"/>
  <Override PartName="/xl/worksheets/sheet51.xml" ContentType="application/vnd.openxmlformats-officedocument.spreadsheetml.worksheet+xml"/>
  <Override PartName="/xl/worksheets/sheet52.xml" ContentType="application/vnd.openxmlformats-officedocument.spreadsheetml.worksheet+xml"/>
  <Override PartName="/xl/worksheets/sheet53.xml" ContentType="application/vnd.openxmlformats-officedocument.spreadsheetml.worksheet+xml"/>
  <Override PartName="/xl/worksheets/sheet54.xml" ContentType="application/vnd.openxmlformats-officedocument.spreadsheetml.worksheet+xml"/>
  <Override PartName="/xl/worksheets/sheet55.xml" ContentType="application/vnd.openxmlformats-officedocument.spreadsheetml.worksheet+xml"/>
  <Override PartName="/xl/worksheets/sheet56.xml" ContentType="application/vnd.openxmlformats-officedocument.spreadsheetml.worksheet+xml"/>
  <Override PartName="/xl/worksheets/sheet57.xml" ContentType="application/vnd.openxmlformats-officedocument.spreadsheetml.worksheet+xml"/>
  <Override PartName="/xl/worksheets/sheet58.xml" ContentType="application/vnd.openxmlformats-officedocument.spreadsheetml.worksheet+xml"/>
  <Override PartName="/xl/worksheets/sheet59.xml" ContentType="application/vnd.openxmlformats-officedocument.spreadsheetml.worksheet+xml"/>
  <Override PartName="/xl/worksheets/sheet60.xml" ContentType="application/vnd.openxmlformats-officedocument.spreadsheetml.worksheet+xml"/>
  <Override PartName="/xl/worksheets/sheet61.xml" ContentType="application/vnd.openxmlformats-officedocument.spreadsheetml.worksheet+xml"/>
  <Override PartName="/xl/worksheets/sheet62.xml" ContentType="application/vnd.openxmlformats-officedocument.spreadsheetml.worksheet+xml"/>
  <Override PartName="/xl/worksheets/sheet63.xml" ContentType="application/vnd.openxmlformats-officedocument.spreadsheetml.worksheet+xml"/>
  <Override PartName="/xl/worksheets/sheet64.xml" ContentType="application/vnd.openxmlformats-officedocument.spreadsheetml.worksheet+xml"/>
  <Override PartName="/xl/worksheets/sheet65.xml" ContentType="application/vnd.openxmlformats-officedocument.spreadsheetml.worksheet+xml"/>
  <Override PartName="/xl/worksheets/sheet66.xml" ContentType="application/vnd.openxmlformats-officedocument.spreadsheetml.worksheet+xml"/>
  <Override PartName="/xl/worksheets/sheet67.xml" ContentType="application/vnd.openxmlformats-officedocument.spreadsheetml.worksheet+xml"/>
  <Override PartName="/xl/worksheets/sheet68.xml" ContentType="application/vnd.openxmlformats-officedocument.spreadsheetml.worksheet+xml"/>
  <Override PartName="/xl/worksheets/sheet69.xml" ContentType="application/vnd.openxmlformats-officedocument.spreadsheetml.worksheet+xml"/>
  <Override PartName="/xl/worksheets/sheet70.xml" ContentType="application/vnd.openxmlformats-officedocument.spreadsheetml.worksheet+xml"/>
  <Override PartName="/xl/worksheets/sheet71.xml" ContentType="application/vnd.openxmlformats-officedocument.spreadsheetml.worksheet+xml"/>
  <Override PartName="/xl/worksheets/sheet72.xml" ContentType="application/vnd.openxmlformats-officedocument.spreadsheetml.worksheet+xml"/>
  <Override PartName="/xl/worksheets/sheet73.xml" ContentType="application/vnd.openxmlformats-officedocument.spreadsheetml.worksheet+xml"/>
  <Override PartName="/xl/worksheets/sheet74.xml" ContentType="application/vnd.openxmlformats-officedocument.spreadsheetml.worksheet+xml"/>
  <Override PartName="/xl/worksheets/sheet75.xml" ContentType="application/vnd.openxmlformats-officedocument.spreadsheetml.worksheet+xml"/>
  <Override PartName="/xl/worksheets/sheet76.xml" ContentType="application/vnd.openxmlformats-officedocument.spreadsheetml.worksheet+xml"/>
  <Override PartName="/xl/worksheets/sheet77.xml" ContentType="application/vnd.openxmlformats-officedocument.spreadsheetml.worksheet+xml"/>
  <Override PartName="/xl/worksheets/sheet78.xml" ContentType="application/vnd.openxmlformats-officedocument.spreadsheetml.worksheet+xml"/>
  <Override PartName="/xl/worksheets/sheet79.xml" ContentType="application/vnd.openxmlformats-officedocument.spreadsheetml.worksheet+xml"/>
  <Override PartName="/xl/worksheets/sheet80.xml" ContentType="application/vnd.openxmlformats-officedocument.spreadsheetml.worksheet+xml"/>
  <Override PartName="/xl/worksheets/sheet81.xml" ContentType="application/vnd.openxmlformats-officedocument.spreadsheetml.worksheet+xml"/>
  <Override PartName="/xl/worksheets/sheet82.xml" ContentType="application/vnd.openxmlformats-officedocument.spreadsheetml.worksheet+xml"/>
  <Override PartName="/xl/worksheets/sheet83.xml" ContentType="application/vnd.openxmlformats-officedocument.spreadsheetml.worksheet+xml"/>
  <Override PartName="/xl/worksheets/sheet84.xml" ContentType="application/vnd.openxmlformats-officedocument.spreadsheetml.worksheet+xml"/>
  <Override PartName="/xl/worksheets/sheet85.xml" ContentType="application/vnd.openxmlformats-officedocument.spreadsheetml.worksheet+xml"/>
  <Override PartName="/xl/worksheets/sheet86.xml" ContentType="application/vnd.openxmlformats-officedocument.spreadsheetml.worksheet+xml"/>
  <Override PartName="/xl/worksheets/sheet87.xml" ContentType="application/vnd.openxmlformats-officedocument.spreadsheetml.worksheet+xml"/>
  <Override PartName="/xl/worksheets/sheet88.xml" ContentType="application/vnd.openxmlformats-officedocument.spreadsheetml.worksheet+xml"/>
  <Override PartName="/xl/worksheets/sheet89.xml" ContentType="application/vnd.openxmlformats-officedocument.spreadsheetml.worksheet+xml"/>
  <Override PartName="/xl/worksheets/sheet90.xml" ContentType="application/vnd.openxmlformats-officedocument.spreadsheetml.worksheet+xml"/>
  <Override PartName="/xl/worksheets/sheet91.xml" ContentType="application/vnd.openxmlformats-officedocument.spreadsheetml.worksheet+xml"/>
  <Override PartName="/xl/worksheets/sheet92.xml" ContentType="application/vnd.openxmlformats-officedocument.spreadsheetml.worksheet+xml"/>
  <Override PartName="/xl/worksheets/sheet93.xml" ContentType="application/vnd.openxmlformats-officedocument.spreadsheetml.worksheet+xml"/>
  <Override PartName="/xl/worksheets/sheet94.xml" ContentType="application/vnd.openxmlformats-officedocument.spreadsheetml.worksheet+xml"/>
  <Override PartName="/xl/worksheets/sheet95.xml" ContentType="application/vnd.openxmlformats-officedocument.spreadsheetml.worksheet+xml"/>
  <Override PartName="/xl/worksheets/sheet96.xml" ContentType="application/vnd.openxmlformats-officedocument.spreadsheetml.worksheet+xml"/>
  <Override PartName="/xl/worksheets/sheet97.xml" ContentType="application/vnd.openxmlformats-officedocument.spreadsheetml.worksheet+xml"/>
  <Override PartName="/xl/worksheets/sheet98.xml" ContentType="application/vnd.openxmlformats-officedocument.spreadsheetml.worksheet+xml"/>
  <Override PartName="/xl/worksheets/sheet99.xml" ContentType="application/vnd.openxmlformats-officedocument.spreadsheetml.worksheet+xml"/>
  <Override PartName="/xl/worksheets/sheet100.xml" ContentType="application/vnd.openxmlformats-officedocument.spreadsheetml.worksheet+xml"/>
  <Override PartName="/xl/worksheets/sheet101.xml" ContentType="application/vnd.openxmlformats-officedocument.spreadsheetml.worksheet+xml"/>
  <Override PartName="/xl/worksheets/sheet102.xml" ContentType="application/vnd.openxmlformats-officedocument.spreadsheetml.worksheet+xml"/>
  <Override PartName="/xl/worksheets/sheet103.xml" ContentType="application/vnd.openxmlformats-officedocument.spreadsheetml.worksheet+xml"/>
  <Override PartName="/xl/worksheets/sheet104.xml" ContentType="application/vnd.openxmlformats-officedocument.spreadsheetml.worksheet+xml"/>
  <Override PartName="/xl/worksheets/sheet105.xml" ContentType="application/vnd.openxmlformats-officedocument.spreadsheetml.worksheet+xml"/>
  <Override PartName="/xl/worksheets/sheet106.xml" ContentType="application/vnd.openxmlformats-officedocument.spreadsheetml.worksheet+xml"/>
  <Override PartName="/xl/worksheets/sheet107.xml" ContentType="application/vnd.openxmlformats-officedocument.spreadsheetml.worksheet+xml"/>
  <Override PartName="/xl/worksheets/sheet108.xml" ContentType="application/vnd.openxmlformats-officedocument.spreadsheetml.worksheet+xml"/>
  <Override PartName="/xl/worksheets/sheet109.xml" ContentType="application/vnd.openxmlformats-officedocument.spreadsheetml.worksheet+xml"/>
  <Override PartName="/xl/worksheets/sheet110.xml" ContentType="application/vnd.openxmlformats-officedocument.spreadsheetml.worksheet+xml"/>
  <Override PartName="/xl/worksheets/sheet111.xml" ContentType="application/vnd.openxmlformats-officedocument.spreadsheetml.worksheet+xml"/>
  <Override PartName="/xl/worksheets/sheet112.xml" ContentType="application/vnd.openxmlformats-officedocument.spreadsheetml.worksheet+xml"/>
  <Override PartName="/xl/worksheets/sheet113.xml" ContentType="application/vnd.openxmlformats-officedocument.spreadsheetml.worksheet+xml"/>
  <Override PartName="/xl/worksheets/sheet114.xml" ContentType="application/vnd.openxmlformats-officedocument.spreadsheetml.worksheet+xml"/>
  <Override PartName="/xl/worksheets/sheet115.xml" ContentType="application/vnd.openxmlformats-officedocument.spreadsheetml.worksheet+xml"/>
  <Override PartName="/xl/worksheets/sheet116.xml" ContentType="application/vnd.openxmlformats-officedocument.spreadsheetml.worksheet+xml"/>
  <Override PartName="/xl/worksheets/sheet117.xml" ContentType="application/vnd.openxmlformats-officedocument.spreadsheetml.worksheet+xml"/>
  <Override PartName="/xl/worksheets/sheet118.xml" ContentType="application/vnd.openxmlformats-officedocument.spreadsheetml.worksheet+xml"/>
  <Override PartName="/xl/worksheets/sheet119.xml" ContentType="application/vnd.openxmlformats-officedocument.spreadsheetml.worksheet+xml"/>
  <Override PartName="/xl/worksheets/sheet120.xml" ContentType="application/vnd.openxmlformats-officedocument.spreadsheetml.worksheet+xml"/>
  <Override PartName="/xl/worksheets/sheet121.xml" ContentType="application/vnd.openxmlformats-officedocument.spreadsheetml.worksheet+xml"/>
  <Override PartName="/xl/worksheets/sheet122.xml" ContentType="application/vnd.openxmlformats-officedocument.spreadsheetml.worksheet+xml"/>
  <Override PartName="/xl/worksheets/sheet123.xml" ContentType="application/vnd.openxmlformats-officedocument.spreadsheetml.worksheet+xml"/>
  <Override PartName="/xl/worksheets/sheet124.xml" ContentType="application/vnd.openxmlformats-officedocument.spreadsheetml.worksheet+xml"/>
  <Override PartName="/xl/worksheets/sheet125.xml" ContentType="application/vnd.openxmlformats-officedocument.spreadsheetml.worksheet+xml"/>
  <Override PartName="/xl/worksheets/sheet126.xml" ContentType="application/vnd.openxmlformats-officedocument.spreadsheetml.worksheet+xml"/>
  <Override PartName="/xl/worksheets/sheet127.xml" ContentType="application/vnd.openxmlformats-officedocument.spreadsheetml.worksheet+xml"/>
  <Override PartName="/xl/worksheets/sheet128.xml" ContentType="application/vnd.openxmlformats-officedocument.spreadsheetml.worksheet+xml"/>
  <Override PartName="/xl/worksheets/sheet129.xml" ContentType="application/vnd.openxmlformats-officedocument.spreadsheetml.worksheet+xml"/>
  <Override PartName="/xl/worksheets/sheet130.xml" ContentType="application/vnd.openxmlformats-officedocument.spreadsheetml.worksheet+xml"/>
  <Override PartName="/xl/worksheets/sheet131.xml" ContentType="application/vnd.openxmlformats-officedocument.spreadsheetml.worksheet+xml"/>
  <Override PartName="/xl/worksheets/sheet132.xml" ContentType="application/vnd.openxmlformats-officedocument.spreadsheetml.worksheet+xml"/>
  <Override PartName="/xl/worksheets/sheet133.xml" ContentType="application/vnd.openxmlformats-officedocument.spreadsheetml.worksheet+xml"/>
  <Override PartName="/xl/worksheets/sheet134.xml" ContentType="application/vnd.openxmlformats-officedocument.spreadsheetml.worksheet+xml"/>
  <Override PartName="/xl/worksheets/sheet135.xml" ContentType="application/vnd.openxmlformats-officedocument.spreadsheetml.worksheet+xml"/>
  <Override PartName="/xl/worksheets/sheet136.xml" ContentType="application/vnd.openxmlformats-officedocument.spreadsheetml.worksheet+xml"/>
  <Override PartName="/xl/worksheets/sheet137.xml" ContentType="application/vnd.openxmlformats-officedocument.spreadsheetml.worksheet+xml"/>
  <Override PartName="/xl/worksheets/sheet138.xml" ContentType="application/vnd.openxmlformats-officedocument.spreadsheetml.worksheet+xml"/>
  <Override PartName="/xl/worksheets/sheet139.xml" ContentType="application/vnd.openxmlformats-officedocument.spreadsheetml.worksheet+xml"/>
  <Override PartName="/xl/worksheets/sheet140.xml" ContentType="application/vnd.openxmlformats-officedocument.spreadsheetml.worksheet+xml"/>
  <Override PartName="/xl/worksheets/sheet141.xml" ContentType="application/vnd.openxmlformats-officedocument.spreadsheetml.worksheet+xml"/>
  <Override PartName="/xl/worksheets/sheet142.xml" ContentType="application/vnd.openxmlformats-officedocument.spreadsheetml.worksheet+xml"/>
  <Override PartName="/xl/worksheets/sheet143.xml" ContentType="application/vnd.openxmlformats-officedocument.spreadsheetml.worksheet+xml"/>
  <Override PartName="/xl/worksheets/sheet144.xml" ContentType="application/vnd.openxmlformats-officedocument.spreadsheetml.worksheet+xml"/>
  <Override PartName="/xl/worksheets/sheet145.xml" ContentType="application/vnd.openxmlformats-officedocument.spreadsheetml.worksheet+xml"/>
  <Override PartName="/xl/worksheets/sheet146.xml" ContentType="application/vnd.openxmlformats-officedocument.spreadsheetml.worksheet+xml"/>
  <Override PartName="/xl/worksheets/sheet147.xml" ContentType="application/vnd.openxmlformats-officedocument.spreadsheetml.worksheet+xml"/>
  <Override PartName="/xl/worksheets/sheet148.xml" ContentType="application/vnd.openxmlformats-officedocument.spreadsheetml.worksheet+xml"/>
  <Override PartName="/xl/worksheets/sheet149.xml" ContentType="application/vnd.openxmlformats-officedocument.spreadsheetml.worksheet+xml"/>
  <Override PartName="/xl/worksheets/sheet150.xml" ContentType="application/vnd.openxmlformats-officedocument.spreadsheetml.worksheet+xml"/>
  <Override PartName="/xl/worksheets/sheet151.xml" ContentType="application/vnd.openxmlformats-officedocument.spreadsheetml.worksheet+xml"/>
  <Override PartName="/xl/worksheets/sheet152.xml" ContentType="application/vnd.openxmlformats-officedocument.spreadsheetml.worksheet+xml"/>
  <Override PartName="/xl/worksheets/sheet153.xml" ContentType="application/vnd.openxmlformats-officedocument.spreadsheetml.worksheet+xml"/>
  <Override PartName="/xl/worksheets/sheet154.xml" ContentType="application/vnd.openxmlformats-officedocument.spreadsheetml.worksheet+xml"/>
  <Override PartName="/xl/worksheets/sheet155.xml" ContentType="application/vnd.openxmlformats-officedocument.spreadsheetml.worksheet+xml"/>
  <Override PartName="/xl/worksheets/sheet156.xml" ContentType="application/vnd.openxmlformats-officedocument.spreadsheetml.worksheet+xml"/>
  <Override PartName="/xl/worksheets/sheet157.xml" ContentType="application/vnd.openxmlformats-officedocument.spreadsheetml.worksheet+xml"/>
  <Override PartName="/xl/worksheets/sheet158.xml" ContentType="application/vnd.openxmlformats-officedocument.spreadsheetml.worksheet+xml"/>
  <Override PartName="/xl/worksheets/sheet159.xml" ContentType="application/vnd.openxmlformats-officedocument.spreadsheetml.worksheet+xml"/>
  <Override PartName="/xl/worksheets/sheet160.xml" ContentType="application/vnd.openxmlformats-officedocument.spreadsheetml.worksheet+xml"/>
  <Override PartName="/xl/worksheets/sheet161.xml" ContentType="application/vnd.openxmlformats-officedocument.spreadsheetml.worksheet+xml"/>
  <Override PartName="/xl/worksheets/sheet162.xml" ContentType="application/vnd.openxmlformats-officedocument.spreadsheetml.worksheet+xml"/>
  <Override PartName="/xl/worksheets/sheet163.xml" ContentType="application/vnd.openxmlformats-officedocument.spreadsheetml.worksheet+xml"/>
  <Override PartName="/xl/worksheets/sheet164.xml" ContentType="application/vnd.openxmlformats-officedocument.spreadsheetml.worksheet+xml"/>
  <Override PartName="/xl/worksheets/sheet165.xml" ContentType="application/vnd.openxmlformats-officedocument.spreadsheetml.worksheet+xml"/>
  <Override PartName="/xl/worksheets/sheet166.xml" ContentType="application/vnd.openxmlformats-officedocument.spreadsheetml.worksheet+xml"/>
  <Override PartName="/xl/worksheets/sheet167.xml" ContentType="application/vnd.openxmlformats-officedocument.spreadsheetml.worksheet+xml"/>
  <Override PartName="/xl/worksheets/sheet168.xml" ContentType="application/vnd.openxmlformats-officedocument.spreadsheetml.worksheet+xml"/>
  <Override PartName="/xl/worksheets/sheet169.xml" ContentType="application/vnd.openxmlformats-officedocument.spreadsheetml.worksheet+xml"/>
  <Override PartName="/xl/worksheets/sheet170.xml" ContentType="application/vnd.openxmlformats-officedocument.spreadsheetml.worksheet+xml"/>
  <Override PartName="/xl/worksheets/sheet171.xml" ContentType="application/vnd.openxmlformats-officedocument.spreadsheetml.worksheet+xml"/>
  <Override PartName="/xl/worksheets/sheet172.xml" ContentType="application/vnd.openxmlformats-officedocument.spreadsheetml.worksheet+xml"/>
  <Override PartName="/xl/worksheets/sheet173.xml" ContentType="application/vnd.openxmlformats-officedocument.spreadsheetml.worksheet+xml"/>
  <Override PartName="/xl/worksheets/sheet174.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omments1.xml" ContentType="application/vnd.openxmlformats-officedocument.spreadsheetml.comments+xml"/>
  <Override PartName="/xl/drawings/drawing2.xml" ContentType="application/vnd.openxmlformats-officedocument.drawing+xml"/>
  <Override PartName="/xl/drawings/drawing3.xml" ContentType="application/vnd.openxmlformats-officedocument.drawing+xml"/>
  <Override PartName="/xl/comments2.xml" ContentType="application/vnd.openxmlformats-officedocument.spreadsheetml.comments+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codeName="ThisWorkbook"/>
  <mc:AlternateContent xmlns:mc="http://schemas.openxmlformats.org/markup-compatibility/2006">
    <mc:Choice Requires="x15">
      <x15ac:absPath xmlns:x15ac="http://schemas.microsoft.com/office/spreadsheetml/2010/11/ac" url="D:\白鷐\Documents\Visual Studio 2015\Projects\百邦所得税汇算底稿工具\百邦所得税汇算底稿工具\"/>
    </mc:Choice>
  </mc:AlternateContent>
  <bookViews>
    <workbookView xWindow="360" yWindow="372" windowWidth="11640" windowHeight="4152" tabRatio="881" firstSheet="7" activeTab="8"/>
  </bookViews>
  <sheets>
    <sheet name="首页" sheetId="90" state="veryHidden" r:id="rId1"/>
    <sheet name="档案封面" sheetId="2" state="hidden" r:id="rId2"/>
    <sheet name="待办事项" sheetId="5" state="hidden" r:id="rId3"/>
    <sheet name="档案索引" sheetId="3" state="hidden" r:id="rId4"/>
    <sheet name="签发单" sheetId="6" state="hidden" r:id="rId5"/>
    <sheet name="三级复核" sheetId="7" state="hidden" r:id="rId6"/>
    <sheet name="业务约定" sheetId="208" state="hidden" r:id="rId7"/>
    <sheet name="地税、基本情况" sheetId="86" r:id="rId8"/>
    <sheet name="基本情况" sheetId="4" r:id="rId9"/>
    <sheet name="税审收费标准" sheetId="191" state="hidden" r:id="rId10"/>
    <sheet name="当局声明" sheetId="9" state="hidden" r:id="rId11"/>
    <sheet name="计划" sheetId="10" state="hidden" r:id="rId12"/>
    <sheet name="内控" sheetId="11" state="hidden" r:id="rId13"/>
    <sheet name="审核问卷" sheetId="12" state="hidden" r:id="rId14"/>
    <sheet name="重大问题" sheetId="13" state="hidden" r:id="rId15"/>
    <sheet name="交换意见" sheetId="14" state="hidden" r:id="rId16"/>
    <sheet name="资料清单" sheetId="15" state="hidden" r:id="rId17"/>
    <sheet name="审核标识" sheetId="16" state="hidden" r:id="rId18"/>
    <sheet name="盘点表" sheetId="18" state="hidden" r:id="rId19"/>
    <sheet name="通用记录" sheetId="19" state="hidden" r:id="rId20"/>
    <sheet name="凭证检查" sheetId="20" state="hidden" r:id="rId21"/>
    <sheet name="使用说明" sheetId="21" state="hidden" r:id="rId22"/>
    <sheet name="资产负债" sheetId="22" state="hidden" r:id="rId23"/>
    <sheet name="利润" sheetId="23" state="hidden" r:id="rId24"/>
    <sheet name="纳税申报数据" sheetId="24" state="hidden" r:id="rId25"/>
    <sheet name="工资福利" sheetId="26" state="hidden" r:id="rId26"/>
    <sheet name="招待" sheetId="27" state="hidden" r:id="rId27"/>
    <sheet name="固资折旧" sheetId="28" state="hidden" r:id="rId28"/>
    <sheet name="折旧测算" sheetId="29" state="hidden" r:id="rId29"/>
    <sheet name="无形长摊" sheetId="30" state="hidden" r:id="rId30"/>
    <sheet name="社保" sheetId="31" state="hidden" r:id="rId31"/>
    <sheet name="社保明细工资人数" sheetId="32" state="hidden" r:id="rId32"/>
    <sheet name="广宣" sheetId="33" state="hidden" r:id="rId33"/>
    <sheet name="捐赠" sheetId="34" state="hidden" r:id="rId34"/>
    <sheet name="利息" sheetId="35" state="hidden" r:id="rId35"/>
    <sheet name="租金" sheetId="36" state="hidden" r:id="rId36"/>
    <sheet name="补亏" sheetId="38" state="hidden" r:id="rId37"/>
    <sheet name="其他事项" sheetId="39" state="hidden" r:id="rId38"/>
    <sheet name="无限期结转扣除项目审核表" sheetId="84" state="hidden" r:id="rId39"/>
    <sheet name="跨年度确认所得情况表" sheetId="85" state="hidden" r:id="rId40"/>
    <sheet name="视同销售和房地产开发企业特定业务审核表" sheetId="161" state="hidden" r:id="rId41"/>
    <sheet name="未按权责发生制确认收入审核表" sheetId="162" state="hidden" r:id="rId42"/>
    <sheet name="投资收益审核表" sheetId="163" state="hidden" r:id="rId43"/>
    <sheet name="专项用途财政性资金审核表" sheetId="164" state="hidden" r:id="rId44"/>
    <sheet name="固定资产加速折旧审核表" sheetId="165" state="hidden" r:id="rId45"/>
    <sheet name="资产损失税前扣除审核表" sheetId="166" state="hidden" r:id="rId46"/>
    <sheet name="资产损失（专项申报）税前扣除审核表" sheetId="167" state="hidden" r:id="rId47"/>
    <sheet name="企业重组审核表" sheetId="168" state="hidden" r:id="rId48"/>
    <sheet name="政策性搬迁审核表" sheetId="169" state="hidden" r:id="rId49"/>
    <sheet name="特殊行业准备金审核表" sheetId="170" state="hidden" r:id="rId50"/>
    <sheet name="免税、减计收入及加计扣除优惠审核表" sheetId="171" state="hidden" r:id="rId51"/>
    <sheet name="股息红利优惠审核表" sheetId="172" state="hidden" r:id="rId52"/>
    <sheet name="综合利用资源生产产品取得的收入优惠审核表" sheetId="173" state="hidden" r:id="rId53"/>
    <sheet name="金融保险等机构取得涉农利息保费收入优惠审核表" sheetId="174" state="hidden" r:id="rId54"/>
    <sheet name="研发费用加计扣除优惠审核表" sheetId="175" state="hidden" r:id="rId55"/>
    <sheet name="所得减免优惠审核表" sheetId="176" state="hidden" r:id="rId56"/>
    <sheet name="抵扣应纳税所得额审核表" sheetId="177" state="hidden" r:id="rId57"/>
    <sheet name="减免所得税优惠审核表" sheetId="178" state="hidden" r:id="rId58"/>
    <sheet name="高新技术企业优惠情况审核表" sheetId="179" state="hidden" r:id="rId59"/>
    <sheet name="软件、集成电路企业优惠情况审核表" sheetId="180" state="hidden" r:id="rId60"/>
    <sheet name="税额抵免优惠审核表" sheetId="181" state="hidden" r:id="rId61"/>
    <sheet name="境外所得税收抵免审核表" sheetId="182" state="hidden" r:id="rId62"/>
    <sheet name="境外所得纳税调整后所得审核表" sheetId="183" state="hidden" r:id="rId63"/>
    <sheet name="境外分支机构弥补亏损审核表" sheetId="184" state="hidden" r:id="rId64"/>
    <sheet name="跨年度结转抵免境外所得税审核表" sheetId="185" state="hidden" r:id="rId65"/>
    <sheet name="跨地区经营汇总纳税企业年度分摊企业所得税审核表" sheetId="186" state="hidden" r:id="rId66"/>
    <sheet name="企业所得税汇总纳税分支机构所得税分配表" sheetId="187" state="hidden" r:id="rId67"/>
    <sheet name="减值准备审核表" sheetId="190" state="hidden" r:id="rId68"/>
    <sheet name="公允价值变动审定表" sheetId="189" state="hidden" r:id="rId69"/>
    <sheet name="主页" sheetId="40" state="hidden" r:id="rId70"/>
    <sheet name="报告目录" sheetId="188" state="hidden" r:id="rId71"/>
    <sheet name="主营收支" sheetId="41" state="hidden" r:id="rId72"/>
    <sheet name="收入与申报核对表" sheetId="42" state="hidden" r:id="rId73"/>
    <sheet name="毛利分析" sheetId="43" state="hidden" r:id="rId74"/>
    <sheet name="制造费用、生产成本" sheetId="44" state="hidden" r:id="rId75"/>
    <sheet name="成本倒轧" sheetId="45" state="hidden" r:id="rId76"/>
    <sheet name="存货计价测试" sheetId="46" state="hidden" r:id="rId77"/>
    <sheet name="主营税金" sheetId="47" state="hidden" r:id="rId78"/>
    <sheet name="税费缴纳测算" sheetId="48" state="hidden" r:id="rId79"/>
    <sheet name="其他业务" sheetId="49" state="hidden" r:id="rId80"/>
    <sheet name="营业费用" sheetId="50" state="hidden" r:id="rId81"/>
    <sheet name="管理费用" sheetId="51" state="hidden" r:id="rId82"/>
    <sheet name="财务费用" sheetId="52" state="hidden" r:id="rId83"/>
    <sheet name="营外收支" sheetId="53" state="hidden" r:id="rId84"/>
    <sheet name="货币资金" sheetId="54" state="hidden" r:id="rId85"/>
    <sheet name="现金证明" sheetId="17" state="hidden" r:id="rId86"/>
    <sheet name="银行调节" sheetId="55" state="hidden" r:id="rId87"/>
    <sheet name="应收" sheetId="56" state="hidden" r:id="rId88"/>
    <sheet name="预付" sheetId="57" state="hidden" r:id="rId89"/>
    <sheet name="其他应收" sheetId="58" state="hidden" r:id="rId90"/>
    <sheet name="存货" sheetId="59" state="hidden" r:id="rId91"/>
    <sheet name="待摊预提" sheetId="60" state="hidden" r:id="rId92"/>
    <sheet name="在建工程审核表" sheetId="61" state="hidden" r:id="rId93"/>
    <sheet name="对外投资" sheetId="209" state="hidden" r:id="rId94"/>
    <sheet name="应付" sheetId="62" state="hidden" r:id="rId95"/>
    <sheet name="预收" sheetId="63" state="hidden" r:id="rId96"/>
    <sheet name="其他应付" sheetId="64" state="hidden" r:id="rId97"/>
    <sheet name="借款" sheetId="211" state="hidden" r:id="rId98"/>
    <sheet name="实收公积" sheetId="65" state="hidden" r:id="rId99"/>
    <sheet name="未分利润" sheetId="66" state="hidden" r:id="rId100"/>
    <sheet name="报告封面" sheetId="194" state="hidden" r:id="rId101"/>
    <sheet name="报告正文" sheetId="195" state="hidden" r:id="rId102"/>
    <sheet name="企业情况表" sheetId="196" state="hidden" r:id="rId103"/>
    <sheet name="事项说明" sheetId="197" state="hidden" r:id="rId104"/>
    <sheet name="企业各税审核汇总表" sheetId="83" state="hidden" r:id="rId105"/>
    <sheet name="检查表" sheetId="116" state="hidden" r:id="rId106"/>
    <sheet name="余额表" sheetId="88" state="hidden" r:id="rId107"/>
    <sheet name="税金申报明细" sheetId="89" state="hidden" r:id="rId108"/>
    <sheet name="(三)子表12.企业所得税汇总纳税分支机构所得税分配表" sheetId="117" state="hidden" r:id="rId109"/>
    <sheet name="(四)无限期结转扣除项目情况表" sheetId="112" state="hidden" r:id="rId110"/>
    <sheet name="(五)跨年度确认所得情况表" sheetId="113" state="hidden" r:id="rId111"/>
    <sheet name="基本情况（封面）" sheetId="91" state="hidden" r:id="rId112"/>
    <sheet name="1.保留意见" sheetId="92" state="hidden" r:id="rId113"/>
    <sheet name="2.否定意见" sheetId="93" state="hidden" r:id="rId114"/>
    <sheet name="3.无保留意见" sheetId="94" state="hidden" r:id="rId115"/>
    <sheet name="4.无法表明意见" sheetId="95" state="hidden" r:id="rId116"/>
    <sheet name="(二)企业基本情况和审核事项说明" sheetId="96" state="hidden" r:id="rId117"/>
    <sheet name="(二)附表-科目说明" sheetId="97" state="hidden" r:id="rId118"/>
    <sheet name="(二)附表-纳税调整额的审核" sheetId="98" state="hidden" r:id="rId119"/>
    <sheet name="（三）企业所得税年度纳税申报表填报表单" sheetId="119" state="hidden" r:id="rId120"/>
    <sheet name="A000000企业基础信息表" sheetId="120" r:id="rId121"/>
    <sheet name="A100000中华人民共和国企业所得税年度纳税申报表（A类）" sheetId="121" state="hidden" r:id="rId122"/>
    <sheet name="A101010一般企业收入明细表" sheetId="122" state="hidden" r:id="rId123"/>
    <sheet name="A101020金融企业收入明细表" sheetId="123" state="hidden" r:id="rId124"/>
    <sheet name="A102010一般企业成本支出明细表" sheetId="124" state="hidden" r:id="rId125"/>
    <sheet name="A102020金融企业支出明细表" sheetId="125" state="hidden" r:id="rId126"/>
    <sheet name="A103000事业单位、民间非营利组织收入、支出明细表" sheetId="126" state="hidden" r:id="rId127"/>
    <sheet name="A104000期间费用明细表" sheetId="127" state="hidden" r:id="rId128"/>
    <sheet name="A105000纳税调整项目明细表" sheetId="128" state="hidden" r:id="rId129"/>
    <sheet name="A105010视同销售和房地产开发企业特定业务纳税调整明细表" sheetId="129" state="hidden" r:id="rId130"/>
    <sheet name="A105020未按权责发生制确认收入纳税调整明细表" sheetId="130" state="hidden" r:id="rId131"/>
    <sheet name="A105030投资收益纳税调整明细表" sheetId="131" state="hidden" r:id="rId132"/>
    <sheet name="A105040专项用途财政性资金纳税调整表" sheetId="132" state="hidden" r:id="rId133"/>
    <sheet name="A105050职工薪酬纳税调整明细表" sheetId="133" state="hidden" r:id="rId134"/>
    <sheet name="A105060广告费和业务宣传费跨年度纳税调整明细表" sheetId="134" state="hidden" r:id="rId135"/>
    <sheet name="A105070捐赠支出纳税调整明细表" sheetId="135" state="hidden" r:id="rId136"/>
    <sheet name="A105080资产折旧、摊销情况及纳税调整明细表" sheetId="136" state="hidden" r:id="rId137"/>
    <sheet name="A105081固定资产加速折旧、扣除明细表" sheetId="137" state="hidden" r:id="rId138"/>
    <sheet name="A105090资产损失税前扣除及纳税调整明细表" sheetId="138" state="hidden" r:id="rId139"/>
    <sheet name="A105091资产损失（专项申报）税前扣除及纳税调整明细表" sheetId="139" state="hidden" r:id="rId140"/>
    <sheet name="A105100企业重组纳税调整明细表" sheetId="140" state="hidden" r:id="rId141"/>
    <sheet name="A105110政策性搬迁纳税调整明细表" sheetId="141" state="hidden" r:id="rId142"/>
    <sheet name="A105120特殊行业准备金纳税调整明细表" sheetId="142" state="hidden" r:id="rId143"/>
    <sheet name="A106000企业所得税弥补亏损明细表" sheetId="143" state="hidden" r:id="rId144"/>
    <sheet name="A107010免税、减计收入及加计扣除优惠明细表" sheetId="144" state="hidden" r:id="rId145"/>
    <sheet name="A107011股息红利优惠明细表" sheetId="145" state="hidden" r:id="rId146"/>
    <sheet name="A107012综合利用资源生产产品取得的收入优惠明细表" sheetId="146" state="hidden" r:id="rId147"/>
    <sheet name="A107013金融保险等机构取得涉农利息保费收入优惠明细表" sheetId="147" state="hidden" r:id="rId148"/>
    <sheet name="A107014研发费用加计扣除优惠明细表" sheetId="148" state="hidden" r:id="rId149"/>
    <sheet name="A107020所得减免优惠明细表" sheetId="149" state="hidden" r:id="rId150"/>
    <sheet name="A107030抵扣应纳税所得额明细表" sheetId="150" state="hidden" r:id="rId151"/>
    <sheet name="A107040减免所得税优惠明细表" sheetId="151" state="hidden" r:id="rId152"/>
    <sheet name="A107041高新技术企业优惠情况及明细表" sheetId="152" state="hidden" r:id="rId153"/>
    <sheet name="A107042软件、集成电路企业优惠情况及明细表" sheetId="153" state="hidden" r:id="rId154"/>
    <sheet name="A107050税额抵免优惠明细表" sheetId="154" state="hidden" r:id="rId155"/>
    <sheet name="A108000境外所得税收抵免明细表" sheetId="155" state="hidden" r:id="rId156"/>
    <sheet name="A108010境外所得纳税调整后所得明细表" sheetId="156" state="hidden" r:id="rId157"/>
    <sheet name="A108020境外分支机构弥补亏损明细表" sheetId="157" state="hidden" r:id="rId158"/>
    <sheet name="A108030跨年度结转抵免境外所得税明细表" sheetId="158" state="hidden" r:id="rId159"/>
    <sheet name="A109000跨地区经营汇总纳税企业年度分摊企业所得税明细表" sheetId="159" state="hidden" r:id="rId160"/>
    <sheet name="A109010企业所得税汇总纳税分支机构所得税分配表" sheetId="160" state="hidden" r:id="rId161"/>
    <sheet name="A110010特殊性处理报告表" sheetId="200" state="hidden" r:id="rId162"/>
    <sheet name="A110011债务重组报告表" sheetId="201" state="hidden" r:id="rId163"/>
    <sheet name="A110012股权收购报告表 " sheetId="202" state="hidden" r:id="rId164"/>
    <sheet name="A110013资产收购报告表" sheetId="203" state="hidden" r:id="rId165"/>
    <sheet name="A110014企业合并报告表 " sheetId="204" state="hidden" r:id="rId166"/>
    <sheet name="A110015企业分立申报表" sheetId="205" state="hidden" r:id="rId167"/>
    <sheet name="A110016非货币资产投资递延纳税调整表" sheetId="206" state="hidden" r:id="rId168"/>
    <sheet name="A110017居民企业资产（股权）划转特殊性税务处理申报表" sheetId="207" state="hidden" r:id="rId169"/>
    <sheet name="研发加计扣除归集审核表" sheetId="212" state="hidden" r:id="rId170"/>
    <sheet name="研发项目可加计扣除研究开发费用情况归集表" sheetId="213" state="hidden" r:id="rId171"/>
    <sheet name="分支机构企业所得税申报表（A类）" sheetId="118" state="hidden" r:id="rId172"/>
    <sheet name="（四）企业各税（费）审核汇总表" sheetId="114" state="hidden" r:id="rId173"/>
    <sheet name="（五）社会保险费明细表" sheetId="115" state="hidden" r:id="rId174"/>
  </sheets>
  <definedNames>
    <definedName name="_xlnm._FilterDatabase" localSheetId="20" hidden="1">凭证检查!$A$5:$W$227</definedName>
    <definedName name="_xlnm._FilterDatabase" localSheetId="107" hidden="1">税金申报明细!$A$1:$R$1</definedName>
    <definedName name="_xlnm._FilterDatabase" localSheetId="106" hidden="1">余额表!$A$1:$K$22</definedName>
    <definedName name="Pic">OFFSET(首页!$A$3,IF(基本情况!$B$8="厦门明正税务师事务所有限公司",0,1),0)</definedName>
    <definedName name="_xlnm.Print_Area" localSheetId="120">A000000企业基础信息表!$A$1:$F$32</definedName>
    <definedName name="_xlnm.Print_Area" localSheetId="121">'A100000中华人民共和国企业所得税年度纳税申报表（A类）'!$A$1:$D$41</definedName>
    <definedName name="_xlnm.Print_Area" localSheetId="161">A110010特殊性处理报告表!$A$1:$G$15</definedName>
    <definedName name="_xlnm.Print_Area" localSheetId="162">A110011债务重组报告表!$A$1:$E$24</definedName>
    <definedName name="_xlnm.Print_Area" localSheetId="163">'A110012股权收购报告表 '!$A$1:$I$59</definedName>
    <definedName name="_xlnm.Print_Area" localSheetId="164">A110013资产收购报告表!$A$1:$I$25</definedName>
    <definedName name="_xlnm.Print_Area" localSheetId="165">'A110014企业合并报告表 '!$A$1:$D$25</definedName>
    <definedName name="_xlnm.Print_Area" localSheetId="166">A110015企业分立申报表!$A$1:$F$27</definedName>
    <definedName name="_xlnm.Print_Area" localSheetId="167">A110016非货币资产投资递延纳税调整表!$A$1:$T$10</definedName>
    <definedName name="_xlnm.Print_Area" localSheetId="168">'A110017居民企业资产（股权）划转特殊性税务处理申报表'!$A$1:$H$29</definedName>
    <definedName name="_xlnm.Print_Area" localSheetId="100">报告封面!$A$1:$I$25</definedName>
    <definedName name="_xlnm.Print_Area" localSheetId="101">报告正文!$A$1:$J$78</definedName>
    <definedName name="_xlnm.Print_Area" localSheetId="36">补亏!$A$1:$H$20</definedName>
    <definedName name="_xlnm.Print_Area" localSheetId="82">财务费用!$A$1:$H$31</definedName>
    <definedName name="_xlnm.Print_Area" localSheetId="75">成本倒轧!$A$1:$J$46</definedName>
    <definedName name="_xlnm.Print_Area" localSheetId="90">存货!$A$1:$F$31</definedName>
    <definedName name="_xlnm.Print_Area" localSheetId="76">存货计价测试!$A$1:$O$20</definedName>
    <definedName name="_xlnm.Print_Area" localSheetId="2">待办事项!$A$1:$K$50</definedName>
    <definedName name="_xlnm.Print_Area" localSheetId="91">待摊预提!$A$1:$J$23</definedName>
    <definedName name="_xlnm.Print_Area" localSheetId="10">当局声明!$A$1:$G$26</definedName>
    <definedName name="_xlnm.Print_Area" localSheetId="1">档案封面!$A$1:$I$21</definedName>
    <definedName name="_xlnm.Print_Area" localSheetId="3">档案索引!$A$1:$F$49</definedName>
    <definedName name="_xlnm.Print_Area" localSheetId="93">对外投资!$A$1:$J$29</definedName>
    <definedName name="_xlnm.Print_Area" localSheetId="25">工资福利!$A$1:$H$41</definedName>
    <definedName name="_xlnm.Print_Area" localSheetId="68">公允价值变动审定表!$A$1:$G$17</definedName>
    <definedName name="_xlnm.Print_Area" localSheetId="27">固资折旧!$A$1:$G$35</definedName>
    <definedName name="_xlnm.Print_Area" localSheetId="81">管理费用!$A$1:$H$48</definedName>
    <definedName name="_xlnm.Print_Area" localSheetId="32">广宣!$A$1:$K$42</definedName>
    <definedName name="_xlnm.Print_Area" localSheetId="84">货币资金!$A$1:$H$28</definedName>
    <definedName name="_xlnm.Print_Area" localSheetId="8">基本情况!$A$1:$E$66</definedName>
    <definedName name="_xlnm.Print_Area" localSheetId="11">计划!$B$1:$K$31</definedName>
    <definedName name="_xlnm.Print_Area" localSheetId="67">减值准备审核表!$A$1:$H$22</definedName>
    <definedName name="_xlnm.Print_Area" localSheetId="15">交换意见!$A$1:$G$31</definedName>
    <definedName name="_xlnm.Print_Area" localSheetId="97">借款!$A$1:$K$29</definedName>
    <definedName name="_xlnm.Print_Area" localSheetId="33">捐赠!$A$1:$J$23</definedName>
    <definedName name="_xlnm.Print_Area" localSheetId="39">跨年度确认所得情况表!$A$1:$G$18</definedName>
    <definedName name="_xlnm.Print_Area" localSheetId="23">利润!$A$1:$H$39</definedName>
    <definedName name="_xlnm.Print_Area" localSheetId="34">利息!$A$1:$L$28</definedName>
    <definedName name="_xlnm.Print_Area" localSheetId="73">毛利分析!$A$1:$G$40</definedName>
    <definedName name="_xlnm.Print_Area" localSheetId="24">纳税申报数据!$A$1:$K$26</definedName>
    <definedName name="_xlnm.Print_Area" localSheetId="12">内控!$A$1:$K$34</definedName>
    <definedName name="_xlnm.Print_Area" localSheetId="18">盘点表!$A$1:$G$35</definedName>
    <definedName name="_xlnm.Print_Area" localSheetId="20">凭证检查!$A$1:$Q$211</definedName>
    <definedName name="_xlnm.Print_Area" localSheetId="37">其他事项!$A$1:$F$45</definedName>
    <definedName name="_xlnm.Print_Area" localSheetId="79">其他业务!$A$1:$J$25</definedName>
    <definedName name="_xlnm.Print_Area" localSheetId="96">其他应付!$A$1:$F$43</definedName>
    <definedName name="_xlnm.Print_Area" localSheetId="89">其他应收!$A$1:$F$42</definedName>
    <definedName name="_xlnm.Print_Area" localSheetId="104">企业各税审核汇总表!$A$1:$F$66</definedName>
    <definedName name="_xlnm.Print_Area" localSheetId="102">企业情况表!$A$1:$K$30</definedName>
    <definedName name="_xlnm.Print_Area" localSheetId="4">签发单!$A$1:$E$25</definedName>
    <definedName name="_xlnm.Print_Area" localSheetId="5">三级复核!$A$1:$K$44</definedName>
    <definedName name="_xlnm.Print_Area" localSheetId="30">社保!$A$1:$G$34</definedName>
    <definedName name="_xlnm.Print_Area" localSheetId="31">社保明细工资人数!$A$1:$J$39</definedName>
    <definedName name="_xlnm.Print_Area" localSheetId="17">审核标识!$A$1:$E$22</definedName>
    <definedName name="_xlnm.Print_Area" localSheetId="13">审核问卷!$A$1:$N$47</definedName>
    <definedName name="_xlnm.Print_Area" localSheetId="98">实收公积!$A$1:$H$31</definedName>
    <definedName name="_xlnm.Print_Area" localSheetId="21">使用说明!$A$1:$B$22</definedName>
    <definedName name="_xlnm.Print_Area" localSheetId="103">事项说明!$A$1:$G$135</definedName>
    <definedName name="_xlnm.Print_Area" localSheetId="40">视同销售和房地产开发企业特定业务审核表!$A$1:$E$36</definedName>
    <definedName name="_xlnm.Print_Area" localSheetId="72">收入与申报核对表!$A$1:$K$28</definedName>
    <definedName name="_xlnm.Print_Area" localSheetId="78">税费缴纳测算!$A$1:$H$58</definedName>
    <definedName name="_xlnm.Print_Area" localSheetId="9">税审收费标准!$B$1:$I$15</definedName>
    <definedName name="_xlnm.Print_Area" localSheetId="19">通用记录!$A$1:$H$52</definedName>
    <definedName name="_xlnm.Print_Area" localSheetId="99">未分利润!$A$1:$G$28</definedName>
    <definedName name="_xlnm.Print_Area" localSheetId="38">无限期结转扣除项目审核表!$A$1:$L$10</definedName>
    <definedName name="_xlnm.Print_Area" localSheetId="29">无形长摊!$A$1:$O$31</definedName>
    <definedName name="_xlnm.Print_Area" localSheetId="85">现金证明!$A$1:$E$16</definedName>
    <definedName name="_xlnm.Print_Area" localSheetId="169">研发加计扣除归集审核表!$A$1:$D$79</definedName>
    <definedName name="_xlnm.Print_Area" localSheetId="170">研发项目可加计扣除研究开发费用情况归集表!$A$1:$D$79</definedName>
    <definedName name="_xlnm.Print_Area" localSheetId="6">业务约定!$A$1:$H$33</definedName>
    <definedName name="_xlnm.Print_Area" localSheetId="86">银行调节!$A$1:$B$34</definedName>
    <definedName name="_xlnm.Print_Area" localSheetId="83">营外收支!$A$1:$G$44</definedName>
    <definedName name="_xlnm.Print_Area" localSheetId="80">营业费用!$A$1:$H$48</definedName>
    <definedName name="_xlnm.Print_Area" localSheetId="94">应付!$A$1:$F$44</definedName>
    <definedName name="_xlnm.Print_Area" localSheetId="87">应收!$A$1:$F$42</definedName>
    <definedName name="_xlnm.Print_Area" localSheetId="88">预付!$A$1:$F$42</definedName>
    <definedName name="_xlnm.Print_Area" localSheetId="95">预收!$A$1:$F$43</definedName>
    <definedName name="_xlnm.Print_Area" localSheetId="92">在建工程审核表!$A$1:$H$19</definedName>
    <definedName name="_xlnm.Print_Area" localSheetId="26">招待!$A$1:$M$31</definedName>
    <definedName name="_xlnm.Print_Area" localSheetId="28">折旧测算!$A$1:$O$30</definedName>
    <definedName name="_xlnm.Print_Area" localSheetId="74">制造费用、生产成本!$A$1:$G$48</definedName>
    <definedName name="_xlnm.Print_Area" localSheetId="14">重大问题!$A$1:$G$17</definedName>
    <definedName name="_xlnm.Print_Area" localSheetId="69">主页!$A$1:$J$29</definedName>
    <definedName name="_xlnm.Print_Area" localSheetId="71">主营收支!$A$1:$H$48</definedName>
    <definedName name="_xlnm.Print_Area" localSheetId="77">主营税金!$A$1:$H$51</definedName>
    <definedName name="_xlnm.Print_Area" localSheetId="22">资产负债!$A$1:$H$35</definedName>
    <definedName name="_xlnm.Print_Area" localSheetId="16">资料清单!$A$1:$E$42</definedName>
    <definedName name="_xlnm.Print_Area" localSheetId="35">租金!$A$1:$J$28</definedName>
    <definedName name="_xlnm.Print_Titles" localSheetId="163">'A110012股权收购报告表 '!$1:$2</definedName>
    <definedName name="_xlnm.Print_Titles" localSheetId="3">档案索引!$1:$3</definedName>
    <definedName name="_xlnm.Print_Titles" localSheetId="20">凭证检查!$1:$5</definedName>
    <definedName name="_xlnm.Print_Titles" localSheetId="96">其他应付!$1:$12</definedName>
    <definedName name="_xlnm.Print_Titles" localSheetId="89">其他应收!$1:$14</definedName>
    <definedName name="_xlnm.Print_Titles" localSheetId="94">应付!$1:$12</definedName>
    <definedName name="_xlnm.Print_Titles" localSheetId="87">应收!$1:$14</definedName>
    <definedName name="_xlnm.Print_Titles" localSheetId="88">预付!$1:$14</definedName>
    <definedName name="_xlnm.Print_Titles" localSheetId="95">预收!$1:$12</definedName>
    <definedName name="_xlnm.Print_Titles" localSheetId="28">折旧测算!$1:$6</definedName>
    <definedName name="worksheetname">"workbookname=get.workbook(1)"</definedName>
    <definedName name="本年度">基本情况!$B$4</definedName>
    <definedName name="本年折旧">折旧测算!$L$9:$L$1004</definedName>
    <definedName name="编制列表">基本情况!$B$12:$B$16</definedName>
    <definedName name="工业企业">A000000企业基础信息表!$E$129:$E$709</definedName>
    <definedName name="工作人员列表">基本情况!$B$9:$B$16</definedName>
    <definedName name="购入日期">折旧测算!$D$9:$D$1004</definedName>
    <definedName name="行业类型">基本情况!$E$71:$E$90</definedName>
    <definedName name="减少日期">折旧测算!$G$9:$G$1004</definedName>
    <definedName name="建筑业">A000000企业基础信息表!$E$710:$E$730</definedName>
    <definedName name="截止日">基本情况!$G$6</definedName>
    <definedName name="截止月">基本情况!$F$6</definedName>
    <definedName name="企业类型">基本情况!$B$71:$B$135</definedName>
    <definedName name="起始日">基本情况!$G$5</definedName>
    <definedName name="起始月">基本情况!$F$5</definedName>
    <definedName name="签字列表">基本情况!$B$9:$B$11</definedName>
    <definedName name="税收折旧">折旧测算!$N$9:$N$1004</definedName>
    <definedName name="一至三年">A106000企业所得税弥补亏损明细表!$F$6:$F$8</definedName>
    <definedName name="折旧明细">折旧测算!$A$9:$O$1004</definedName>
    <definedName name="资产购入金额">折旧测算!$E$9:$E$1004</definedName>
    <definedName name="资产减少金额">折旧测算!$H$9:$H$1004</definedName>
    <definedName name="资产类别">折旧测算!$A$9:$A$1004</definedName>
    <definedName name="资产原值">折旧测算!$C$9:$C$1004</definedName>
  </definedNames>
  <calcPr calcId="152511"/>
</workbook>
</file>

<file path=xl/calcChain.xml><?xml version="1.0" encoding="utf-8"?>
<calcChain xmlns="http://schemas.openxmlformats.org/spreadsheetml/2006/main">
  <c r="A15" i="197" l="1"/>
  <c r="F12" i="128"/>
  <c r="E12" i="128"/>
  <c r="D27" i="197"/>
  <c r="F48" i="119"/>
  <c r="T15" i="175"/>
  <c r="S15" i="175"/>
  <c r="O15" i="175"/>
  <c r="D7" i="213"/>
  <c r="D6" i="213" s="1"/>
  <c r="D8" i="213"/>
  <c r="D9" i="213"/>
  <c r="D11" i="213"/>
  <c r="D10" i="213" s="1"/>
  <c r="D12" i="213"/>
  <c r="D13" i="213"/>
  <c r="D14" i="213"/>
  <c r="D15" i="213"/>
  <c r="D16" i="213"/>
  <c r="D17" i="213"/>
  <c r="D18" i="213"/>
  <c r="D20" i="213"/>
  <c r="D19" i="213" s="1"/>
  <c r="D21" i="213"/>
  <c r="D23" i="213"/>
  <c r="D24" i="213"/>
  <c r="D25" i="213"/>
  <c r="D26" i="213"/>
  <c r="D27" i="213"/>
  <c r="D28" i="213"/>
  <c r="D29" i="213"/>
  <c r="D30" i="213"/>
  <c r="B32" i="213"/>
  <c r="D32" i="213"/>
  <c r="D31" i="213" s="1"/>
  <c r="B33" i="213"/>
  <c r="D33" i="213"/>
  <c r="B34" i="213"/>
  <c r="D34" i="213"/>
  <c r="B35" i="213"/>
  <c r="D35" i="213"/>
  <c r="B36" i="213"/>
  <c r="D36" i="213"/>
  <c r="B37" i="213"/>
  <c r="D37" i="213"/>
  <c r="B38" i="213"/>
  <c r="D38" i="213"/>
  <c r="B39" i="213"/>
  <c r="D39" i="213"/>
  <c r="B40" i="213"/>
  <c r="D40" i="213"/>
  <c r="B41" i="213"/>
  <c r="D41" i="213"/>
  <c r="B42" i="213"/>
  <c r="D42" i="213"/>
  <c r="B43" i="213"/>
  <c r="D43" i="213"/>
  <c r="B44" i="213"/>
  <c r="D44" i="213"/>
  <c r="B45" i="213"/>
  <c r="D45" i="213"/>
  <c r="B46" i="213"/>
  <c r="D46" i="213"/>
  <c r="B47" i="213"/>
  <c r="D47" i="213"/>
  <c r="B48" i="213"/>
  <c r="D48" i="213"/>
  <c r="B49" i="213"/>
  <c r="D49" i="213"/>
  <c r="B50" i="213"/>
  <c r="D50" i="213"/>
  <c r="B51" i="213"/>
  <c r="D51" i="213"/>
  <c r="B52" i="213"/>
  <c r="D52" i="213"/>
  <c r="B53" i="213"/>
  <c r="D53" i="213"/>
  <c r="B54" i="213"/>
  <c r="D54" i="213"/>
  <c r="B55" i="213"/>
  <c r="D55" i="213"/>
  <c r="B56" i="213"/>
  <c r="D56" i="213"/>
  <c r="B57" i="213"/>
  <c r="D57" i="213"/>
  <c r="B58" i="213"/>
  <c r="D58" i="213"/>
  <c r="B59" i="213"/>
  <c r="D59" i="213"/>
  <c r="B60" i="213"/>
  <c r="D60" i="213"/>
  <c r="B61" i="213"/>
  <c r="D61" i="213"/>
  <c r="B62" i="213"/>
  <c r="D62" i="213"/>
  <c r="B63" i="213"/>
  <c r="D63" i="213"/>
  <c r="B64" i="213"/>
  <c r="D64" i="213"/>
  <c r="B65" i="213"/>
  <c r="D65" i="213"/>
  <c r="B66" i="213"/>
  <c r="D66" i="213"/>
  <c r="B67" i="213"/>
  <c r="D67" i="213"/>
  <c r="B68" i="213"/>
  <c r="D68" i="213"/>
  <c r="B69" i="213"/>
  <c r="D69" i="213"/>
  <c r="B70" i="213"/>
  <c r="D70" i="213"/>
  <c r="B71" i="213"/>
  <c r="D71" i="213"/>
  <c r="D72" i="213"/>
  <c r="D73" i="213"/>
  <c r="D76" i="213"/>
  <c r="D79" i="213" s="1"/>
  <c r="D77" i="213"/>
  <c r="D78" i="213"/>
  <c r="D6" i="212"/>
  <c r="D10" i="212"/>
  <c r="D19" i="212"/>
  <c r="D74" i="212" s="1"/>
  <c r="D75" i="212" s="1"/>
  <c r="D26" i="212"/>
  <c r="D31" i="212"/>
  <c r="D79" i="212"/>
  <c r="D74" i="213" l="1"/>
  <c r="D75" i="213" s="1"/>
  <c r="H24" i="209"/>
  <c r="H23" i="209"/>
  <c r="H22" i="209"/>
  <c r="H21" i="209"/>
  <c r="H20" i="209"/>
  <c r="H19" i="209"/>
  <c r="H18" i="209"/>
  <c r="H17" i="209"/>
  <c r="H16" i="209"/>
  <c r="D25" i="211" l="1"/>
  <c r="D15" i="211"/>
  <c r="K24" i="211"/>
  <c r="K23" i="211"/>
  <c r="K22" i="211"/>
  <c r="K21" i="211"/>
  <c r="K20" i="211"/>
  <c r="K19" i="211"/>
  <c r="K18" i="211"/>
  <c r="K17" i="211"/>
  <c r="K16" i="211"/>
  <c r="K14" i="211"/>
  <c r="K13" i="211"/>
  <c r="K12" i="211"/>
  <c r="K11" i="211"/>
  <c r="K10" i="211"/>
  <c r="K9" i="211"/>
  <c r="K8" i="211"/>
  <c r="K7" i="211"/>
  <c r="K6" i="211"/>
  <c r="C26" i="211" l="1"/>
  <c r="C72" i="116"/>
  <c r="C73" i="116"/>
  <c r="H26" i="211"/>
  <c r="J25" i="211"/>
  <c r="I25" i="211"/>
  <c r="J15" i="211"/>
  <c r="I15" i="211"/>
  <c r="D27" i="211" s="1"/>
  <c r="G3" i="211"/>
  <c r="I2" i="211"/>
  <c r="G2" i="211"/>
  <c r="K25" i="211" l="1"/>
  <c r="K15" i="211"/>
  <c r="E25" i="209"/>
  <c r="F25" i="209"/>
  <c r="G25" i="209"/>
  <c r="I25" i="209"/>
  <c r="E15" i="209"/>
  <c r="F15" i="209"/>
  <c r="G15" i="209"/>
  <c r="I15" i="209"/>
  <c r="J21" i="209"/>
  <c r="J22" i="209"/>
  <c r="J23" i="209"/>
  <c r="J24" i="209"/>
  <c r="H9" i="209"/>
  <c r="J9" i="209" s="1"/>
  <c r="H10" i="209"/>
  <c r="J10" i="209" s="1"/>
  <c r="H11" i="209"/>
  <c r="J11" i="209" s="1"/>
  <c r="H12" i="209"/>
  <c r="J12" i="209" s="1"/>
  <c r="H13" i="209"/>
  <c r="J13" i="209" s="1"/>
  <c r="H14" i="209"/>
  <c r="J14" i="209" s="1"/>
  <c r="J20" i="209"/>
  <c r="J19" i="209"/>
  <c r="J18" i="209"/>
  <c r="J17" i="209"/>
  <c r="J16" i="209"/>
  <c r="H8" i="209"/>
  <c r="J8" i="209" s="1"/>
  <c r="H7" i="209"/>
  <c r="J7" i="209" s="1"/>
  <c r="H6" i="209"/>
  <c r="F3" i="209"/>
  <c r="H2" i="209"/>
  <c r="F2" i="209"/>
  <c r="F8" i="51"/>
  <c r="F8" i="50"/>
  <c r="F24" i="44"/>
  <c r="F10" i="51"/>
  <c r="F7" i="51"/>
  <c r="F10" i="50"/>
  <c r="F7" i="50"/>
  <c r="F23" i="44"/>
  <c r="F38" i="44" s="1"/>
  <c r="F25" i="44"/>
  <c r="B7" i="120"/>
  <c r="F42" i="50" l="1"/>
  <c r="F42" i="51"/>
  <c r="H15" i="209"/>
  <c r="C26" i="209" s="1"/>
  <c r="C70" i="116"/>
  <c r="H25" i="209"/>
  <c r="J6" i="209"/>
  <c r="M34" i="90" a="1"/>
  <c r="M34" i="90" s="1"/>
  <c r="M1" i="90" a="1"/>
  <c r="M1" i="90" s="1"/>
  <c r="C71" i="116" l="1"/>
  <c r="G26" i="209"/>
  <c r="D27" i="209"/>
  <c r="J15" i="209"/>
  <c r="J25" i="209"/>
  <c r="F16" i="194"/>
  <c r="F15" i="194"/>
  <c r="B16" i="91"/>
  <c r="B18" i="91" s="1"/>
  <c r="F64" i="195"/>
  <c r="B25" i="4"/>
  <c r="F12" i="194"/>
  <c r="D22" i="194" s="1"/>
  <c r="F7" i="194"/>
  <c r="A4" i="194"/>
  <c r="F66" i="195"/>
  <c r="G71" i="195"/>
  <c r="A32" i="195"/>
  <c r="A24" i="195"/>
  <c r="A17" i="195"/>
  <c r="D19" i="194" l="1"/>
  <c r="D21" i="194"/>
  <c r="H19" i="194"/>
  <c r="D20" i="194"/>
  <c r="F14" i="194"/>
  <c r="B21" i="91"/>
  <c r="B22" i="91"/>
  <c r="B23" i="91"/>
  <c r="B19" i="91"/>
  <c r="B20" i="91"/>
  <c r="B15" i="91"/>
  <c r="B17" i="91"/>
  <c r="F2" i="195" l="1"/>
  <c r="E11" i="195" l="1"/>
  <c r="E7" i="195"/>
  <c r="F3" i="195"/>
  <c r="E10" i="195"/>
  <c r="F6" i="195"/>
  <c r="F4" i="195"/>
  <c r="E9" i="195"/>
  <c r="F5" i="195"/>
  <c r="E8" i="195"/>
  <c r="A5" i="208" l="1"/>
  <c r="A29" i="208"/>
  <c r="A2" i="208"/>
  <c r="B6" i="120" l="1"/>
  <c r="B2" i="4"/>
  <c r="B43" i="4"/>
  <c r="F10" i="194" l="1"/>
  <c r="C2" i="211"/>
  <c r="C2" i="209"/>
  <c r="B47" i="4"/>
  <c r="B46" i="4"/>
  <c r="B45" i="4"/>
  <c r="B44" i="4"/>
  <c r="B48" i="4" s="1"/>
  <c r="B42" i="4"/>
  <c r="B41" i="4"/>
  <c r="B40" i="4"/>
  <c r="B39" i="4"/>
  <c r="B36" i="4"/>
  <c r="B35" i="4"/>
  <c r="B34" i="4"/>
  <c r="B33" i="4"/>
  <c r="B32" i="4"/>
  <c r="B31" i="4"/>
  <c r="F11" i="194" l="1"/>
  <c r="C4" i="208"/>
  <c r="B3" i="91"/>
  <c r="G46" i="195"/>
  <c r="A3" i="9"/>
  <c r="A33" i="208" l="1"/>
  <c r="C3" i="208"/>
  <c r="A6" i="2" l="1"/>
  <c r="D27" i="23" l="1"/>
  <c r="C27" i="23"/>
  <c r="H3" i="40" l="1"/>
  <c r="D28" i="152"/>
  <c r="D5" i="152"/>
  <c r="B7" i="148"/>
  <c r="Q7" i="148" s="1"/>
  <c r="B8" i="148"/>
  <c r="S8" i="148" s="1"/>
  <c r="B9" i="148"/>
  <c r="Q9" i="148" s="1"/>
  <c r="B10" i="148"/>
  <c r="S10" i="148" s="1"/>
  <c r="B11" i="148"/>
  <c r="Q11" i="148" s="1"/>
  <c r="B12" i="148"/>
  <c r="S12" i="148" s="1"/>
  <c r="B13" i="148"/>
  <c r="Q13" i="148" s="1"/>
  <c r="B14" i="148"/>
  <c r="S14" i="148" s="1"/>
  <c r="B6" i="148"/>
  <c r="S6" i="148" s="1"/>
  <c r="E44" i="180"/>
  <c r="E42" i="180"/>
  <c r="E41" i="180"/>
  <c r="E37" i="180"/>
  <c r="E34" i="180"/>
  <c r="E30" i="180"/>
  <c r="E29" i="180"/>
  <c r="E28" i="180"/>
  <c r="E27" i="180"/>
  <c r="E22" i="180"/>
  <c r="E21" i="180"/>
  <c r="E18" i="180"/>
  <c r="E15" i="180"/>
  <c r="E14" i="180"/>
  <c r="I14" i="146"/>
  <c r="G14" i="146"/>
  <c r="F14" i="146"/>
  <c r="E14" i="146"/>
  <c r="D14" i="146"/>
  <c r="I13" i="146"/>
  <c r="G13" i="146"/>
  <c r="F13" i="146"/>
  <c r="E13" i="146"/>
  <c r="D13" i="146"/>
  <c r="I12" i="146"/>
  <c r="G12" i="146"/>
  <c r="F12" i="146"/>
  <c r="E12" i="146"/>
  <c r="D12" i="146"/>
  <c r="I11" i="146"/>
  <c r="G11" i="146"/>
  <c r="F11" i="146"/>
  <c r="E11" i="146"/>
  <c r="D11" i="146"/>
  <c r="I10" i="146"/>
  <c r="G10" i="146"/>
  <c r="F10" i="146"/>
  <c r="E10" i="146"/>
  <c r="D10" i="146"/>
  <c r="I9" i="146"/>
  <c r="G9" i="146"/>
  <c r="F9" i="146"/>
  <c r="E9" i="146"/>
  <c r="D9" i="146"/>
  <c r="I8" i="146"/>
  <c r="G8" i="146"/>
  <c r="F8" i="146"/>
  <c r="E8" i="146"/>
  <c r="D8" i="146"/>
  <c r="I7" i="146"/>
  <c r="G7" i="146"/>
  <c r="F7" i="146"/>
  <c r="E7" i="146"/>
  <c r="D7" i="146"/>
  <c r="I6" i="146"/>
  <c r="G6" i="146"/>
  <c r="F6" i="146"/>
  <c r="E6" i="146"/>
  <c r="D6" i="146"/>
  <c r="B14" i="146"/>
  <c r="H14" i="146" s="1"/>
  <c r="B13" i="146"/>
  <c r="K13" i="146" s="1"/>
  <c r="B12" i="146"/>
  <c r="C12" i="146" s="1"/>
  <c r="B11" i="146"/>
  <c r="H11" i="146" s="1"/>
  <c r="B10" i="146"/>
  <c r="H10" i="146" s="1"/>
  <c r="B9" i="146"/>
  <c r="K9" i="146" s="1"/>
  <c r="B8" i="146"/>
  <c r="C8" i="146" s="1"/>
  <c r="B7" i="146"/>
  <c r="H7" i="146" s="1"/>
  <c r="B6" i="146"/>
  <c r="C6" i="146" s="1"/>
  <c r="M37" i="90" l="1" a="1"/>
  <c r="M37" i="90" s="1"/>
  <c r="C14" i="146"/>
  <c r="C10" i="146"/>
  <c r="J6" i="146"/>
  <c r="J8" i="146"/>
  <c r="J10" i="146"/>
  <c r="J12" i="146"/>
  <c r="J14" i="146"/>
  <c r="H8" i="146"/>
  <c r="H12" i="146"/>
  <c r="D6" i="148"/>
  <c r="H6" i="148"/>
  <c r="L6" i="148"/>
  <c r="P6" i="148"/>
  <c r="T6" i="148"/>
  <c r="F7" i="148"/>
  <c r="J7" i="148"/>
  <c r="N7" i="148"/>
  <c r="R7" i="148"/>
  <c r="D8" i="148"/>
  <c r="H8" i="148"/>
  <c r="L8" i="148"/>
  <c r="P8" i="148"/>
  <c r="T8" i="148"/>
  <c r="F9" i="148"/>
  <c r="J9" i="148"/>
  <c r="N9" i="148"/>
  <c r="R9" i="148"/>
  <c r="D10" i="148"/>
  <c r="H10" i="148"/>
  <c r="L10" i="148"/>
  <c r="P10" i="148"/>
  <c r="T10" i="148"/>
  <c r="F11" i="148"/>
  <c r="J11" i="148"/>
  <c r="N11" i="148"/>
  <c r="R11" i="148"/>
  <c r="D12" i="148"/>
  <c r="H12" i="148"/>
  <c r="L12" i="148"/>
  <c r="P12" i="148"/>
  <c r="T12" i="148"/>
  <c r="F13" i="148"/>
  <c r="J13" i="148"/>
  <c r="N13" i="148"/>
  <c r="R13" i="148"/>
  <c r="D14" i="148"/>
  <c r="H14" i="148"/>
  <c r="L14" i="148"/>
  <c r="P14" i="148"/>
  <c r="T14" i="148"/>
  <c r="C13" i="146"/>
  <c r="C9" i="146"/>
  <c r="K6" i="146"/>
  <c r="K8" i="146"/>
  <c r="K10" i="146"/>
  <c r="K12" i="146"/>
  <c r="K14" i="146"/>
  <c r="H9" i="146"/>
  <c r="H13" i="146"/>
  <c r="E6" i="148"/>
  <c r="I6" i="148"/>
  <c r="M6" i="148"/>
  <c r="Q6" i="148"/>
  <c r="C7" i="148"/>
  <c r="G7" i="148"/>
  <c r="K7" i="148"/>
  <c r="O7" i="148"/>
  <c r="S7" i="148"/>
  <c r="E8" i="148"/>
  <c r="I8" i="148"/>
  <c r="M8" i="148"/>
  <c r="Q8" i="148"/>
  <c r="C9" i="148"/>
  <c r="G9" i="148"/>
  <c r="K9" i="148"/>
  <c r="O9" i="148"/>
  <c r="S9" i="148"/>
  <c r="E10" i="148"/>
  <c r="I10" i="148"/>
  <c r="M10" i="148"/>
  <c r="Q10" i="148"/>
  <c r="C11" i="148"/>
  <c r="G11" i="148"/>
  <c r="K11" i="148"/>
  <c r="O11" i="148"/>
  <c r="S11" i="148"/>
  <c r="E12" i="148"/>
  <c r="I12" i="148"/>
  <c r="M12" i="148"/>
  <c r="Q12" i="148"/>
  <c r="C13" i="148"/>
  <c r="G13" i="148"/>
  <c r="K13" i="148"/>
  <c r="O13" i="148"/>
  <c r="S13" i="148"/>
  <c r="E14" i="148"/>
  <c r="I14" i="148"/>
  <c r="M14" i="148"/>
  <c r="Q14" i="148"/>
  <c r="J7" i="146"/>
  <c r="J9" i="146"/>
  <c r="J11" i="146"/>
  <c r="J13" i="146"/>
  <c r="H6" i="146"/>
  <c r="F6" i="148"/>
  <c r="J6" i="148"/>
  <c r="N6" i="148"/>
  <c r="R6" i="148"/>
  <c r="D7" i="148"/>
  <c r="H7" i="148"/>
  <c r="L7" i="148"/>
  <c r="P7" i="148"/>
  <c r="T7" i="148"/>
  <c r="F8" i="148"/>
  <c r="J8" i="148"/>
  <c r="N8" i="148"/>
  <c r="R8" i="148"/>
  <c r="D9" i="148"/>
  <c r="H9" i="148"/>
  <c r="L9" i="148"/>
  <c r="P9" i="148"/>
  <c r="T9" i="148"/>
  <c r="F10" i="148"/>
  <c r="J10" i="148"/>
  <c r="N10" i="148"/>
  <c r="R10" i="148"/>
  <c r="D11" i="148"/>
  <c r="H11" i="148"/>
  <c r="L11" i="148"/>
  <c r="P11" i="148"/>
  <c r="T11" i="148"/>
  <c r="F12" i="148"/>
  <c r="J12" i="148"/>
  <c r="N12" i="148"/>
  <c r="R12" i="148"/>
  <c r="D13" i="148"/>
  <c r="H13" i="148"/>
  <c r="L13" i="148"/>
  <c r="P13" i="148"/>
  <c r="T13" i="148"/>
  <c r="F14" i="148"/>
  <c r="J14" i="148"/>
  <c r="N14" i="148"/>
  <c r="R14" i="148"/>
  <c r="C11" i="146"/>
  <c r="C7" i="146"/>
  <c r="K7" i="146"/>
  <c r="K11" i="146"/>
  <c r="C6" i="148"/>
  <c r="G6" i="148"/>
  <c r="K6" i="148"/>
  <c r="O6" i="148"/>
  <c r="E7" i="148"/>
  <c r="I7" i="148"/>
  <c r="M7" i="148"/>
  <c r="C8" i="148"/>
  <c r="G8" i="148"/>
  <c r="K8" i="148"/>
  <c r="O8" i="148"/>
  <c r="E9" i="148"/>
  <c r="I9" i="148"/>
  <c r="M9" i="148"/>
  <c r="C10" i="148"/>
  <c r="G10" i="148"/>
  <c r="K10" i="148"/>
  <c r="O10" i="148"/>
  <c r="E11" i="148"/>
  <c r="I11" i="148"/>
  <c r="M11" i="148"/>
  <c r="C12" i="148"/>
  <c r="G12" i="148"/>
  <c r="K12" i="148"/>
  <c r="O12" i="148"/>
  <c r="E13" i="148"/>
  <c r="I13" i="148"/>
  <c r="M13" i="148"/>
  <c r="C14" i="148"/>
  <c r="G14" i="148"/>
  <c r="K14" i="148"/>
  <c r="O14" i="148"/>
  <c r="F31" i="119"/>
  <c r="B14" i="137" l="1"/>
  <c r="C45" i="119"/>
  <c r="C44" i="119"/>
  <c r="C46" i="119"/>
  <c r="C47" i="119"/>
  <c r="C48" i="119"/>
  <c r="E15" i="200" l="1"/>
  <c r="E3" i="200"/>
  <c r="E29" i="207" l="1"/>
  <c r="E10" i="206"/>
  <c r="E27" i="205"/>
  <c r="D25" i="204"/>
  <c r="G25" i="203"/>
  <c r="B29" i="207"/>
  <c r="B10" i="206"/>
  <c r="B25" i="203"/>
  <c r="B27" i="205"/>
  <c r="B25" i="204"/>
  <c r="B59" i="202"/>
  <c r="E24" i="201"/>
  <c r="F59" i="202"/>
  <c r="B24" i="201"/>
  <c r="B15" i="200"/>
  <c r="B5" i="200"/>
  <c r="B3" i="200" l="1"/>
  <c r="D34" i="179"/>
  <c r="I20" i="22" l="1"/>
  <c r="C13" i="65" l="1"/>
  <c r="D13" i="65"/>
  <c r="E13" i="65"/>
  <c r="G13" i="65"/>
  <c r="F12" i="65"/>
  <c r="H12" i="65" s="1"/>
  <c r="N14" i="88"/>
  <c r="F23" i="24" l="1"/>
  <c r="I21" i="24"/>
  <c r="I20" i="24"/>
  <c r="G20" i="24"/>
  <c r="G21" i="24"/>
  <c r="H34" i="22" l="1"/>
  <c r="G34" i="22"/>
  <c r="H25" i="22"/>
  <c r="G25" i="22"/>
  <c r="H19" i="22"/>
  <c r="G19" i="22"/>
  <c r="G26" i="22" l="1"/>
  <c r="G35" i="22" s="1"/>
  <c r="H26" i="22"/>
  <c r="H35" i="22" s="1"/>
  <c r="B31" i="197"/>
  <c r="B32" i="197"/>
  <c r="B33" i="197"/>
  <c r="B34" i="197"/>
  <c r="B35" i="197"/>
  <c r="B36" i="197"/>
  <c r="B37" i="197"/>
  <c r="B38" i="197"/>
  <c r="B39" i="197"/>
  <c r="B40" i="197"/>
  <c r="B41" i="197"/>
  <c r="B42" i="197"/>
  <c r="B43" i="197"/>
  <c r="B44" i="197"/>
  <c r="B45" i="197"/>
  <c r="B46" i="197"/>
  <c r="B47" i="197"/>
  <c r="B48" i="197"/>
  <c r="B49" i="197"/>
  <c r="B50" i="197"/>
  <c r="B51" i="197"/>
  <c r="B52" i="197"/>
  <c r="B53" i="197"/>
  <c r="B59" i="197"/>
  <c r="B62" i="197"/>
  <c r="B65" i="197"/>
  <c r="B67" i="197"/>
  <c r="B68" i="197"/>
  <c r="B69" i="197"/>
  <c r="B70" i="197"/>
  <c r="B71" i="197"/>
  <c r="B72" i="197"/>
  <c r="B73" i="197"/>
  <c r="B74" i="197"/>
  <c r="B75" i="197"/>
  <c r="B76" i="197"/>
  <c r="B77" i="197"/>
  <c r="B78" i="197"/>
  <c r="B79" i="197"/>
  <c r="B85" i="197"/>
  <c r="B86" i="197"/>
  <c r="B87" i="197"/>
  <c r="B88" i="197"/>
  <c r="B89" i="197"/>
  <c r="B90" i="197"/>
  <c r="B91" i="197"/>
  <c r="B92" i="197"/>
  <c r="B93" i="197"/>
  <c r="B94" i="197"/>
  <c r="B95" i="197"/>
  <c r="B96" i="197"/>
  <c r="B97" i="197"/>
  <c r="B98" i="197"/>
  <c r="B99" i="197"/>
  <c r="B100" i="197"/>
  <c r="B101" i="197"/>
  <c r="B102" i="197"/>
  <c r="B103" i="197"/>
  <c r="B104" i="197"/>
  <c r="B105" i="197"/>
  <c r="B106" i="197"/>
  <c r="B107" i="197"/>
  <c r="B108" i="197"/>
  <c r="B109" i="197"/>
  <c r="B110" i="197"/>
  <c r="B111" i="197"/>
  <c r="B112" i="197"/>
  <c r="D135" i="197"/>
  <c r="E112" i="197"/>
  <c r="D112" i="197"/>
  <c r="E111" i="197"/>
  <c r="D111" i="197"/>
  <c r="E110" i="197"/>
  <c r="D110" i="197"/>
  <c r="D109" i="197"/>
  <c r="E105" i="197"/>
  <c r="D105" i="197"/>
  <c r="E103" i="197"/>
  <c r="E101" i="197"/>
  <c r="D101" i="197"/>
  <c r="D100" i="197"/>
  <c r="D99" i="197"/>
  <c r="E98" i="197"/>
  <c r="D98" i="197"/>
  <c r="E94" i="197"/>
  <c r="D94" i="197"/>
  <c r="D92" i="197"/>
  <c r="E91" i="197"/>
  <c r="D91" i="197"/>
  <c r="E88" i="197" l="1"/>
  <c r="E87" i="197"/>
  <c r="D87" i="197"/>
  <c r="D79" i="197"/>
  <c r="E79" i="197"/>
  <c r="E78" i="197"/>
  <c r="D78" i="197"/>
  <c r="E77" i="197"/>
  <c r="D77" i="197"/>
  <c r="D76" i="197"/>
  <c r="D71" i="197"/>
  <c r="E71" i="197"/>
  <c r="D72" i="197"/>
  <c r="E72" i="197"/>
  <c r="E70" i="197"/>
  <c r="D70" i="197"/>
  <c r="E68" i="197"/>
  <c r="D65" i="197"/>
  <c r="E65" i="197"/>
  <c r="E64" i="197"/>
  <c r="E63" i="197"/>
  <c r="D62" i="197"/>
  <c r="E61" i="197"/>
  <c r="E60" i="197"/>
  <c r="E58" i="197"/>
  <c r="E56" i="197"/>
  <c r="E57" i="197"/>
  <c r="E55" i="197"/>
  <c r="E54" i="197"/>
  <c r="E53" i="197"/>
  <c r="E52" i="197"/>
  <c r="E50" i="197"/>
  <c r="E45" i="197"/>
  <c r="E46" i="197"/>
  <c r="E47" i="197"/>
  <c r="E42" i="197"/>
  <c r="D42" i="197"/>
  <c r="E38" i="197"/>
  <c r="D38" i="197"/>
  <c r="E35" i="197"/>
  <c r="E34" i="197"/>
  <c r="D34" i="197"/>
  <c r="D31" i="197"/>
  <c r="D21" i="197"/>
  <c r="C16" i="197" s="1"/>
  <c r="A6" i="197"/>
  <c r="I29" i="196"/>
  <c r="D29" i="196"/>
  <c r="G3" i="196"/>
  <c r="A3" i="196"/>
  <c r="A14" i="195"/>
  <c r="D26" i="197"/>
  <c r="C22" i="197" s="1"/>
  <c r="G21" i="196"/>
  <c r="E21" i="196"/>
  <c r="D12" i="121" l="1"/>
  <c r="G7" i="23"/>
  <c r="D37" i="23" l="1"/>
  <c r="D39" i="23" s="1"/>
  <c r="H5" i="23" s="1"/>
  <c r="H11" i="23" s="1"/>
  <c r="H19" i="23" s="1"/>
  <c r="H22" i="23" s="1"/>
  <c r="C37" i="23"/>
  <c r="D25" i="22"/>
  <c r="D34" i="22" s="1"/>
  <c r="C25" i="22"/>
  <c r="C34" i="22" s="1"/>
  <c r="D19" i="22"/>
  <c r="C19" i="22"/>
  <c r="D35" i="22" l="1"/>
  <c r="C35" i="22"/>
  <c r="H37" i="22" l="1"/>
  <c r="H36" i="22"/>
  <c r="B36" i="22"/>
  <c r="D7" i="151"/>
  <c r="D8" i="151"/>
  <c r="D11" i="151"/>
  <c r="D12" i="151"/>
  <c r="D13" i="151"/>
  <c r="D15" i="151"/>
  <c r="D16" i="151"/>
  <c r="D17" i="151"/>
  <c r="D19" i="151"/>
  <c r="D20" i="151"/>
  <c r="D21" i="151"/>
  <c r="D23" i="151"/>
  <c r="D24" i="151"/>
  <c r="D25" i="151"/>
  <c r="D26" i="151"/>
  <c r="D27" i="151"/>
  <c r="D28" i="151"/>
  <c r="D30" i="151"/>
  <c r="D31" i="151"/>
  <c r="D33" i="151"/>
  <c r="D34" i="151"/>
  <c r="D36" i="151"/>
  <c r="D37" i="151"/>
  <c r="D38" i="151"/>
  <c r="D39" i="151"/>
  <c r="D40" i="151"/>
  <c r="D41" i="151"/>
  <c r="D42" i="151"/>
  <c r="D43" i="151"/>
  <c r="D44" i="151"/>
  <c r="D45" i="151"/>
  <c r="D46" i="151"/>
  <c r="D47" i="151"/>
  <c r="D48" i="151"/>
  <c r="D49" i="151"/>
  <c r="D50" i="151"/>
  <c r="D51" i="151"/>
  <c r="D52" i="151"/>
  <c r="C35" i="178"/>
  <c r="D35" i="151" s="1"/>
  <c r="C22" i="178"/>
  <c r="D22" i="151" s="1"/>
  <c r="C18" i="178"/>
  <c r="D18" i="151" s="1"/>
  <c r="C14" i="178"/>
  <c r="D14" i="151" s="1"/>
  <c r="C10" i="178"/>
  <c r="D10" i="151" s="1"/>
  <c r="C15" i="150"/>
  <c r="C16" i="150"/>
  <c r="C14" i="150"/>
  <c r="C6" i="150"/>
  <c r="C8" i="150"/>
  <c r="C5" i="150"/>
  <c r="C17" i="177"/>
  <c r="C19" i="177" s="1"/>
  <c r="C19" i="150" s="1"/>
  <c r="C7" i="177"/>
  <c r="C9" i="177" s="1"/>
  <c r="C9" i="150" s="1"/>
  <c r="C32" i="178" l="1"/>
  <c r="C29" i="178" s="1"/>
  <c r="D29" i="151" s="1"/>
  <c r="C7" i="150"/>
  <c r="C17" i="150"/>
  <c r="F33" i="119" s="1"/>
  <c r="D32" i="151"/>
  <c r="C9" i="178"/>
  <c r="D9" i="151" s="1"/>
  <c r="E22" i="137" l="1"/>
  <c r="F22" i="137"/>
  <c r="G22" i="137"/>
  <c r="H22" i="137"/>
  <c r="I22" i="137"/>
  <c r="J22" i="137"/>
  <c r="K22" i="137"/>
  <c r="L22" i="137"/>
  <c r="M22" i="137"/>
  <c r="N22" i="137"/>
  <c r="O22" i="137"/>
  <c r="Q22" i="137"/>
  <c r="R22" i="137"/>
  <c r="T22" i="137"/>
  <c r="E23" i="137"/>
  <c r="F23" i="137"/>
  <c r="G23" i="137"/>
  <c r="H23" i="137"/>
  <c r="I23" i="137"/>
  <c r="J23" i="137"/>
  <c r="K23" i="137"/>
  <c r="L23" i="137"/>
  <c r="M23" i="137"/>
  <c r="N23" i="137"/>
  <c r="O23" i="137"/>
  <c r="Q23" i="137"/>
  <c r="R23" i="137"/>
  <c r="U23" i="137"/>
  <c r="E25" i="137"/>
  <c r="F25" i="137"/>
  <c r="G25" i="137"/>
  <c r="H25" i="137"/>
  <c r="I25" i="137"/>
  <c r="J25" i="137"/>
  <c r="K25" i="137"/>
  <c r="L25" i="137"/>
  <c r="M25" i="137"/>
  <c r="N25" i="137"/>
  <c r="O25" i="137"/>
  <c r="Q25" i="137"/>
  <c r="R25" i="137"/>
  <c r="T25" i="137"/>
  <c r="E26" i="137"/>
  <c r="F26" i="137"/>
  <c r="G26" i="137"/>
  <c r="H26" i="137"/>
  <c r="I26" i="137"/>
  <c r="J26" i="137"/>
  <c r="K26" i="137"/>
  <c r="L26" i="137"/>
  <c r="M26" i="137"/>
  <c r="N26" i="137"/>
  <c r="O26" i="137"/>
  <c r="Q26" i="137"/>
  <c r="R26" i="137"/>
  <c r="U26" i="137"/>
  <c r="E28" i="137"/>
  <c r="F28" i="137"/>
  <c r="G28" i="137"/>
  <c r="H28" i="137"/>
  <c r="I28" i="137"/>
  <c r="J28" i="137"/>
  <c r="K28" i="137"/>
  <c r="L28" i="137"/>
  <c r="M28" i="137"/>
  <c r="N28" i="137"/>
  <c r="O28" i="137"/>
  <c r="Q28" i="137"/>
  <c r="R28" i="137"/>
  <c r="T28" i="137"/>
  <c r="E29" i="137"/>
  <c r="F29" i="137"/>
  <c r="G29" i="137"/>
  <c r="H29" i="137"/>
  <c r="I29" i="137"/>
  <c r="J29" i="137"/>
  <c r="K29" i="137"/>
  <c r="L29" i="137"/>
  <c r="M29" i="137"/>
  <c r="N29" i="137"/>
  <c r="O29" i="137"/>
  <c r="Q29" i="137"/>
  <c r="R29" i="137"/>
  <c r="U29" i="137"/>
  <c r="E31" i="137"/>
  <c r="F31" i="137"/>
  <c r="G31" i="137"/>
  <c r="H31" i="137"/>
  <c r="I31" i="137"/>
  <c r="J31" i="137"/>
  <c r="K31" i="137"/>
  <c r="L31" i="137"/>
  <c r="M31" i="137"/>
  <c r="N31" i="137"/>
  <c r="O31" i="137"/>
  <c r="Q31" i="137"/>
  <c r="R31" i="137"/>
  <c r="T31" i="137"/>
  <c r="E32" i="137"/>
  <c r="F32" i="137"/>
  <c r="G32" i="137"/>
  <c r="H32" i="137"/>
  <c r="I32" i="137"/>
  <c r="J32" i="137"/>
  <c r="K32" i="137"/>
  <c r="L32" i="137"/>
  <c r="M32" i="137"/>
  <c r="N32" i="137"/>
  <c r="O32" i="137"/>
  <c r="Q32" i="137"/>
  <c r="R32" i="137"/>
  <c r="U32" i="137"/>
  <c r="D22" i="137"/>
  <c r="D23" i="137"/>
  <c r="D25" i="137"/>
  <c r="D26" i="137"/>
  <c r="D28" i="137"/>
  <c r="D29" i="137"/>
  <c r="D31" i="137"/>
  <c r="D32" i="137"/>
  <c r="E7" i="137"/>
  <c r="F7" i="137"/>
  <c r="G7" i="137"/>
  <c r="H7" i="137"/>
  <c r="I7" i="137"/>
  <c r="J7" i="137"/>
  <c r="K7" i="137"/>
  <c r="L7" i="137"/>
  <c r="M7" i="137"/>
  <c r="N7" i="137"/>
  <c r="O7" i="137"/>
  <c r="Q7" i="137"/>
  <c r="R7" i="137"/>
  <c r="T7" i="137"/>
  <c r="E8" i="137"/>
  <c r="F8" i="137"/>
  <c r="G8" i="137"/>
  <c r="H8" i="137"/>
  <c r="I8" i="137"/>
  <c r="J8" i="137"/>
  <c r="K8" i="137"/>
  <c r="L8" i="137"/>
  <c r="M8" i="137"/>
  <c r="N8" i="137"/>
  <c r="O8" i="137"/>
  <c r="Q8" i="137"/>
  <c r="R8" i="137"/>
  <c r="U8" i="137"/>
  <c r="E10" i="137"/>
  <c r="F10" i="137"/>
  <c r="G10" i="137"/>
  <c r="H10" i="137"/>
  <c r="I10" i="137"/>
  <c r="J10" i="137"/>
  <c r="K10" i="137"/>
  <c r="L10" i="137"/>
  <c r="M10" i="137"/>
  <c r="N10" i="137"/>
  <c r="O10" i="137"/>
  <c r="Q10" i="137"/>
  <c r="R10" i="137"/>
  <c r="T10" i="137"/>
  <c r="E11" i="137"/>
  <c r="F11" i="137"/>
  <c r="G11" i="137"/>
  <c r="H11" i="137"/>
  <c r="I11" i="137"/>
  <c r="J11" i="137"/>
  <c r="K11" i="137"/>
  <c r="L11" i="137"/>
  <c r="M11" i="137"/>
  <c r="N11" i="137"/>
  <c r="O11" i="137"/>
  <c r="Q11" i="137"/>
  <c r="R11" i="137"/>
  <c r="U11" i="137"/>
  <c r="E14" i="137"/>
  <c r="F14" i="137"/>
  <c r="G14" i="137"/>
  <c r="H14" i="137"/>
  <c r="I14" i="137"/>
  <c r="J14" i="137"/>
  <c r="K14" i="137"/>
  <c r="L14" i="137"/>
  <c r="M14" i="137"/>
  <c r="N14" i="137"/>
  <c r="O14" i="137"/>
  <c r="Q14" i="137"/>
  <c r="R14" i="137"/>
  <c r="T14" i="137"/>
  <c r="E15" i="137"/>
  <c r="F15" i="137"/>
  <c r="G15" i="137"/>
  <c r="H15" i="137"/>
  <c r="I15" i="137"/>
  <c r="J15" i="137"/>
  <c r="K15" i="137"/>
  <c r="L15" i="137"/>
  <c r="M15" i="137"/>
  <c r="N15" i="137"/>
  <c r="O15" i="137"/>
  <c r="Q15" i="137"/>
  <c r="R15" i="137"/>
  <c r="U15" i="137"/>
  <c r="E17" i="137"/>
  <c r="F17" i="137"/>
  <c r="G17" i="137"/>
  <c r="H17" i="137"/>
  <c r="I17" i="137"/>
  <c r="J17" i="137"/>
  <c r="K17" i="137"/>
  <c r="L17" i="137"/>
  <c r="M17" i="137"/>
  <c r="N17" i="137"/>
  <c r="O17" i="137"/>
  <c r="Q17" i="137"/>
  <c r="R17" i="137"/>
  <c r="T17" i="137"/>
  <c r="E18" i="137"/>
  <c r="F18" i="137"/>
  <c r="G18" i="137"/>
  <c r="H18" i="137"/>
  <c r="I18" i="137"/>
  <c r="J18" i="137"/>
  <c r="K18" i="137"/>
  <c r="L18" i="137"/>
  <c r="M18" i="137"/>
  <c r="N18" i="137"/>
  <c r="O18" i="137"/>
  <c r="Q18" i="137"/>
  <c r="R18" i="137"/>
  <c r="U18" i="137"/>
  <c r="D7" i="137"/>
  <c r="D8" i="137"/>
  <c r="D10" i="137"/>
  <c r="D11" i="137"/>
  <c r="D14" i="137"/>
  <c r="D15" i="137"/>
  <c r="D17" i="137"/>
  <c r="D18" i="137"/>
  <c r="B7" i="137"/>
  <c r="S33" i="165"/>
  <c r="S32" i="137" s="1"/>
  <c r="S32" i="165"/>
  <c r="S31" i="137" s="1"/>
  <c r="S30" i="165"/>
  <c r="S29" i="137" s="1"/>
  <c r="S29" i="165"/>
  <c r="S28" i="137" s="1"/>
  <c r="S27" i="165"/>
  <c r="S26" i="137" s="1"/>
  <c r="S26" i="165"/>
  <c r="U26" i="165" s="1"/>
  <c r="S24" i="165"/>
  <c r="S23" i="137" s="1"/>
  <c r="S23" i="165"/>
  <c r="S22" i="137" s="1"/>
  <c r="P33" i="165"/>
  <c r="P32" i="137" s="1"/>
  <c r="P32" i="165"/>
  <c r="P31" i="137" s="1"/>
  <c r="P30" i="165"/>
  <c r="P29" i="137" s="1"/>
  <c r="P29" i="165"/>
  <c r="P28" i="137" s="1"/>
  <c r="P27" i="165"/>
  <c r="P26" i="137" s="1"/>
  <c r="P26" i="165"/>
  <c r="P25" i="137" s="1"/>
  <c r="P24" i="165"/>
  <c r="P23" i="165"/>
  <c r="P22" i="137" s="1"/>
  <c r="S19" i="165"/>
  <c r="T19" i="165" s="1"/>
  <c r="S18" i="165"/>
  <c r="S17" i="137" s="1"/>
  <c r="S16" i="165"/>
  <c r="T16" i="165" s="1"/>
  <c r="T15" i="137" s="1"/>
  <c r="S15" i="165"/>
  <c r="S14" i="137" s="1"/>
  <c r="S12" i="165"/>
  <c r="S11" i="137" s="1"/>
  <c r="S11" i="165"/>
  <c r="S10" i="137" s="1"/>
  <c r="S9" i="165"/>
  <c r="S8" i="137" s="1"/>
  <c r="S8" i="165"/>
  <c r="S7" i="137" s="1"/>
  <c r="P19" i="165"/>
  <c r="P18" i="137" s="1"/>
  <c r="P18" i="165"/>
  <c r="P17" i="137" s="1"/>
  <c r="P16" i="165"/>
  <c r="P15" i="137" s="1"/>
  <c r="P15" i="165"/>
  <c r="P14" i="137" s="1"/>
  <c r="P12" i="165"/>
  <c r="P11" i="137" s="1"/>
  <c r="P11" i="165"/>
  <c r="P10" i="137" s="1"/>
  <c r="P9" i="165"/>
  <c r="P8" i="137" s="1"/>
  <c r="P8" i="165"/>
  <c r="P7" i="137" s="1"/>
  <c r="R31" i="165"/>
  <c r="R30" i="137" s="1"/>
  <c r="Q31" i="165"/>
  <c r="Q30" i="137" s="1"/>
  <c r="O31" i="165"/>
  <c r="O30" i="137" s="1"/>
  <c r="N31" i="165"/>
  <c r="N30" i="137" s="1"/>
  <c r="M31" i="165"/>
  <c r="M30" i="137" s="1"/>
  <c r="L31" i="165"/>
  <c r="L30" i="137" s="1"/>
  <c r="K31" i="165"/>
  <c r="K30" i="137" s="1"/>
  <c r="J31" i="165"/>
  <c r="J30" i="137" s="1"/>
  <c r="I31" i="165"/>
  <c r="I30" i="137" s="1"/>
  <c r="H31" i="165"/>
  <c r="H30" i="137" s="1"/>
  <c r="G31" i="165"/>
  <c r="G30" i="137" s="1"/>
  <c r="F31" i="165"/>
  <c r="F30" i="137" s="1"/>
  <c r="E31" i="165"/>
  <c r="E30" i="137" s="1"/>
  <c r="D31" i="165"/>
  <c r="D30" i="137" s="1"/>
  <c r="R28" i="165"/>
  <c r="R27" i="137" s="1"/>
  <c r="Q28" i="165"/>
  <c r="Q27" i="137" s="1"/>
  <c r="O28" i="165"/>
  <c r="O27" i="137" s="1"/>
  <c r="N28" i="165"/>
  <c r="N27" i="137" s="1"/>
  <c r="M28" i="165"/>
  <c r="M27" i="137" s="1"/>
  <c r="L28" i="165"/>
  <c r="L27" i="137" s="1"/>
  <c r="K28" i="165"/>
  <c r="K27" i="137" s="1"/>
  <c r="J28" i="165"/>
  <c r="J27" i="137" s="1"/>
  <c r="I28" i="165"/>
  <c r="I27" i="137" s="1"/>
  <c r="H28" i="165"/>
  <c r="H27" i="137" s="1"/>
  <c r="G28" i="165"/>
  <c r="G27" i="137" s="1"/>
  <c r="F28" i="165"/>
  <c r="F27" i="137" s="1"/>
  <c r="E28" i="165"/>
  <c r="E27" i="137" s="1"/>
  <c r="D28" i="165"/>
  <c r="D27" i="137" s="1"/>
  <c r="R25" i="165"/>
  <c r="R24" i="137" s="1"/>
  <c r="Q25" i="165"/>
  <c r="Q24" i="137" s="1"/>
  <c r="O25" i="165"/>
  <c r="O24" i="137" s="1"/>
  <c r="N25" i="165"/>
  <c r="N24" i="137" s="1"/>
  <c r="M25" i="165"/>
  <c r="M24" i="137" s="1"/>
  <c r="L25" i="165"/>
  <c r="L24" i="137" s="1"/>
  <c r="K25" i="165"/>
  <c r="K24" i="137" s="1"/>
  <c r="J25" i="165"/>
  <c r="J24" i="137" s="1"/>
  <c r="I25" i="165"/>
  <c r="I24" i="137" s="1"/>
  <c r="H25" i="165"/>
  <c r="H24" i="137" s="1"/>
  <c r="G25" i="165"/>
  <c r="G24" i="137" s="1"/>
  <c r="F25" i="165"/>
  <c r="F24" i="137" s="1"/>
  <c r="E25" i="165"/>
  <c r="E24" i="137" s="1"/>
  <c r="D25" i="165"/>
  <c r="D24" i="137" s="1"/>
  <c r="R22" i="165"/>
  <c r="R21" i="137" s="1"/>
  <c r="Q22" i="165"/>
  <c r="Q21" i="137" s="1"/>
  <c r="O22" i="165"/>
  <c r="O21" i="137" s="1"/>
  <c r="N22" i="165"/>
  <c r="N21" i="137" s="1"/>
  <c r="M22" i="165"/>
  <c r="M21" i="137" s="1"/>
  <c r="L22" i="165"/>
  <c r="L21" i="137" s="1"/>
  <c r="K22" i="165"/>
  <c r="K21" i="137" s="1"/>
  <c r="J22" i="165"/>
  <c r="J21" i="137" s="1"/>
  <c r="I22" i="165"/>
  <c r="I21" i="137" s="1"/>
  <c r="H22" i="165"/>
  <c r="H21" i="137" s="1"/>
  <c r="G22" i="165"/>
  <c r="G21" i="137" s="1"/>
  <c r="F22" i="165"/>
  <c r="F21" i="137" s="1"/>
  <c r="E22" i="165"/>
  <c r="E21" i="137" s="1"/>
  <c r="D22" i="165"/>
  <c r="D21" i="137" s="1"/>
  <c r="R17" i="165"/>
  <c r="Q17" i="165"/>
  <c r="Q16" i="137" s="1"/>
  <c r="O17" i="165"/>
  <c r="O16" i="137" s="1"/>
  <c r="N17" i="165"/>
  <c r="M17" i="165"/>
  <c r="M16" i="137" s="1"/>
  <c r="L17" i="165"/>
  <c r="L16" i="137" s="1"/>
  <c r="K17" i="165"/>
  <c r="J17" i="165"/>
  <c r="J16" i="137" s="1"/>
  <c r="I17" i="165"/>
  <c r="I16" i="137" s="1"/>
  <c r="H17" i="165"/>
  <c r="H16" i="137" s="1"/>
  <c r="G17" i="165"/>
  <c r="F17" i="165"/>
  <c r="E17" i="165"/>
  <c r="E16" i="137" s="1"/>
  <c r="D17" i="165"/>
  <c r="D16" i="137" s="1"/>
  <c r="R14" i="165"/>
  <c r="R13" i="137" s="1"/>
  <c r="Q14" i="165"/>
  <c r="E14" i="165"/>
  <c r="E13" i="165" s="1"/>
  <c r="E12" i="137" s="1"/>
  <c r="F14" i="165"/>
  <c r="F13" i="137" s="1"/>
  <c r="G14" i="165"/>
  <c r="G13" i="137" s="1"/>
  <c r="H14" i="165"/>
  <c r="H13" i="137" s="1"/>
  <c r="I14" i="165"/>
  <c r="I13" i="165" s="1"/>
  <c r="I12" i="137" s="1"/>
  <c r="J14" i="165"/>
  <c r="J13" i="137" s="1"/>
  <c r="K14" i="165"/>
  <c r="K13" i="137" s="1"/>
  <c r="L14" i="165"/>
  <c r="L13" i="137" s="1"/>
  <c r="M14" i="165"/>
  <c r="M13" i="165" s="1"/>
  <c r="M12" i="137" s="1"/>
  <c r="N14" i="165"/>
  <c r="N13" i="137" s="1"/>
  <c r="O14" i="165"/>
  <c r="O13" i="137" s="1"/>
  <c r="D14" i="165"/>
  <c r="R10" i="165"/>
  <c r="R9" i="137" s="1"/>
  <c r="Q10" i="165"/>
  <c r="Q9" i="137" s="1"/>
  <c r="E10" i="165"/>
  <c r="E9" i="137" s="1"/>
  <c r="F10" i="165"/>
  <c r="F9" i="137" s="1"/>
  <c r="G10" i="165"/>
  <c r="G9" i="137" s="1"/>
  <c r="H10" i="165"/>
  <c r="H9" i="137" s="1"/>
  <c r="I10" i="165"/>
  <c r="I9" i="137" s="1"/>
  <c r="J10" i="165"/>
  <c r="J9" i="137" s="1"/>
  <c r="K10" i="165"/>
  <c r="K9" i="137" s="1"/>
  <c r="L10" i="165"/>
  <c r="L9" i="137" s="1"/>
  <c r="M10" i="165"/>
  <c r="M9" i="137" s="1"/>
  <c r="N10" i="165"/>
  <c r="N9" i="137" s="1"/>
  <c r="O10" i="165"/>
  <c r="O9" i="137" s="1"/>
  <c r="D10" i="165"/>
  <c r="D9" i="137" s="1"/>
  <c r="R7" i="165"/>
  <c r="R6" i="137" s="1"/>
  <c r="Q7" i="165"/>
  <c r="Q6" i="137" s="1"/>
  <c r="E7" i="165"/>
  <c r="E6" i="137" s="1"/>
  <c r="F7" i="165"/>
  <c r="F6" i="137" s="1"/>
  <c r="G7" i="165"/>
  <c r="G6" i="137" s="1"/>
  <c r="H7" i="165"/>
  <c r="H6" i="137" s="1"/>
  <c r="I7" i="165"/>
  <c r="I6" i="137" s="1"/>
  <c r="J7" i="165"/>
  <c r="J6" i="137" s="1"/>
  <c r="K7" i="165"/>
  <c r="K6" i="137" s="1"/>
  <c r="L7" i="165"/>
  <c r="L6" i="137" s="1"/>
  <c r="M7" i="165"/>
  <c r="M6" i="137" s="1"/>
  <c r="N7" i="165"/>
  <c r="N6" i="137" s="1"/>
  <c r="O7" i="165"/>
  <c r="O6" i="137" s="1"/>
  <c r="D7" i="165"/>
  <c r="D6" i="137" l="1"/>
  <c r="P31" i="165"/>
  <c r="P30" i="137" s="1"/>
  <c r="L13" i="165"/>
  <c r="L12" i="137" s="1"/>
  <c r="J13" i="165"/>
  <c r="J12" i="137" s="1"/>
  <c r="S10" i="165"/>
  <c r="S9" i="137" s="1"/>
  <c r="P28" i="165"/>
  <c r="P27" i="137" s="1"/>
  <c r="H13" i="165"/>
  <c r="H20" i="165" s="1"/>
  <c r="H19" i="137" s="1"/>
  <c r="P25" i="165"/>
  <c r="P24" i="137" s="1"/>
  <c r="O13" i="165"/>
  <c r="O12" i="137" s="1"/>
  <c r="D13" i="165"/>
  <c r="D12" i="137" s="1"/>
  <c r="S17" i="165"/>
  <c r="S16" i="137" s="1"/>
  <c r="T9" i="165"/>
  <c r="T24" i="165"/>
  <c r="S18" i="137"/>
  <c r="Q34" i="165"/>
  <c r="Q33" i="137" s="1"/>
  <c r="T30" i="165"/>
  <c r="T18" i="137"/>
  <c r="T17" i="165"/>
  <c r="T16" i="137" s="1"/>
  <c r="U25" i="137"/>
  <c r="U25" i="165"/>
  <c r="U24" i="137" s="1"/>
  <c r="O20" i="165"/>
  <c r="O19" i="137" s="1"/>
  <c r="G13" i="165"/>
  <c r="K13" i="165"/>
  <c r="D34" i="165"/>
  <c r="D33" i="137" s="1"/>
  <c r="N34" i="165"/>
  <c r="N33" i="137" s="1"/>
  <c r="P10" i="165"/>
  <c r="P9" i="137" s="1"/>
  <c r="P14" i="165"/>
  <c r="P13" i="137" s="1"/>
  <c r="Q13" i="165"/>
  <c r="Q12" i="137" s="1"/>
  <c r="T14" i="165"/>
  <c r="T13" i="137" s="1"/>
  <c r="F13" i="165"/>
  <c r="N13" i="165"/>
  <c r="P17" i="165"/>
  <c r="P16" i="137" s="1"/>
  <c r="R13" i="165"/>
  <c r="S22" i="165"/>
  <c r="S21" i="137" s="1"/>
  <c r="S28" i="165"/>
  <c r="S27" i="137" s="1"/>
  <c r="S31" i="165"/>
  <c r="S30" i="137" s="1"/>
  <c r="R34" i="165"/>
  <c r="R33" i="137" s="1"/>
  <c r="O34" i="165"/>
  <c r="O33" i="137" s="1"/>
  <c r="M34" i="165"/>
  <c r="M33" i="137" s="1"/>
  <c r="K34" i="165"/>
  <c r="K33" i="137" s="1"/>
  <c r="I34" i="165"/>
  <c r="I33" i="137" s="1"/>
  <c r="G34" i="165"/>
  <c r="G33" i="137" s="1"/>
  <c r="E34" i="165"/>
  <c r="E33" i="137" s="1"/>
  <c r="S14" i="165"/>
  <c r="S13" i="137" s="1"/>
  <c r="T12" i="165"/>
  <c r="U11" i="165"/>
  <c r="U18" i="165"/>
  <c r="P22" i="165"/>
  <c r="P21" i="137" s="1"/>
  <c r="P23" i="137"/>
  <c r="T27" i="165"/>
  <c r="T33" i="165"/>
  <c r="U32" i="165"/>
  <c r="R16" i="137"/>
  <c r="N16" i="137"/>
  <c r="F16" i="137"/>
  <c r="S15" i="137"/>
  <c r="Q13" i="137"/>
  <c r="M13" i="137"/>
  <c r="I13" i="137"/>
  <c r="E13" i="137"/>
  <c r="L34" i="165"/>
  <c r="L33" i="137" s="1"/>
  <c r="J34" i="165"/>
  <c r="J33" i="137" s="1"/>
  <c r="H34" i="165"/>
  <c r="H33" i="137" s="1"/>
  <c r="F34" i="165"/>
  <c r="F33" i="137" s="1"/>
  <c r="U8" i="165"/>
  <c r="U15" i="165"/>
  <c r="S25" i="165"/>
  <c r="S24" i="137" s="1"/>
  <c r="S25" i="137"/>
  <c r="U23" i="165"/>
  <c r="U29" i="165"/>
  <c r="D13" i="137"/>
  <c r="K16" i="137"/>
  <c r="G16" i="137"/>
  <c r="S7" i="165"/>
  <c r="S6" i="137" s="1"/>
  <c r="P7" i="165"/>
  <c r="M20" i="165"/>
  <c r="M19" i="137" s="1"/>
  <c r="I20" i="165"/>
  <c r="I19" i="137" s="1"/>
  <c r="E20" i="165"/>
  <c r="E19" i="137" s="1"/>
  <c r="J20" i="165" l="1"/>
  <c r="J19" i="137" s="1"/>
  <c r="L20" i="165"/>
  <c r="L19" i="137" s="1"/>
  <c r="D20" i="165"/>
  <c r="D19" i="137" s="1"/>
  <c r="S13" i="165"/>
  <c r="S12" i="137" s="1"/>
  <c r="T13" i="165"/>
  <c r="T12" i="137" s="1"/>
  <c r="P34" i="165"/>
  <c r="P33" i="137" s="1"/>
  <c r="H12" i="137"/>
  <c r="P13" i="165"/>
  <c r="P12" i="137" s="1"/>
  <c r="S34" i="165"/>
  <c r="S33" i="137" s="1"/>
  <c r="Q20" i="165"/>
  <c r="Q19" i="137" s="1"/>
  <c r="T23" i="137"/>
  <c r="T22" i="165"/>
  <c r="T21" i="137" s="1"/>
  <c r="T29" i="137"/>
  <c r="T28" i="165"/>
  <c r="T27" i="137" s="1"/>
  <c r="T8" i="137"/>
  <c r="T7" i="165"/>
  <c r="T6" i="137" s="1"/>
  <c r="U22" i="137"/>
  <c r="U22" i="165"/>
  <c r="U7" i="137"/>
  <c r="U7" i="165"/>
  <c r="T31" i="165"/>
  <c r="T30" i="137" s="1"/>
  <c r="T32" i="137"/>
  <c r="U17" i="137"/>
  <c r="U17" i="165"/>
  <c r="U16" i="137" s="1"/>
  <c r="T10" i="165"/>
  <c r="T11" i="137"/>
  <c r="R20" i="165"/>
  <c r="R19" i="137" s="1"/>
  <c r="R12" i="137"/>
  <c r="N20" i="165"/>
  <c r="N19" i="137" s="1"/>
  <c r="N12" i="137"/>
  <c r="K20" i="165"/>
  <c r="K19" i="137" s="1"/>
  <c r="K12" i="137"/>
  <c r="P6" i="137"/>
  <c r="U28" i="137"/>
  <c r="U28" i="165"/>
  <c r="U27" i="137" s="1"/>
  <c r="U14" i="137"/>
  <c r="U14" i="165"/>
  <c r="U31" i="165"/>
  <c r="U30" i="137" s="1"/>
  <c r="U31" i="137"/>
  <c r="T25" i="165"/>
  <c r="T26" i="137"/>
  <c r="U10" i="137"/>
  <c r="U10" i="165"/>
  <c r="U9" i="137" s="1"/>
  <c r="F20" i="165"/>
  <c r="F19" i="137" s="1"/>
  <c r="F12" i="137"/>
  <c r="G20" i="165"/>
  <c r="G19" i="137" s="1"/>
  <c r="G12" i="137"/>
  <c r="C17" i="122"/>
  <c r="S20" i="165" l="1"/>
  <c r="S19" i="137" s="1"/>
  <c r="P20" i="165"/>
  <c r="P19" i="137" s="1"/>
  <c r="F20" i="119"/>
  <c r="T24" i="137"/>
  <c r="T34" i="165"/>
  <c r="T33" i="137" s="1"/>
  <c r="T9" i="137"/>
  <c r="T20" i="165"/>
  <c r="T19" i="137" s="1"/>
  <c r="U13" i="137"/>
  <c r="U13" i="165"/>
  <c r="U12" i="137" s="1"/>
  <c r="U6" i="137"/>
  <c r="U21" i="137"/>
  <c r="U34" i="165"/>
  <c r="U33" i="137" s="1"/>
  <c r="B10" i="160"/>
  <c r="C10" i="160"/>
  <c r="D10" i="160"/>
  <c r="E10" i="160"/>
  <c r="F10" i="160"/>
  <c r="B11" i="160"/>
  <c r="C11" i="160"/>
  <c r="D11" i="160"/>
  <c r="E11" i="160"/>
  <c r="F11" i="160"/>
  <c r="B12" i="160"/>
  <c r="C12" i="160"/>
  <c r="D12" i="160"/>
  <c r="E12" i="160"/>
  <c r="F12" i="160"/>
  <c r="B13" i="160"/>
  <c r="C13" i="160"/>
  <c r="D13" i="160"/>
  <c r="E13" i="160"/>
  <c r="F13" i="160"/>
  <c r="B14" i="160"/>
  <c r="C14" i="160"/>
  <c r="D14" i="160"/>
  <c r="E14" i="160"/>
  <c r="F14" i="160"/>
  <c r="B15" i="160"/>
  <c r="C15" i="160"/>
  <c r="D15" i="160"/>
  <c r="E15" i="160"/>
  <c r="F15" i="160"/>
  <c r="B16" i="160"/>
  <c r="C16" i="160"/>
  <c r="D16" i="160"/>
  <c r="E16" i="160"/>
  <c r="F16" i="160"/>
  <c r="B17" i="160"/>
  <c r="C17" i="160"/>
  <c r="D17" i="160"/>
  <c r="E17" i="160"/>
  <c r="F17" i="160"/>
  <c r="B18" i="160"/>
  <c r="C18" i="160"/>
  <c r="D18" i="160"/>
  <c r="E18" i="160"/>
  <c r="F18" i="160"/>
  <c r="B19" i="160"/>
  <c r="C19" i="160"/>
  <c r="D19" i="160"/>
  <c r="E19" i="160"/>
  <c r="F19" i="160"/>
  <c r="B20" i="160"/>
  <c r="C20" i="160"/>
  <c r="D20" i="160"/>
  <c r="E20" i="160"/>
  <c r="F20" i="160"/>
  <c r="B21" i="160"/>
  <c r="C21" i="160"/>
  <c r="D21" i="160"/>
  <c r="E21" i="160"/>
  <c r="F21" i="160"/>
  <c r="B22" i="160"/>
  <c r="C22" i="160"/>
  <c r="D22" i="160"/>
  <c r="E22" i="160"/>
  <c r="F22" i="160"/>
  <c r="C9" i="160"/>
  <c r="D9" i="160"/>
  <c r="E9" i="160"/>
  <c r="F9" i="160"/>
  <c r="B9" i="160"/>
  <c r="M22" i="90" l="1" a="1"/>
  <c r="M22" i="90" s="1"/>
  <c r="U20" i="165"/>
  <c r="U19" i="137" s="1"/>
  <c r="C7" i="145"/>
  <c r="C8" i="145"/>
  <c r="C9" i="145"/>
  <c r="C10" i="145"/>
  <c r="C11" i="145"/>
  <c r="C12" i="145"/>
  <c r="C13" i="145"/>
  <c r="C14" i="145"/>
  <c r="C6" i="145"/>
  <c r="B7" i="145"/>
  <c r="F7" i="145" s="1"/>
  <c r="B8" i="145"/>
  <c r="F8" i="145" s="1"/>
  <c r="B9" i="145"/>
  <c r="F9" i="145" s="1"/>
  <c r="B10" i="145"/>
  <c r="F10" i="145" s="1"/>
  <c r="B11" i="145"/>
  <c r="F11" i="145" s="1"/>
  <c r="B12" i="145"/>
  <c r="F12" i="145" s="1"/>
  <c r="B13" i="145"/>
  <c r="F13" i="145" s="1"/>
  <c r="B14" i="145"/>
  <c r="F14" i="145" s="1"/>
  <c r="B6" i="145"/>
  <c r="F6" i="145" s="1"/>
  <c r="D19" i="179" l="1"/>
  <c r="D18" i="179"/>
  <c r="J24" i="27" l="1"/>
  <c r="J5" i="196" l="1"/>
  <c r="J4" i="196"/>
  <c r="D11" i="52" l="1"/>
  <c r="BA38" i="88" l="1"/>
  <c r="AZ38" i="88"/>
  <c r="AY38" i="88"/>
  <c r="AX38" i="88"/>
  <c r="BA37" i="88"/>
  <c r="AZ37" i="88"/>
  <c r="AY37" i="88"/>
  <c r="AX37" i="88"/>
  <c r="BA36" i="88"/>
  <c r="AZ36" i="88"/>
  <c r="AY36" i="88"/>
  <c r="AX36" i="88"/>
  <c r="BA35" i="88"/>
  <c r="AZ35" i="88"/>
  <c r="AY35" i="88"/>
  <c r="AX35" i="88"/>
  <c r="BA34" i="88"/>
  <c r="AZ34" i="88"/>
  <c r="AY34" i="88"/>
  <c r="AX34" i="88"/>
  <c r="BA33" i="88"/>
  <c r="AZ33" i="88"/>
  <c r="AY33" i="88"/>
  <c r="AX33" i="88"/>
  <c r="BA32" i="88"/>
  <c r="AZ32" i="88"/>
  <c r="AY32" i="88"/>
  <c r="AX32" i="88"/>
  <c r="BA31" i="88"/>
  <c r="AZ31" i="88"/>
  <c r="AY31" i="88"/>
  <c r="AX31" i="88"/>
  <c r="BA30" i="88"/>
  <c r="AZ30" i="88"/>
  <c r="AY30" i="88"/>
  <c r="AX30" i="88"/>
  <c r="BA29" i="88"/>
  <c r="AZ29" i="88"/>
  <c r="AY29" i="88"/>
  <c r="AX29" i="88"/>
  <c r="BA28" i="88"/>
  <c r="AZ28" i="88"/>
  <c r="AY28" i="88"/>
  <c r="AX28" i="88"/>
  <c r="BA27" i="88"/>
  <c r="AZ27" i="88"/>
  <c r="AY27" i="88"/>
  <c r="AX27" i="88"/>
  <c r="BA26" i="88"/>
  <c r="AZ26" i="88"/>
  <c r="AY26" i="88"/>
  <c r="AX26" i="88"/>
  <c r="BA25" i="88"/>
  <c r="AZ25" i="88"/>
  <c r="AY25" i="88"/>
  <c r="AX25" i="88"/>
  <c r="BA24" i="88"/>
  <c r="AZ24" i="88"/>
  <c r="AY24" i="88"/>
  <c r="AX24" i="88"/>
  <c r="BA23" i="88"/>
  <c r="AZ23" i="88"/>
  <c r="AY23" i="88"/>
  <c r="AX23" i="88"/>
  <c r="BA22" i="88"/>
  <c r="AZ22" i="88"/>
  <c r="AY22" i="88"/>
  <c r="AX22" i="88"/>
  <c r="BA21" i="88"/>
  <c r="AZ21" i="88"/>
  <c r="AY21" i="88"/>
  <c r="AX21" i="88"/>
  <c r="BA20" i="88"/>
  <c r="AZ20" i="88"/>
  <c r="AY20" i="88"/>
  <c r="AX20" i="88"/>
  <c r="BA19" i="88"/>
  <c r="AZ19" i="88"/>
  <c r="AY19" i="88"/>
  <c r="AX19" i="88"/>
  <c r="BA18" i="88"/>
  <c r="AZ18" i="88"/>
  <c r="AY18" i="88"/>
  <c r="AX18" i="88"/>
  <c r="BA17" i="88"/>
  <c r="AZ17" i="88"/>
  <c r="AY17" i="88"/>
  <c r="AX17" i="88"/>
  <c r="BA16" i="88"/>
  <c r="AZ16" i="88"/>
  <c r="AY16" i="88"/>
  <c r="AX16" i="88"/>
  <c r="BA15" i="88"/>
  <c r="AZ15" i="88"/>
  <c r="AY15" i="88"/>
  <c r="AX15" i="88"/>
  <c r="BA14" i="88"/>
  <c r="AZ14" i="88"/>
  <c r="AY14" i="88"/>
  <c r="AX14" i="88"/>
  <c r="BA13" i="88"/>
  <c r="AZ13" i="88"/>
  <c r="AY13" i="88"/>
  <c r="AX13" i="88"/>
  <c r="BA12" i="88"/>
  <c r="AZ12" i="88"/>
  <c r="AY12" i="88"/>
  <c r="AX12" i="88"/>
  <c r="BA11" i="88"/>
  <c r="AZ11" i="88"/>
  <c r="AY11" i="88"/>
  <c r="AX11" i="88"/>
  <c r="BA10" i="88"/>
  <c r="AZ10" i="88"/>
  <c r="AY10" i="88"/>
  <c r="AX10" i="88"/>
  <c r="BA9" i="88"/>
  <c r="AZ9" i="88"/>
  <c r="AY9" i="88"/>
  <c r="AX9" i="88"/>
  <c r="BA8" i="88"/>
  <c r="AZ8" i="88"/>
  <c r="AY8" i="88"/>
  <c r="AX8" i="88"/>
  <c r="BA7" i="88"/>
  <c r="AZ7" i="88"/>
  <c r="AY7" i="88"/>
  <c r="AX7" i="88"/>
  <c r="BA6" i="88"/>
  <c r="AZ6" i="88"/>
  <c r="AY6" i="88"/>
  <c r="AX6" i="88"/>
  <c r="BA5" i="88"/>
  <c r="AZ5" i="88"/>
  <c r="AY5" i="88"/>
  <c r="AX5" i="88"/>
  <c r="BA4" i="88"/>
  <c r="AZ4" i="88"/>
  <c r="AY4" i="88"/>
  <c r="AX4" i="88"/>
  <c r="BA3" i="88"/>
  <c r="AZ3" i="88"/>
  <c r="AY3" i="88"/>
  <c r="AX3" i="88"/>
  <c r="BA2" i="88"/>
  <c r="AZ2" i="88"/>
  <c r="AY2" i="88"/>
  <c r="AX2" i="88"/>
  <c r="C6" i="186" l="1"/>
  <c r="C6" i="159" s="1"/>
  <c r="C5" i="186"/>
  <c r="C5" i="159" s="1"/>
  <c r="C4" i="186"/>
  <c r="C4" i="159" l="1"/>
  <c r="M43" i="90" a="1"/>
  <c r="M43" i="90" s="1"/>
  <c r="J34" i="191"/>
  <c r="J32" i="191"/>
  <c r="H15" i="191"/>
  <c r="G15" i="191"/>
  <c r="H14" i="191"/>
  <c r="G14" i="191"/>
  <c r="H13" i="191"/>
  <c r="G13" i="191"/>
  <c r="H12" i="191"/>
  <c r="G12" i="191"/>
  <c r="H11" i="191"/>
  <c r="G11" i="191"/>
  <c r="H10" i="191"/>
  <c r="G10" i="191"/>
  <c r="F10" i="191"/>
  <c r="E10" i="191"/>
  <c r="D10" i="191"/>
  <c r="C10" i="191"/>
  <c r="E4" i="191"/>
  <c r="H2" i="191"/>
  <c r="D2" i="191"/>
  <c r="B14" i="120" l="1" a="1"/>
  <c r="B14" i="120" s="1"/>
  <c r="C16" i="96" l="1"/>
  <c r="A1" i="185" l="1"/>
  <c r="A1" i="184"/>
  <c r="A1" i="183"/>
  <c r="T1" i="182"/>
  <c r="O1" i="181"/>
  <c r="F1" i="180"/>
  <c r="E1" i="179"/>
  <c r="D1" i="178"/>
  <c r="D1" i="177"/>
  <c r="J1" i="176"/>
  <c r="U1" i="175"/>
  <c r="D1" i="174"/>
  <c r="L1" i="173"/>
  <c r="A1" i="172"/>
  <c r="D1" i="171"/>
  <c r="G1" i="189"/>
  <c r="H1" i="190"/>
  <c r="I1" i="187"/>
  <c r="D1" i="186"/>
  <c r="F1" i="170"/>
  <c r="D1" i="169"/>
  <c r="J1" i="168"/>
  <c r="I1" i="167"/>
  <c r="F1" i="166"/>
  <c r="V1" i="165"/>
  <c r="Q1" i="164"/>
  <c r="N1" i="163"/>
  <c r="I1" i="162"/>
  <c r="E1" i="161"/>
  <c r="E3" i="161"/>
  <c r="D4" i="161"/>
  <c r="D3" i="161"/>
  <c r="F2" i="85"/>
  <c r="K3" i="84"/>
  <c r="C38" i="123"/>
  <c r="C30" i="123"/>
  <c r="C22" i="123"/>
  <c r="C21" i="123" s="1"/>
  <c r="C13" i="123"/>
  <c r="C6" i="123"/>
  <c r="C29" i="125"/>
  <c r="C28" i="125" s="1"/>
  <c r="C18" i="125"/>
  <c r="C14" i="125"/>
  <c r="C6" i="125"/>
  <c r="C36" i="125"/>
  <c r="C27" i="126"/>
  <c r="C21" i="126"/>
  <c r="C13" i="126"/>
  <c r="C10" i="126"/>
  <c r="C4" i="126" s="1"/>
  <c r="E7" i="158"/>
  <c r="C7" i="131"/>
  <c r="C5" i="123" l="1"/>
  <c r="C4" i="123" s="1"/>
  <c r="C5" i="125"/>
  <c r="C4" i="125" s="1"/>
  <c r="P13" i="132"/>
  <c r="E36" i="197" l="1"/>
  <c r="E89" i="197"/>
  <c r="D38" i="128"/>
  <c r="C38" i="128"/>
  <c r="D13" i="52" l="1"/>
  <c r="E11" i="143"/>
  <c r="A17" i="38"/>
  <c r="F16" i="38"/>
  <c r="J6" i="143" s="1"/>
  <c r="I36" i="149"/>
  <c r="J8" i="143" l="1"/>
  <c r="J7" i="143"/>
  <c r="J9" i="143"/>
  <c r="D7" i="143"/>
  <c r="E7" i="143"/>
  <c r="D8" i="143"/>
  <c r="E8" i="143"/>
  <c r="D9" i="143"/>
  <c r="E9" i="143"/>
  <c r="D10" i="143"/>
  <c r="F10" i="143" s="1"/>
  <c r="E10" i="143"/>
  <c r="E6" i="143"/>
  <c r="D6" i="143"/>
  <c r="B11" i="120" l="1"/>
  <c r="C14" i="96" s="1"/>
  <c r="D31" i="39"/>
  <c r="D59" i="197" s="1"/>
  <c r="D42" i="50"/>
  <c r="D41" i="50"/>
  <c r="D40" i="50"/>
  <c r="C23" i="127" s="1"/>
  <c r="D39" i="50"/>
  <c r="D38" i="50"/>
  <c r="D37" i="50"/>
  <c r="C20" i="127" s="1"/>
  <c r="D36" i="50"/>
  <c r="D35" i="50"/>
  <c r="D34" i="50"/>
  <c r="D33" i="50"/>
  <c r="D32" i="50"/>
  <c r="D31" i="50"/>
  <c r="D30" i="50"/>
  <c r="D29" i="50"/>
  <c r="D28" i="50"/>
  <c r="D27" i="50"/>
  <c r="D26" i="50"/>
  <c r="D25" i="50"/>
  <c r="D24" i="50"/>
  <c r="D23" i="50"/>
  <c r="D22" i="50"/>
  <c r="D21" i="50"/>
  <c r="D20" i="50"/>
  <c r="D19" i="50"/>
  <c r="D18" i="50"/>
  <c r="D17" i="50"/>
  <c r="D16" i="50"/>
  <c r="D15" i="50"/>
  <c r="D14" i="50"/>
  <c r="D13" i="50"/>
  <c r="D12" i="50"/>
  <c r="D11" i="50"/>
  <c r="D10" i="50"/>
  <c r="C9" i="127" s="1"/>
  <c r="D9" i="50"/>
  <c r="D8" i="50"/>
  <c r="D7" i="50"/>
  <c r="D6" i="50"/>
  <c r="G44" i="51" l="1"/>
  <c r="F44" i="51"/>
  <c r="G44" i="50"/>
  <c r="F44" i="50"/>
  <c r="D44" i="50"/>
  <c r="C34" i="116" l="1"/>
  <c r="C45" i="50"/>
  <c r="F9" i="119"/>
  <c r="C9" i="119" s="1"/>
  <c r="F8" i="119"/>
  <c r="G8" i="119" s="1"/>
  <c r="C8" i="119" l="1"/>
  <c r="G9" i="119"/>
  <c r="F6" i="119"/>
  <c r="C6" i="119" s="1"/>
  <c r="G6" i="119" l="1"/>
  <c r="G27" i="52"/>
  <c r="F27" i="52"/>
  <c r="H29" i="127"/>
  <c r="H11" i="127"/>
  <c r="F7" i="127"/>
  <c r="F8" i="127"/>
  <c r="F11" i="127"/>
  <c r="F16" i="127"/>
  <c r="F20" i="127"/>
  <c r="F21" i="127"/>
  <c r="F23" i="127"/>
  <c r="F24" i="127"/>
  <c r="F29" i="127"/>
  <c r="D29" i="127"/>
  <c r="D24" i="127"/>
  <c r="D23" i="127"/>
  <c r="D21" i="127"/>
  <c r="D20" i="127"/>
  <c r="D11" i="127"/>
  <c r="D8" i="127"/>
  <c r="D7" i="127"/>
  <c r="D7" i="52"/>
  <c r="D9" i="52"/>
  <c r="G27" i="127" s="1"/>
  <c r="D10" i="52"/>
  <c r="G28" i="127" s="1"/>
  <c r="D14" i="52"/>
  <c r="G29" i="127" s="1"/>
  <c r="D6" i="52"/>
  <c r="X80" i="88"/>
  <c r="X81" i="88"/>
  <c r="X82" i="88"/>
  <c r="X83" i="88"/>
  <c r="X84" i="88"/>
  <c r="X85" i="88"/>
  <c r="X79" i="88"/>
  <c r="D8" i="51"/>
  <c r="D9" i="51"/>
  <c r="D10" i="51"/>
  <c r="E9" i="127" s="1"/>
  <c r="D11" i="51"/>
  <c r="E10" i="127" s="1"/>
  <c r="D12" i="51"/>
  <c r="D13" i="51"/>
  <c r="D14" i="51"/>
  <c r="D15" i="51"/>
  <c r="D16" i="51"/>
  <c r="D17" i="51"/>
  <c r="D18" i="51"/>
  <c r="D19" i="51"/>
  <c r="E13" i="127" s="1"/>
  <c r="D20" i="51"/>
  <c r="D21" i="51"/>
  <c r="E16" i="127" s="1"/>
  <c r="D22" i="51"/>
  <c r="D23" i="51"/>
  <c r="D24" i="51"/>
  <c r="D25" i="51"/>
  <c r="D26" i="51"/>
  <c r="D27" i="51"/>
  <c r="D28" i="51"/>
  <c r="D29" i="51"/>
  <c r="E7" i="127" s="1"/>
  <c r="D30" i="51"/>
  <c r="E8" i="127" s="1"/>
  <c r="D31" i="51"/>
  <c r="E11" i="127" s="1"/>
  <c r="D32" i="51"/>
  <c r="E14" i="127" s="1"/>
  <c r="D33" i="51"/>
  <c r="E15" i="127" s="1"/>
  <c r="D34" i="51"/>
  <c r="E17" i="127" s="1"/>
  <c r="D35" i="51"/>
  <c r="E18" i="127" s="1"/>
  <c r="D36" i="51"/>
  <c r="E19" i="127" s="1"/>
  <c r="D37" i="51"/>
  <c r="E20" i="127" s="1"/>
  <c r="D38" i="51"/>
  <c r="E21" i="127" s="1"/>
  <c r="D39" i="51"/>
  <c r="E22" i="127" s="1"/>
  <c r="D40" i="51"/>
  <c r="E23" i="127" s="1"/>
  <c r="D41" i="51"/>
  <c r="E24" i="127" s="1"/>
  <c r="D42" i="51"/>
  <c r="D7" i="51"/>
  <c r="D6" i="51"/>
  <c r="C10" i="127"/>
  <c r="C13" i="127"/>
  <c r="C16" i="127"/>
  <c r="C7" i="127"/>
  <c r="C8" i="127"/>
  <c r="C11" i="127"/>
  <c r="C14" i="127"/>
  <c r="C15" i="127"/>
  <c r="C17" i="127"/>
  <c r="C18" i="127"/>
  <c r="C19" i="127"/>
  <c r="C21" i="127"/>
  <c r="C22" i="127"/>
  <c r="C24" i="127"/>
  <c r="X62" i="88"/>
  <c r="X63" i="88"/>
  <c r="X64" i="88"/>
  <c r="X65" i="88"/>
  <c r="X66" i="88"/>
  <c r="X67" i="88"/>
  <c r="X68" i="88"/>
  <c r="X69" i="88"/>
  <c r="X70" i="88"/>
  <c r="X71" i="88"/>
  <c r="X72" i="88"/>
  <c r="X73" i="88"/>
  <c r="X74" i="88"/>
  <c r="X75" i="88"/>
  <c r="X76" i="88"/>
  <c r="X77" i="88"/>
  <c r="X42" i="88"/>
  <c r="X43" i="88"/>
  <c r="X44" i="88"/>
  <c r="X45" i="88"/>
  <c r="X46" i="88"/>
  <c r="X47" i="88"/>
  <c r="X48" i="88"/>
  <c r="X49" i="88"/>
  <c r="X50" i="88"/>
  <c r="X51" i="88"/>
  <c r="X52" i="88"/>
  <c r="X53" i="88"/>
  <c r="X54" i="88"/>
  <c r="X55" i="88"/>
  <c r="X56" i="88"/>
  <c r="X57" i="88"/>
  <c r="X58" i="88"/>
  <c r="X59" i="88"/>
  <c r="X60" i="88"/>
  <c r="X61" i="88"/>
  <c r="X41" i="88"/>
  <c r="X24" i="88"/>
  <c r="X25" i="88"/>
  <c r="X26" i="88"/>
  <c r="X27" i="88"/>
  <c r="X28" i="88"/>
  <c r="X29" i="88"/>
  <c r="X30" i="88"/>
  <c r="X31" i="88"/>
  <c r="X32" i="88"/>
  <c r="X33" i="88"/>
  <c r="X34" i="88"/>
  <c r="X35" i="88"/>
  <c r="X36" i="88"/>
  <c r="X37" i="88"/>
  <c r="X38" i="88"/>
  <c r="X39" i="88"/>
  <c r="X4" i="88"/>
  <c r="X5" i="88"/>
  <c r="X6" i="88"/>
  <c r="X7" i="88"/>
  <c r="X8" i="88"/>
  <c r="X9" i="88"/>
  <c r="X10" i="88"/>
  <c r="X11" i="88"/>
  <c r="X12" i="88"/>
  <c r="X13" i="88"/>
  <c r="X14" i="88"/>
  <c r="X15" i="88"/>
  <c r="X16" i="88"/>
  <c r="X17" i="88"/>
  <c r="X18" i="88"/>
  <c r="X19" i="88"/>
  <c r="X20" i="88"/>
  <c r="X21" i="88"/>
  <c r="X22" i="88"/>
  <c r="X23" i="88"/>
  <c r="X3" i="88"/>
  <c r="D44" i="51" l="1"/>
  <c r="D20" i="39"/>
  <c r="E6" i="127"/>
  <c r="D27" i="52"/>
  <c r="C6" i="127"/>
  <c r="C12" i="127"/>
  <c r="C29" i="127"/>
  <c r="E25" i="127"/>
  <c r="C25" i="127"/>
  <c r="E12" i="127"/>
  <c r="E29" i="127"/>
  <c r="G26" i="127"/>
  <c r="G11" i="127"/>
  <c r="H27" i="50"/>
  <c r="H28" i="50"/>
  <c r="H29" i="50"/>
  <c r="H30" i="50"/>
  <c r="H31" i="50"/>
  <c r="H32" i="50"/>
  <c r="H41" i="51"/>
  <c r="H42" i="51"/>
  <c r="H34" i="51"/>
  <c r="H35" i="51"/>
  <c r="H36" i="51"/>
  <c r="H37" i="51"/>
  <c r="H38" i="51"/>
  <c r="C36" i="116" l="1"/>
  <c r="C28" i="52"/>
  <c r="C45" i="51"/>
  <c r="C35" i="116"/>
  <c r="F10" i="119"/>
  <c r="D16" i="127"/>
  <c r="D30" i="127" s="1"/>
  <c r="F30" i="127"/>
  <c r="H26" i="127"/>
  <c r="H27" i="127"/>
  <c r="G10" i="119" l="1"/>
  <c r="C10" i="119"/>
  <c r="H30" i="127"/>
  <c r="G7" i="132"/>
  <c r="J6" i="163"/>
  <c r="F3" i="52" l="1"/>
  <c r="F2" i="52"/>
  <c r="G2" i="52"/>
  <c r="F3" i="51"/>
  <c r="F2" i="51"/>
  <c r="G2" i="51"/>
  <c r="F3" i="50"/>
  <c r="F2" i="50"/>
  <c r="G2" i="50"/>
  <c r="C7" i="124" l="1"/>
  <c r="H38" i="41"/>
  <c r="C7" i="122"/>
  <c r="H21" i="41"/>
  <c r="C14" i="122"/>
  <c r="H9" i="49"/>
  <c r="C14" i="124" s="1"/>
  <c r="E9" i="49"/>
  <c r="D41" i="121"/>
  <c r="G60" i="195" s="1"/>
  <c r="D40" i="121"/>
  <c r="G59" i="195" s="1"/>
  <c r="F45" i="128"/>
  <c r="F111" i="197" s="1"/>
  <c r="F46" i="128"/>
  <c r="F112" i="197" s="1"/>
  <c r="F44" i="128"/>
  <c r="F110" i="197" s="1"/>
  <c r="E45" i="128"/>
  <c r="F78" i="197" s="1"/>
  <c r="E46" i="128"/>
  <c r="F79" i="197" s="1"/>
  <c r="E44" i="128"/>
  <c r="F77" i="197" s="1"/>
  <c r="D30" i="39"/>
  <c r="D27" i="128"/>
  <c r="E49" i="197" s="1"/>
  <c r="F39" i="39"/>
  <c r="D40" i="39"/>
  <c r="F40" i="39" s="1"/>
  <c r="F7" i="39"/>
  <c r="D15" i="128"/>
  <c r="E39" i="197" s="1"/>
  <c r="C15" i="128"/>
  <c r="D39" i="197" s="1"/>
  <c r="F10" i="39"/>
  <c r="D14" i="128"/>
  <c r="C14" i="128"/>
  <c r="F22" i="190"/>
  <c r="E22" i="190"/>
  <c r="D22" i="190"/>
  <c r="C22" i="190"/>
  <c r="H21" i="190"/>
  <c r="H20" i="190"/>
  <c r="H19" i="190"/>
  <c r="H18" i="190"/>
  <c r="H17" i="190"/>
  <c r="H16" i="190"/>
  <c r="H15" i="190"/>
  <c r="H14" i="190"/>
  <c r="H13" i="190"/>
  <c r="H12" i="190"/>
  <c r="H11" i="190"/>
  <c r="H9" i="190"/>
  <c r="H8" i="190"/>
  <c r="H7" i="190"/>
  <c r="H6" i="190"/>
  <c r="A4" i="187"/>
  <c r="E5" i="153"/>
  <c r="E6" i="153"/>
  <c r="E7" i="153"/>
  <c r="E8" i="153"/>
  <c r="E9" i="153"/>
  <c r="E10" i="153"/>
  <c r="E11" i="153"/>
  <c r="E12" i="153"/>
  <c r="E13" i="153"/>
  <c r="E16" i="153"/>
  <c r="E17" i="153"/>
  <c r="E19" i="153"/>
  <c r="E20" i="153"/>
  <c r="E23" i="153"/>
  <c r="E24" i="153"/>
  <c r="E25" i="153"/>
  <c r="E26" i="153"/>
  <c r="E31" i="153"/>
  <c r="E32" i="153"/>
  <c r="E33" i="153"/>
  <c r="E35" i="153"/>
  <c r="E36" i="153"/>
  <c r="E38" i="153"/>
  <c r="E39" i="153"/>
  <c r="E40" i="153"/>
  <c r="E43" i="153"/>
  <c r="E45" i="153"/>
  <c r="E4" i="153"/>
  <c r="D6" i="152"/>
  <c r="D7" i="152"/>
  <c r="D8" i="152"/>
  <c r="D9" i="152"/>
  <c r="D11" i="152"/>
  <c r="D12" i="152"/>
  <c r="D13" i="152"/>
  <c r="D15" i="152"/>
  <c r="D16" i="152"/>
  <c r="D17" i="152"/>
  <c r="D22" i="152"/>
  <c r="D23" i="152"/>
  <c r="D24" i="152"/>
  <c r="D25" i="152"/>
  <c r="D26" i="152"/>
  <c r="D27" i="152"/>
  <c r="D29" i="152"/>
  <c r="D31" i="152"/>
  <c r="D32" i="152"/>
  <c r="D33" i="152"/>
  <c r="D4" i="152"/>
  <c r="F35" i="119" s="1"/>
  <c r="D10" i="179"/>
  <c r="C7" i="149"/>
  <c r="D7" i="149"/>
  <c r="E7" i="149"/>
  <c r="F7" i="149"/>
  <c r="G7" i="149"/>
  <c r="I7" i="149"/>
  <c r="C8" i="149"/>
  <c r="D8" i="149"/>
  <c r="E8" i="149"/>
  <c r="F8" i="149"/>
  <c r="G8" i="149"/>
  <c r="I8" i="149"/>
  <c r="C9" i="149"/>
  <c r="D9" i="149"/>
  <c r="E9" i="149"/>
  <c r="F9" i="149"/>
  <c r="G9" i="149"/>
  <c r="I9" i="149"/>
  <c r="C10" i="149"/>
  <c r="D10" i="149"/>
  <c r="E10" i="149"/>
  <c r="F10" i="149"/>
  <c r="G10" i="149"/>
  <c r="I10" i="149"/>
  <c r="C11" i="149"/>
  <c r="D11" i="149"/>
  <c r="E11" i="149"/>
  <c r="F11" i="149"/>
  <c r="G11" i="149"/>
  <c r="I11" i="149"/>
  <c r="C12" i="149"/>
  <c r="D12" i="149"/>
  <c r="E12" i="149"/>
  <c r="F12" i="149"/>
  <c r="G12" i="149"/>
  <c r="I12" i="149"/>
  <c r="C13" i="149"/>
  <c r="D13" i="149"/>
  <c r="E13" i="149"/>
  <c r="F13" i="149"/>
  <c r="G13" i="149"/>
  <c r="I13" i="149"/>
  <c r="C14" i="149"/>
  <c r="D14" i="149"/>
  <c r="E14" i="149"/>
  <c r="F14" i="149"/>
  <c r="G14" i="149"/>
  <c r="I14" i="149"/>
  <c r="C15" i="149"/>
  <c r="D15" i="149"/>
  <c r="E15" i="149"/>
  <c r="F15" i="149"/>
  <c r="G15" i="149"/>
  <c r="I15" i="149"/>
  <c r="C16" i="149"/>
  <c r="D16" i="149"/>
  <c r="E16" i="149"/>
  <c r="F16" i="149"/>
  <c r="G16" i="149"/>
  <c r="I16" i="149"/>
  <c r="C18" i="149"/>
  <c r="D18" i="149"/>
  <c r="E18" i="149"/>
  <c r="F18" i="149"/>
  <c r="G18" i="149"/>
  <c r="I18" i="149"/>
  <c r="C19" i="149"/>
  <c r="D19" i="149"/>
  <c r="E19" i="149"/>
  <c r="F19" i="149"/>
  <c r="G19" i="149"/>
  <c r="I19" i="149"/>
  <c r="C20" i="149"/>
  <c r="D20" i="149"/>
  <c r="E20" i="149"/>
  <c r="F20" i="149"/>
  <c r="G20" i="149"/>
  <c r="I20" i="149"/>
  <c r="C22" i="149"/>
  <c r="D22" i="149"/>
  <c r="E22" i="149"/>
  <c r="F22" i="149"/>
  <c r="G22" i="149"/>
  <c r="I22" i="149"/>
  <c r="C23" i="149"/>
  <c r="D23" i="149"/>
  <c r="E23" i="149"/>
  <c r="F23" i="149"/>
  <c r="G23" i="149"/>
  <c r="I23" i="149"/>
  <c r="C24" i="149"/>
  <c r="D24" i="149"/>
  <c r="E24" i="149"/>
  <c r="F24" i="149"/>
  <c r="G24" i="149"/>
  <c r="I24" i="149"/>
  <c r="C25" i="149"/>
  <c r="D25" i="149"/>
  <c r="E25" i="149"/>
  <c r="F25" i="149"/>
  <c r="G25" i="149"/>
  <c r="I25" i="149"/>
  <c r="C26" i="149"/>
  <c r="D26" i="149"/>
  <c r="E26" i="149"/>
  <c r="F26" i="149"/>
  <c r="G26" i="149"/>
  <c r="I26" i="149"/>
  <c r="C27" i="149"/>
  <c r="D27" i="149"/>
  <c r="E27" i="149"/>
  <c r="F27" i="149"/>
  <c r="G27" i="149"/>
  <c r="I27" i="149"/>
  <c r="C28" i="149"/>
  <c r="D28" i="149"/>
  <c r="E28" i="149"/>
  <c r="F28" i="149"/>
  <c r="G28" i="149"/>
  <c r="I28" i="149"/>
  <c r="C29" i="149"/>
  <c r="D29" i="149"/>
  <c r="E29" i="149"/>
  <c r="F29" i="149"/>
  <c r="G29" i="149"/>
  <c r="I29" i="149"/>
  <c r="C31" i="149"/>
  <c r="D31" i="149"/>
  <c r="E31" i="149"/>
  <c r="F31" i="149"/>
  <c r="G31" i="149"/>
  <c r="I31" i="149"/>
  <c r="C32" i="149"/>
  <c r="D32" i="149"/>
  <c r="E32" i="149"/>
  <c r="F32" i="149"/>
  <c r="G32" i="149"/>
  <c r="I32" i="149"/>
  <c r="C33" i="149"/>
  <c r="D33" i="149"/>
  <c r="E33" i="149"/>
  <c r="F33" i="149"/>
  <c r="G33" i="149"/>
  <c r="I33" i="149"/>
  <c r="C34" i="149"/>
  <c r="D34" i="149"/>
  <c r="E34" i="149"/>
  <c r="F34" i="149"/>
  <c r="G34" i="149"/>
  <c r="I34" i="149"/>
  <c r="C35" i="149"/>
  <c r="D35" i="149"/>
  <c r="E35" i="149"/>
  <c r="F35" i="149"/>
  <c r="G35" i="149"/>
  <c r="I35" i="149"/>
  <c r="C36" i="149"/>
  <c r="D36" i="149"/>
  <c r="E36" i="149"/>
  <c r="F36" i="149"/>
  <c r="G36" i="149"/>
  <c r="C37" i="149"/>
  <c r="D37" i="149"/>
  <c r="E37" i="149"/>
  <c r="F37" i="149"/>
  <c r="I38" i="149"/>
  <c r="I39" i="149"/>
  <c r="C41" i="149"/>
  <c r="D41" i="149"/>
  <c r="E41" i="149"/>
  <c r="F41" i="149"/>
  <c r="G41" i="149"/>
  <c r="I41" i="149"/>
  <c r="C42" i="149"/>
  <c r="D42" i="149"/>
  <c r="E42" i="149"/>
  <c r="F42" i="149"/>
  <c r="G42" i="149"/>
  <c r="I42" i="149"/>
  <c r="C43" i="149"/>
  <c r="D43" i="149"/>
  <c r="E43" i="149"/>
  <c r="F43" i="149"/>
  <c r="G43" i="149"/>
  <c r="I43" i="149"/>
  <c r="C9" i="147"/>
  <c r="C10" i="147"/>
  <c r="C11" i="147"/>
  <c r="C14" i="147"/>
  <c r="C5" i="147"/>
  <c r="C15" i="174"/>
  <c r="C15" i="147" s="1"/>
  <c r="C8" i="174"/>
  <c r="C12" i="174" s="1"/>
  <c r="C12" i="147" s="1"/>
  <c r="C6" i="174"/>
  <c r="B15" i="146"/>
  <c r="D7" i="145"/>
  <c r="E7" i="145"/>
  <c r="G7" i="145"/>
  <c r="H7" i="145"/>
  <c r="I7" i="145"/>
  <c r="K7" i="145"/>
  <c r="L7" i="145"/>
  <c r="O7" i="145"/>
  <c r="D8" i="145"/>
  <c r="E8" i="145"/>
  <c r="G8" i="145"/>
  <c r="H8" i="145"/>
  <c r="I8" i="145"/>
  <c r="K8" i="145"/>
  <c r="L8" i="145"/>
  <c r="O8" i="145"/>
  <c r="D9" i="145"/>
  <c r="E9" i="145"/>
  <c r="G9" i="145"/>
  <c r="H9" i="145"/>
  <c r="I9" i="145"/>
  <c r="K9" i="145"/>
  <c r="L9" i="145"/>
  <c r="O9" i="145"/>
  <c r="D10" i="145"/>
  <c r="E10" i="145"/>
  <c r="G10" i="145"/>
  <c r="H10" i="145"/>
  <c r="I10" i="145"/>
  <c r="K10" i="145"/>
  <c r="L10" i="145"/>
  <c r="O10" i="145"/>
  <c r="D11" i="145"/>
  <c r="E11" i="145"/>
  <c r="G11" i="145"/>
  <c r="H11" i="145"/>
  <c r="I11" i="145"/>
  <c r="K11" i="145"/>
  <c r="L11" i="145"/>
  <c r="O11" i="145"/>
  <c r="D12" i="145"/>
  <c r="E12" i="145"/>
  <c r="G12" i="145"/>
  <c r="H12" i="145"/>
  <c r="I12" i="145"/>
  <c r="K12" i="145"/>
  <c r="L12" i="145"/>
  <c r="O12" i="145"/>
  <c r="D13" i="145"/>
  <c r="E13" i="145"/>
  <c r="G13" i="145"/>
  <c r="H13" i="145"/>
  <c r="I13" i="145"/>
  <c r="K13" i="145"/>
  <c r="L13" i="145"/>
  <c r="O13" i="145"/>
  <c r="D14" i="145"/>
  <c r="E14" i="145"/>
  <c r="G14" i="145"/>
  <c r="H14" i="145"/>
  <c r="I14" i="145"/>
  <c r="K14" i="145"/>
  <c r="L14" i="145"/>
  <c r="O14" i="145"/>
  <c r="B15" i="145"/>
  <c r="D6" i="145"/>
  <c r="E6" i="145"/>
  <c r="G6" i="145"/>
  <c r="H6" i="145"/>
  <c r="I6" i="145"/>
  <c r="K6" i="145"/>
  <c r="L6" i="145"/>
  <c r="O6" i="145"/>
  <c r="F28" i="119"/>
  <c r="C5" i="144"/>
  <c r="C7" i="144"/>
  <c r="C9" i="144"/>
  <c r="C10" i="144"/>
  <c r="C11" i="144"/>
  <c r="C12" i="144"/>
  <c r="C13" i="144"/>
  <c r="C14" i="144"/>
  <c r="C15" i="144"/>
  <c r="C16" i="144"/>
  <c r="C17" i="144"/>
  <c r="C22" i="144"/>
  <c r="C23" i="144"/>
  <c r="C27" i="144"/>
  <c r="C28" i="144"/>
  <c r="C29" i="144"/>
  <c r="C6" i="142"/>
  <c r="D6" i="142"/>
  <c r="C8" i="142"/>
  <c r="D8" i="142"/>
  <c r="C9" i="142"/>
  <c r="D9" i="142"/>
  <c r="C10" i="142"/>
  <c r="D10" i="142"/>
  <c r="C11" i="142"/>
  <c r="D11" i="142"/>
  <c r="C12" i="142"/>
  <c r="D12" i="142"/>
  <c r="C13" i="142"/>
  <c r="D13" i="142"/>
  <c r="C14" i="142"/>
  <c r="D14" i="142"/>
  <c r="C16" i="142"/>
  <c r="D16" i="142"/>
  <c r="C17" i="142"/>
  <c r="D17" i="142"/>
  <c r="C18" i="142"/>
  <c r="D18" i="142"/>
  <c r="C19" i="142"/>
  <c r="D19" i="142"/>
  <c r="C21" i="142"/>
  <c r="D21" i="142"/>
  <c r="C22" i="142"/>
  <c r="D22" i="142"/>
  <c r="C23" i="142"/>
  <c r="D23" i="142"/>
  <c r="C24" i="142"/>
  <c r="D24" i="142"/>
  <c r="C26" i="142"/>
  <c r="D26" i="142"/>
  <c r="C27" i="142"/>
  <c r="D27" i="142"/>
  <c r="C28" i="142"/>
  <c r="D28" i="142"/>
  <c r="C30" i="142"/>
  <c r="D30" i="142"/>
  <c r="C31" i="142"/>
  <c r="D31" i="142"/>
  <c r="C32" i="142"/>
  <c r="D32" i="142"/>
  <c r="C33" i="142"/>
  <c r="D33" i="142"/>
  <c r="C6" i="141"/>
  <c r="C7" i="141"/>
  <c r="C8" i="141"/>
  <c r="C9" i="141"/>
  <c r="C10" i="141"/>
  <c r="C11" i="141"/>
  <c r="C14" i="141"/>
  <c r="C15" i="141"/>
  <c r="C16" i="141"/>
  <c r="C17" i="141"/>
  <c r="C18" i="141"/>
  <c r="C19" i="141"/>
  <c r="C22" i="141"/>
  <c r="C23" i="141"/>
  <c r="C24" i="141"/>
  <c r="C25" i="141"/>
  <c r="C26" i="141"/>
  <c r="C7" i="140"/>
  <c r="D7" i="140"/>
  <c r="F7" i="140"/>
  <c r="G7" i="140"/>
  <c r="C8" i="140"/>
  <c r="D8" i="140"/>
  <c r="F8" i="140"/>
  <c r="G8" i="140"/>
  <c r="C9" i="140"/>
  <c r="D9" i="140"/>
  <c r="F9" i="140"/>
  <c r="G9" i="140"/>
  <c r="C10" i="140"/>
  <c r="D10" i="140"/>
  <c r="F10" i="140"/>
  <c r="G10" i="140"/>
  <c r="C11" i="140"/>
  <c r="D11" i="140"/>
  <c r="F11" i="140"/>
  <c r="G11" i="140"/>
  <c r="C12" i="140"/>
  <c r="D12" i="140"/>
  <c r="F12" i="140"/>
  <c r="G12" i="140"/>
  <c r="C13" i="140"/>
  <c r="D13" i="140"/>
  <c r="F13" i="140"/>
  <c r="G13" i="140"/>
  <c r="C14" i="140"/>
  <c r="D14" i="140"/>
  <c r="F14" i="140"/>
  <c r="G14" i="140"/>
  <c r="C15" i="140"/>
  <c r="D15" i="140"/>
  <c r="F15" i="140"/>
  <c r="G15" i="140"/>
  <c r="C16" i="140"/>
  <c r="D16" i="140"/>
  <c r="F16" i="140"/>
  <c r="G16" i="140"/>
  <c r="C17" i="140"/>
  <c r="D17" i="140"/>
  <c r="F17" i="140"/>
  <c r="G17" i="140"/>
  <c r="C18" i="140"/>
  <c r="D18" i="140"/>
  <c r="F18" i="140"/>
  <c r="G18" i="140"/>
  <c r="D6" i="140"/>
  <c r="F6" i="140"/>
  <c r="G6" i="140"/>
  <c r="C6" i="140"/>
  <c r="B8" i="139"/>
  <c r="B9" i="139"/>
  <c r="B10" i="139"/>
  <c r="B12" i="139"/>
  <c r="B13" i="139"/>
  <c r="B14" i="139"/>
  <c r="B15" i="139"/>
  <c r="B17" i="139"/>
  <c r="B18" i="139"/>
  <c r="B19" i="139"/>
  <c r="B20" i="139"/>
  <c r="B22" i="139"/>
  <c r="B23" i="139"/>
  <c r="B24" i="139"/>
  <c r="B7" i="139"/>
  <c r="C7" i="139"/>
  <c r="D7" i="139"/>
  <c r="E7" i="139"/>
  <c r="F7" i="139"/>
  <c r="C8" i="139"/>
  <c r="D8" i="139"/>
  <c r="E8" i="139"/>
  <c r="F8" i="139"/>
  <c r="C9" i="139"/>
  <c r="D9" i="139"/>
  <c r="E9" i="139"/>
  <c r="F9" i="139"/>
  <c r="C10" i="139"/>
  <c r="D10" i="139"/>
  <c r="E10" i="139"/>
  <c r="F10" i="139"/>
  <c r="C12" i="139"/>
  <c r="D12" i="139"/>
  <c r="E12" i="139"/>
  <c r="F12" i="139"/>
  <c r="C13" i="139"/>
  <c r="D13" i="139"/>
  <c r="E13" i="139"/>
  <c r="F13" i="139"/>
  <c r="C14" i="139"/>
  <c r="D14" i="139"/>
  <c r="E14" i="139"/>
  <c r="F14" i="139"/>
  <c r="C15" i="139"/>
  <c r="D15" i="139"/>
  <c r="E15" i="139"/>
  <c r="F15" i="139"/>
  <c r="C17" i="139"/>
  <c r="D17" i="139"/>
  <c r="E17" i="139"/>
  <c r="F17" i="139"/>
  <c r="C18" i="139"/>
  <c r="D18" i="139"/>
  <c r="E18" i="139"/>
  <c r="F18" i="139"/>
  <c r="C19" i="139"/>
  <c r="D19" i="139"/>
  <c r="E19" i="139"/>
  <c r="F19" i="139"/>
  <c r="C20" i="139"/>
  <c r="D20" i="139"/>
  <c r="E20" i="139"/>
  <c r="F20" i="139"/>
  <c r="C22" i="139"/>
  <c r="D22" i="139"/>
  <c r="E22" i="139"/>
  <c r="F22" i="139"/>
  <c r="C23" i="139"/>
  <c r="D23" i="139"/>
  <c r="E23" i="139"/>
  <c r="F23" i="139"/>
  <c r="C24" i="139"/>
  <c r="D24" i="139"/>
  <c r="E24" i="139"/>
  <c r="F24" i="139"/>
  <c r="C6" i="138"/>
  <c r="D6" i="138"/>
  <c r="C7" i="138"/>
  <c r="D7" i="138"/>
  <c r="C8" i="138"/>
  <c r="D8" i="138"/>
  <c r="C9" i="138"/>
  <c r="D9" i="138"/>
  <c r="C10" i="138"/>
  <c r="D10" i="138"/>
  <c r="C11" i="138"/>
  <c r="D11" i="138"/>
  <c r="C12" i="138"/>
  <c r="D12" i="138"/>
  <c r="H25" i="26"/>
  <c r="F10" i="133" s="1"/>
  <c r="F6" i="133"/>
  <c r="D8" i="132"/>
  <c r="E8" i="132"/>
  <c r="F8" i="132"/>
  <c r="H8" i="132"/>
  <c r="I8" i="132"/>
  <c r="J8" i="132"/>
  <c r="K8" i="132"/>
  <c r="L8" i="132"/>
  <c r="M8" i="132"/>
  <c r="O8" i="132"/>
  <c r="P8" i="132"/>
  <c r="D9" i="132"/>
  <c r="E9" i="132"/>
  <c r="F9" i="132"/>
  <c r="I9" i="132"/>
  <c r="J9" i="132"/>
  <c r="K9" i="132"/>
  <c r="L9" i="132"/>
  <c r="M9" i="132"/>
  <c r="O9" i="132"/>
  <c r="P9" i="132"/>
  <c r="D10" i="132"/>
  <c r="E10" i="132"/>
  <c r="F10" i="132"/>
  <c r="J10" i="132"/>
  <c r="K10" i="132"/>
  <c r="L10" i="132"/>
  <c r="M10" i="132"/>
  <c r="O10" i="132"/>
  <c r="P10" i="132"/>
  <c r="D11" i="132"/>
  <c r="E11" i="132"/>
  <c r="F11" i="132"/>
  <c r="K11" i="132"/>
  <c r="L11" i="132"/>
  <c r="M11" i="132"/>
  <c r="O11" i="132"/>
  <c r="P11" i="132"/>
  <c r="D12" i="132"/>
  <c r="E12" i="132"/>
  <c r="F12" i="132"/>
  <c r="L12" i="132"/>
  <c r="M12" i="132"/>
  <c r="O12" i="132"/>
  <c r="P12" i="132"/>
  <c r="N13" i="132"/>
  <c r="O13" i="132"/>
  <c r="D7" i="132"/>
  <c r="E7" i="132"/>
  <c r="F7" i="132"/>
  <c r="H7" i="132"/>
  <c r="I7" i="132"/>
  <c r="J7" i="132"/>
  <c r="K7" i="132"/>
  <c r="L7" i="132"/>
  <c r="M7" i="132"/>
  <c r="O7" i="132"/>
  <c r="P7" i="132"/>
  <c r="D7" i="131"/>
  <c r="F7" i="131"/>
  <c r="G7" i="131"/>
  <c r="H7" i="131"/>
  <c r="I7" i="131"/>
  <c r="C8" i="131"/>
  <c r="D8" i="131"/>
  <c r="F8" i="131"/>
  <c r="G8" i="131"/>
  <c r="H8" i="131"/>
  <c r="I8" i="131"/>
  <c r="C9" i="131"/>
  <c r="D9" i="131"/>
  <c r="F9" i="131"/>
  <c r="G9" i="131"/>
  <c r="H9" i="131"/>
  <c r="I9" i="131"/>
  <c r="C10" i="131"/>
  <c r="D10" i="131"/>
  <c r="F10" i="131"/>
  <c r="G10" i="131"/>
  <c r="H10" i="131"/>
  <c r="I10" i="131"/>
  <c r="C11" i="131"/>
  <c r="D11" i="131"/>
  <c r="F11" i="131"/>
  <c r="G11" i="131"/>
  <c r="H11" i="131"/>
  <c r="I11" i="131"/>
  <c r="C12" i="131"/>
  <c r="D12" i="131"/>
  <c r="F12" i="131"/>
  <c r="G12" i="131"/>
  <c r="H12" i="131"/>
  <c r="I12" i="131"/>
  <c r="C13" i="131"/>
  <c r="D13" i="131"/>
  <c r="F13" i="131"/>
  <c r="G13" i="131"/>
  <c r="H13" i="131"/>
  <c r="I13" i="131"/>
  <c r="C14" i="131"/>
  <c r="D14" i="131"/>
  <c r="F14" i="131"/>
  <c r="G14" i="131"/>
  <c r="H14" i="131"/>
  <c r="I14" i="131"/>
  <c r="D6" i="131"/>
  <c r="F6" i="131"/>
  <c r="G6" i="131"/>
  <c r="H6" i="131"/>
  <c r="I6" i="131"/>
  <c r="J6" i="131"/>
  <c r="C6" i="131"/>
  <c r="C7" i="130"/>
  <c r="D7" i="130"/>
  <c r="E7" i="130"/>
  <c r="F7" i="130"/>
  <c r="G7" i="130"/>
  <c r="C8" i="130"/>
  <c r="D8" i="130"/>
  <c r="E8" i="130"/>
  <c r="F8" i="130"/>
  <c r="G8" i="130"/>
  <c r="C9" i="130"/>
  <c r="D9" i="130"/>
  <c r="E9" i="130"/>
  <c r="F9" i="130"/>
  <c r="G9" i="130"/>
  <c r="C11" i="130"/>
  <c r="D11" i="130"/>
  <c r="E11" i="130"/>
  <c r="F11" i="130"/>
  <c r="G11" i="130"/>
  <c r="C12" i="130"/>
  <c r="D12" i="130"/>
  <c r="E12" i="130"/>
  <c r="F12" i="130"/>
  <c r="G12" i="130"/>
  <c r="C13" i="130"/>
  <c r="D13" i="130"/>
  <c r="E13" i="130"/>
  <c r="F13" i="130"/>
  <c r="G13" i="130"/>
  <c r="C15" i="130"/>
  <c r="D15" i="130"/>
  <c r="E15" i="130"/>
  <c r="F15" i="130"/>
  <c r="G15" i="130"/>
  <c r="C16" i="130"/>
  <c r="D16" i="130"/>
  <c r="E16" i="130"/>
  <c r="F16" i="130"/>
  <c r="G16" i="130"/>
  <c r="C17" i="130"/>
  <c r="D17" i="130"/>
  <c r="E17" i="130"/>
  <c r="F17" i="130"/>
  <c r="G17" i="130"/>
  <c r="C18" i="130"/>
  <c r="D18" i="130"/>
  <c r="E18" i="130"/>
  <c r="F18" i="130"/>
  <c r="G18" i="130"/>
  <c r="C6" i="129"/>
  <c r="C7" i="129"/>
  <c r="C8" i="129"/>
  <c r="C9" i="129"/>
  <c r="C10" i="129"/>
  <c r="C11" i="129"/>
  <c r="C12" i="129"/>
  <c r="C13" i="129"/>
  <c r="C14" i="129"/>
  <c r="C16" i="129"/>
  <c r="C17" i="129"/>
  <c r="C18" i="129"/>
  <c r="C19" i="129"/>
  <c r="C20" i="129"/>
  <c r="C21" i="129"/>
  <c r="C22" i="129"/>
  <c r="C23" i="129"/>
  <c r="C24" i="129"/>
  <c r="C27" i="129"/>
  <c r="D27" i="129"/>
  <c r="C28" i="129"/>
  <c r="C29" i="129"/>
  <c r="C31" i="129"/>
  <c r="D31" i="129"/>
  <c r="C32" i="129"/>
  <c r="C33" i="129"/>
  <c r="E44" i="153"/>
  <c r="E42" i="153"/>
  <c r="E41" i="153"/>
  <c r="E37" i="153"/>
  <c r="E34" i="153"/>
  <c r="E30" i="153"/>
  <c r="E29" i="153"/>
  <c r="E28" i="153"/>
  <c r="E27" i="153"/>
  <c r="E22" i="153"/>
  <c r="E21" i="153"/>
  <c r="E18" i="153"/>
  <c r="E15" i="153"/>
  <c r="E14" i="153"/>
  <c r="D34" i="152"/>
  <c r="C6" i="178" s="1"/>
  <c r="D30" i="179"/>
  <c r="D30" i="152" s="1"/>
  <c r="D21" i="179"/>
  <c r="D19" i="152"/>
  <c r="D18" i="152"/>
  <c r="H43" i="176"/>
  <c r="H43" i="149" s="1"/>
  <c r="H42" i="176"/>
  <c r="H42" i="149" s="1"/>
  <c r="H41" i="176"/>
  <c r="H41" i="149" s="1"/>
  <c r="I40" i="176"/>
  <c r="I40" i="149" s="1"/>
  <c r="G40" i="176"/>
  <c r="G40" i="149" s="1"/>
  <c r="F40" i="176"/>
  <c r="F40" i="149" s="1"/>
  <c r="E40" i="176"/>
  <c r="E40" i="149" s="1"/>
  <c r="D40" i="176"/>
  <c r="D40" i="149" s="1"/>
  <c r="C40" i="176"/>
  <c r="C40" i="149" s="1"/>
  <c r="I37" i="176"/>
  <c r="I37" i="149" s="1"/>
  <c r="H37" i="176"/>
  <c r="H37" i="149" s="1"/>
  <c r="H36" i="176"/>
  <c r="H36" i="149" s="1"/>
  <c r="H35" i="176"/>
  <c r="H35" i="149" s="1"/>
  <c r="H34" i="176"/>
  <c r="H34" i="149" s="1"/>
  <c r="H33" i="176"/>
  <c r="H33" i="149" s="1"/>
  <c r="H32" i="176"/>
  <c r="H32" i="149" s="1"/>
  <c r="H31" i="176"/>
  <c r="H31" i="149" s="1"/>
  <c r="I30" i="176"/>
  <c r="I30" i="149" s="1"/>
  <c r="G30" i="176"/>
  <c r="G30" i="149" s="1"/>
  <c r="F30" i="176"/>
  <c r="F30" i="149" s="1"/>
  <c r="E30" i="176"/>
  <c r="E30" i="149" s="1"/>
  <c r="D30" i="176"/>
  <c r="D30" i="149" s="1"/>
  <c r="C30" i="176"/>
  <c r="C30" i="149" s="1"/>
  <c r="H29" i="176"/>
  <c r="H29" i="149" s="1"/>
  <c r="H28" i="176"/>
  <c r="H28" i="149" s="1"/>
  <c r="H27" i="176"/>
  <c r="H27" i="149" s="1"/>
  <c r="H26" i="176"/>
  <c r="H26" i="149" s="1"/>
  <c r="H25" i="176"/>
  <c r="H25" i="149" s="1"/>
  <c r="H24" i="176"/>
  <c r="H24" i="149" s="1"/>
  <c r="H23" i="176"/>
  <c r="H23" i="149" s="1"/>
  <c r="H22" i="176"/>
  <c r="I21" i="176"/>
  <c r="I21" i="149" s="1"/>
  <c r="G21" i="176"/>
  <c r="G21" i="149" s="1"/>
  <c r="F21" i="176"/>
  <c r="F21" i="149" s="1"/>
  <c r="E21" i="176"/>
  <c r="E21" i="149" s="1"/>
  <c r="D21" i="176"/>
  <c r="D21" i="149" s="1"/>
  <c r="C21" i="176"/>
  <c r="C21" i="149" s="1"/>
  <c r="H20" i="176"/>
  <c r="H20" i="149" s="1"/>
  <c r="H19" i="176"/>
  <c r="H19" i="149" s="1"/>
  <c r="H18" i="176"/>
  <c r="H18" i="149" s="1"/>
  <c r="I17" i="176"/>
  <c r="I17" i="149" s="1"/>
  <c r="G17" i="176"/>
  <c r="G17" i="149" s="1"/>
  <c r="F17" i="176"/>
  <c r="F17" i="149" s="1"/>
  <c r="E17" i="176"/>
  <c r="E17" i="149" s="1"/>
  <c r="D17" i="176"/>
  <c r="D17" i="149" s="1"/>
  <c r="C17" i="176"/>
  <c r="C17" i="149" s="1"/>
  <c r="H16" i="176"/>
  <c r="H16" i="149" s="1"/>
  <c r="H15" i="176"/>
  <c r="H15" i="149" s="1"/>
  <c r="H14" i="176"/>
  <c r="H14" i="149" s="1"/>
  <c r="H13" i="176"/>
  <c r="H13" i="149" s="1"/>
  <c r="H12" i="176"/>
  <c r="H12" i="149" s="1"/>
  <c r="H11" i="176"/>
  <c r="H11" i="149" s="1"/>
  <c r="H10" i="176"/>
  <c r="H10" i="149" s="1"/>
  <c r="H9" i="176"/>
  <c r="H9" i="149" s="1"/>
  <c r="H8" i="176"/>
  <c r="H8" i="149" s="1"/>
  <c r="H7" i="176"/>
  <c r="I6" i="176"/>
  <c r="I6" i="149" s="1"/>
  <c r="G6" i="176"/>
  <c r="G5" i="176" s="1"/>
  <c r="F6" i="176"/>
  <c r="F6" i="149" s="1"/>
  <c r="E6" i="176"/>
  <c r="E6" i="149" s="1"/>
  <c r="D6" i="176"/>
  <c r="D6" i="149" s="1"/>
  <c r="C6" i="176"/>
  <c r="C5" i="176" s="1"/>
  <c r="R15" i="175"/>
  <c r="R15" i="148" s="1"/>
  <c r="Q15" i="175"/>
  <c r="Q15" i="148" s="1"/>
  <c r="P15" i="175"/>
  <c r="P15" i="148" s="1"/>
  <c r="N15" i="175"/>
  <c r="N15" i="148" s="1"/>
  <c r="L15" i="175"/>
  <c r="L15" i="148" s="1"/>
  <c r="J15" i="175"/>
  <c r="J15" i="148" s="1"/>
  <c r="I15" i="175"/>
  <c r="I15" i="148" s="1"/>
  <c r="H15" i="175"/>
  <c r="H15" i="148" s="1"/>
  <c r="G15" i="175"/>
  <c r="G15" i="148" s="1"/>
  <c r="F15" i="175"/>
  <c r="F15" i="148" s="1"/>
  <c r="E15" i="175"/>
  <c r="E15" i="148" s="1"/>
  <c r="D15" i="175"/>
  <c r="D15" i="148" s="1"/>
  <c r="C15" i="175"/>
  <c r="C15" i="148" s="1"/>
  <c r="S14" i="175"/>
  <c r="O14" i="175"/>
  <c r="K14" i="175"/>
  <c r="M14" i="175" s="1"/>
  <c r="S13" i="175"/>
  <c r="O13" i="175"/>
  <c r="K13" i="175"/>
  <c r="S12" i="175"/>
  <c r="O12" i="175"/>
  <c r="K12" i="175"/>
  <c r="M12" i="175" s="1"/>
  <c r="S11" i="175"/>
  <c r="O11" i="175"/>
  <c r="K11" i="175"/>
  <c r="S10" i="175"/>
  <c r="O10" i="175"/>
  <c r="K10" i="175"/>
  <c r="M10" i="175" s="1"/>
  <c r="S9" i="175"/>
  <c r="O9" i="175"/>
  <c r="K9" i="175"/>
  <c r="S8" i="175"/>
  <c r="O8" i="175"/>
  <c r="K8" i="175"/>
  <c r="M8" i="175" s="1"/>
  <c r="S7" i="175"/>
  <c r="O7" i="175"/>
  <c r="K7" i="175"/>
  <c r="M7" i="175" s="1"/>
  <c r="S6" i="175"/>
  <c r="O6" i="175"/>
  <c r="K6" i="175"/>
  <c r="J15" i="173"/>
  <c r="J15" i="146" s="1"/>
  <c r="K14" i="173"/>
  <c r="K13" i="173"/>
  <c r="K12" i="173"/>
  <c r="K11" i="173"/>
  <c r="K10" i="173"/>
  <c r="K9" i="173"/>
  <c r="K8" i="173"/>
  <c r="K7" i="173"/>
  <c r="K6" i="173"/>
  <c r="G15" i="172"/>
  <c r="G15" i="145" s="1"/>
  <c r="M14" i="172"/>
  <c r="N14" i="172" s="1"/>
  <c r="P14" i="172" s="1"/>
  <c r="P14" i="145" s="1"/>
  <c r="J14" i="172"/>
  <c r="J14" i="145" s="1"/>
  <c r="M13" i="172"/>
  <c r="M13" i="145" s="1"/>
  <c r="J13" i="172"/>
  <c r="M12" i="172"/>
  <c r="N12" i="172" s="1"/>
  <c r="P12" i="172" s="1"/>
  <c r="P12" i="145" s="1"/>
  <c r="J12" i="172"/>
  <c r="M11" i="172"/>
  <c r="M11" i="145" s="1"/>
  <c r="J11" i="172"/>
  <c r="M10" i="172"/>
  <c r="N10" i="172" s="1"/>
  <c r="P10" i="172" s="1"/>
  <c r="P10" i="145" s="1"/>
  <c r="J10" i="172"/>
  <c r="J10" i="145" s="1"/>
  <c r="M9" i="172"/>
  <c r="M9" i="145" s="1"/>
  <c r="J9" i="172"/>
  <c r="M8" i="172"/>
  <c r="N8" i="172" s="1"/>
  <c r="P8" i="172" s="1"/>
  <c r="P8" i="145" s="1"/>
  <c r="J8" i="172"/>
  <c r="J8" i="145" s="1"/>
  <c r="M7" i="172"/>
  <c r="M7" i="145" s="1"/>
  <c r="J7" i="172"/>
  <c r="M6" i="172"/>
  <c r="N6" i="172" s="1"/>
  <c r="P6" i="172" s="1"/>
  <c r="P6" i="145" s="1"/>
  <c r="J6" i="172"/>
  <c r="C26" i="171"/>
  <c r="C26" i="144" s="1"/>
  <c r="C8" i="171"/>
  <c r="C8" i="144" s="1"/>
  <c r="E33" i="170"/>
  <c r="E33" i="142" s="1"/>
  <c r="E32" i="170"/>
  <c r="E32" i="142" s="1"/>
  <c r="E31" i="170"/>
  <c r="E31" i="142" s="1"/>
  <c r="E30" i="170"/>
  <c r="E30" i="142" s="1"/>
  <c r="D29" i="170"/>
  <c r="D29" i="142" s="1"/>
  <c r="C29" i="170"/>
  <c r="E28" i="170"/>
  <c r="E28" i="142" s="1"/>
  <c r="E27" i="170"/>
  <c r="E27" i="142" s="1"/>
  <c r="E26" i="170"/>
  <c r="E26" i="142" s="1"/>
  <c r="D25" i="170"/>
  <c r="D25" i="142" s="1"/>
  <c r="C25" i="170"/>
  <c r="E24" i="170"/>
  <c r="E24" i="142" s="1"/>
  <c r="E23" i="170"/>
  <c r="E23" i="142" s="1"/>
  <c r="E22" i="170"/>
  <c r="E22" i="142" s="1"/>
  <c r="E21" i="170"/>
  <c r="E21" i="142" s="1"/>
  <c r="D20" i="170"/>
  <c r="D20" i="142" s="1"/>
  <c r="C20" i="170"/>
  <c r="E19" i="170"/>
  <c r="E19" i="142" s="1"/>
  <c r="E18" i="170"/>
  <c r="E18" i="142" s="1"/>
  <c r="E17" i="170"/>
  <c r="E17" i="142" s="1"/>
  <c r="E16" i="170"/>
  <c r="E16" i="142" s="1"/>
  <c r="D15" i="170"/>
  <c r="D15" i="142" s="1"/>
  <c r="C15" i="170"/>
  <c r="E14" i="170"/>
  <c r="E14" i="142" s="1"/>
  <c r="E13" i="170"/>
  <c r="E13" i="142" s="1"/>
  <c r="E12" i="170"/>
  <c r="E12" i="142" s="1"/>
  <c r="E11" i="170"/>
  <c r="E11" i="142" s="1"/>
  <c r="E10" i="170"/>
  <c r="E10" i="142" s="1"/>
  <c r="E9" i="170"/>
  <c r="E9" i="142" s="1"/>
  <c r="E8" i="170"/>
  <c r="E8" i="142" s="1"/>
  <c r="D7" i="170"/>
  <c r="D7" i="142" s="1"/>
  <c r="C7" i="170"/>
  <c r="C7" i="142" s="1"/>
  <c r="E6" i="170"/>
  <c r="E6" i="142" s="1"/>
  <c r="C21" i="169"/>
  <c r="C27" i="169" s="1"/>
  <c r="C27" i="141" s="1"/>
  <c r="C13" i="169"/>
  <c r="C12" i="169" s="1"/>
  <c r="C12" i="141" s="1"/>
  <c r="C5" i="169"/>
  <c r="C4" i="169" s="1"/>
  <c r="E7" i="168"/>
  <c r="E7" i="140" s="1"/>
  <c r="H7" i="168"/>
  <c r="H7" i="140" s="1"/>
  <c r="E8" i="168"/>
  <c r="E8" i="140" s="1"/>
  <c r="H8" i="168"/>
  <c r="E9" i="168"/>
  <c r="E9" i="140" s="1"/>
  <c r="H9" i="168"/>
  <c r="E10" i="168"/>
  <c r="E10" i="140" s="1"/>
  <c r="H10" i="168"/>
  <c r="E11" i="168"/>
  <c r="E11" i="140" s="1"/>
  <c r="H11" i="168"/>
  <c r="H11" i="140" s="1"/>
  <c r="E12" i="168"/>
  <c r="E12" i="140" s="1"/>
  <c r="H12" i="168"/>
  <c r="E13" i="168"/>
  <c r="H13" i="168"/>
  <c r="H13" i="140" s="1"/>
  <c r="E14" i="168"/>
  <c r="E14" i="140" s="1"/>
  <c r="H14" i="168"/>
  <c r="E15" i="168"/>
  <c r="E15" i="140" s="1"/>
  <c r="H15" i="168"/>
  <c r="E16" i="168"/>
  <c r="E16" i="140" s="1"/>
  <c r="H16" i="168"/>
  <c r="H16" i="140" s="1"/>
  <c r="E17" i="168"/>
  <c r="E17" i="140" s="1"/>
  <c r="H17" i="168"/>
  <c r="H17" i="140" s="1"/>
  <c r="E18" i="168"/>
  <c r="E18" i="140" s="1"/>
  <c r="H18" i="168"/>
  <c r="H6" i="168"/>
  <c r="E6" i="168"/>
  <c r="D19" i="168"/>
  <c r="D19" i="140" s="1"/>
  <c r="F19" i="168"/>
  <c r="F19" i="140" s="1"/>
  <c r="G19" i="168"/>
  <c r="G19" i="140" s="1"/>
  <c r="C19" i="168"/>
  <c r="C19" i="140" s="1"/>
  <c r="G7" i="167"/>
  <c r="H7" i="167" s="1"/>
  <c r="H7" i="139" s="1"/>
  <c r="G8" i="167"/>
  <c r="H8" i="167" s="1"/>
  <c r="H8" i="139" s="1"/>
  <c r="G9" i="167"/>
  <c r="H9" i="167" s="1"/>
  <c r="H9" i="139" s="1"/>
  <c r="G10" i="167"/>
  <c r="H10" i="167" s="1"/>
  <c r="H10" i="139" s="1"/>
  <c r="G12" i="167"/>
  <c r="H12" i="167" s="1"/>
  <c r="H12" i="139" s="1"/>
  <c r="G13" i="167"/>
  <c r="H13" i="167" s="1"/>
  <c r="H13" i="139" s="1"/>
  <c r="G14" i="167"/>
  <c r="H14" i="167" s="1"/>
  <c r="H14" i="139" s="1"/>
  <c r="G15" i="167"/>
  <c r="H15" i="167" s="1"/>
  <c r="H15" i="139" s="1"/>
  <c r="G17" i="167"/>
  <c r="H17" i="167" s="1"/>
  <c r="H17" i="139" s="1"/>
  <c r="G18" i="167"/>
  <c r="H18" i="167" s="1"/>
  <c r="H18" i="139" s="1"/>
  <c r="G19" i="167"/>
  <c r="H19" i="167" s="1"/>
  <c r="H19" i="139" s="1"/>
  <c r="G20" i="167"/>
  <c r="H20" i="167" s="1"/>
  <c r="H20" i="139" s="1"/>
  <c r="G22" i="167"/>
  <c r="H22" i="167" s="1"/>
  <c r="H22" i="139" s="1"/>
  <c r="G23" i="167"/>
  <c r="H23" i="167" s="1"/>
  <c r="H23" i="139" s="1"/>
  <c r="G24" i="167"/>
  <c r="H24" i="167" s="1"/>
  <c r="H24" i="139" s="1"/>
  <c r="D21" i="167"/>
  <c r="D21" i="139" s="1"/>
  <c r="E21" i="167"/>
  <c r="E21" i="139" s="1"/>
  <c r="F21" i="167"/>
  <c r="F21" i="139" s="1"/>
  <c r="C21" i="167"/>
  <c r="C17" i="166" s="1"/>
  <c r="C17" i="138" s="1"/>
  <c r="F16" i="167"/>
  <c r="F16" i="139" s="1"/>
  <c r="E16" i="167"/>
  <c r="E16" i="139" s="1"/>
  <c r="D16" i="167"/>
  <c r="D16" i="139" s="1"/>
  <c r="C16" i="167"/>
  <c r="C16" i="139" s="1"/>
  <c r="F11" i="167"/>
  <c r="E11" i="167"/>
  <c r="E11" i="139" s="1"/>
  <c r="D11" i="167"/>
  <c r="D11" i="139" s="1"/>
  <c r="C11" i="167"/>
  <c r="C11" i="139" s="1"/>
  <c r="D6" i="167"/>
  <c r="D6" i="139" s="1"/>
  <c r="E6" i="167"/>
  <c r="E6" i="139" s="1"/>
  <c r="F6" i="167"/>
  <c r="C6" i="167"/>
  <c r="D5" i="166"/>
  <c r="D5" i="138" s="1"/>
  <c r="C5" i="166"/>
  <c r="E7" i="166"/>
  <c r="E7" i="138" s="1"/>
  <c r="E8" i="166"/>
  <c r="E8" i="138" s="1"/>
  <c r="E9" i="166"/>
  <c r="E9" i="138" s="1"/>
  <c r="E10" i="166"/>
  <c r="E10" i="138" s="1"/>
  <c r="E11" i="166"/>
  <c r="E11" i="138" s="1"/>
  <c r="E12" i="166"/>
  <c r="E12" i="138" s="1"/>
  <c r="E6" i="166"/>
  <c r="E6" i="138" s="1"/>
  <c r="D6" i="151" l="1"/>
  <c r="E6" i="140"/>
  <c r="C5" i="138"/>
  <c r="C6" i="147"/>
  <c r="C14" i="166"/>
  <c r="C14" i="138" s="1"/>
  <c r="C4" i="141"/>
  <c r="M26" i="90" a="1"/>
  <c r="M26" i="90" s="1"/>
  <c r="D10" i="152"/>
  <c r="D14" i="179"/>
  <c r="D14" i="152" s="1"/>
  <c r="D5" i="176"/>
  <c r="D44" i="176" s="1"/>
  <c r="D44" i="149" s="1"/>
  <c r="E15" i="170"/>
  <c r="E15" i="142" s="1"/>
  <c r="E25" i="170"/>
  <c r="E25" i="142" s="1"/>
  <c r="F5" i="176"/>
  <c r="F44" i="176" s="1"/>
  <c r="F44" i="149" s="1"/>
  <c r="H6" i="176"/>
  <c r="E90" i="197"/>
  <c r="E37" i="197"/>
  <c r="D107" i="197"/>
  <c r="D74" i="197"/>
  <c r="D90" i="197"/>
  <c r="D37" i="197"/>
  <c r="F29" i="119"/>
  <c r="C29" i="119" s="1"/>
  <c r="C15" i="166"/>
  <c r="C15" i="138" s="1"/>
  <c r="C16" i="166"/>
  <c r="C16" i="138" s="1"/>
  <c r="F23" i="119"/>
  <c r="C33" i="119"/>
  <c r="G33" i="119"/>
  <c r="C28" i="119"/>
  <c r="G28" i="119"/>
  <c r="G35" i="119"/>
  <c r="C35" i="119"/>
  <c r="F36" i="119"/>
  <c r="G31" i="119"/>
  <c r="C31" i="119"/>
  <c r="H21" i="176"/>
  <c r="H21" i="149" s="1"/>
  <c r="H19" i="168"/>
  <c r="H19" i="140" s="1"/>
  <c r="C5" i="170"/>
  <c r="Q12" i="172"/>
  <c r="Q12" i="145" s="1"/>
  <c r="N13" i="172"/>
  <c r="P13" i="172" s="1"/>
  <c r="P13" i="145" s="1"/>
  <c r="E20" i="170"/>
  <c r="E20" i="142" s="1"/>
  <c r="C8" i="147"/>
  <c r="F30" i="119" s="1"/>
  <c r="G6" i="167"/>
  <c r="H6" i="167" s="1"/>
  <c r="I18" i="168"/>
  <c r="I18" i="140" s="1"/>
  <c r="I17" i="168"/>
  <c r="I17" i="140" s="1"/>
  <c r="I13" i="168"/>
  <c r="I13" i="140" s="1"/>
  <c r="K15" i="173"/>
  <c r="K15" i="146" s="1"/>
  <c r="T7" i="175"/>
  <c r="M9" i="175"/>
  <c r="T10" i="175"/>
  <c r="I15" i="168"/>
  <c r="I15" i="140" s="1"/>
  <c r="I14" i="168"/>
  <c r="I14" i="140" s="1"/>
  <c r="I10" i="168"/>
  <c r="I10" i="140" s="1"/>
  <c r="I9" i="168"/>
  <c r="I9" i="140" s="1"/>
  <c r="I8" i="168"/>
  <c r="I8" i="140" s="1"/>
  <c r="I7" i="168"/>
  <c r="I7" i="140" s="1"/>
  <c r="N9" i="172"/>
  <c r="P9" i="172" s="1"/>
  <c r="P9" i="145" s="1"/>
  <c r="T6" i="175"/>
  <c r="T11" i="175"/>
  <c r="M13" i="175"/>
  <c r="T14" i="175"/>
  <c r="H17" i="176"/>
  <c r="H17" i="149" s="1"/>
  <c r="H40" i="176"/>
  <c r="H40" i="149" s="1"/>
  <c r="C21" i="139"/>
  <c r="H15" i="140"/>
  <c r="C6" i="149"/>
  <c r="J9" i="49"/>
  <c r="G11" i="167"/>
  <c r="H11" i="167" s="1"/>
  <c r="H11" i="139" s="1"/>
  <c r="G23" i="139"/>
  <c r="G19" i="139"/>
  <c r="G15" i="139"/>
  <c r="G7" i="139"/>
  <c r="H7" i="149"/>
  <c r="G6" i="149"/>
  <c r="H6" i="149"/>
  <c r="C44" i="176"/>
  <c r="C44" i="149" s="1"/>
  <c r="C5" i="149"/>
  <c r="G44" i="176"/>
  <c r="G44" i="149" s="1"/>
  <c r="G5" i="149"/>
  <c r="G21" i="167"/>
  <c r="G9" i="139"/>
  <c r="E5" i="166"/>
  <c r="E5" i="138" s="1"/>
  <c r="E25" i="167"/>
  <c r="E25" i="139" s="1"/>
  <c r="G16" i="167"/>
  <c r="I6" i="168"/>
  <c r="I6" i="140" s="1"/>
  <c r="I12" i="168"/>
  <c r="I12" i="140" s="1"/>
  <c r="C20" i="169"/>
  <c r="C20" i="141" s="1"/>
  <c r="D5" i="170"/>
  <c r="E29" i="170"/>
  <c r="E29" i="142" s="1"/>
  <c r="J15" i="172"/>
  <c r="J15" i="145" s="1"/>
  <c r="N7" i="172"/>
  <c r="S15" i="148"/>
  <c r="M11" i="175"/>
  <c r="T12" i="175"/>
  <c r="T13" i="175"/>
  <c r="E5" i="176"/>
  <c r="I5" i="176"/>
  <c r="H30" i="176"/>
  <c r="H30" i="149" s="1"/>
  <c r="C6" i="139"/>
  <c r="F11" i="139"/>
  <c r="E13" i="140"/>
  <c r="H12" i="140"/>
  <c r="H8" i="140"/>
  <c r="C21" i="141"/>
  <c r="C13" i="141"/>
  <c r="C5" i="141"/>
  <c r="C20" i="142"/>
  <c r="F25" i="167"/>
  <c r="F25" i="139" s="1"/>
  <c r="F6" i="139"/>
  <c r="G17" i="139"/>
  <c r="G13" i="139"/>
  <c r="C25" i="167"/>
  <c r="E19" i="168"/>
  <c r="E19" i="140" s="1"/>
  <c r="I16" i="168"/>
  <c r="I16" i="140" s="1"/>
  <c r="I11" i="168"/>
  <c r="I11" i="140" s="1"/>
  <c r="E7" i="170"/>
  <c r="E7" i="142" s="1"/>
  <c r="N11" i="172"/>
  <c r="K15" i="175"/>
  <c r="K15" i="148" s="1"/>
  <c r="T8" i="175"/>
  <c r="T9" i="175"/>
  <c r="D20" i="179"/>
  <c r="D20" i="152" s="1"/>
  <c r="H18" i="140"/>
  <c r="H14" i="140"/>
  <c r="H10" i="140"/>
  <c r="M6" i="145"/>
  <c r="M14" i="145"/>
  <c r="M12" i="145"/>
  <c r="M10" i="145"/>
  <c r="M8" i="145"/>
  <c r="H22" i="149"/>
  <c r="C15" i="142"/>
  <c r="D5" i="149"/>
  <c r="D25" i="167"/>
  <c r="D25" i="139" s="1"/>
  <c r="G24" i="139"/>
  <c r="G22" i="139"/>
  <c r="G20" i="139"/>
  <c r="G18" i="139"/>
  <c r="G14" i="139"/>
  <c r="G12" i="139"/>
  <c r="G10" i="139"/>
  <c r="G8" i="139"/>
  <c r="H6" i="140"/>
  <c r="H9" i="140"/>
  <c r="C29" i="142"/>
  <c r="C25" i="142"/>
  <c r="N6" i="145"/>
  <c r="J6" i="145"/>
  <c r="N14" i="145"/>
  <c r="N13" i="145"/>
  <c r="J13" i="145"/>
  <c r="N12" i="145"/>
  <c r="J12" i="145"/>
  <c r="J11" i="145"/>
  <c r="N10" i="145"/>
  <c r="J9" i="145"/>
  <c r="N8" i="145"/>
  <c r="J7" i="145"/>
  <c r="D21" i="152"/>
  <c r="H22" i="190"/>
  <c r="M45" i="90" s="1" a="1"/>
  <c r="M45" i="90" s="1"/>
  <c r="C16" i="174"/>
  <c r="C16" i="147" s="1"/>
  <c r="C21" i="171" s="1"/>
  <c r="C20" i="171" s="1"/>
  <c r="C20" i="144" s="1"/>
  <c r="M6" i="175"/>
  <c r="O15" i="148"/>
  <c r="Q8" i="172"/>
  <c r="Q8" i="145" s="1"/>
  <c r="Q10" i="172"/>
  <c r="Q10" i="145" s="1"/>
  <c r="Q14" i="172"/>
  <c r="Q14" i="145" s="1"/>
  <c r="Q6" i="172"/>
  <c r="Q6" i="145" s="1"/>
  <c r="E23" i="187"/>
  <c r="E23" i="160" s="1"/>
  <c r="F23" i="187"/>
  <c r="F23" i="160" s="1"/>
  <c r="D23" i="187"/>
  <c r="A6" i="160"/>
  <c r="C8" i="186"/>
  <c r="C9" i="159"/>
  <c r="C10" i="159"/>
  <c r="C11" i="159"/>
  <c r="C12" i="159"/>
  <c r="C13" i="159"/>
  <c r="C18" i="159"/>
  <c r="O7" i="185"/>
  <c r="P7" i="185"/>
  <c r="Q7" i="185"/>
  <c r="R7" i="185"/>
  <c r="R7" i="158" s="1"/>
  <c r="O8" i="185"/>
  <c r="P8" i="185"/>
  <c r="P8" i="158" s="1"/>
  <c r="Q8" i="185"/>
  <c r="Q8" i="158" s="1"/>
  <c r="R8" i="185"/>
  <c r="R8" i="158" s="1"/>
  <c r="O9" i="185"/>
  <c r="O9" i="158" s="1"/>
  <c r="P9" i="185"/>
  <c r="P9" i="158" s="1"/>
  <c r="Q9" i="185"/>
  <c r="Q9" i="158" s="1"/>
  <c r="R9" i="185"/>
  <c r="R9" i="158" s="1"/>
  <c r="O10" i="185"/>
  <c r="P10" i="185"/>
  <c r="P10" i="158" s="1"/>
  <c r="Q10" i="185"/>
  <c r="Q10" i="158" s="1"/>
  <c r="R10" i="185"/>
  <c r="R10" i="158" s="1"/>
  <c r="O11" i="185"/>
  <c r="O11" i="158" s="1"/>
  <c r="P11" i="185"/>
  <c r="P11" i="158" s="1"/>
  <c r="Q11" i="185"/>
  <c r="Q11" i="158" s="1"/>
  <c r="R11" i="185"/>
  <c r="R11" i="158" s="1"/>
  <c r="O12" i="185"/>
  <c r="O12" i="158" s="1"/>
  <c r="P12" i="185"/>
  <c r="P12" i="158" s="1"/>
  <c r="Q12" i="185"/>
  <c r="Q12" i="158" s="1"/>
  <c r="R12" i="185"/>
  <c r="R12" i="158" s="1"/>
  <c r="O13" i="185"/>
  <c r="O13" i="158" s="1"/>
  <c r="P13" i="185"/>
  <c r="P13" i="158" s="1"/>
  <c r="Q13" i="185"/>
  <c r="Q13" i="158" s="1"/>
  <c r="R13" i="185"/>
  <c r="R13" i="158" s="1"/>
  <c r="O14" i="185"/>
  <c r="P14" i="185"/>
  <c r="P14" i="158" s="1"/>
  <c r="Q14" i="185"/>
  <c r="Q14" i="158" s="1"/>
  <c r="R14" i="185"/>
  <c r="R14" i="158" s="1"/>
  <c r="P6" i="185"/>
  <c r="P6" i="158" s="1"/>
  <c r="Q6" i="185"/>
  <c r="Q6" i="158" s="1"/>
  <c r="R6" i="185"/>
  <c r="O6" i="185"/>
  <c r="O6" i="158" s="1"/>
  <c r="N7" i="185"/>
  <c r="N7" i="158" s="1"/>
  <c r="N8" i="185"/>
  <c r="N9" i="185"/>
  <c r="N9" i="158" s="1"/>
  <c r="N10" i="185"/>
  <c r="N10" i="158" s="1"/>
  <c r="N11" i="185"/>
  <c r="N11" i="158" s="1"/>
  <c r="N12" i="185"/>
  <c r="N12" i="158" s="1"/>
  <c r="N13" i="185"/>
  <c r="N13" i="158" s="1"/>
  <c r="N14" i="185"/>
  <c r="N14" i="158" s="1"/>
  <c r="N6" i="185"/>
  <c r="N6" i="158" s="1"/>
  <c r="D15" i="185"/>
  <c r="D15" i="158" s="1"/>
  <c r="E15" i="185"/>
  <c r="E15" i="158" s="1"/>
  <c r="F15" i="185"/>
  <c r="F15" i="158" s="1"/>
  <c r="G15" i="185"/>
  <c r="G15" i="158" s="1"/>
  <c r="I15" i="185"/>
  <c r="I15" i="158" s="1"/>
  <c r="J15" i="185"/>
  <c r="J15" i="158" s="1"/>
  <c r="K15" i="185"/>
  <c r="K15" i="158" s="1"/>
  <c r="L15" i="185"/>
  <c r="L15" i="158" s="1"/>
  <c r="M15" i="185"/>
  <c r="M15" i="158" s="1"/>
  <c r="C15" i="185"/>
  <c r="C15" i="158" s="1"/>
  <c r="H7" i="185"/>
  <c r="H7" i="158" s="1"/>
  <c r="H8" i="185"/>
  <c r="H8" i="158" s="1"/>
  <c r="H9" i="185"/>
  <c r="H9" i="158" s="1"/>
  <c r="H10" i="185"/>
  <c r="H10" i="158" s="1"/>
  <c r="H11" i="185"/>
  <c r="H11" i="158" s="1"/>
  <c r="H12" i="185"/>
  <c r="H12" i="158" s="1"/>
  <c r="H13" i="185"/>
  <c r="H13" i="158" s="1"/>
  <c r="H14" i="185"/>
  <c r="H14" i="158" s="1"/>
  <c r="H6" i="185"/>
  <c r="C7" i="158"/>
  <c r="D7" i="158"/>
  <c r="F7" i="158"/>
  <c r="G7" i="158"/>
  <c r="I7" i="158"/>
  <c r="J7" i="158"/>
  <c r="K7" i="158"/>
  <c r="L7" i="158"/>
  <c r="M7" i="158"/>
  <c r="P7" i="158"/>
  <c r="Q7" i="158"/>
  <c r="C8" i="158"/>
  <c r="D8" i="158"/>
  <c r="E8" i="158"/>
  <c r="F8" i="158"/>
  <c r="G8" i="158"/>
  <c r="I8" i="158"/>
  <c r="J8" i="158"/>
  <c r="K8" i="158"/>
  <c r="L8" i="158"/>
  <c r="M8" i="158"/>
  <c r="N8" i="158"/>
  <c r="C9" i="158"/>
  <c r="D9" i="158"/>
  <c r="E9" i="158"/>
  <c r="F9" i="158"/>
  <c r="G9" i="158"/>
  <c r="I9" i="158"/>
  <c r="J9" i="158"/>
  <c r="K9" i="158"/>
  <c r="L9" i="158"/>
  <c r="M9" i="158"/>
  <c r="C10" i="158"/>
  <c r="D10" i="158"/>
  <c r="E10" i="158"/>
  <c r="F10" i="158"/>
  <c r="G10" i="158"/>
  <c r="I10" i="158"/>
  <c r="J10" i="158"/>
  <c r="K10" i="158"/>
  <c r="L10" i="158"/>
  <c r="M10" i="158"/>
  <c r="C11" i="158"/>
  <c r="D11" i="158"/>
  <c r="E11" i="158"/>
  <c r="F11" i="158"/>
  <c r="G11" i="158"/>
  <c r="I11" i="158"/>
  <c r="J11" i="158"/>
  <c r="K11" i="158"/>
  <c r="L11" i="158"/>
  <c r="M11" i="158"/>
  <c r="C12" i="158"/>
  <c r="D12" i="158"/>
  <c r="E12" i="158"/>
  <c r="F12" i="158"/>
  <c r="G12" i="158"/>
  <c r="I12" i="158"/>
  <c r="J12" i="158"/>
  <c r="K12" i="158"/>
  <c r="L12" i="158"/>
  <c r="M12" i="158"/>
  <c r="C13" i="158"/>
  <c r="D13" i="158"/>
  <c r="E13" i="158"/>
  <c r="F13" i="158"/>
  <c r="G13" i="158"/>
  <c r="I13" i="158"/>
  <c r="J13" i="158"/>
  <c r="K13" i="158"/>
  <c r="L13" i="158"/>
  <c r="M13" i="158"/>
  <c r="C14" i="158"/>
  <c r="D14" i="158"/>
  <c r="E14" i="158"/>
  <c r="F14" i="158"/>
  <c r="G14" i="158"/>
  <c r="I14" i="158"/>
  <c r="J14" i="158"/>
  <c r="K14" i="158"/>
  <c r="L14" i="158"/>
  <c r="M14" i="158"/>
  <c r="C6" i="158"/>
  <c r="D6" i="158"/>
  <c r="E6" i="158"/>
  <c r="F6" i="158"/>
  <c r="G6" i="158"/>
  <c r="I6" i="158"/>
  <c r="J6" i="158"/>
  <c r="K6" i="158"/>
  <c r="L6" i="158"/>
  <c r="M6" i="158"/>
  <c r="C10" i="157"/>
  <c r="D10" i="157"/>
  <c r="E10" i="157"/>
  <c r="G10" i="157"/>
  <c r="H10" i="157"/>
  <c r="I10" i="157"/>
  <c r="J10" i="157"/>
  <c r="K10" i="157"/>
  <c r="M10" i="157"/>
  <c r="N10" i="157"/>
  <c r="O10" i="157"/>
  <c r="P10" i="157"/>
  <c r="Q10" i="157"/>
  <c r="R10" i="157"/>
  <c r="S10" i="157"/>
  <c r="C11" i="157"/>
  <c r="D11" i="157"/>
  <c r="E11" i="157"/>
  <c r="G11" i="157"/>
  <c r="H11" i="157"/>
  <c r="I11" i="157"/>
  <c r="J11" i="157"/>
  <c r="K11" i="157"/>
  <c r="M11" i="157"/>
  <c r="N11" i="157"/>
  <c r="O11" i="157"/>
  <c r="P11" i="157"/>
  <c r="Q11" i="157"/>
  <c r="R11" i="157"/>
  <c r="S11" i="157"/>
  <c r="C12" i="157"/>
  <c r="D12" i="157"/>
  <c r="E12" i="157"/>
  <c r="G12" i="157"/>
  <c r="H12" i="157"/>
  <c r="I12" i="157"/>
  <c r="J12" i="157"/>
  <c r="K12" i="157"/>
  <c r="M12" i="157"/>
  <c r="N12" i="157"/>
  <c r="O12" i="157"/>
  <c r="P12" i="157"/>
  <c r="Q12" i="157"/>
  <c r="R12" i="157"/>
  <c r="S12" i="157"/>
  <c r="C13" i="157"/>
  <c r="D13" i="157"/>
  <c r="E13" i="157"/>
  <c r="G13" i="157"/>
  <c r="H13" i="157"/>
  <c r="I13" i="157"/>
  <c r="J13" i="157"/>
  <c r="K13" i="157"/>
  <c r="M13" i="157"/>
  <c r="N13" i="157"/>
  <c r="O13" i="157"/>
  <c r="P13" i="157"/>
  <c r="Q13" i="157"/>
  <c r="R13" i="157"/>
  <c r="S13" i="157"/>
  <c r="C14" i="157"/>
  <c r="D14" i="157"/>
  <c r="E14" i="157"/>
  <c r="G14" i="157"/>
  <c r="H14" i="157"/>
  <c r="I14" i="157"/>
  <c r="J14" i="157"/>
  <c r="K14" i="157"/>
  <c r="M14" i="157"/>
  <c r="N14" i="157"/>
  <c r="O14" i="157"/>
  <c r="P14" i="157"/>
  <c r="Q14" i="157"/>
  <c r="R14" i="157"/>
  <c r="S14" i="157"/>
  <c r="C15" i="157"/>
  <c r="D15" i="157"/>
  <c r="E15" i="157"/>
  <c r="G15" i="157"/>
  <c r="H15" i="157"/>
  <c r="I15" i="157"/>
  <c r="J15" i="157"/>
  <c r="K15" i="157"/>
  <c r="M15" i="157"/>
  <c r="N15" i="157"/>
  <c r="O15" i="157"/>
  <c r="P15" i="157"/>
  <c r="Q15" i="157"/>
  <c r="R15" i="157"/>
  <c r="S15" i="157"/>
  <c r="C16" i="157"/>
  <c r="D16" i="157"/>
  <c r="E16" i="157"/>
  <c r="G16" i="157"/>
  <c r="H16" i="157"/>
  <c r="I16" i="157"/>
  <c r="J16" i="157"/>
  <c r="K16" i="157"/>
  <c r="M16" i="157"/>
  <c r="N16" i="157"/>
  <c r="O16" i="157"/>
  <c r="P16" i="157"/>
  <c r="Q16" i="157"/>
  <c r="R16" i="157"/>
  <c r="S16" i="157"/>
  <c r="C17" i="157"/>
  <c r="D17" i="157"/>
  <c r="E17" i="157"/>
  <c r="G17" i="157"/>
  <c r="H17" i="157"/>
  <c r="I17" i="157"/>
  <c r="J17" i="157"/>
  <c r="K17" i="157"/>
  <c r="M17" i="157"/>
  <c r="N17" i="157"/>
  <c r="O17" i="157"/>
  <c r="P17" i="157"/>
  <c r="Q17" i="157"/>
  <c r="R17" i="157"/>
  <c r="S17" i="157"/>
  <c r="C9" i="157"/>
  <c r="D9" i="157"/>
  <c r="E9" i="157"/>
  <c r="G9" i="157"/>
  <c r="H9" i="157"/>
  <c r="I9" i="157"/>
  <c r="J9" i="157"/>
  <c r="K9" i="157"/>
  <c r="M9" i="157"/>
  <c r="N9" i="157"/>
  <c r="O9" i="157"/>
  <c r="P9" i="157"/>
  <c r="Q9" i="157"/>
  <c r="R9" i="157"/>
  <c r="S9" i="157"/>
  <c r="T10" i="184"/>
  <c r="T10" i="157" s="1"/>
  <c r="T11" i="184"/>
  <c r="T11" i="157" s="1"/>
  <c r="T12" i="184"/>
  <c r="T12" i="157" s="1"/>
  <c r="T13" i="184"/>
  <c r="T13" i="157" s="1"/>
  <c r="T14" i="184"/>
  <c r="T14" i="157" s="1"/>
  <c r="T15" i="184"/>
  <c r="T15" i="157" s="1"/>
  <c r="T16" i="184"/>
  <c r="T16" i="157" s="1"/>
  <c r="T17" i="184"/>
  <c r="T17" i="157" s="1"/>
  <c r="T9" i="184"/>
  <c r="T9" i="157" s="1"/>
  <c r="G18" i="184"/>
  <c r="G18" i="157" s="1"/>
  <c r="H18" i="184"/>
  <c r="H18" i="157" s="1"/>
  <c r="I18" i="184"/>
  <c r="I18" i="157" s="1"/>
  <c r="J18" i="184"/>
  <c r="J18" i="157" s="1"/>
  <c r="K18" i="184"/>
  <c r="K18" i="157" s="1"/>
  <c r="M18" i="184"/>
  <c r="M18" i="157" s="1"/>
  <c r="N18" i="184"/>
  <c r="N18" i="157" s="1"/>
  <c r="O18" i="184"/>
  <c r="O18" i="157" s="1"/>
  <c r="P18" i="184"/>
  <c r="P18" i="157" s="1"/>
  <c r="Q18" i="184"/>
  <c r="Q18" i="157" s="1"/>
  <c r="R18" i="184"/>
  <c r="R18" i="157" s="1"/>
  <c r="S18" i="184"/>
  <c r="S18" i="157" s="1"/>
  <c r="L10" i="184"/>
  <c r="L10" i="157" s="1"/>
  <c r="L11" i="184"/>
  <c r="L11" i="157" s="1"/>
  <c r="L12" i="184"/>
  <c r="L12" i="157" s="1"/>
  <c r="L13" i="184"/>
  <c r="L13" i="157" s="1"/>
  <c r="L14" i="184"/>
  <c r="L14" i="157" s="1"/>
  <c r="L15" i="184"/>
  <c r="L15" i="157" s="1"/>
  <c r="L16" i="184"/>
  <c r="L16" i="157" s="1"/>
  <c r="L17" i="184"/>
  <c r="L17" i="157" s="1"/>
  <c r="L9" i="184"/>
  <c r="L9" i="157" s="1"/>
  <c r="D18" i="184"/>
  <c r="D18" i="157" s="1"/>
  <c r="E18" i="184"/>
  <c r="E18" i="157" s="1"/>
  <c r="C18" i="184"/>
  <c r="C18" i="157" s="1"/>
  <c r="F10" i="184"/>
  <c r="F10" i="157" s="1"/>
  <c r="F11" i="184"/>
  <c r="F11" i="157" s="1"/>
  <c r="F12" i="184"/>
  <c r="F12" i="157" s="1"/>
  <c r="F13" i="184"/>
  <c r="F13" i="157" s="1"/>
  <c r="F14" i="184"/>
  <c r="F14" i="157" s="1"/>
  <c r="F15" i="184"/>
  <c r="F15" i="157" s="1"/>
  <c r="F16" i="184"/>
  <c r="F16" i="157" s="1"/>
  <c r="F17" i="184"/>
  <c r="F17" i="157" s="1"/>
  <c r="F9" i="184"/>
  <c r="N7" i="183"/>
  <c r="N7" i="156" s="1"/>
  <c r="N8" i="183"/>
  <c r="N8" i="156" s="1"/>
  <c r="N9" i="183"/>
  <c r="N9" i="156" s="1"/>
  <c r="N10" i="183"/>
  <c r="N10" i="156" s="1"/>
  <c r="N11" i="183"/>
  <c r="N11" i="156" s="1"/>
  <c r="N12" i="183"/>
  <c r="N13" i="183"/>
  <c r="N13" i="156" s="1"/>
  <c r="N14" i="183"/>
  <c r="N14" i="156" s="1"/>
  <c r="N6" i="183"/>
  <c r="N6" i="156" s="1"/>
  <c r="J7" i="183"/>
  <c r="O7" i="183" s="1"/>
  <c r="S7" i="183" s="1"/>
  <c r="S7" i="156" s="1"/>
  <c r="J8" i="183"/>
  <c r="J8" i="156" s="1"/>
  <c r="J9" i="183"/>
  <c r="O9" i="183" s="1"/>
  <c r="J10" i="183"/>
  <c r="O10" i="183" s="1"/>
  <c r="J11" i="183"/>
  <c r="O11" i="183" s="1"/>
  <c r="S11" i="183" s="1"/>
  <c r="S11" i="156" s="1"/>
  <c r="J12" i="183"/>
  <c r="O12" i="183" s="1"/>
  <c r="J13" i="183"/>
  <c r="O13" i="183" s="1"/>
  <c r="J14" i="183"/>
  <c r="O14" i="183" s="1"/>
  <c r="J6" i="183"/>
  <c r="D15" i="183"/>
  <c r="D15" i="156" s="1"/>
  <c r="E15" i="183"/>
  <c r="E15" i="156" s="1"/>
  <c r="F15" i="183"/>
  <c r="F15" i="156" s="1"/>
  <c r="G15" i="183"/>
  <c r="G15" i="156" s="1"/>
  <c r="H15" i="183"/>
  <c r="H15" i="156" s="1"/>
  <c r="I15" i="183"/>
  <c r="I15" i="156" s="1"/>
  <c r="K15" i="183"/>
  <c r="K15" i="156" s="1"/>
  <c r="L15" i="183"/>
  <c r="L15" i="156" s="1"/>
  <c r="M15" i="183"/>
  <c r="M15" i="156" s="1"/>
  <c r="P15" i="183"/>
  <c r="P15" i="156" s="1"/>
  <c r="Q15" i="183"/>
  <c r="Q15" i="156" s="1"/>
  <c r="R15" i="183"/>
  <c r="R15" i="156" s="1"/>
  <c r="C15" i="183"/>
  <c r="B7" i="156"/>
  <c r="C7" i="156"/>
  <c r="D7" i="156"/>
  <c r="E7" i="156"/>
  <c r="F7" i="156"/>
  <c r="G7" i="156"/>
  <c r="H7" i="156"/>
  <c r="I7" i="156"/>
  <c r="K7" i="156"/>
  <c r="L7" i="156"/>
  <c r="M7" i="156"/>
  <c r="P7" i="156"/>
  <c r="Q7" i="156"/>
  <c r="R7" i="156"/>
  <c r="B8" i="156"/>
  <c r="C8" i="156"/>
  <c r="D8" i="156"/>
  <c r="E8" i="156"/>
  <c r="F8" i="156"/>
  <c r="G8" i="156"/>
  <c r="H8" i="156"/>
  <c r="I8" i="156"/>
  <c r="K8" i="156"/>
  <c r="L8" i="156"/>
  <c r="M8" i="156"/>
  <c r="P8" i="156"/>
  <c r="Q8" i="156"/>
  <c r="R8" i="156"/>
  <c r="B9" i="156"/>
  <c r="C9" i="156"/>
  <c r="D9" i="156"/>
  <c r="E9" i="156"/>
  <c r="F9" i="156"/>
  <c r="G9" i="156"/>
  <c r="H9" i="156"/>
  <c r="I9" i="156"/>
  <c r="K9" i="156"/>
  <c r="L9" i="156"/>
  <c r="M9" i="156"/>
  <c r="P9" i="156"/>
  <c r="Q9" i="156"/>
  <c r="R9" i="156"/>
  <c r="B10" i="156"/>
  <c r="C10" i="156"/>
  <c r="D10" i="156"/>
  <c r="E10" i="156"/>
  <c r="F10" i="156"/>
  <c r="G10" i="156"/>
  <c r="H10" i="156"/>
  <c r="I10" i="156"/>
  <c r="K10" i="156"/>
  <c r="L10" i="156"/>
  <c r="M10" i="156"/>
  <c r="P10" i="156"/>
  <c r="Q10" i="156"/>
  <c r="R10" i="156"/>
  <c r="B11" i="156"/>
  <c r="C11" i="156"/>
  <c r="D11" i="156"/>
  <c r="E11" i="156"/>
  <c r="F11" i="156"/>
  <c r="G11" i="156"/>
  <c r="H11" i="156"/>
  <c r="I11" i="156"/>
  <c r="K11" i="156"/>
  <c r="L11" i="156"/>
  <c r="M11" i="156"/>
  <c r="P11" i="156"/>
  <c r="Q11" i="156"/>
  <c r="R11" i="156"/>
  <c r="B12" i="156"/>
  <c r="C12" i="156"/>
  <c r="D12" i="156"/>
  <c r="E12" i="156"/>
  <c r="F12" i="156"/>
  <c r="G12" i="156"/>
  <c r="H12" i="156"/>
  <c r="I12" i="156"/>
  <c r="K12" i="156"/>
  <c r="L12" i="156"/>
  <c r="M12" i="156"/>
  <c r="N12" i="156"/>
  <c r="P12" i="156"/>
  <c r="Q12" i="156"/>
  <c r="R12" i="156"/>
  <c r="B13" i="156"/>
  <c r="C13" i="156"/>
  <c r="D13" i="156"/>
  <c r="E13" i="156"/>
  <c r="F13" i="156"/>
  <c r="G13" i="156"/>
  <c r="H13" i="156"/>
  <c r="I13" i="156"/>
  <c r="K13" i="156"/>
  <c r="L13" i="156"/>
  <c r="M13" i="156"/>
  <c r="P13" i="156"/>
  <c r="Q13" i="156"/>
  <c r="R13" i="156"/>
  <c r="B14" i="156"/>
  <c r="C14" i="156"/>
  <c r="D14" i="156"/>
  <c r="E14" i="156"/>
  <c r="F14" i="156"/>
  <c r="G14" i="156"/>
  <c r="H14" i="156"/>
  <c r="I14" i="156"/>
  <c r="K14" i="156"/>
  <c r="L14" i="156"/>
  <c r="M14" i="156"/>
  <c r="P14" i="156"/>
  <c r="Q14" i="156"/>
  <c r="R14" i="156"/>
  <c r="C6" i="156"/>
  <c r="D6" i="156"/>
  <c r="E6" i="156"/>
  <c r="F6" i="156"/>
  <c r="G6" i="156"/>
  <c r="H6" i="156"/>
  <c r="I6" i="156"/>
  <c r="K6" i="156"/>
  <c r="L6" i="156"/>
  <c r="M6" i="156"/>
  <c r="P6" i="156"/>
  <c r="Q6" i="156"/>
  <c r="R6" i="156"/>
  <c r="B6" i="156"/>
  <c r="S7" i="182"/>
  <c r="S7" i="155" s="1"/>
  <c r="S8" i="182"/>
  <c r="S8" i="155" s="1"/>
  <c r="S9" i="182"/>
  <c r="S10" i="182"/>
  <c r="S10" i="155" s="1"/>
  <c r="S11" i="182"/>
  <c r="S11" i="155" s="1"/>
  <c r="S12" i="182"/>
  <c r="S12" i="155" s="1"/>
  <c r="S13" i="182"/>
  <c r="S13" i="155" s="1"/>
  <c r="S14" i="182"/>
  <c r="S6" i="182"/>
  <c r="S6" i="155" s="1"/>
  <c r="B7" i="185"/>
  <c r="B7" i="158" s="1"/>
  <c r="B8" i="185"/>
  <c r="B8" i="158" s="1"/>
  <c r="B9" i="185"/>
  <c r="B9" i="158" s="1"/>
  <c r="B10" i="185"/>
  <c r="B10" i="158" s="1"/>
  <c r="B11" i="185"/>
  <c r="B11" i="158" s="1"/>
  <c r="B12" i="185"/>
  <c r="B12" i="158" s="1"/>
  <c r="B13" i="185"/>
  <c r="B13" i="158" s="1"/>
  <c r="B14" i="185"/>
  <c r="B14" i="158" s="1"/>
  <c r="B6" i="185"/>
  <c r="B6" i="158" s="1"/>
  <c r="B10" i="184"/>
  <c r="B10" i="157" s="1"/>
  <c r="B11" i="184"/>
  <c r="B11" i="157" s="1"/>
  <c r="B12" i="184"/>
  <c r="B12" i="157" s="1"/>
  <c r="B13" i="184"/>
  <c r="B13" i="157" s="1"/>
  <c r="B14" i="184"/>
  <c r="B14" i="157" s="1"/>
  <c r="B15" i="184"/>
  <c r="B15" i="157" s="1"/>
  <c r="B16" i="184"/>
  <c r="B16" i="157" s="1"/>
  <c r="B17" i="184"/>
  <c r="B17" i="157" s="1"/>
  <c r="B9" i="184"/>
  <c r="B9" i="157" s="1"/>
  <c r="B7" i="182"/>
  <c r="B7" i="155" s="1"/>
  <c r="B8" i="182"/>
  <c r="B8" i="155" s="1"/>
  <c r="B9" i="182"/>
  <c r="B9" i="155" s="1"/>
  <c r="B10" i="182"/>
  <c r="B10" i="155" s="1"/>
  <c r="B11" i="182"/>
  <c r="B11" i="155" s="1"/>
  <c r="B12" i="182"/>
  <c r="B12" i="155" s="1"/>
  <c r="B13" i="182"/>
  <c r="B13" i="155" s="1"/>
  <c r="B14" i="182"/>
  <c r="B14" i="155" s="1"/>
  <c r="B6" i="182"/>
  <c r="B6" i="155" s="1"/>
  <c r="P15" i="182"/>
  <c r="P15" i="155" s="1"/>
  <c r="Q15" i="182"/>
  <c r="Q15" i="155" s="1"/>
  <c r="R15" i="182"/>
  <c r="R15" i="155" s="1"/>
  <c r="L15" i="155"/>
  <c r="K7" i="182"/>
  <c r="M7" i="182" s="1"/>
  <c r="K12" i="182"/>
  <c r="K12" i="155" s="1"/>
  <c r="K13" i="182"/>
  <c r="K13" i="155" s="1"/>
  <c r="K6" i="182"/>
  <c r="K6" i="155" s="1"/>
  <c r="E7" i="182"/>
  <c r="E7" i="155" s="1"/>
  <c r="E8" i="182"/>
  <c r="E8" i="155" s="1"/>
  <c r="E9" i="182"/>
  <c r="E9" i="155" s="1"/>
  <c r="E10" i="182"/>
  <c r="E10" i="155" s="1"/>
  <c r="E11" i="182"/>
  <c r="E11" i="155" s="1"/>
  <c r="E12" i="182"/>
  <c r="E12" i="155" s="1"/>
  <c r="E13" i="182"/>
  <c r="E13" i="155" s="1"/>
  <c r="E14" i="182"/>
  <c r="E14" i="155" s="1"/>
  <c r="E6" i="182"/>
  <c r="E6" i="155" s="1"/>
  <c r="G15" i="155"/>
  <c r="I15" i="155"/>
  <c r="G7" i="155"/>
  <c r="I7" i="155"/>
  <c r="L7" i="155"/>
  <c r="P7" i="155"/>
  <c r="Q7" i="155"/>
  <c r="R7" i="155"/>
  <c r="G8" i="155"/>
  <c r="I8" i="155"/>
  <c r="L8" i="155"/>
  <c r="P8" i="155"/>
  <c r="Q8" i="155"/>
  <c r="R8" i="155"/>
  <c r="G9" i="155"/>
  <c r="I9" i="155"/>
  <c r="L9" i="155"/>
  <c r="P9" i="155"/>
  <c r="Q9" i="155"/>
  <c r="R9" i="155"/>
  <c r="S9" i="155"/>
  <c r="G10" i="155"/>
  <c r="I10" i="155"/>
  <c r="L10" i="155"/>
  <c r="P10" i="155"/>
  <c r="Q10" i="155"/>
  <c r="R10" i="155"/>
  <c r="G11" i="155"/>
  <c r="I11" i="155"/>
  <c r="L11" i="155"/>
  <c r="P11" i="155"/>
  <c r="Q11" i="155"/>
  <c r="R11" i="155"/>
  <c r="G12" i="155"/>
  <c r="I12" i="155"/>
  <c r="L12" i="155"/>
  <c r="P12" i="155"/>
  <c r="Q12" i="155"/>
  <c r="R12" i="155"/>
  <c r="G13" i="155"/>
  <c r="I13" i="155"/>
  <c r="L13" i="155"/>
  <c r="P13" i="155"/>
  <c r="Q13" i="155"/>
  <c r="R13" i="155"/>
  <c r="G14" i="155"/>
  <c r="I14" i="155"/>
  <c r="L14" i="155"/>
  <c r="P14" i="155"/>
  <c r="Q14" i="155"/>
  <c r="R14" i="155"/>
  <c r="S14" i="155"/>
  <c r="G6" i="155"/>
  <c r="I6" i="155"/>
  <c r="L6" i="155"/>
  <c r="P6" i="155"/>
  <c r="Q6" i="155"/>
  <c r="R6" i="155"/>
  <c r="L10" i="181"/>
  <c r="L10" i="154" s="1"/>
  <c r="L9" i="181"/>
  <c r="L9" i="154" s="1"/>
  <c r="L8" i="181"/>
  <c r="L8" i="154" s="1"/>
  <c r="L7" i="181"/>
  <c r="L7" i="154" s="1"/>
  <c r="L6" i="181"/>
  <c r="L6" i="154" s="1"/>
  <c r="D6" i="154"/>
  <c r="C11" i="181"/>
  <c r="C11" i="154" s="1"/>
  <c r="F7" i="181"/>
  <c r="F7" i="154" s="1"/>
  <c r="F8" i="181"/>
  <c r="F8" i="154" s="1"/>
  <c r="F9" i="181"/>
  <c r="M9" i="181" s="1"/>
  <c r="M9" i="154" s="1"/>
  <c r="F10" i="181"/>
  <c r="F10" i="154" s="1"/>
  <c r="F11" i="181"/>
  <c r="F11" i="154" s="1"/>
  <c r="F6" i="181"/>
  <c r="F6" i="154" s="1"/>
  <c r="K15" i="154"/>
  <c r="K16" i="154"/>
  <c r="K14" i="154"/>
  <c r="K10" i="154"/>
  <c r="K7" i="154"/>
  <c r="K8" i="154"/>
  <c r="K9" i="154"/>
  <c r="J7" i="154"/>
  <c r="J8" i="154"/>
  <c r="J9" i="154"/>
  <c r="I8" i="154"/>
  <c r="I7" i="154"/>
  <c r="H7" i="154"/>
  <c r="D7" i="154"/>
  <c r="E7" i="154"/>
  <c r="D8" i="154"/>
  <c r="E8" i="154"/>
  <c r="D9" i="154"/>
  <c r="E9" i="154"/>
  <c r="D10" i="154"/>
  <c r="E10" i="154"/>
  <c r="E11" i="154"/>
  <c r="E6" i="154"/>
  <c r="G6" i="154"/>
  <c r="H6" i="154"/>
  <c r="I6" i="154"/>
  <c r="J6" i="154"/>
  <c r="K6" i="154"/>
  <c r="K10" i="143"/>
  <c r="C11" i="143"/>
  <c r="C10" i="143" s="1"/>
  <c r="C9" i="143" s="1"/>
  <c r="C8" i="143" s="1"/>
  <c r="C7" i="143" s="1"/>
  <c r="C6" i="143" s="1"/>
  <c r="J31" i="136"/>
  <c r="J30" i="136"/>
  <c r="C31" i="136"/>
  <c r="D31" i="136"/>
  <c r="G31" i="136"/>
  <c r="G30" i="136"/>
  <c r="D30" i="136"/>
  <c r="C30" i="136"/>
  <c r="O27" i="30"/>
  <c r="O26" i="30"/>
  <c r="K27" i="30"/>
  <c r="E31" i="136" s="1"/>
  <c r="K26" i="30"/>
  <c r="E30" i="136" s="1"/>
  <c r="E27" i="30"/>
  <c r="F31" i="136" s="1"/>
  <c r="E26" i="30"/>
  <c r="F30" i="136" s="1"/>
  <c r="N25" i="30"/>
  <c r="M25" i="30"/>
  <c r="G25" i="30"/>
  <c r="I25" i="30"/>
  <c r="J25" i="30"/>
  <c r="F25" i="30"/>
  <c r="D25" i="30"/>
  <c r="C25" i="30"/>
  <c r="J26" i="136"/>
  <c r="J27" i="136"/>
  <c r="J28" i="136"/>
  <c r="J25" i="136"/>
  <c r="J18" i="136"/>
  <c r="J19" i="136"/>
  <c r="J20" i="136"/>
  <c r="J21" i="136"/>
  <c r="J22" i="136"/>
  <c r="J23" i="136"/>
  <c r="J17" i="136"/>
  <c r="N17" i="30"/>
  <c r="N12" i="30"/>
  <c r="N7" i="30" s="1"/>
  <c r="J15" i="136"/>
  <c r="J14" i="136"/>
  <c r="J8" i="136"/>
  <c r="J9" i="136"/>
  <c r="J10" i="136"/>
  <c r="J11" i="136"/>
  <c r="J7" i="136"/>
  <c r="H8" i="136"/>
  <c r="H9" i="136"/>
  <c r="H10" i="136"/>
  <c r="H11" i="136"/>
  <c r="H7" i="136"/>
  <c r="H15" i="136"/>
  <c r="H14" i="136"/>
  <c r="G15" i="136"/>
  <c r="G14" i="136"/>
  <c r="D15" i="136"/>
  <c r="D14" i="136"/>
  <c r="F25" i="28"/>
  <c r="E15" i="136" s="1"/>
  <c r="F24" i="28"/>
  <c r="E26" i="28"/>
  <c r="D26" i="28"/>
  <c r="C26" i="28"/>
  <c r="F15" i="28"/>
  <c r="G15" i="28" s="1"/>
  <c r="F15" i="136" s="1"/>
  <c r="F14" i="28"/>
  <c r="G14" i="28" s="1"/>
  <c r="F14" i="136" s="1"/>
  <c r="D16" i="28"/>
  <c r="E16" i="28"/>
  <c r="C16" i="28"/>
  <c r="K11" i="182" l="1"/>
  <c r="N9" i="145"/>
  <c r="F26" i="28"/>
  <c r="M31" i="90" a="1"/>
  <c r="M31" i="90" s="1"/>
  <c r="C34" i="170"/>
  <c r="C34" i="142" s="1"/>
  <c r="F25" i="119" s="1"/>
  <c r="O6" i="183"/>
  <c r="C5" i="142"/>
  <c r="H6" i="158"/>
  <c r="G6" i="139"/>
  <c r="M36" i="90" a="1"/>
  <c r="M36" i="90" s="1"/>
  <c r="M30" i="90" a="1"/>
  <c r="M30" i="90" s="1"/>
  <c r="K9" i="182"/>
  <c r="K9" i="155" s="1"/>
  <c r="J12" i="156"/>
  <c r="F9" i="157"/>
  <c r="D14" i="166"/>
  <c r="D14" i="138" s="1"/>
  <c r="E25" i="30"/>
  <c r="J6" i="156"/>
  <c r="J7" i="156"/>
  <c r="F5" i="149"/>
  <c r="K8" i="182"/>
  <c r="M8" i="182" s="1"/>
  <c r="M8" i="155" s="1"/>
  <c r="J11" i="156"/>
  <c r="J9" i="156"/>
  <c r="M8" i="181"/>
  <c r="N8" i="181" s="1"/>
  <c r="N8" i="154" s="1"/>
  <c r="Q13" i="172"/>
  <c r="Q13" i="145" s="1"/>
  <c r="F9" i="154"/>
  <c r="D53" i="197"/>
  <c r="O15" i="185"/>
  <c r="O15" i="158" s="1"/>
  <c r="T18" i="184"/>
  <c r="T18" i="157" s="1"/>
  <c r="O7" i="158"/>
  <c r="E5" i="170"/>
  <c r="E5" i="142" s="1"/>
  <c r="J10" i="156"/>
  <c r="T15" i="148"/>
  <c r="F24" i="119"/>
  <c r="G24" i="119" s="1"/>
  <c r="E107" i="197"/>
  <c r="E74" i="197"/>
  <c r="H5" i="176"/>
  <c r="H5" i="149" s="1"/>
  <c r="F39" i="119"/>
  <c r="G39" i="119" s="1"/>
  <c r="F40" i="119"/>
  <c r="G40" i="119" s="1"/>
  <c r="R15" i="185"/>
  <c r="R15" i="158" s="1"/>
  <c r="F37" i="119"/>
  <c r="C37" i="119" s="1"/>
  <c r="G29" i="119"/>
  <c r="G11" i="187"/>
  <c r="G11" i="160" s="1"/>
  <c r="G15" i="187"/>
  <c r="G15" i="160" s="1"/>
  <c r="G19" i="187"/>
  <c r="G19" i="160" s="1"/>
  <c r="G9" i="187"/>
  <c r="G10" i="187"/>
  <c r="G10" i="160" s="1"/>
  <c r="G22" i="187"/>
  <c r="G22" i="160" s="1"/>
  <c r="G12" i="187"/>
  <c r="G12" i="160" s="1"/>
  <c r="G16" i="187"/>
  <c r="G16" i="160" s="1"/>
  <c r="G20" i="187"/>
  <c r="G20" i="160" s="1"/>
  <c r="G18" i="187"/>
  <c r="G18" i="160" s="1"/>
  <c r="G13" i="187"/>
  <c r="G13" i="160" s="1"/>
  <c r="G17" i="187"/>
  <c r="G17" i="160" s="1"/>
  <c r="G21" i="187"/>
  <c r="G21" i="160" s="1"/>
  <c r="G14" i="187"/>
  <c r="G14" i="160" s="1"/>
  <c r="G30" i="119"/>
  <c r="C30" i="119"/>
  <c r="F41" i="119"/>
  <c r="D10" i="121"/>
  <c r="C36" i="128"/>
  <c r="C23" i="119"/>
  <c r="G23" i="119"/>
  <c r="G36" i="119"/>
  <c r="C36" i="119"/>
  <c r="F38" i="119"/>
  <c r="H15" i="185"/>
  <c r="H15" i="158" s="1"/>
  <c r="D15" i="166"/>
  <c r="D15" i="138" s="1"/>
  <c r="S6" i="183"/>
  <c r="D6" i="182" s="1"/>
  <c r="C15" i="136"/>
  <c r="M10" i="181"/>
  <c r="N10" i="181" s="1"/>
  <c r="N10" i="154" s="1"/>
  <c r="D23" i="160"/>
  <c r="G11" i="139"/>
  <c r="Q9" i="172"/>
  <c r="Q9" i="145" s="1"/>
  <c r="M7" i="181"/>
  <c r="M7" i="154" s="1"/>
  <c r="C21" i="144"/>
  <c r="O14" i="156"/>
  <c r="S14" i="183"/>
  <c r="C14" i="182"/>
  <c r="C14" i="155" s="1"/>
  <c r="C10" i="182"/>
  <c r="C10" i="155" s="1"/>
  <c r="S10" i="183"/>
  <c r="O10" i="156"/>
  <c r="S12" i="183"/>
  <c r="C12" i="182"/>
  <c r="C12" i="155" s="1"/>
  <c r="O12" i="156"/>
  <c r="C13" i="182"/>
  <c r="C13" i="155" s="1"/>
  <c r="S13" i="183"/>
  <c r="O13" i="156"/>
  <c r="C9" i="182"/>
  <c r="C9" i="155" s="1"/>
  <c r="O9" i="156"/>
  <c r="S9" i="183"/>
  <c r="C25" i="139"/>
  <c r="C13" i="166"/>
  <c r="C13" i="138" s="1"/>
  <c r="P7" i="172"/>
  <c r="N7" i="145"/>
  <c r="H21" i="167"/>
  <c r="G21" i="139"/>
  <c r="D17" i="166"/>
  <c r="D17" i="138" s="1"/>
  <c r="M15" i="175"/>
  <c r="M15" i="148" s="1"/>
  <c r="D34" i="170"/>
  <c r="D5" i="142"/>
  <c r="H16" i="167"/>
  <c r="G16" i="139"/>
  <c r="D16" i="166"/>
  <c r="D16" i="138" s="1"/>
  <c r="L18" i="184"/>
  <c r="L18" i="157" s="1"/>
  <c r="K15" i="136"/>
  <c r="N9" i="181"/>
  <c r="N9" i="154" s="1"/>
  <c r="C11" i="182"/>
  <c r="C11" i="155" s="1"/>
  <c r="C7" i="182"/>
  <c r="C7" i="155" s="1"/>
  <c r="K14" i="182"/>
  <c r="K14" i="155" s="1"/>
  <c r="K10" i="182"/>
  <c r="K10" i="155" s="1"/>
  <c r="J13" i="156"/>
  <c r="N15" i="183"/>
  <c r="N15" i="156" s="1"/>
  <c r="O8" i="183"/>
  <c r="R6" i="158"/>
  <c r="E15" i="166"/>
  <c r="E15" i="138" s="1"/>
  <c r="I19" i="168"/>
  <c r="I19" i="140" s="1"/>
  <c r="P11" i="172"/>
  <c r="N11" i="145"/>
  <c r="E44" i="176"/>
  <c r="E44" i="149" s="1"/>
  <c r="E5" i="149"/>
  <c r="M6" i="181"/>
  <c r="M6" i="154" s="1"/>
  <c r="E14" i="136"/>
  <c r="J29" i="136"/>
  <c r="K25" i="30"/>
  <c r="K30" i="136"/>
  <c r="K31" i="136"/>
  <c r="S15" i="182"/>
  <c r="S15" i="155" s="1"/>
  <c r="J14" i="156"/>
  <c r="O7" i="156"/>
  <c r="N15" i="185"/>
  <c r="N15" i="158" s="1"/>
  <c r="P15" i="185"/>
  <c r="P15" i="158" s="1"/>
  <c r="I44" i="176"/>
  <c r="I44" i="149" s="1"/>
  <c r="I5" i="149"/>
  <c r="E14" i="166"/>
  <c r="E14" i="138" s="1"/>
  <c r="H6" i="139"/>
  <c r="F18" i="184"/>
  <c r="F18" i="157" s="1"/>
  <c r="Q15" i="185"/>
  <c r="Q15" i="158" s="1"/>
  <c r="C14" i="136"/>
  <c r="O11" i="156"/>
  <c r="G25" i="167"/>
  <c r="K14" i="136"/>
  <c r="S8" i="185"/>
  <c r="S8" i="158" s="1"/>
  <c r="E15" i="182"/>
  <c r="E15" i="155" s="1"/>
  <c r="M12" i="182"/>
  <c r="S12" i="185" s="1"/>
  <c r="S12" i="158" s="1"/>
  <c r="M6" i="182"/>
  <c r="S6" i="185" s="1"/>
  <c r="S7" i="185"/>
  <c r="T7" i="185" s="1"/>
  <c r="T7" i="158" s="1"/>
  <c r="C10" i="181"/>
  <c r="C8" i="159"/>
  <c r="O14" i="158"/>
  <c r="O10" i="158"/>
  <c r="O8" i="158"/>
  <c r="D11" i="182"/>
  <c r="D7" i="182"/>
  <c r="M7" i="155"/>
  <c r="N7" i="182"/>
  <c r="K7" i="155"/>
  <c r="M13" i="182"/>
  <c r="S13" i="185" s="1"/>
  <c r="J15" i="183"/>
  <c r="J15" i="156" s="1"/>
  <c r="O25" i="30"/>
  <c r="F16" i="28"/>
  <c r="M9" i="182" l="1"/>
  <c r="S9" i="185" s="1"/>
  <c r="K8" i="155"/>
  <c r="H44" i="176"/>
  <c r="H44" i="149" s="1"/>
  <c r="F32" i="119" s="1"/>
  <c r="M11" i="182"/>
  <c r="K11" i="155"/>
  <c r="M33" i="90" a="1"/>
  <c r="M33" i="90" s="1"/>
  <c r="C6" i="182"/>
  <c r="N8" i="182"/>
  <c r="O8" i="182" s="1"/>
  <c r="S6" i="156"/>
  <c r="O6" i="156"/>
  <c r="G9" i="160"/>
  <c r="M41" i="90" a="1"/>
  <c r="M41" i="90" s="1"/>
  <c r="M25" i="90" a="1"/>
  <c r="M25" i="90" s="1"/>
  <c r="M32" i="90" a="1"/>
  <c r="M32" i="90" s="1"/>
  <c r="M8" i="154"/>
  <c r="C24" i="119"/>
  <c r="M10" i="154"/>
  <c r="C39" i="119"/>
  <c r="D103" i="197"/>
  <c r="D68" i="197"/>
  <c r="C40" i="119"/>
  <c r="G37" i="119"/>
  <c r="G32" i="119"/>
  <c r="C32" i="119"/>
  <c r="G41" i="119"/>
  <c r="C41" i="119"/>
  <c r="C38" i="119"/>
  <c r="G38" i="119"/>
  <c r="M14" i="182"/>
  <c r="M14" i="155" s="1"/>
  <c r="S7" i="158"/>
  <c r="N7" i="181"/>
  <c r="N7" i="154" s="1"/>
  <c r="K15" i="182"/>
  <c r="K15" i="155" s="1"/>
  <c r="N14" i="182"/>
  <c r="O14" i="182" s="1"/>
  <c r="M12" i="155"/>
  <c r="T8" i="185"/>
  <c r="T8" i="158" s="1"/>
  <c r="N12" i="182"/>
  <c r="O12" i="182" s="1"/>
  <c r="M10" i="182"/>
  <c r="M10" i="155" s="1"/>
  <c r="S10" i="156"/>
  <c r="D10" i="182"/>
  <c r="P11" i="145"/>
  <c r="Q11" i="172"/>
  <c r="Q11" i="145" s="1"/>
  <c r="E16" i="166"/>
  <c r="E16" i="138" s="1"/>
  <c r="H16" i="139"/>
  <c r="H25" i="167"/>
  <c r="M24" i="90" s="1" a="1"/>
  <c r="M24" i="90" s="1"/>
  <c r="F6" i="182"/>
  <c r="D6" i="155"/>
  <c r="S14" i="156"/>
  <c r="D14" i="182"/>
  <c r="P7" i="145"/>
  <c r="P15" i="172"/>
  <c r="Q7" i="172"/>
  <c r="Q7" i="145" s="1"/>
  <c r="O8" i="156"/>
  <c r="C8" i="182"/>
  <c r="S8" i="183"/>
  <c r="O15" i="183"/>
  <c r="O15" i="156" s="1"/>
  <c r="E17" i="166"/>
  <c r="E17" i="138" s="1"/>
  <c r="H21" i="139"/>
  <c r="D9" i="182"/>
  <c r="S9" i="156"/>
  <c r="D13" i="182"/>
  <c r="S13" i="156"/>
  <c r="D12" i="182"/>
  <c r="S12" i="156"/>
  <c r="G23" i="187"/>
  <c r="G23" i="160" s="1"/>
  <c r="N10" i="182"/>
  <c r="N10" i="155" s="1"/>
  <c r="D13" i="166"/>
  <c r="G25" i="139"/>
  <c r="D34" i="142"/>
  <c r="E34" i="170"/>
  <c r="E34" i="142" s="1"/>
  <c r="C18" i="166"/>
  <c r="C18" i="138" s="1"/>
  <c r="S13" i="158"/>
  <c r="T13" i="185"/>
  <c r="T13" i="158" s="1"/>
  <c r="N6" i="182"/>
  <c r="M6" i="155"/>
  <c r="T12" i="185"/>
  <c r="T12" i="158" s="1"/>
  <c r="S9" i="158"/>
  <c r="T9" i="185"/>
  <c r="T9" i="158" s="1"/>
  <c r="T6" i="185"/>
  <c r="S6" i="158"/>
  <c r="C10" i="154"/>
  <c r="C9" i="181"/>
  <c r="D11" i="155"/>
  <c r="F11" i="182"/>
  <c r="D7" i="155"/>
  <c r="F7" i="182"/>
  <c r="N14" i="155"/>
  <c r="N13" i="182"/>
  <c r="M13" i="155"/>
  <c r="N7" i="155"/>
  <c r="O7" i="182"/>
  <c r="M9" i="155"/>
  <c r="N9" i="182"/>
  <c r="C21" i="124"/>
  <c r="C22" i="124"/>
  <c r="C23" i="124"/>
  <c r="C24" i="124"/>
  <c r="C25" i="124"/>
  <c r="C26" i="124"/>
  <c r="C27" i="124"/>
  <c r="C28" i="124"/>
  <c r="C20" i="124"/>
  <c r="D31" i="53"/>
  <c r="D36" i="53" s="1"/>
  <c r="C31" i="53"/>
  <c r="C36" i="53" s="1"/>
  <c r="E27" i="53"/>
  <c r="C25" i="128" s="1"/>
  <c r="D47" i="197" s="1"/>
  <c r="E28" i="53"/>
  <c r="E29" i="53"/>
  <c r="E30" i="53"/>
  <c r="E32" i="53"/>
  <c r="E33" i="53"/>
  <c r="G18" i="136"/>
  <c r="G19" i="136"/>
  <c r="G20" i="136"/>
  <c r="G21" i="136"/>
  <c r="G22" i="136"/>
  <c r="G23" i="136"/>
  <c r="G17" i="136"/>
  <c r="D18" i="136"/>
  <c r="D19" i="136"/>
  <c r="D20" i="136"/>
  <c r="D21" i="136"/>
  <c r="D22" i="136"/>
  <c r="D23" i="136"/>
  <c r="D17" i="136"/>
  <c r="C18" i="136"/>
  <c r="C19" i="136"/>
  <c r="C20" i="136"/>
  <c r="C21" i="136"/>
  <c r="C22" i="136"/>
  <c r="C23" i="136"/>
  <c r="C17" i="136"/>
  <c r="O22" i="30"/>
  <c r="K21" i="30"/>
  <c r="E20" i="136" s="1"/>
  <c r="K22" i="30"/>
  <c r="E21" i="136" s="1"/>
  <c r="K23" i="30"/>
  <c r="E22" i="136" s="1"/>
  <c r="E21" i="30"/>
  <c r="F20" i="136" s="1"/>
  <c r="E22" i="30"/>
  <c r="F21" i="136" s="1"/>
  <c r="G26" i="136"/>
  <c r="G27" i="136"/>
  <c r="G28" i="136"/>
  <c r="G25" i="136"/>
  <c r="D26" i="136"/>
  <c r="D27" i="136"/>
  <c r="D28" i="136"/>
  <c r="K28" i="136" s="1"/>
  <c r="D25" i="136"/>
  <c r="C26" i="136"/>
  <c r="C27" i="136"/>
  <c r="C28" i="136"/>
  <c r="C25" i="136"/>
  <c r="O11" i="30"/>
  <c r="K11" i="30"/>
  <c r="E28" i="136" s="1"/>
  <c r="E11" i="30"/>
  <c r="F28" i="136" s="1"/>
  <c r="J24" i="136"/>
  <c r="N11" i="182" l="1"/>
  <c r="M11" i="155"/>
  <c r="S11" i="185"/>
  <c r="K27" i="136"/>
  <c r="S14" i="185"/>
  <c r="N8" i="155"/>
  <c r="C6" i="155"/>
  <c r="M27" i="90" a="1"/>
  <c r="M27" i="90" s="1"/>
  <c r="N12" i="155"/>
  <c r="D37" i="53"/>
  <c r="H36" i="53"/>
  <c r="O10" i="182"/>
  <c r="T10" i="182" s="1"/>
  <c r="T10" i="155" s="1"/>
  <c r="M15" i="182"/>
  <c r="M15" i="155" s="1"/>
  <c r="S10" i="185"/>
  <c r="S10" i="158" s="1"/>
  <c r="K26" i="136"/>
  <c r="D18" i="166"/>
  <c r="D18" i="138" s="1"/>
  <c r="D13" i="138"/>
  <c r="F12" i="182"/>
  <c r="D12" i="155"/>
  <c r="D9" i="155"/>
  <c r="F9" i="182"/>
  <c r="S8" i="156"/>
  <c r="D8" i="182"/>
  <c r="S15" i="183"/>
  <c r="S15" i="156" s="1"/>
  <c r="P15" i="145"/>
  <c r="Q15" i="172"/>
  <c r="F10" i="182"/>
  <c r="D10" i="155"/>
  <c r="K17" i="136"/>
  <c r="K20" i="136"/>
  <c r="F13" i="182"/>
  <c r="D13" i="155"/>
  <c r="D14" i="155"/>
  <c r="F14" i="182"/>
  <c r="E13" i="166"/>
  <c r="H25" i="139"/>
  <c r="F22" i="119" s="1"/>
  <c r="C8" i="155"/>
  <c r="C15" i="182"/>
  <c r="C15" i="155" s="1"/>
  <c r="F6" i="155"/>
  <c r="H6" i="182"/>
  <c r="K22" i="136"/>
  <c r="K18" i="136"/>
  <c r="O6" i="182"/>
  <c r="N6" i="155"/>
  <c r="T6" i="158"/>
  <c r="S14" i="158"/>
  <c r="T14" i="185"/>
  <c r="T14" i="158" s="1"/>
  <c r="C8" i="181"/>
  <c r="C9" i="154"/>
  <c r="H7" i="182"/>
  <c r="F7" i="155"/>
  <c r="F11" i="155"/>
  <c r="H11" i="182"/>
  <c r="O12" i="155"/>
  <c r="T12" i="182"/>
  <c r="T12" i="155" s="1"/>
  <c r="T7" i="182"/>
  <c r="T7" i="155" s="1"/>
  <c r="O7" i="155"/>
  <c r="N13" i="155"/>
  <c r="O13" i="182"/>
  <c r="O14" i="155"/>
  <c r="T14" i="182"/>
  <c r="T14" i="155" s="1"/>
  <c r="O8" i="155"/>
  <c r="T8" i="182"/>
  <c r="T8" i="155" s="1"/>
  <c r="O9" i="182"/>
  <c r="N9" i="155"/>
  <c r="N15" i="182"/>
  <c r="N15" i="155" s="1"/>
  <c r="K23" i="136"/>
  <c r="K21" i="136"/>
  <c r="K19" i="136"/>
  <c r="D40" i="128"/>
  <c r="C19" i="171"/>
  <c r="C40" i="128"/>
  <c r="D42" i="128"/>
  <c r="E41" i="128"/>
  <c r="F74" i="197" s="1"/>
  <c r="F41" i="128"/>
  <c r="F107" i="197" s="1"/>
  <c r="C42" i="128"/>
  <c r="C29" i="124"/>
  <c r="C25" i="171"/>
  <c r="K25" i="136"/>
  <c r="J16" i="136"/>
  <c r="G16" i="136"/>
  <c r="D16" i="136"/>
  <c r="C16" i="136"/>
  <c r="K13" i="136"/>
  <c r="J13" i="136"/>
  <c r="D13" i="136"/>
  <c r="E13" i="136"/>
  <c r="F13" i="136"/>
  <c r="G13" i="136"/>
  <c r="H13" i="136"/>
  <c r="C13" i="136"/>
  <c r="J6" i="136"/>
  <c r="S11" i="158" l="1"/>
  <c r="T11" i="185"/>
  <c r="T11" i="158" s="1"/>
  <c r="N11" i="155"/>
  <c r="O11" i="182"/>
  <c r="M40" i="90" a="1"/>
  <c r="M40" i="90" s="1"/>
  <c r="Q15" i="145"/>
  <c r="M29" i="90" a="1"/>
  <c r="M29" i="90" s="1"/>
  <c r="E108" i="197"/>
  <c r="E75" i="197"/>
  <c r="D106" i="197"/>
  <c r="D73" i="197"/>
  <c r="E106" i="197"/>
  <c r="E73" i="197"/>
  <c r="D108" i="197"/>
  <c r="D75" i="197"/>
  <c r="G25" i="119"/>
  <c r="C25" i="119"/>
  <c r="O10" i="155"/>
  <c r="C22" i="119"/>
  <c r="G22" i="119"/>
  <c r="T10" i="185"/>
  <c r="T10" i="158" s="1"/>
  <c r="S15" i="185"/>
  <c r="S15" i="158" s="1"/>
  <c r="H9" i="182"/>
  <c r="F9" i="155"/>
  <c r="K16" i="136"/>
  <c r="H14" i="182"/>
  <c r="F14" i="155"/>
  <c r="F12" i="155"/>
  <c r="H12" i="182"/>
  <c r="H6" i="155"/>
  <c r="J6" i="182"/>
  <c r="J6" i="155" s="1"/>
  <c r="E18" i="166"/>
  <c r="E13" i="138"/>
  <c r="H13" i="182"/>
  <c r="F13" i="155"/>
  <c r="H10" i="182"/>
  <c r="F10" i="155"/>
  <c r="F8" i="182"/>
  <c r="D8" i="155"/>
  <c r="D15" i="182"/>
  <c r="D15" i="155" s="1"/>
  <c r="O6" i="155"/>
  <c r="T6" i="182"/>
  <c r="T6" i="155" s="1"/>
  <c r="C24" i="171"/>
  <c r="C24" i="144" s="1"/>
  <c r="C25" i="144"/>
  <c r="C19" i="144"/>
  <c r="C18" i="171"/>
  <c r="C18" i="144" s="1"/>
  <c r="C7" i="181"/>
  <c r="C8" i="154"/>
  <c r="J11" i="182"/>
  <c r="J11" i="155" s="1"/>
  <c r="H11" i="155"/>
  <c r="J7" i="182"/>
  <c r="H7" i="155"/>
  <c r="O13" i="155"/>
  <c r="T13" i="182"/>
  <c r="T13" i="155" s="1"/>
  <c r="O9" i="155"/>
  <c r="T9" i="182"/>
  <c r="T9" i="155" s="1"/>
  <c r="O15" i="182"/>
  <c r="O15" i="155" s="1"/>
  <c r="E40" i="128"/>
  <c r="F73" i="197" s="1"/>
  <c r="C6" i="171"/>
  <c r="F42" i="128"/>
  <c r="F108" i="197" s="1"/>
  <c r="J32" i="136"/>
  <c r="D37" i="128"/>
  <c r="E42" i="128"/>
  <c r="F75" i="197" s="1"/>
  <c r="T11" i="182" l="1"/>
  <c r="T11" i="155" s="1"/>
  <c r="O11" i="155"/>
  <c r="E18" i="138"/>
  <c r="F21" i="119" s="1"/>
  <c r="C21" i="119" s="1"/>
  <c r="M23" i="90" a="1"/>
  <c r="M23" i="90" s="1"/>
  <c r="T15" i="185"/>
  <c r="E104" i="197"/>
  <c r="E69" i="197"/>
  <c r="G21" i="119"/>
  <c r="J9" i="182"/>
  <c r="J9" i="155" s="1"/>
  <c r="H9" i="155"/>
  <c r="H10" i="155"/>
  <c r="J10" i="182"/>
  <c r="J10" i="155" s="1"/>
  <c r="J12" i="182"/>
  <c r="J12" i="155" s="1"/>
  <c r="H12" i="155"/>
  <c r="H8" i="182"/>
  <c r="F8" i="155"/>
  <c r="F15" i="182"/>
  <c r="F15" i="155" s="1"/>
  <c r="J13" i="182"/>
  <c r="J13" i="155" s="1"/>
  <c r="H13" i="155"/>
  <c r="H14" i="155"/>
  <c r="J14" i="182"/>
  <c r="J14" i="155" s="1"/>
  <c r="C4" i="171"/>
  <c r="C6" i="144"/>
  <c r="F40" i="128"/>
  <c r="F106" i="197" s="1"/>
  <c r="C6" i="181"/>
  <c r="C6" i="154" s="1"/>
  <c r="C7" i="154"/>
  <c r="J7" i="155"/>
  <c r="T15" i="182"/>
  <c r="T15" i="155" s="1"/>
  <c r="G13" i="135"/>
  <c r="B13" i="135"/>
  <c r="G12" i="135"/>
  <c r="B12" i="135"/>
  <c r="G11" i="135"/>
  <c r="B11" i="135"/>
  <c r="G10" i="135"/>
  <c r="B10" i="135"/>
  <c r="G9" i="135"/>
  <c r="B9" i="135"/>
  <c r="G8" i="135"/>
  <c r="B8" i="135"/>
  <c r="G7" i="135"/>
  <c r="B7" i="135"/>
  <c r="G6" i="135"/>
  <c r="B6" i="135"/>
  <c r="C14" i="134"/>
  <c r="C13" i="134"/>
  <c r="C11" i="134"/>
  <c r="C5" i="134"/>
  <c r="F16" i="133"/>
  <c r="C16" i="133"/>
  <c r="C10" i="133"/>
  <c r="E9" i="133"/>
  <c r="E8" i="133" s="1"/>
  <c r="E17" i="133" s="1"/>
  <c r="C6" i="133"/>
  <c r="E13" i="128"/>
  <c r="F38" i="128"/>
  <c r="E38" i="128"/>
  <c r="E32" i="128"/>
  <c r="F53" i="197" s="1"/>
  <c r="D30" i="128"/>
  <c r="C30" i="128"/>
  <c r="D26" i="128"/>
  <c r="C26" i="128"/>
  <c r="C23" i="128"/>
  <c r="D45" i="197" s="1"/>
  <c r="F15" i="128"/>
  <c r="F91" i="197" s="1"/>
  <c r="E15" i="128"/>
  <c r="F39" i="197" s="1"/>
  <c r="F14" i="128"/>
  <c r="F90" i="197" s="1"/>
  <c r="E14" i="128"/>
  <c r="F37" i="197" s="1"/>
  <c r="K1" i="127"/>
  <c r="C19" i="124"/>
  <c r="D15" i="121" s="1"/>
  <c r="D39" i="121"/>
  <c r="G58" i="195" s="1"/>
  <c r="D17" i="121"/>
  <c r="G36" i="195" s="1"/>
  <c r="E64" i="114"/>
  <c r="D64" i="114"/>
  <c r="E63" i="114"/>
  <c r="D63" i="114"/>
  <c r="F62" i="114"/>
  <c r="E62" i="114"/>
  <c r="D62" i="114"/>
  <c r="E60" i="114"/>
  <c r="F58" i="114"/>
  <c r="E58" i="114"/>
  <c r="D58" i="114"/>
  <c r="E56" i="114"/>
  <c r="F54" i="114"/>
  <c r="E54" i="114"/>
  <c r="D54" i="114"/>
  <c r="E52" i="114"/>
  <c r="F50" i="114"/>
  <c r="E50" i="114"/>
  <c r="D50" i="114"/>
  <c r="E48" i="114"/>
  <c r="F46" i="114"/>
  <c r="E46" i="114"/>
  <c r="D46" i="114"/>
  <c r="E44" i="114"/>
  <c r="F42" i="114"/>
  <c r="E42" i="114"/>
  <c r="D42" i="114"/>
  <c r="E40" i="114"/>
  <c r="F38" i="114"/>
  <c r="E38" i="114"/>
  <c r="D38" i="114"/>
  <c r="E36" i="114"/>
  <c r="F34" i="114"/>
  <c r="E34" i="114"/>
  <c r="D34" i="114"/>
  <c r="E32" i="114"/>
  <c r="F30" i="114"/>
  <c r="E30" i="114"/>
  <c r="D30" i="114"/>
  <c r="E28" i="114"/>
  <c r="F26" i="114"/>
  <c r="E26" i="114"/>
  <c r="D26" i="114"/>
  <c r="E24" i="114"/>
  <c r="F22" i="114"/>
  <c r="E22" i="114"/>
  <c r="D22" i="114"/>
  <c r="E20" i="114"/>
  <c r="F18" i="114"/>
  <c r="E18" i="114"/>
  <c r="D18" i="114"/>
  <c r="E16" i="114"/>
  <c r="F14" i="114"/>
  <c r="E14" i="114"/>
  <c r="D14" i="114"/>
  <c r="E12" i="114"/>
  <c r="F10" i="114"/>
  <c r="E10" i="114"/>
  <c r="D10" i="114"/>
  <c r="E8" i="114"/>
  <c r="F6" i="114"/>
  <c r="E6" i="114"/>
  <c r="D6" i="114"/>
  <c r="F15" i="113"/>
  <c r="E15" i="113"/>
  <c r="D15" i="113"/>
  <c r="C15" i="113"/>
  <c r="B15" i="113"/>
  <c r="A15" i="113"/>
  <c r="F14" i="113"/>
  <c r="E14" i="113"/>
  <c r="D14" i="113"/>
  <c r="C14" i="113"/>
  <c r="B14" i="113"/>
  <c r="A14" i="113"/>
  <c r="F13" i="113"/>
  <c r="E13" i="113"/>
  <c r="D13" i="113"/>
  <c r="C13" i="113"/>
  <c r="B13" i="113"/>
  <c r="A13" i="113"/>
  <c r="F12" i="113"/>
  <c r="E12" i="113"/>
  <c r="D12" i="113"/>
  <c r="C12" i="113"/>
  <c r="B12" i="113"/>
  <c r="A12" i="113"/>
  <c r="F11" i="113"/>
  <c r="E11" i="113"/>
  <c r="D11" i="113"/>
  <c r="C11" i="113"/>
  <c r="B11" i="113"/>
  <c r="A11" i="113"/>
  <c r="F10" i="113"/>
  <c r="E10" i="113"/>
  <c r="D10" i="113"/>
  <c r="C10" i="113"/>
  <c r="B10" i="113"/>
  <c r="A10" i="113"/>
  <c r="F9" i="113"/>
  <c r="E9" i="113"/>
  <c r="D9" i="113"/>
  <c r="C9" i="113"/>
  <c r="B9" i="113"/>
  <c r="A9" i="113"/>
  <c r="F8" i="113"/>
  <c r="E8" i="113"/>
  <c r="D8" i="113"/>
  <c r="C8" i="113"/>
  <c r="B8" i="113"/>
  <c r="A8" i="113"/>
  <c r="F7" i="113"/>
  <c r="E7" i="113"/>
  <c r="D7" i="113"/>
  <c r="C7" i="113"/>
  <c r="B7" i="113"/>
  <c r="A7" i="113"/>
  <c r="E10" i="112"/>
  <c r="D10" i="112"/>
  <c r="C10" i="112"/>
  <c r="B10" i="112"/>
  <c r="A10" i="112"/>
  <c r="E8" i="112"/>
  <c r="D8" i="112"/>
  <c r="C8" i="112"/>
  <c r="B8" i="112"/>
  <c r="A8" i="112"/>
  <c r="C26" i="96"/>
  <c r="B26" i="96"/>
  <c r="D25" i="96"/>
  <c r="C25" i="96"/>
  <c r="B25" i="96"/>
  <c r="D24" i="96"/>
  <c r="C24" i="96"/>
  <c r="B24" i="96"/>
  <c r="D23" i="96"/>
  <c r="C23" i="96"/>
  <c r="B23" i="96"/>
  <c r="D22" i="96"/>
  <c r="C22" i="96"/>
  <c r="B22" i="96"/>
  <c r="C11" i="96"/>
  <c r="C9" i="96"/>
  <c r="B3" i="94"/>
  <c r="B13" i="91"/>
  <c r="B12" i="91" s="1"/>
  <c r="B11" i="91"/>
  <c r="B10" i="91" s="1"/>
  <c r="B9" i="91"/>
  <c r="B8" i="91"/>
  <c r="B5" i="91"/>
  <c r="N13" i="88"/>
  <c r="N12" i="88"/>
  <c r="N11" i="88"/>
  <c r="N10" i="88"/>
  <c r="N9" i="88"/>
  <c r="N8" i="88"/>
  <c r="N7" i="88"/>
  <c r="N6" i="88"/>
  <c r="N5" i="88"/>
  <c r="N4" i="88"/>
  <c r="N3" i="88"/>
  <c r="O2" i="88" s="1"/>
  <c r="N2" i="88"/>
  <c r="AF1" i="88"/>
  <c r="E65" i="83"/>
  <c r="D65" i="83"/>
  <c r="D65" i="114" s="1"/>
  <c r="F64" i="83"/>
  <c r="F64" i="114" s="1"/>
  <c r="F63" i="83"/>
  <c r="F63" i="114" s="1"/>
  <c r="D60" i="83"/>
  <c r="D60" i="114" s="1"/>
  <c r="D59" i="83"/>
  <c r="D56" i="83"/>
  <c r="D55" i="83"/>
  <c r="D52" i="83"/>
  <c r="D48" i="83"/>
  <c r="D48" i="114" s="1"/>
  <c r="D47" i="83"/>
  <c r="D44" i="83"/>
  <c r="D44" i="114" s="1"/>
  <c r="D40" i="83"/>
  <c r="D40" i="114" s="1"/>
  <c r="D36" i="83"/>
  <c r="D35" i="83"/>
  <c r="D32" i="83"/>
  <c r="D31" i="83"/>
  <c r="D28" i="83"/>
  <c r="D28" i="114" s="1"/>
  <c r="D24" i="83"/>
  <c r="D20" i="83"/>
  <c r="D20" i="114" s="1"/>
  <c r="D16" i="83"/>
  <c r="D16" i="114" s="1"/>
  <c r="D12" i="83"/>
  <c r="D12" i="114" s="1"/>
  <c r="D11" i="83"/>
  <c r="D8" i="83"/>
  <c r="D8" i="114" s="1"/>
  <c r="D7" i="83"/>
  <c r="E23" i="66"/>
  <c r="E22" i="66"/>
  <c r="E21" i="66"/>
  <c r="E20" i="66"/>
  <c r="E18" i="66"/>
  <c r="E17" i="66"/>
  <c r="E16" i="66"/>
  <c r="E15" i="66"/>
  <c r="E14" i="66"/>
  <c r="D13" i="66"/>
  <c r="D19" i="66" s="1"/>
  <c r="D24" i="66" s="1"/>
  <c r="E26" i="66" s="1"/>
  <c r="E12" i="66"/>
  <c r="E11" i="66"/>
  <c r="E10" i="66"/>
  <c r="E5" i="66"/>
  <c r="G4" i="66"/>
  <c r="F4" i="66"/>
  <c r="E4" i="66"/>
  <c r="H25" i="65"/>
  <c r="G24" i="65"/>
  <c r="E24" i="65"/>
  <c r="D24" i="65"/>
  <c r="C24" i="65"/>
  <c r="F23" i="65"/>
  <c r="H23" i="65" s="1"/>
  <c r="F22" i="65"/>
  <c r="H22" i="65" s="1"/>
  <c r="F21" i="65"/>
  <c r="H21" i="65" s="1"/>
  <c r="F20" i="65"/>
  <c r="H20" i="65" s="1"/>
  <c r="F19" i="65"/>
  <c r="G18" i="65"/>
  <c r="E18" i="65"/>
  <c r="D18" i="65"/>
  <c r="C18" i="65"/>
  <c r="F17" i="65"/>
  <c r="H17" i="65" s="1"/>
  <c r="F16" i="65"/>
  <c r="H16" i="65" s="1"/>
  <c r="F15" i="65"/>
  <c r="H15" i="65" s="1"/>
  <c r="F14" i="65"/>
  <c r="H14" i="65" s="1"/>
  <c r="F11" i="65"/>
  <c r="H11" i="65" s="1"/>
  <c r="F10" i="65"/>
  <c r="F9" i="65"/>
  <c r="H9" i="65" s="1"/>
  <c r="F8" i="65"/>
  <c r="H8" i="65" s="1"/>
  <c r="B53" i="4" s="1"/>
  <c r="F17" i="196" s="1"/>
  <c r="F7" i="65"/>
  <c r="H7" i="65" s="1"/>
  <c r="B52" i="4" s="1"/>
  <c r="F16" i="196" s="1"/>
  <c r="F4" i="65"/>
  <c r="H3" i="65"/>
  <c r="G3" i="65"/>
  <c r="F3" i="65"/>
  <c r="E302" i="64"/>
  <c r="E301" i="64"/>
  <c r="E300" i="64"/>
  <c r="E299" i="64"/>
  <c r="E298" i="64"/>
  <c r="E297" i="64"/>
  <c r="E296" i="64"/>
  <c r="E295" i="64"/>
  <c r="E294" i="64"/>
  <c r="E293" i="64"/>
  <c r="E292" i="64"/>
  <c r="E291" i="64"/>
  <c r="E290" i="64"/>
  <c r="E289" i="64"/>
  <c r="E288" i="64"/>
  <c r="E287" i="64"/>
  <c r="E286" i="64"/>
  <c r="E285" i="64"/>
  <c r="E284" i="64"/>
  <c r="E283" i="64"/>
  <c r="E282" i="64"/>
  <c r="E281" i="64"/>
  <c r="E280" i="64"/>
  <c r="E279" i="64"/>
  <c r="E278" i="64"/>
  <c r="E277" i="64"/>
  <c r="E276" i="64"/>
  <c r="E275" i="64"/>
  <c r="E274" i="64"/>
  <c r="E273" i="64"/>
  <c r="E272" i="64"/>
  <c r="E271" i="64"/>
  <c r="E270" i="64"/>
  <c r="E269" i="64"/>
  <c r="E268" i="64"/>
  <c r="E267" i="64"/>
  <c r="E266" i="64"/>
  <c r="E265" i="64"/>
  <c r="E264" i="64"/>
  <c r="E263" i="64"/>
  <c r="E262" i="64"/>
  <c r="E261" i="64"/>
  <c r="E260" i="64"/>
  <c r="E259" i="64"/>
  <c r="E258" i="64"/>
  <c r="E257" i="64"/>
  <c r="E256" i="64"/>
  <c r="E255" i="64"/>
  <c r="E254" i="64"/>
  <c r="E253" i="64"/>
  <c r="E252" i="64"/>
  <c r="E251" i="64"/>
  <c r="E250" i="64"/>
  <c r="E249" i="64"/>
  <c r="E248" i="64"/>
  <c r="E247" i="64"/>
  <c r="E246" i="64"/>
  <c r="E245" i="64"/>
  <c r="E244" i="64"/>
  <c r="E243" i="64"/>
  <c r="E242" i="64"/>
  <c r="E241" i="64"/>
  <c r="E240" i="64"/>
  <c r="E239" i="64"/>
  <c r="E238" i="64"/>
  <c r="E237" i="64"/>
  <c r="E236" i="64"/>
  <c r="E235" i="64"/>
  <c r="E234" i="64"/>
  <c r="E233" i="64"/>
  <c r="E232" i="64"/>
  <c r="E231" i="64"/>
  <c r="E230" i="64"/>
  <c r="E229" i="64"/>
  <c r="E228" i="64"/>
  <c r="E227" i="64"/>
  <c r="E226" i="64"/>
  <c r="E225" i="64"/>
  <c r="E224" i="64"/>
  <c r="E223" i="64"/>
  <c r="E222" i="64"/>
  <c r="E221" i="64"/>
  <c r="E220" i="64"/>
  <c r="E219" i="64"/>
  <c r="E218" i="64"/>
  <c r="E217" i="64"/>
  <c r="E216" i="64"/>
  <c r="E215" i="64"/>
  <c r="E214" i="64"/>
  <c r="E213" i="64"/>
  <c r="E212" i="64"/>
  <c r="E211" i="64"/>
  <c r="E210" i="64"/>
  <c r="E209" i="64"/>
  <c r="E208" i="64"/>
  <c r="E207" i="64"/>
  <c r="E206" i="64"/>
  <c r="E205" i="64"/>
  <c r="E204" i="64"/>
  <c r="E203" i="64"/>
  <c r="E202" i="64"/>
  <c r="E201" i="64"/>
  <c r="E200" i="64"/>
  <c r="E199" i="64"/>
  <c r="E198" i="64"/>
  <c r="E197" i="64"/>
  <c r="E196" i="64"/>
  <c r="E195" i="64"/>
  <c r="E194" i="64"/>
  <c r="E193" i="64"/>
  <c r="E192" i="64"/>
  <c r="E191" i="64"/>
  <c r="E190" i="64"/>
  <c r="E189" i="64"/>
  <c r="E188" i="64"/>
  <c r="E187" i="64"/>
  <c r="E186" i="64"/>
  <c r="E185" i="64"/>
  <c r="E184" i="64"/>
  <c r="E183" i="64"/>
  <c r="E182" i="64"/>
  <c r="E181" i="64"/>
  <c r="E180" i="64"/>
  <c r="E179" i="64"/>
  <c r="E178" i="64"/>
  <c r="E177" i="64"/>
  <c r="E176" i="64"/>
  <c r="E175" i="64"/>
  <c r="E174" i="64"/>
  <c r="E173" i="64"/>
  <c r="E172" i="64"/>
  <c r="E171" i="64"/>
  <c r="E170" i="64"/>
  <c r="E169" i="64"/>
  <c r="E168" i="64"/>
  <c r="E167" i="64"/>
  <c r="E166" i="64"/>
  <c r="E165" i="64"/>
  <c r="E164" i="64"/>
  <c r="E163" i="64"/>
  <c r="E162" i="64"/>
  <c r="E161" i="64"/>
  <c r="E160" i="64"/>
  <c r="E159" i="64"/>
  <c r="E158" i="64"/>
  <c r="E157" i="64"/>
  <c r="E156" i="64"/>
  <c r="E155" i="64"/>
  <c r="E154" i="64"/>
  <c r="E153" i="64"/>
  <c r="E152" i="64"/>
  <c r="E151" i="64"/>
  <c r="E150" i="64"/>
  <c r="E149" i="64"/>
  <c r="E148" i="64"/>
  <c r="E147" i="64"/>
  <c r="E146" i="64"/>
  <c r="E145" i="64"/>
  <c r="E144" i="64"/>
  <c r="E143" i="64"/>
  <c r="E142" i="64"/>
  <c r="E141" i="64"/>
  <c r="E140" i="64"/>
  <c r="E139" i="64"/>
  <c r="E138" i="64"/>
  <c r="E137" i="64"/>
  <c r="E136" i="64"/>
  <c r="E135" i="64"/>
  <c r="E134" i="64"/>
  <c r="E133" i="64"/>
  <c r="E132" i="64"/>
  <c r="E131" i="64"/>
  <c r="E130" i="64"/>
  <c r="E129" i="64"/>
  <c r="E128" i="64"/>
  <c r="E127" i="64"/>
  <c r="E126" i="64"/>
  <c r="E125" i="64"/>
  <c r="E124" i="64"/>
  <c r="E123" i="64"/>
  <c r="E122" i="64"/>
  <c r="E121" i="64"/>
  <c r="E120" i="64"/>
  <c r="E119" i="64"/>
  <c r="E118" i="64"/>
  <c r="E117" i="64"/>
  <c r="E116" i="64"/>
  <c r="E115" i="64"/>
  <c r="E114" i="64"/>
  <c r="E113" i="64"/>
  <c r="E112" i="64"/>
  <c r="E111" i="64"/>
  <c r="E110" i="64"/>
  <c r="E109" i="64"/>
  <c r="E108" i="64"/>
  <c r="E107" i="64"/>
  <c r="E106" i="64"/>
  <c r="E105" i="64"/>
  <c r="E104" i="64"/>
  <c r="E103" i="64"/>
  <c r="E102" i="64"/>
  <c r="E101" i="64"/>
  <c r="E100" i="64"/>
  <c r="E99" i="64"/>
  <c r="E98" i="64"/>
  <c r="E97" i="64"/>
  <c r="E96" i="64"/>
  <c r="E95" i="64"/>
  <c r="E94" i="64"/>
  <c r="E93" i="64"/>
  <c r="E92" i="64"/>
  <c r="E91" i="64"/>
  <c r="E90" i="64"/>
  <c r="E89" i="64"/>
  <c r="E88" i="64"/>
  <c r="E87" i="64"/>
  <c r="E86" i="64"/>
  <c r="E85" i="64"/>
  <c r="E84" i="64"/>
  <c r="E83" i="64"/>
  <c r="E82" i="64"/>
  <c r="E81" i="64"/>
  <c r="E80" i="64"/>
  <c r="E79" i="64"/>
  <c r="E78" i="64"/>
  <c r="E77" i="64"/>
  <c r="E76" i="64"/>
  <c r="E75" i="64"/>
  <c r="E74" i="64"/>
  <c r="E73" i="64"/>
  <c r="E72" i="64"/>
  <c r="E71" i="64"/>
  <c r="E70" i="64"/>
  <c r="E69" i="64"/>
  <c r="E68" i="64"/>
  <c r="E67" i="64"/>
  <c r="E66" i="64"/>
  <c r="E65" i="64"/>
  <c r="E64" i="64"/>
  <c r="E63" i="64"/>
  <c r="E62" i="64"/>
  <c r="E61" i="64"/>
  <c r="E60" i="64"/>
  <c r="E59" i="64"/>
  <c r="E58" i="64"/>
  <c r="E57" i="64"/>
  <c r="E56" i="64"/>
  <c r="E55" i="64"/>
  <c r="E54" i="64"/>
  <c r="E53" i="64"/>
  <c r="E52" i="64"/>
  <c r="E51" i="64"/>
  <c r="E50" i="64"/>
  <c r="E49" i="64"/>
  <c r="E48" i="64"/>
  <c r="E47" i="64"/>
  <c r="E46" i="64"/>
  <c r="E45" i="64"/>
  <c r="E44" i="64"/>
  <c r="E43" i="64"/>
  <c r="E42" i="64"/>
  <c r="E41" i="64"/>
  <c r="E40" i="64"/>
  <c r="E39" i="64"/>
  <c r="E38" i="64"/>
  <c r="E37" i="64"/>
  <c r="E36" i="64"/>
  <c r="E35" i="64"/>
  <c r="E34" i="64"/>
  <c r="E33" i="64"/>
  <c r="E32" i="64"/>
  <c r="E31" i="64"/>
  <c r="E30" i="64"/>
  <c r="E29" i="64"/>
  <c r="E28" i="64"/>
  <c r="E27" i="64"/>
  <c r="E26" i="64"/>
  <c r="E25" i="64"/>
  <c r="E24" i="64"/>
  <c r="E23" i="64"/>
  <c r="E22" i="64"/>
  <c r="E21" i="64"/>
  <c r="E20" i="64"/>
  <c r="E19" i="64"/>
  <c r="E18" i="64"/>
  <c r="E17" i="64"/>
  <c r="E16" i="64"/>
  <c r="E15" i="64"/>
  <c r="E14" i="64"/>
  <c r="E13" i="64"/>
  <c r="F12" i="64"/>
  <c r="D12" i="64"/>
  <c r="B9" i="64" s="1"/>
  <c r="C12" i="64"/>
  <c r="B12" i="64"/>
  <c r="F11" i="64"/>
  <c r="C11" i="64"/>
  <c r="E11" i="64" s="1"/>
  <c r="B11" i="64"/>
  <c r="D4" i="64"/>
  <c r="F3" i="64"/>
  <c r="E3" i="64"/>
  <c r="D3" i="64"/>
  <c r="E302" i="63"/>
  <c r="E301" i="63"/>
  <c r="E300" i="63"/>
  <c r="E299" i="63"/>
  <c r="E298" i="63"/>
  <c r="E297" i="63"/>
  <c r="E296" i="63"/>
  <c r="E295" i="63"/>
  <c r="E294" i="63"/>
  <c r="E293" i="63"/>
  <c r="E292" i="63"/>
  <c r="E291" i="63"/>
  <c r="E290" i="63"/>
  <c r="E289" i="63"/>
  <c r="E288" i="63"/>
  <c r="E287" i="63"/>
  <c r="E286" i="63"/>
  <c r="E285" i="63"/>
  <c r="E284" i="63"/>
  <c r="E283" i="63"/>
  <c r="E282" i="63"/>
  <c r="E281" i="63"/>
  <c r="E280" i="63"/>
  <c r="E279" i="63"/>
  <c r="E278" i="63"/>
  <c r="E277" i="63"/>
  <c r="E276" i="63"/>
  <c r="E275" i="63"/>
  <c r="E274" i="63"/>
  <c r="E273" i="63"/>
  <c r="E272" i="63"/>
  <c r="E271" i="63"/>
  <c r="E270" i="63"/>
  <c r="E269" i="63"/>
  <c r="E268" i="63"/>
  <c r="E267" i="63"/>
  <c r="E266" i="63"/>
  <c r="E265" i="63"/>
  <c r="E264" i="63"/>
  <c r="E263" i="63"/>
  <c r="E262" i="63"/>
  <c r="E261" i="63"/>
  <c r="E260" i="63"/>
  <c r="E259" i="63"/>
  <c r="E258" i="63"/>
  <c r="E257" i="63"/>
  <c r="E256" i="63"/>
  <c r="E255" i="63"/>
  <c r="E254" i="63"/>
  <c r="E253" i="63"/>
  <c r="E252" i="63"/>
  <c r="E251" i="63"/>
  <c r="E250" i="63"/>
  <c r="E249" i="63"/>
  <c r="E248" i="63"/>
  <c r="E247" i="63"/>
  <c r="E246" i="63"/>
  <c r="E245" i="63"/>
  <c r="E244" i="63"/>
  <c r="E243" i="63"/>
  <c r="E242" i="63"/>
  <c r="E241" i="63"/>
  <c r="E240" i="63"/>
  <c r="E239" i="63"/>
  <c r="E238" i="63"/>
  <c r="E237" i="63"/>
  <c r="E236" i="63"/>
  <c r="E235" i="63"/>
  <c r="E234" i="63"/>
  <c r="E233" i="63"/>
  <c r="E232" i="63"/>
  <c r="E231" i="63"/>
  <c r="E230" i="63"/>
  <c r="E229" i="63"/>
  <c r="E228" i="63"/>
  <c r="E227" i="63"/>
  <c r="E226" i="63"/>
  <c r="E225" i="63"/>
  <c r="E224" i="63"/>
  <c r="E223" i="63"/>
  <c r="E222" i="63"/>
  <c r="E221" i="63"/>
  <c r="E220" i="63"/>
  <c r="E219" i="63"/>
  <c r="E218" i="63"/>
  <c r="E217" i="63"/>
  <c r="E216" i="63"/>
  <c r="E215" i="63"/>
  <c r="E214" i="63"/>
  <c r="E213" i="63"/>
  <c r="E212" i="63"/>
  <c r="E211" i="63"/>
  <c r="E210" i="63"/>
  <c r="E209" i="63"/>
  <c r="E208" i="63"/>
  <c r="E207" i="63"/>
  <c r="E206" i="63"/>
  <c r="E205" i="63"/>
  <c r="E204" i="63"/>
  <c r="E203" i="63"/>
  <c r="E202" i="63"/>
  <c r="E201" i="63"/>
  <c r="E200" i="63"/>
  <c r="E199" i="63"/>
  <c r="E198" i="63"/>
  <c r="E197" i="63"/>
  <c r="E196" i="63"/>
  <c r="E195" i="63"/>
  <c r="E194" i="63"/>
  <c r="E193" i="63"/>
  <c r="E192" i="63"/>
  <c r="E191" i="63"/>
  <c r="E190" i="63"/>
  <c r="E189" i="63"/>
  <c r="E188" i="63"/>
  <c r="E187" i="63"/>
  <c r="E186" i="63"/>
  <c r="E185" i="63"/>
  <c r="E184" i="63"/>
  <c r="E183" i="63"/>
  <c r="E182" i="63"/>
  <c r="E181" i="63"/>
  <c r="E180" i="63"/>
  <c r="E179" i="63"/>
  <c r="E178" i="63"/>
  <c r="E177" i="63"/>
  <c r="E176" i="63"/>
  <c r="E175" i="63"/>
  <c r="E174" i="63"/>
  <c r="E173" i="63"/>
  <c r="E172" i="63"/>
  <c r="E171" i="63"/>
  <c r="E170" i="63"/>
  <c r="E169" i="63"/>
  <c r="E168" i="63"/>
  <c r="E167" i="63"/>
  <c r="E166" i="63"/>
  <c r="E165" i="63"/>
  <c r="E164" i="63"/>
  <c r="E163" i="63"/>
  <c r="E162" i="63"/>
  <c r="E161" i="63"/>
  <c r="E160" i="63"/>
  <c r="E159" i="63"/>
  <c r="E158" i="63"/>
  <c r="E157" i="63"/>
  <c r="E156" i="63"/>
  <c r="E155" i="63"/>
  <c r="E154" i="63"/>
  <c r="E153" i="63"/>
  <c r="E152" i="63"/>
  <c r="E151" i="63"/>
  <c r="E150" i="63"/>
  <c r="E149" i="63"/>
  <c r="E148" i="63"/>
  <c r="E147" i="63"/>
  <c r="E146" i="63"/>
  <c r="E145" i="63"/>
  <c r="E144" i="63"/>
  <c r="E143" i="63"/>
  <c r="E142" i="63"/>
  <c r="E141" i="63"/>
  <c r="E140" i="63"/>
  <c r="E139" i="63"/>
  <c r="E138" i="63"/>
  <c r="E137" i="63"/>
  <c r="E136" i="63"/>
  <c r="E135" i="63"/>
  <c r="E134" i="63"/>
  <c r="E133" i="63"/>
  <c r="E132" i="63"/>
  <c r="E131" i="63"/>
  <c r="E130" i="63"/>
  <c r="E129" i="63"/>
  <c r="E128" i="63"/>
  <c r="E127" i="63"/>
  <c r="E126" i="63"/>
  <c r="E125" i="63"/>
  <c r="E124" i="63"/>
  <c r="E123" i="63"/>
  <c r="E122" i="63"/>
  <c r="E121" i="63"/>
  <c r="E120" i="63"/>
  <c r="E119" i="63"/>
  <c r="E118" i="63"/>
  <c r="E117" i="63"/>
  <c r="E116" i="63"/>
  <c r="E115" i="63"/>
  <c r="E114" i="63"/>
  <c r="E113" i="63"/>
  <c r="E112" i="63"/>
  <c r="E111" i="63"/>
  <c r="E110" i="63"/>
  <c r="E109" i="63"/>
  <c r="E108" i="63"/>
  <c r="E107" i="63"/>
  <c r="E106" i="63"/>
  <c r="E105" i="63"/>
  <c r="E104" i="63"/>
  <c r="E103" i="63"/>
  <c r="E102" i="63"/>
  <c r="E101" i="63"/>
  <c r="E100" i="63"/>
  <c r="E99" i="63"/>
  <c r="E98" i="63"/>
  <c r="E97" i="63"/>
  <c r="E96" i="63"/>
  <c r="E95" i="63"/>
  <c r="E94" i="63"/>
  <c r="E93" i="63"/>
  <c r="E92" i="63"/>
  <c r="E91" i="63"/>
  <c r="E90" i="63"/>
  <c r="E89" i="63"/>
  <c r="E88" i="63"/>
  <c r="E87" i="63"/>
  <c r="E86" i="63"/>
  <c r="E85" i="63"/>
  <c r="E84" i="63"/>
  <c r="E83" i="63"/>
  <c r="E82" i="63"/>
  <c r="E81" i="63"/>
  <c r="E80" i="63"/>
  <c r="E79" i="63"/>
  <c r="E78" i="63"/>
  <c r="E77" i="63"/>
  <c r="E76" i="63"/>
  <c r="E75" i="63"/>
  <c r="E74" i="63"/>
  <c r="E73" i="63"/>
  <c r="E72" i="63"/>
  <c r="E71" i="63"/>
  <c r="E70" i="63"/>
  <c r="E69" i="63"/>
  <c r="E68" i="63"/>
  <c r="E67" i="63"/>
  <c r="E66" i="63"/>
  <c r="E65" i="63"/>
  <c r="E64" i="63"/>
  <c r="E63" i="63"/>
  <c r="E62" i="63"/>
  <c r="E61" i="63"/>
  <c r="E60" i="63"/>
  <c r="E59" i="63"/>
  <c r="E58" i="63"/>
  <c r="E57" i="63"/>
  <c r="E56" i="63"/>
  <c r="E55" i="63"/>
  <c r="E54" i="63"/>
  <c r="E53" i="63"/>
  <c r="E52" i="63"/>
  <c r="E51" i="63"/>
  <c r="E50" i="63"/>
  <c r="E49" i="63"/>
  <c r="E48" i="63"/>
  <c r="E47" i="63"/>
  <c r="E46" i="63"/>
  <c r="E45" i="63"/>
  <c r="E44" i="63"/>
  <c r="E43" i="63"/>
  <c r="E42" i="63"/>
  <c r="E41" i="63"/>
  <c r="E40" i="63"/>
  <c r="E39" i="63"/>
  <c r="E38" i="63"/>
  <c r="E37" i="63"/>
  <c r="E36" i="63"/>
  <c r="E35" i="63"/>
  <c r="E34" i="63"/>
  <c r="E33" i="63"/>
  <c r="E32" i="63"/>
  <c r="E31" i="63"/>
  <c r="E30" i="63"/>
  <c r="E29" i="63"/>
  <c r="E28" i="63"/>
  <c r="E27" i="63"/>
  <c r="E26" i="63"/>
  <c r="E25" i="63"/>
  <c r="E24" i="63"/>
  <c r="E23" i="63"/>
  <c r="E22" i="63"/>
  <c r="E21" i="63"/>
  <c r="E20" i="63"/>
  <c r="E19" i="63"/>
  <c r="E18" i="63"/>
  <c r="E17" i="63"/>
  <c r="E16" i="63"/>
  <c r="E15" i="63"/>
  <c r="E14" i="63"/>
  <c r="E13" i="63"/>
  <c r="F12" i="63"/>
  <c r="D12" i="63"/>
  <c r="C12" i="63"/>
  <c r="B12" i="63"/>
  <c r="F11" i="63"/>
  <c r="C11" i="63"/>
  <c r="E11" i="63" s="1"/>
  <c r="B11" i="63"/>
  <c r="D4" i="63"/>
  <c r="F3" i="63"/>
  <c r="E3" i="63"/>
  <c r="D3" i="63"/>
  <c r="E302" i="62"/>
  <c r="E301" i="62"/>
  <c r="E300" i="62"/>
  <c r="E299" i="62"/>
  <c r="E298" i="62"/>
  <c r="E297" i="62"/>
  <c r="E296" i="62"/>
  <c r="E295" i="62"/>
  <c r="E294" i="62"/>
  <c r="E293" i="62"/>
  <c r="E292" i="62"/>
  <c r="E291" i="62"/>
  <c r="E290" i="62"/>
  <c r="E289" i="62"/>
  <c r="E288" i="62"/>
  <c r="E287" i="62"/>
  <c r="E286" i="62"/>
  <c r="E285" i="62"/>
  <c r="E284" i="62"/>
  <c r="E283" i="62"/>
  <c r="E282" i="62"/>
  <c r="E281" i="62"/>
  <c r="E280" i="62"/>
  <c r="E279" i="62"/>
  <c r="E278" i="62"/>
  <c r="E277" i="62"/>
  <c r="E276" i="62"/>
  <c r="E275" i="62"/>
  <c r="E274" i="62"/>
  <c r="E273" i="62"/>
  <c r="E272" i="62"/>
  <c r="E271" i="62"/>
  <c r="E270" i="62"/>
  <c r="E269" i="62"/>
  <c r="E268" i="62"/>
  <c r="E267" i="62"/>
  <c r="E266" i="62"/>
  <c r="E265" i="62"/>
  <c r="E264" i="62"/>
  <c r="E263" i="62"/>
  <c r="E262" i="62"/>
  <c r="E261" i="62"/>
  <c r="E260" i="62"/>
  <c r="E259" i="62"/>
  <c r="E258" i="62"/>
  <c r="E257" i="62"/>
  <c r="E256" i="62"/>
  <c r="E255" i="62"/>
  <c r="E254" i="62"/>
  <c r="E253" i="62"/>
  <c r="E252" i="62"/>
  <c r="E251" i="62"/>
  <c r="E250" i="62"/>
  <c r="E249" i="62"/>
  <c r="E248" i="62"/>
  <c r="E247" i="62"/>
  <c r="E246" i="62"/>
  <c r="E245" i="62"/>
  <c r="E244" i="62"/>
  <c r="E243" i="62"/>
  <c r="E242" i="62"/>
  <c r="E241" i="62"/>
  <c r="E240" i="62"/>
  <c r="E239" i="62"/>
  <c r="E238" i="62"/>
  <c r="E237" i="62"/>
  <c r="E236" i="62"/>
  <c r="E235" i="62"/>
  <c r="E234" i="62"/>
  <c r="E233" i="62"/>
  <c r="E232" i="62"/>
  <c r="E231" i="62"/>
  <c r="E230" i="62"/>
  <c r="E229" i="62"/>
  <c r="E228" i="62"/>
  <c r="E227" i="62"/>
  <c r="E226" i="62"/>
  <c r="E225" i="62"/>
  <c r="E224" i="62"/>
  <c r="E223" i="62"/>
  <c r="E222" i="62"/>
  <c r="E221" i="62"/>
  <c r="E220" i="62"/>
  <c r="E219" i="62"/>
  <c r="E218" i="62"/>
  <c r="E217" i="62"/>
  <c r="E216" i="62"/>
  <c r="E215" i="62"/>
  <c r="E214" i="62"/>
  <c r="E213" i="62"/>
  <c r="E212" i="62"/>
  <c r="E211" i="62"/>
  <c r="E210" i="62"/>
  <c r="E209" i="62"/>
  <c r="E208" i="62"/>
  <c r="E207" i="62"/>
  <c r="E206" i="62"/>
  <c r="E205" i="62"/>
  <c r="E204" i="62"/>
  <c r="E203" i="62"/>
  <c r="E202" i="62"/>
  <c r="E201" i="62"/>
  <c r="E200" i="62"/>
  <c r="E199" i="62"/>
  <c r="E198" i="62"/>
  <c r="E197" i="62"/>
  <c r="E196" i="62"/>
  <c r="E195" i="62"/>
  <c r="E194" i="62"/>
  <c r="E193" i="62"/>
  <c r="E192" i="62"/>
  <c r="E191" i="62"/>
  <c r="E190" i="62"/>
  <c r="E189" i="62"/>
  <c r="E188" i="62"/>
  <c r="E187" i="62"/>
  <c r="E186" i="62"/>
  <c r="E185" i="62"/>
  <c r="E184" i="62"/>
  <c r="E183" i="62"/>
  <c r="E182" i="62"/>
  <c r="E181" i="62"/>
  <c r="E180" i="62"/>
  <c r="E179" i="62"/>
  <c r="E178" i="62"/>
  <c r="E177" i="62"/>
  <c r="E176" i="62"/>
  <c r="E175" i="62"/>
  <c r="E174" i="62"/>
  <c r="E173" i="62"/>
  <c r="E172" i="62"/>
  <c r="E171" i="62"/>
  <c r="E170" i="62"/>
  <c r="E169" i="62"/>
  <c r="E168" i="62"/>
  <c r="E167" i="62"/>
  <c r="E166" i="62"/>
  <c r="E165" i="62"/>
  <c r="E164" i="62"/>
  <c r="E163" i="62"/>
  <c r="E162" i="62"/>
  <c r="E161" i="62"/>
  <c r="E160" i="62"/>
  <c r="E159" i="62"/>
  <c r="E158" i="62"/>
  <c r="E157" i="62"/>
  <c r="E156" i="62"/>
  <c r="E155" i="62"/>
  <c r="E154" i="62"/>
  <c r="E153" i="62"/>
  <c r="E152" i="62"/>
  <c r="E151" i="62"/>
  <c r="E150" i="62"/>
  <c r="E149" i="62"/>
  <c r="E148" i="62"/>
  <c r="E147" i="62"/>
  <c r="E146" i="62"/>
  <c r="E145" i="62"/>
  <c r="E144" i="62"/>
  <c r="E143" i="62"/>
  <c r="E142" i="62"/>
  <c r="E141" i="62"/>
  <c r="E140" i="62"/>
  <c r="E139" i="62"/>
  <c r="E138" i="62"/>
  <c r="E137" i="62"/>
  <c r="E136" i="62"/>
  <c r="E135" i="62"/>
  <c r="E134" i="62"/>
  <c r="E133" i="62"/>
  <c r="E132" i="62"/>
  <c r="E131" i="62"/>
  <c r="E130" i="62"/>
  <c r="E129" i="62"/>
  <c r="E128" i="62"/>
  <c r="E127" i="62"/>
  <c r="E126" i="62"/>
  <c r="E125" i="62"/>
  <c r="E124" i="62"/>
  <c r="E123" i="62"/>
  <c r="E122" i="62"/>
  <c r="E121" i="62"/>
  <c r="E120" i="62"/>
  <c r="E119" i="62"/>
  <c r="E118" i="62"/>
  <c r="E117" i="62"/>
  <c r="E116" i="62"/>
  <c r="E115" i="62"/>
  <c r="E114" i="62"/>
  <c r="E113" i="62"/>
  <c r="E112" i="62"/>
  <c r="E111" i="62"/>
  <c r="E110" i="62"/>
  <c r="E109" i="62"/>
  <c r="E108" i="62"/>
  <c r="E107" i="62"/>
  <c r="E106" i="62"/>
  <c r="E105" i="62"/>
  <c r="E104" i="62"/>
  <c r="E103" i="62"/>
  <c r="E102" i="62"/>
  <c r="E101" i="62"/>
  <c r="E100" i="62"/>
  <c r="E99" i="62"/>
  <c r="E98" i="62"/>
  <c r="E97" i="62"/>
  <c r="E96" i="62"/>
  <c r="E95" i="62"/>
  <c r="E94" i="62"/>
  <c r="E93" i="62"/>
  <c r="E92" i="62"/>
  <c r="E91" i="62"/>
  <c r="E90" i="62"/>
  <c r="E89" i="62"/>
  <c r="E88" i="62"/>
  <c r="E87" i="62"/>
  <c r="E86" i="62"/>
  <c r="E85" i="62"/>
  <c r="E84" i="62"/>
  <c r="E83" i="62"/>
  <c r="E82" i="62"/>
  <c r="E81" i="62"/>
  <c r="E80" i="62"/>
  <c r="E79" i="62"/>
  <c r="E78" i="62"/>
  <c r="E77" i="62"/>
  <c r="E76" i="62"/>
  <c r="E75" i="62"/>
  <c r="E74" i="62"/>
  <c r="E73" i="62"/>
  <c r="E72" i="62"/>
  <c r="E71" i="62"/>
  <c r="E70" i="62"/>
  <c r="E69" i="62"/>
  <c r="E68" i="62"/>
  <c r="E67" i="62"/>
  <c r="E66" i="62"/>
  <c r="E65" i="62"/>
  <c r="E64" i="62"/>
  <c r="E63" i="62"/>
  <c r="E62" i="62"/>
  <c r="E61" i="62"/>
  <c r="E60" i="62"/>
  <c r="E59" i="62"/>
  <c r="E58" i="62"/>
  <c r="E57" i="62"/>
  <c r="E56" i="62"/>
  <c r="E55" i="62"/>
  <c r="E54" i="62"/>
  <c r="E53" i="62"/>
  <c r="E52" i="62"/>
  <c r="E51" i="62"/>
  <c r="E50" i="62"/>
  <c r="E49" i="62"/>
  <c r="E48" i="62"/>
  <c r="E47" i="62"/>
  <c r="E46" i="62"/>
  <c r="E45" i="62"/>
  <c r="E44" i="62"/>
  <c r="E43" i="62"/>
  <c r="E42" i="62"/>
  <c r="E41" i="62"/>
  <c r="E40" i="62"/>
  <c r="E39" i="62"/>
  <c r="E38" i="62"/>
  <c r="E37" i="62"/>
  <c r="E36" i="62"/>
  <c r="E35" i="62"/>
  <c r="E34" i="62"/>
  <c r="E33" i="62"/>
  <c r="E32" i="62"/>
  <c r="E31" i="62"/>
  <c r="E30" i="62"/>
  <c r="E29" i="62"/>
  <c r="E28" i="62"/>
  <c r="E27" i="62"/>
  <c r="E26" i="62"/>
  <c r="E25" i="62"/>
  <c r="E24" i="62"/>
  <c r="E23" i="62"/>
  <c r="E22" i="62"/>
  <c r="E21" i="62"/>
  <c r="E20" i="62"/>
  <c r="E19" i="62"/>
  <c r="E18" i="62"/>
  <c r="E17" i="62"/>
  <c r="E16" i="62"/>
  <c r="E15" i="62"/>
  <c r="E14" i="62"/>
  <c r="E13" i="62"/>
  <c r="F12" i="62"/>
  <c r="D12" i="62"/>
  <c r="C12" i="62"/>
  <c r="B12" i="62"/>
  <c r="F11" i="62"/>
  <c r="C11" i="62"/>
  <c r="E11" i="62" s="1"/>
  <c r="B11" i="62"/>
  <c r="D4" i="62"/>
  <c r="F3" i="62"/>
  <c r="E3" i="62"/>
  <c r="D3" i="62"/>
  <c r="G15" i="61"/>
  <c r="F15" i="61"/>
  <c r="E15" i="61"/>
  <c r="D15" i="61"/>
  <c r="C15" i="61"/>
  <c r="H14" i="61"/>
  <c r="H13" i="61"/>
  <c r="H12" i="61"/>
  <c r="H11" i="61"/>
  <c r="H10" i="61"/>
  <c r="H9" i="61"/>
  <c r="H8" i="61"/>
  <c r="H7" i="61"/>
  <c r="F4" i="61"/>
  <c r="G3" i="61"/>
  <c r="F3" i="61"/>
  <c r="I19" i="60"/>
  <c r="G19" i="60"/>
  <c r="F19" i="60"/>
  <c r="E19" i="60"/>
  <c r="D19" i="60"/>
  <c r="H18" i="60"/>
  <c r="J18" i="60" s="1"/>
  <c r="H17" i="60"/>
  <c r="J17" i="60" s="1"/>
  <c r="H16" i="60"/>
  <c r="J16" i="60" s="1"/>
  <c r="H15" i="60"/>
  <c r="J15" i="60" s="1"/>
  <c r="H14" i="60"/>
  <c r="J14" i="60" s="1"/>
  <c r="H13" i="60"/>
  <c r="J13" i="60" s="1"/>
  <c r="I12" i="60"/>
  <c r="G12" i="60"/>
  <c r="F12" i="60"/>
  <c r="E12" i="60"/>
  <c r="D12" i="60"/>
  <c r="H11" i="60"/>
  <c r="J11" i="60" s="1"/>
  <c r="H10" i="60"/>
  <c r="J10" i="60" s="1"/>
  <c r="H9" i="60"/>
  <c r="J9" i="60" s="1"/>
  <c r="H8" i="60"/>
  <c r="J8" i="60" s="1"/>
  <c r="H7" i="60"/>
  <c r="J7" i="60" s="1"/>
  <c r="H6" i="60"/>
  <c r="I3" i="60"/>
  <c r="F3" i="60"/>
  <c r="H2" i="60"/>
  <c r="F2" i="60"/>
  <c r="E27" i="59"/>
  <c r="C27" i="59"/>
  <c r="B28" i="59" s="1"/>
  <c r="F26" i="59"/>
  <c r="F25" i="59"/>
  <c r="F24" i="59"/>
  <c r="F23" i="59"/>
  <c r="F22" i="59"/>
  <c r="F21" i="59"/>
  <c r="F20" i="59"/>
  <c r="F19" i="59"/>
  <c r="F18" i="59"/>
  <c r="F17" i="59"/>
  <c r="F16" i="59"/>
  <c r="F15" i="59"/>
  <c r="F14" i="59"/>
  <c r="F13" i="59"/>
  <c r="F12" i="59"/>
  <c r="F11" i="59"/>
  <c r="F10" i="59"/>
  <c r="F9" i="59"/>
  <c r="F8" i="59"/>
  <c r="F7" i="59"/>
  <c r="D4" i="59"/>
  <c r="F3" i="59"/>
  <c r="E3" i="59"/>
  <c r="D3" i="59"/>
  <c r="E304" i="58"/>
  <c r="E303" i="58"/>
  <c r="E302" i="58"/>
  <c r="E301" i="58"/>
  <c r="E300" i="58"/>
  <c r="E299" i="58"/>
  <c r="E298" i="58"/>
  <c r="E297" i="58"/>
  <c r="E296" i="58"/>
  <c r="E295" i="58"/>
  <c r="E294" i="58"/>
  <c r="E293" i="58"/>
  <c r="E292" i="58"/>
  <c r="E291" i="58"/>
  <c r="E290" i="58"/>
  <c r="E289" i="58"/>
  <c r="E288" i="58"/>
  <c r="E287" i="58"/>
  <c r="E286" i="58"/>
  <c r="E285" i="58"/>
  <c r="E284" i="58"/>
  <c r="E283" i="58"/>
  <c r="E282" i="58"/>
  <c r="E281" i="58"/>
  <c r="E280" i="58"/>
  <c r="E279" i="58"/>
  <c r="E278" i="58"/>
  <c r="E277" i="58"/>
  <c r="E276" i="58"/>
  <c r="E275" i="58"/>
  <c r="E274" i="58"/>
  <c r="E273" i="58"/>
  <c r="E272" i="58"/>
  <c r="E271" i="58"/>
  <c r="E270" i="58"/>
  <c r="E269" i="58"/>
  <c r="E268" i="58"/>
  <c r="E267" i="58"/>
  <c r="E266" i="58"/>
  <c r="E265" i="58"/>
  <c r="E264" i="58"/>
  <c r="E263" i="58"/>
  <c r="E262" i="58"/>
  <c r="E261" i="58"/>
  <c r="E260" i="58"/>
  <c r="E259" i="58"/>
  <c r="E258" i="58"/>
  <c r="E257" i="58"/>
  <c r="E256" i="58"/>
  <c r="E255" i="58"/>
  <c r="E254" i="58"/>
  <c r="E253" i="58"/>
  <c r="E252" i="58"/>
  <c r="E251" i="58"/>
  <c r="E250" i="58"/>
  <c r="E249" i="58"/>
  <c r="E248" i="58"/>
  <c r="E247" i="58"/>
  <c r="E246" i="58"/>
  <c r="E245" i="58"/>
  <c r="E244" i="58"/>
  <c r="E243" i="58"/>
  <c r="E242" i="58"/>
  <c r="E241" i="58"/>
  <c r="E240" i="58"/>
  <c r="E239" i="58"/>
  <c r="E238" i="58"/>
  <c r="E237" i="58"/>
  <c r="E236" i="58"/>
  <c r="E235" i="58"/>
  <c r="E234" i="58"/>
  <c r="E233" i="58"/>
  <c r="E232" i="58"/>
  <c r="E231" i="58"/>
  <c r="E230" i="58"/>
  <c r="E229" i="58"/>
  <c r="E228" i="58"/>
  <c r="E227" i="58"/>
  <c r="E226" i="58"/>
  <c r="E225" i="58"/>
  <c r="E224" i="58"/>
  <c r="E223" i="58"/>
  <c r="E222" i="58"/>
  <c r="E221" i="58"/>
  <c r="E220" i="58"/>
  <c r="E219" i="58"/>
  <c r="E218" i="58"/>
  <c r="E217" i="58"/>
  <c r="E216" i="58"/>
  <c r="E215" i="58"/>
  <c r="E214" i="58"/>
  <c r="E213" i="58"/>
  <c r="E212" i="58"/>
  <c r="E211" i="58"/>
  <c r="E210" i="58"/>
  <c r="E209" i="58"/>
  <c r="E208" i="58"/>
  <c r="E207" i="58"/>
  <c r="E206" i="58"/>
  <c r="E205" i="58"/>
  <c r="E204" i="58"/>
  <c r="E203" i="58"/>
  <c r="E202" i="58"/>
  <c r="E201" i="58"/>
  <c r="E200" i="58"/>
  <c r="E199" i="58"/>
  <c r="E198" i="58"/>
  <c r="E197" i="58"/>
  <c r="E196" i="58"/>
  <c r="E195" i="58"/>
  <c r="E194" i="58"/>
  <c r="E193" i="58"/>
  <c r="E192" i="58"/>
  <c r="E191" i="58"/>
  <c r="E190" i="58"/>
  <c r="E189" i="58"/>
  <c r="E188" i="58"/>
  <c r="E187" i="58"/>
  <c r="E186" i="58"/>
  <c r="E185" i="58"/>
  <c r="E184" i="58"/>
  <c r="E183" i="58"/>
  <c r="E182" i="58"/>
  <c r="E181" i="58"/>
  <c r="E180" i="58"/>
  <c r="E179" i="58"/>
  <c r="E178" i="58"/>
  <c r="E177" i="58"/>
  <c r="E176" i="58"/>
  <c r="E175" i="58"/>
  <c r="E174" i="58"/>
  <c r="E173" i="58"/>
  <c r="E172" i="58"/>
  <c r="E171" i="58"/>
  <c r="E170" i="58"/>
  <c r="E169" i="58"/>
  <c r="E168" i="58"/>
  <c r="E167" i="58"/>
  <c r="E166" i="58"/>
  <c r="E165" i="58"/>
  <c r="E164" i="58"/>
  <c r="E163" i="58"/>
  <c r="E162" i="58"/>
  <c r="E161" i="58"/>
  <c r="E160" i="58"/>
  <c r="E159" i="58"/>
  <c r="E158" i="58"/>
  <c r="E157" i="58"/>
  <c r="E156" i="58"/>
  <c r="E155" i="58"/>
  <c r="E154" i="58"/>
  <c r="E153" i="58"/>
  <c r="E152" i="58"/>
  <c r="E151" i="58"/>
  <c r="E150" i="58"/>
  <c r="E149" i="58"/>
  <c r="E148" i="58"/>
  <c r="E147" i="58"/>
  <c r="E146" i="58"/>
  <c r="E145" i="58"/>
  <c r="E144" i="58"/>
  <c r="E143" i="58"/>
  <c r="E142" i="58"/>
  <c r="E141" i="58"/>
  <c r="E140" i="58"/>
  <c r="E139" i="58"/>
  <c r="E138" i="58"/>
  <c r="E137" i="58"/>
  <c r="E136" i="58"/>
  <c r="E135" i="58"/>
  <c r="E134" i="58"/>
  <c r="E133" i="58"/>
  <c r="E132" i="58"/>
  <c r="E131" i="58"/>
  <c r="E130" i="58"/>
  <c r="E129" i="58"/>
  <c r="E128" i="58"/>
  <c r="E127" i="58"/>
  <c r="E126" i="58"/>
  <c r="E125" i="58"/>
  <c r="E124" i="58"/>
  <c r="E123" i="58"/>
  <c r="E122" i="58"/>
  <c r="E121" i="58"/>
  <c r="E120" i="58"/>
  <c r="E119" i="58"/>
  <c r="E118" i="58"/>
  <c r="E117" i="58"/>
  <c r="E116" i="58"/>
  <c r="E115" i="58"/>
  <c r="E114" i="58"/>
  <c r="E113" i="58"/>
  <c r="E112" i="58"/>
  <c r="E111" i="58"/>
  <c r="E110" i="58"/>
  <c r="E109" i="58"/>
  <c r="E108" i="58"/>
  <c r="E107" i="58"/>
  <c r="E106" i="58"/>
  <c r="E105" i="58"/>
  <c r="E104" i="58"/>
  <c r="E103" i="58"/>
  <c r="E102" i="58"/>
  <c r="E101" i="58"/>
  <c r="E100" i="58"/>
  <c r="E99" i="58"/>
  <c r="E98" i="58"/>
  <c r="E97" i="58"/>
  <c r="E96" i="58"/>
  <c r="E95" i="58"/>
  <c r="E94" i="58"/>
  <c r="E93" i="58"/>
  <c r="E92" i="58"/>
  <c r="E91" i="58"/>
  <c r="E90" i="58"/>
  <c r="E89" i="58"/>
  <c r="E88" i="58"/>
  <c r="E87" i="58"/>
  <c r="E86" i="58"/>
  <c r="E85" i="58"/>
  <c r="E84" i="58"/>
  <c r="E83" i="58"/>
  <c r="E82" i="58"/>
  <c r="E81" i="58"/>
  <c r="E80" i="58"/>
  <c r="E79" i="58"/>
  <c r="E78" i="58"/>
  <c r="E77" i="58"/>
  <c r="E76" i="58"/>
  <c r="E75" i="58"/>
  <c r="E74" i="58"/>
  <c r="E73" i="58"/>
  <c r="E72" i="58"/>
  <c r="E71" i="58"/>
  <c r="E70" i="58"/>
  <c r="E69" i="58"/>
  <c r="E68" i="58"/>
  <c r="E67" i="58"/>
  <c r="E66" i="58"/>
  <c r="E65" i="58"/>
  <c r="E64" i="58"/>
  <c r="E63" i="58"/>
  <c r="E62" i="58"/>
  <c r="E61" i="58"/>
  <c r="E60" i="58"/>
  <c r="E59" i="58"/>
  <c r="E58" i="58"/>
  <c r="E57" i="58"/>
  <c r="E56" i="58"/>
  <c r="E55" i="58"/>
  <c r="E54" i="58"/>
  <c r="E53" i="58"/>
  <c r="E52" i="58"/>
  <c r="E51" i="58"/>
  <c r="E50" i="58"/>
  <c r="E49" i="58"/>
  <c r="E48" i="58"/>
  <c r="E47" i="58"/>
  <c r="E46" i="58"/>
  <c r="E45" i="58"/>
  <c r="E44" i="58"/>
  <c r="E43" i="58"/>
  <c r="E42" i="58"/>
  <c r="E41" i="58"/>
  <c r="E40" i="58"/>
  <c r="E39" i="58"/>
  <c r="E38" i="58"/>
  <c r="E37" i="58"/>
  <c r="E36" i="58"/>
  <c r="E35" i="58"/>
  <c r="E34" i="58"/>
  <c r="E33" i="58"/>
  <c r="E32" i="58"/>
  <c r="E31" i="58"/>
  <c r="E30" i="58"/>
  <c r="E29" i="58"/>
  <c r="E28" i="58"/>
  <c r="E27" i="58"/>
  <c r="E26" i="58"/>
  <c r="E25" i="58"/>
  <c r="E24" i="58"/>
  <c r="E23" i="58"/>
  <c r="E22" i="58"/>
  <c r="E21" i="58"/>
  <c r="E20" i="58"/>
  <c r="E19" i="58"/>
  <c r="E18" i="58"/>
  <c r="E17" i="58"/>
  <c r="E16" i="58"/>
  <c r="E15" i="58"/>
  <c r="F14" i="58"/>
  <c r="D14" i="58"/>
  <c r="C14" i="58"/>
  <c r="B14" i="58"/>
  <c r="F13" i="58"/>
  <c r="C13" i="58"/>
  <c r="B13" i="58"/>
  <c r="E13" i="58" s="1"/>
  <c r="F11" i="58"/>
  <c r="D4" i="58"/>
  <c r="F3" i="58"/>
  <c r="E3" i="58"/>
  <c r="D3" i="58"/>
  <c r="E304" i="57"/>
  <c r="E303" i="57"/>
  <c r="E302" i="57"/>
  <c r="E301" i="57"/>
  <c r="E300" i="57"/>
  <c r="E299" i="57"/>
  <c r="E298" i="57"/>
  <c r="E297" i="57"/>
  <c r="E296" i="57"/>
  <c r="E295" i="57"/>
  <c r="E294" i="57"/>
  <c r="E293" i="57"/>
  <c r="E292" i="57"/>
  <c r="E291" i="57"/>
  <c r="E290" i="57"/>
  <c r="E289" i="57"/>
  <c r="E288" i="57"/>
  <c r="E287" i="57"/>
  <c r="E286" i="57"/>
  <c r="E285" i="57"/>
  <c r="E284" i="57"/>
  <c r="E283" i="57"/>
  <c r="E282" i="57"/>
  <c r="E281" i="57"/>
  <c r="E280" i="57"/>
  <c r="E279" i="57"/>
  <c r="E278" i="57"/>
  <c r="E277" i="57"/>
  <c r="E276" i="57"/>
  <c r="E275" i="57"/>
  <c r="E274" i="57"/>
  <c r="E273" i="57"/>
  <c r="E272" i="57"/>
  <c r="E271" i="57"/>
  <c r="E270" i="57"/>
  <c r="E269" i="57"/>
  <c r="E268" i="57"/>
  <c r="E267" i="57"/>
  <c r="E266" i="57"/>
  <c r="E265" i="57"/>
  <c r="E264" i="57"/>
  <c r="E263" i="57"/>
  <c r="E262" i="57"/>
  <c r="E261" i="57"/>
  <c r="E260" i="57"/>
  <c r="E259" i="57"/>
  <c r="E258" i="57"/>
  <c r="E257" i="57"/>
  <c r="E256" i="57"/>
  <c r="E255" i="57"/>
  <c r="E254" i="57"/>
  <c r="E253" i="57"/>
  <c r="E252" i="57"/>
  <c r="E251" i="57"/>
  <c r="E250" i="57"/>
  <c r="E249" i="57"/>
  <c r="E248" i="57"/>
  <c r="E247" i="57"/>
  <c r="E246" i="57"/>
  <c r="E245" i="57"/>
  <c r="E244" i="57"/>
  <c r="E243" i="57"/>
  <c r="E242" i="57"/>
  <c r="E241" i="57"/>
  <c r="E240" i="57"/>
  <c r="E239" i="57"/>
  <c r="E238" i="57"/>
  <c r="E237" i="57"/>
  <c r="E236" i="57"/>
  <c r="E235" i="57"/>
  <c r="E234" i="57"/>
  <c r="E233" i="57"/>
  <c r="E232" i="57"/>
  <c r="E231" i="57"/>
  <c r="E230" i="57"/>
  <c r="E229" i="57"/>
  <c r="E228" i="57"/>
  <c r="E227" i="57"/>
  <c r="E226" i="57"/>
  <c r="E225" i="57"/>
  <c r="E224" i="57"/>
  <c r="E223" i="57"/>
  <c r="E222" i="57"/>
  <c r="E221" i="57"/>
  <c r="E220" i="57"/>
  <c r="E219" i="57"/>
  <c r="E218" i="57"/>
  <c r="E217" i="57"/>
  <c r="E216" i="57"/>
  <c r="E215" i="57"/>
  <c r="E214" i="57"/>
  <c r="E213" i="57"/>
  <c r="E212" i="57"/>
  <c r="E211" i="57"/>
  <c r="E210" i="57"/>
  <c r="E209" i="57"/>
  <c r="E208" i="57"/>
  <c r="E207" i="57"/>
  <c r="E206" i="57"/>
  <c r="E205" i="57"/>
  <c r="E204" i="57"/>
  <c r="E203" i="57"/>
  <c r="E202" i="57"/>
  <c r="E201" i="57"/>
  <c r="E200" i="57"/>
  <c r="E199" i="57"/>
  <c r="E198" i="57"/>
  <c r="E197" i="57"/>
  <c r="E196" i="57"/>
  <c r="E195" i="57"/>
  <c r="E194" i="57"/>
  <c r="E193" i="57"/>
  <c r="E192" i="57"/>
  <c r="E191" i="57"/>
  <c r="E190" i="57"/>
  <c r="E189" i="57"/>
  <c r="E188" i="57"/>
  <c r="E187" i="57"/>
  <c r="E186" i="57"/>
  <c r="E185" i="57"/>
  <c r="E184" i="57"/>
  <c r="E183" i="57"/>
  <c r="E182" i="57"/>
  <c r="E181" i="57"/>
  <c r="E180" i="57"/>
  <c r="E179" i="57"/>
  <c r="E178" i="57"/>
  <c r="E177" i="57"/>
  <c r="E176" i="57"/>
  <c r="E175" i="57"/>
  <c r="E174" i="57"/>
  <c r="E173" i="57"/>
  <c r="E172" i="57"/>
  <c r="E171" i="57"/>
  <c r="E170" i="57"/>
  <c r="E169" i="57"/>
  <c r="E168" i="57"/>
  <c r="E167" i="57"/>
  <c r="E166" i="57"/>
  <c r="E165" i="57"/>
  <c r="E164" i="57"/>
  <c r="E163" i="57"/>
  <c r="E162" i="57"/>
  <c r="E161" i="57"/>
  <c r="E160" i="57"/>
  <c r="E159" i="57"/>
  <c r="E158" i="57"/>
  <c r="E157" i="57"/>
  <c r="E156" i="57"/>
  <c r="E155" i="57"/>
  <c r="E154" i="57"/>
  <c r="E153" i="57"/>
  <c r="E152" i="57"/>
  <c r="E151" i="57"/>
  <c r="E150" i="57"/>
  <c r="E149" i="57"/>
  <c r="E148" i="57"/>
  <c r="E147" i="57"/>
  <c r="E146" i="57"/>
  <c r="E145" i="57"/>
  <c r="E144" i="57"/>
  <c r="E143" i="57"/>
  <c r="E142" i="57"/>
  <c r="E141" i="57"/>
  <c r="E140" i="57"/>
  <c r="E139" i="57"/>
  <c r="E138" i="57"/>
  <c r="E137" i="57"/>
  <c r="E136" i="57"/>
  <c r="E135" i="57"/>
  <c r="E134" i="57"/>
  <c r="E133" i="57"/>
  <c r="E132" i="57"/>
  <c r="E131" i="57"/>
  <c r="E130" i="57"/>
  <c r="E129" i="57"/>
  <c r="E128" i="57"/>
  <c r="E127" i="57"/>
  <c r="E126" i="57"/>
  <c r="E125" i="57"/>
  <c r="E124" i="57"/>
  <c r="E123" i="57"/>
  <c r="E122" i="57"/>
  <c r="E121" i="57"/>
  <c r="E120" i="57"/>
  <c r="E119" i="57"/>
  <c r="E118" i="57"/>
  <c r="E117" i="57"/>
  <c r="E116" i="57"/>
  <c r="E115" i="57"/>
  <c r="E114" i="57"/>
  <c r="E113" i="57"/>
  <c r="E112" i="57"/>
  <c r="E111" i="57"/>
  <c r="E110" i="57"/>
  <c r="E109" i="57"/>
  <c r="E108" i="57"/>
  <c r="E107" i="57"/>
  <c r="E106" i="57"/>
  <c r="E105" i="57"/>
  <c r="E104" i="57"/>
  <c r="E103" i="57"/>
  <c r="E102" i="57"/>
  <c r="E101" i="57"/>
  <c r="E100" i="57"/>
  <c r="E99" i="57"/>
  <c r="E98" i="57"/>
  <c r="E97" i="57"/>
  <c r="E96" i="57"/>
  <c r="E95" i="57"/>
  <c r="E94" i="57"/>
  <c r="E93" i="57"/>
  <c r="E92" i="57"/>
  <c r="E91" i="57"/>
  <c r="E90" i="57"/>
  <c r="E89" i="57"/>
  <c r="E88" i="57"/>
  <c r="E87" i="57"/>
  <c r="E86" i="57"/>
  <c r="E85" i="57"/>
  <c r="E84" i="57"/>
  <c r="E83" i="57"/>
  <c r="E82" i="57"/>
  <c r="E81" i="57"/>
  <c r="E80" i="57"/>
  <c r="E79" i="57"/>
  <c r="E78" i="57"/>
  <c r="E77" i="57"/>
  <c r="E76" i="57"/>
  <c r="E75" i="57"/>
  <c r="E74" i="57"/>
  <c r="E73" i="57"/>
  <c r="E72" i="57"/>
  <c r="E71" i="57"/>
  <c r="E70" i="57"/>
  <c r="E69" i="57"/>
  <c r="E68" i="57"/>
  <c r="E67" i="57"/>
  <c r="E66" i="57"/>
  <c r="E65" i="57"/>
  <c r="E64" i="57"/>
  <c r="E63" i="57"/>
  <c r="E62" i="57"/>
  <c r="E61" i="57"/>
  <c r="E60" i="57"/>
  <c r="E59" i="57"/>
  <c r="E58" i="57"/>
  <c r="E57" i="57"/>
  <c r="E56" i="57"/>
  <c r="E55" i="57"/>
  <c r="E54" i="57"/>
  <c r="E53" i="57"/>
  <c r="E52" i="57"/>
  <c r="E51" i="57"/>
  <c r="E50" i="57"/>
  <c r="E49" i="57"/>
  <c r="E48" i="57"/>
  <c r="E47" i="57"/>
  <c r="E46" i="57"/>
  <c r="E45" i="57"/>
  <c r="E44" i="57"/>
  <c r="E43" i="57"/>
  <c r="E42" i="57"/>
  <c r="E41" i="57"/>
  <c r="E40" i="57"/>
  <c r="E39" i="57"/>
  <c r="E38" i="57"/>
  <c r="E37" i="57"/>
  <c r="E36" i="57"/>
  <c r="E35" i="57"/>
  <c r="E34" i="57"/>
  <c r="E33" i="57"/>
  <c r="E32" i="57"/>
  <c r="E31" i="57"/>
  <c r="E30" i="57"/>
  <c r="E29" i="57"/>
  <c r="E28" i="57"/>
  <c r="E27" i="57"/>
  <c r="E26" i="57"/>
  <c r="E25" i="57"/>
  <c r="E24" i="57"/>
  <c r="E23" i="57"/>
  <c r="E22" i="57"/>
  <c r="E21" i="57"/>
  <c r="E20" i="57"/>
  <c r="E19" i="57"/>
  <c r="E18" i="57"/>
  <c r="E17" i="57"/>
  <c r="E16" i="57"/>
  <c r="E15" i="57"/>
  <c r="F14" i="57"/>
  <c r="D14" i="57"/>
  <c r="E7" i="57" s="1"/>
  <c r="C14" i="57"/>
  <c r="B14" i="57"/>
  <c r="F13" i="57"/>
  <c r="C13" i="57"/>
  <c r="B13" i="57"/>
  <c r="E13" i="57" s="1"/>
  <c r="F11" i="57"/>
  <c r="D4" i="57"/>
  <c r="F3" i="57"/>
  <c r="E3" i="57"/>
  <c r="D3" i="57"/>
  <c r="E304" i="56"/>
  <c r="E303" i="56"/>
  <c r="E302" i="56"/>
  <c r="E301" i="56"/>
  <c r="E300" i="56"/>
  <c r="E299" i="56"/>
  <c r="E298" i="56"/>
  <c r="E297" i="56"/>
  <c r="E296" i="56"/>
  <c r="E295" i="56"/>
  <c r="E294" i="56"/>
  <c r="E293" i="56"/>
  <c r="E292" i="56"/>
  <c r="E291" i="56"/>
  <c r="E290" i="56"/>
  <c r="E289" i="56"/>
  <c r="E288" i="56"/>
  <c r="E287" i="56"/>
  <c r="E286" i="56"/>
  <c r="E285" i="56"/>
  <c r="E284" i="56"/>
  <c r="E283" i="56"/>
  <c r="E282" i="56"/>
  <c r="E281" i="56"/>
  <c r="E280" i="56"/>
  <c r="E279" i="56"/>
  <c r="E278" i="56"/>
  <c r="E277" i="56"/>
  <c r="E276" i="56"/>
  <c r="E275" i="56"/>
  <c r="E274" i="56"/>
  <c r="E273" i="56"/>
  <c r="E272" i="56"/>
  <c r="E271" i="56"/>
  <c r="E270" i="56"/>
  <c r="E269" i="56"/>
  <c r="E268" i="56"/>
  <c r="E267" i="56"/>
  <c r="E266" i="56"/>
  <c r="E265" i="56"/>
  <c r="E264" i="56"/>
  <c r="E263" i="56"/>
  <c r="E262" i="56"/>
  <c r="E261" i="56"/>
  <c r="E260" i="56"/>
  <c r="E259" i="56"/>
  <c r="E258" i="56"/>
  <c r="E257" i="56"/>
  <c r="E256" i="56"/>
  <c r="E255" i="56"/>
  <c r="E254" i="56"/>
  <c r="E253" i="56"/>
  <c r="E252" i="56"/>
  <c r="E251" i="56"/>
  <c r="E250" i="56"/>
  <c r="E249" i="56"/>
  <c r="E248" i="56"/>
  <c r="E247" i="56"/>
  <c r="E246" i="56"/>
  <c r="E245" i="56"/>
  <c r="E244" i="56"/>
  <c r="E243" i="56"/>
  <c r="E242" i="56"/>
  <c r="E241" i="56"/>
  <c r="E240" i="56"/>
  <c r="E239" i="56"/>
  <c r="E238" i="56"/>
  <c r="E237" i="56"/>
  <c r="E236" i="56"/>
  <c r="E235" i="56"/>
  <c r="E234" i="56"/>
  <c r="E233" i="56"/>
  <c r="E232" i="56"/>
  <c r="E231" i="56"/>
  <c r="E230" i="56"/>
  <c r="E229" i="56"/>
  <c r="E228" i="56"/>
  <c r="E227" i="56"/>
  <c r="E226" i="56"/>
  <c r="E225" i="56"/>
  <c r="E224" i="56"/>
  <c r="E223" i="56"/>
  <c r="E222" i="56"/>
  <c r="E221" i="56"/>
  <c r="E220" i="56"/>
  <c r="E219" i="56"/>
  <c r="E218" i="56"/>
  <c r="E217" i="56"/>
  <c r="E216" i="56"/>
  <c r="E215" i="56"/>
  <c r="E214" i="56"/>
  <c r="E213" i="56"/>
  <c r="E212" i="56"/>
  <c r="E211" i="56"/>
  <c r="E210" i="56"/>
  <c r="E209" i="56"/>
  <c r="E208" i="56"/>
  <c r="E207" i="56"/>
  <c r="E206" i="56"/>
  <c r="E205" i="56"/>
  <c r="E204" i="56"/>
  <c r="E203" i="56"/>
  <c r="E202" i="56"/>
  <c r="E201" i="56"/>
  <c r="E200" i="56"/>
  <c r="E199" i="56"/>
  <c r="E198" i="56"/>
  <c r="E197" i="56"/>
  <c r="E196" i="56"/>
  <c r="E195" i="56"/>
  <c r="E194" i="56"/>
  <c r="E193" i="56"/>
  <c r="E192" i="56"/>
  <c r="E191" i="56"/>
  <c r="E190" i="56"/>
  <c r="E189" i="56"/>
  <c r="E188" i="56"/>
  <c r="E187" i="56"/>
  <c r="E186" i="56"/>
  <c r="E185" i="56"/>
  <c r="E184" i="56"/>
  <c r="E183" i="56"/>
  <c r="E182" i="56"/>
  <c r="E181" i="56"/>
  <c r="E180" i="56"/>
  <c r="E179" i="56"/>
  <c r="E178" i="56"/>
  <c r="E177" i="56"/>
  <c r="E176" i="56"/>
  <c r="E175" i="56"/>
  <c r="E174" i="56"/>
  <c r="E173" i="56"/>
  <c r="E172" i="56"/>
  <c r="E171" i="56"/>
  <c r="E170" i="56"/>
  <c r="E169" i="56"/>
  <c r="E168" i="56"/>
  <c r="E167" i="56"/>
  <c r="E166" i="56"/>
  <c r="E165" i="56"/>
  <c r="E164" i="56"/>
  <c r="E163" i="56"/>
  <c r="E162" i="56"/>
  <c r="E161" i="56"/>
  <c r="E160" i="56"/>
  <c r="E159" i="56"/>
  <c r="E158" i="56"/>
  <c r="E157" i="56"/>
  <c r="E156" i="56"/>
  <c r="E155" i="56"/>
  <c r="E154" i="56"/>
  <c r="E153" i="56"/>
  <c r="E152" i="56"/>
  <c r="E151" i="56"/>
  <c r="E150" i="56"/>
  <c r="E149" i="56"/>
  <c r="E148" i="56"/>
  <c r="E147" i="56"/>
  <c r="E146" i="56"/>
  <c r="E145" i="56"/>
  <c r="E144" i="56"/>
  <c r="E143" i="56"/>
  <c r="E142" i="56"/>
  <c r="E141" i="56"/>
  <c r="E140" i="56"/>
  <c r="E139" i="56"/>
  <c r="E138" i="56"/>
  <c r="E137" i="56"/>
  <c r="E136" i="56"/>
  <c r="E135" i="56"/>
  <c r="E134" i="56"/>
  <c r="E133" i="56"/>
  <c r="E132" i="56"/>
  <c r="E131" i="56"/>
  <c r="E130" i="56"/>
  <c r="E129" i="56"/>
  <c r="E128" i="56"/>
  <c r="E127" i="56"/>
  <c r="E126" i="56"/>
  <c r="E125" i="56"/>
  <c r="E124" i="56"/>
  <c r="E123" i="56"/>
  <c r="E122" i="56"/>
  <c r="E121" i="56"/>
  <c r="E120" i="56"/>
  <c r="E119" i="56"/>
  <c r="E118" i="56"/>
  <c r="E117" i="56"/>
  <c r="E116" i="56"/>
  <c r="E115" i="56"/>
  <c r="E114" i="56"/>
  <c r="E113" i="56"/>
  <c r="E112" i="56"/>
  <c r="E111" i="56"/>
  <c r="E110" i="56"/>
  <c r="E109" i="56"/>
  <c r="E108" i="56"/>
  <c r="E107" i="56"/>
  <c r="E106" i="56"/>
  <c r="E105" i="56"/>
  <c r="E104" i="56"/>
  <c r="E103" i="56"/>
  <c r="E102" i="56"/>
  <c r="E101" i="56"/>
  <c r="E100" i="56"/>
  <c r="E99" i="56"/>
  <c r="E98" i="56"/>
  <c r="E97" i="56"/>
  <c r="E96" i="56"/>
  <c r="E95" i="56"/>
  <c r="E94" i="56"/>
  <c r="E93" i="56"/>
  <c r="E92" i="56"/>
  <c r="E91" i="56"/>
  <c r="E90" i="56"/>
  <c r="E89" i="56"/>
  <c r="E88" i="56"/>
  <c r="E87" i="56"/>
  <c r="E86" i="56"/>
  <c r="E85" i="56"/>
  <c r="E84" i="56"/>
  <c r="E83" i="56"/>
  <c r="E82" i="56"/>
  <c r="E81" i="56"/>
  <c r="E80" i="56"/>
  <c r="E79" i="56"/>
  <c r="E78" i="56"/>
  <c r="E77" i="56"/>
  <c r="E76" i="56"/>
  <c r="E75" i="56"/>
  <c r="E74" i="56"/>
  <c r="E73" i="56"/>
  <c r="E72" i="56"/>
  <c r="E71" i="56"/>
  <c r="E70" i="56"/>
  <c r="E69" i="56"/>
  <c r="E68" i="56"/>
  <c r="E67" i="56"/>
  <c r="E66" i="56"/>
  <c r="E65" i="56"/>
  <c r="E64" i="56"/>
  <c r="E63" i="56"/>
  <c r="E62" i="56"/>
  <c r="E61" i="56"/>
  <c r="E60" i="56"/>
  <c r="E59" i="56"/>
  <c r="E58" i="56"/>
  <c r="E57" i="56"/>
  <c r="E56" i="56"/>
  <c r="E55" i="56"/>
  <c r="E54" i="56"/>
  <c r="E53" i="56"/>
  <c r="E52" i="56"/>
  <c r="E51" i="56"/>
  <c r="E50" i="56"/>
  <c r="E49" i="56"/>
  <c r="E48" i="56"/>
  <c r="E47" i="56"/>
  <c r="E46" i="56"/>
  <c r="E45" i="56"/>
  <c r="E44" i="56"/>
  <c r="E43" i="56"/>
  <c r="E42" i="56"/>
  <c r="E41" i="56"/>
  <c r="E40" i="56"/>
  <c r="E39" i="56"/>
  <c r="E38" i="56"/>
  <c r="E37" i="56"/>
  <c r="E36" i="56"/>
  <c r="E35" i="56"/>
  <c r="E34" i="56"/>
  <c r="E33" i="56"/>
  <c r="E32" i="56"/>
  <c r="E31" i="56"/>
  <c r="E30" i="56"/>
  <c r="E29" i="56"/>
  <c r="E28" i="56"/>
  <c r="E27" i="56"/>
  <c r="E26" i="56"/>
  <c r="E25" i="56"/>
  <c r="E24" i="56"/>
  <c r="E23" i="56"/>
  <c r="E22" i="56"/>
  <c r="E21" i="56"/>
  <c r="E20" i="56"/>
  <c r="E19" i="56"/>
  <c r="E18" i="56"/>
  <c r="E17" i="56"/>
  <c r="E16" i="56"/>
  <c r="E15" i="56"/>
  <c r="F14" i="56"/>
  <c r="D14" i="56"/>
  <c r="C14" i="56"/>
  <c r="B14" i="56"/>
  <c r="F13" i="56"/>
  <c r="C13" i="56"/>
  <c r="B13" i="56"/>
  <c r="F11" i="56"/>
  <c r="D4" i="56"/>
  <c r="F3" i="56"/>
  <c r="E3" i="56"/>
  <c r="D3" i="56"/>
  <c r="A34" i="55"/>
  <c r="C16" i="17"/>
  <c r="G23" i="54"/>
  <c r="F23" i="54"/>
  <c r="E23" i="54"/>
  <c r="D23" i="54"/>
  <c r="H22" i="54"/>
  <c r="H21" i="54"/>
  <c r="H20" i="54"/>
  <c r="D19" i="54"/>
  <c r="H18" i="54"/>
  <c r="G18" i="54" s="1"/>
  <c r="E18" i="54"/>
  <c r="H17" i="54"/>
  <c r="G17" i="54" s="1"/>
  <c r="E17" i="54"/>
  <c r="H16" i="54"/>
  <c r="G16" i="54" s="1"/>
  <c r="E16" i="54"/>
  <c r="H15" i="54"/>
  <c r="G15" i="54" s="1"/>
  <c r="E15" i="54"/>
  <c r="H14" i="54"/>
  <c r="G14" i="54" s="1"/>
  <c r="E14" i="54"/>
  <c r="H13" i="54"/>
  <c r="G13" i="54" s="1"/>
  <c r="E13" i="54"/>
  <c r="H12" i="54"/>
  <c r="E12" i="54"/>
  <c r="D10" i="54"/>
  <c r="H9" i="54"/>
  <c r="G9" i="54"/>
  <c r="E8" i="54"/>
  <c r="D8" i="17" s="1"/>
  <c r="B8" i="17" s="1"/>
  <c r="E7" i="54"/>
  <c r="D7" i="17" s="1"/>
  <c r="B7" i="17" s="1"/>
  <c r="E6" i="54"/>
  <c r="H3" i="54"/>
  <c r="E3" i="54"/>
  <c r="G2" i="54"/>
  <c r="E2" i="54"/>
  <c r="E35" i="53"/>
  <c r="E34" i="53"/>
  <c r="E26" i="53"/>
  <c r="E25" i="53"/>
  <c r="E24" i="53"/>
  <c r="E23" i="53"/>
  <c r="E22" i="53"/>
  <c r="E20" i="53"/>
  <c r="E19" i="53"/>
  <c r="E18" i="53"/>
  <c r="E17" i="53"/>
  <c r="E16" i="53"/>
  <c r="D15" i="53"/>
  <c r="D21" i="53" s="1"/>
  <c r="C15" i="53"/>
  <c r="C21" i="53" s="1"/>
  <c r="E14" i="53"/>
  <c r="C28" i="122" s="1"/>
  <c r="E13" i="53"/>
  <c r="E12" i="53"/>
  <c r="E11" i="53"/>
  <c r="E10" i="53"/>
  <c r="E9" i="53"/>
  <c r="E8" i="53"/>
  <c r="E7" i="53"/>
  <c r="E6" i="53"/>
  <c r="G3" i="53"/>
  <c r="E3" i="53"/>
  <c r="F2" i="53"/>
  <c r="E2" i="53"/>
  <c r="H26" i="52"/>
  <c r="H25" i="52"/>
  <c r="H24" i="52"/>
  <c r="H23" i="52"/>
  <c r="H22" i="52"/>
  <c r="H21" i="52"/>
  <c r="H20" i="52"/>
  <c r="H19" i="52"/>
  <c r="H18" i="52"/>
  <c r="H17" i="52"/>
  <c r="H16" i="52"/>
  <c r="H15" i="52"/>
  <c r="H14" i="52"/>
  <c r="H13" i="52"/>
  <c r="H12" i="52"/>
  <c r="H11" i="52"/>
  <c r="H10" i="52"/>
  <c r="H9" i="52"/>
  <c r="H8" i="52"/>
  <c r="H7" i="52"/>
  <c r="C21" i="35" s="1"/>
  <c r="J21" i="35" s="1"/>
  <c r="H6" i="52"/>
  <c r="H3" i="52"/>
  <c r="H43" i="51"/>
  <c r="H40" i="51"/>
  <c r="H39" i="51"/>
  <c r="H33" i="51"/>
  <c r="H32" i="51"/>
  <c r="H31" i="51"/>
  <c r="H30" i="51"/>
  <c r="H29" i="51"/>
  <c r="H28" i="51"/>
  <c r="H27" i="51"/>
  <c r="H26" i="51"/>
  <c r="H25" i="51"/>
  <c r="H24" i="51"/>
  <c r="H23" i="51"/>
  <c r="H22" i="51"/>
  <c r="H21" i="51"/>
  <c r="D21" i="36" s="1"/>
  <c r="H20" i="51"/>
  <c r="E29" i="28" s="1"/>
  <c r="H19" i="51"/>
  <c r="H18" i="51"/>
  <c r="H17" i="51"/>
  <c r="C24" i="31" s="1"/>
  <c r="H16" i="51"/>
  <c r="H15" i="51"/>
  <c r="H14" i="51"/>
  <c r="H13" i="51"/>
  <c r="C27" i="31" s="1"/>
  <c r="H12" i="51"/>
  <c r="D17" i="34" s="1"/>
  <c r="H11" i="51"/>
  <c r="E27" i="33" s="1"/>
  <c r="H10" i="51"/>
  <c r="E9" i="27" s="1"/>
  <c r="H9" i="51"/>
  <c r="G10" i="26" s="1"/>
  <c r="H8" i="51"/>
  <c r="F10" i="26" s="1"/>
  <c r="H7" i="51"/>
  <c r="E10" i="26" s="1"/>
  <c r="H6" i="51"/>
  <c r="H3" i="51"/>
  <c r="D46" i="50"/>
  <c r="H43" i="50"/>
  <c r="H42" i="50"/>
  <c r="H41" i="50"/>
  <c r="H40" i="50"/>
  <c r="H39" i="50"/>
  <c r="H38" i="50"/>
  <c r="H37" i="50"/>
  <c r="H36" i="50"/>
  <c r="H35" i="50"/>
  <c r="H34" i="50"/>
  <c r="H33" i="50"/>
  <c r="H26" i="50"/>
  <c r="H25" i="50"/>
  <c r="H24" i="50"/>
  <c r="H23" i="50"/>
  <c r="H22" i="50"/>
  <c r="H21" i="50"/>
  <c r="B21" i="36" s="1"/>
  <c r="H20" i="50"/>
  <c r="D29" i="28" s="1"/>
  <c r="H19" i="50"/>
  <c r="H18" i="50"/>
  <c r="H17" i="50"/>
  <c r="E24" i="31" s="1"/>
  <c r="H16" i="50"/>
  <c r="H15" i="50"/>
  <c r="H14" i="50"/>
  <c r="H13" i="50"/>
  <c r="E27" i="31" s="1"/>
  <c r="H12" i="50"/>
  <c r="F17" i="34" s="1"/>
  <c r="H11" i="50"/>
  <c r="D27" i="33" s="1"/>
  <c r="H10" i="50"/>
  <c r="E8" i="27" s="1"/>
  <c r="J8" i="27" s="1"/>
  <c r="H9" i="50"/>
  <c r="G9" i="26" s="1"/>
  <c r="H8" i="50"/>
  <c r="F9" i="26" s="1"/>
  <c r="H7" i="50"/>
  <c r="E9" i="26" s="1"/>
  <c r="H6" i="50"/>
  <c r="H3" i="50"/>
  <c r="I17" i="49"/>
  <c r="I18" i="49" s="1"/>
  <c r="G17" i="49"/>
  <c r="G18" i="49" s="1"/>
  <c r="D17" i="49"/>
  <c r="D18" i="49" s="1"/>
  <c r="C17" i="49"/>
  <c r="C18" i="122" s="1"/>
  <c r="H16" i="49"/>
  <c r="J16" i="49" s="1"/>
  <c r="E16" i="49"/>
  <c r="H15" i="49"/>
  <c r="J15" i="49" s="1"/>
  <c r="E15" i="49"/>
  <c r="H14" i="49"/>
  <c r="J14" i="49" s="1"/>
  <c r="E14" i="49"/>
  <c r="E13" i="49"/>
  <c r="H12" i="49"/>
  <c r="C12" i="49"/>
  <c r="H11" i="49"/>
  <c r="J11" i="49" s="1"/>
  <c r="E11" i="49"/>
  <c r="H10" i="49"/>
  <c r="C10" i="49"/>
  <c r="C15" i="122" s="1"/>
  <c r="H4" i="49"/>
  <c r="J3" i="49"/>
  <c r="I3" i="49"/>
  <c r="H3" i="49"/>
  <c r="G55" i="48"/>
  <c r="F55" i="48" s="1"/>
  <c r="G54" i="48"/>
  <c r="F54" i="48" s="1"/>
  <c r="G53" i="48"/>
  <c r="G52" i="48"/>
  <c r="F52" i="48" s="1"/>
  <c r="G51" i="48"/>
  <c r="E50" i="48"/>
  <c r="C50" i="48"/>
  <c r="G49" i="48"/>
  <c r="F49" i="48" s="1"/>
  <c r="G48" i="48"/>
  <c r="F48" i="48" s="1"/>
  <c r="G47" i="48"/>
  <c r="F47" i="48" s="1"/>
  <c r="G46" i="48"/>
  <c r="F46" i="48" s="1"/>
  <c r="G45" i="48"/>
  <c r="F45" i="48" s="1"/>
  <c r="G44" i="48"/>
  <c r="F44" i="48" s="1"/>
  <c r="G43" i="48"/>
  <c r="F43" i="48" s="1"/>
  <c r="G42" i="48"/>
  <c r="F42" i="48" s="1"/>
  <c r="G41" i="48"/>
  <c r="F41" i="48" s="1"/>
  <c r="G40" i="48"/>
  <c r="F40" i="48" s="1"/>
  <c r="G39" i="48"/>
  <c r="F39" i="48" s="1"/>
  <c r="G38" i="48"/>
  <c r="F38" i="48" s="1"/>
  <c r="G37" i="48"/>
  <c r="F37" i="48" s="1"/>
  <c r="E36" i="48"/>
  <c r="C17" i="48" s="1"/>
  <c r="D51" i="83" s="1"/>
  <c r="C36" i="48"/>
  <c r="E32" i="48"/>
  <c r="F31" i="48"/>
  <c r="E31" i="48"/>
  <c r="G25" i="48"/>
  <c r="F24" i="48"/>
  <c r="F23" i="48"/>
  <c r="E59" i="83" s="1"/>
  <c r="C22" i="48"/>
  <c r="F21" i="48"/>
  <c r="F20" i="48"/>
  <c r="E55" i="83" s="1"/>
  <c r="C19" i="48"/>
  <c r="D43" i="83" s="1"/>
  <c r="F18" i="48"/>
  <c r="E47" i="83" s="1"/>
  <c r="F14" i="48"/>
  <c r="E35" i="83" s="1"/>
  <c r="F13" i="48"/>
  <c r="E31" i="83" s="1"/>
  <c r="C12" i="48"/>
  <c r="D27" i="83" s="1"/>
  <c r="C11" i="48"/>
  <c r="D23" i="83" s="1"/>
  <c r="C10" i="48"/>
  <c r="D19" i="83" s="1"/>
  <c r="C9" i="48"/>
  <c r="D15" i="83" s="1"/>
  <c r="F8" i="48"/>
  <c r="E11" i="83" s="1"/>
  <c r="F7" i="48"/>
  <c r="E7" i="83" s="1"/>
  <c r="E4" i="48"/>
  <c r="F3" i="48"/>
  <c r="E3" i="48"/>
  <c r="E42" i="47"/>
  <c r="G41" i="47"/>
  <c r="F41" i="47" s="1"/>
  <c r="E4" i="47"/>
  <c r="G3" i="47"/>
  <c r="F3" i="47"/>
  <c r="E3" i="47"/>
  <c r="H20" i="46"/>
  <c r="G20" i="46"/>
  <c r="E20" i="46"/>
  <c r="F19" i="46"/>
  <c r="F18" i="46"/>
  <c r="F17" i="46"/>
  <c r="F16" i="46"/>
  <c r="F15" i="46"/>
  <c r="F14" i="46"/>
  <c r="F13" i="46"/>
  <c r="F12" i="46"/>
  <c r="F11" i="46"/>
  <c r="F10" i="46"/>
  <c r="F9" i="46"/>
  <c r="K8" i="46"/>
  <c r="F8" i="46"/>
  <c r="C8" i="46"/>
  <c r="K4" i="46"/>
  <c r="M3" i="46"/>
  <c r="K3" i="46"/>
  <c r="E14" i="45"/>
  <c r="E19" i="45" s="1"/>
  <c r="E25" i="45" s="1"/>
  <c r="E40" i="45" s="1"/>
  <c r="D14" i="45"/>
  <c r="F5" i="45"/>
  <c r="J4" i="45"/>
  <c r="H4" i="45"/>
  <c r="F4" i="45"/>
  <c r="E40" i="44"/>
  <c r="G40" i="44" s="1"/>
  <c r="E39" i="44"/>
  <c r="G39" i="44" s="1"/>
  <c r="E38" i="44"/>
  <c r="G38" i="44" s="1"/>
  <c r="E37" i="44"/>
  <c r="G37" i="44" s="1"/>
  <c r="E36" i="44"/>
  <c r="G36" i="44" s="1"/>
  <c r="E35" i="44"/>
  <c r="G35" i="44" s="1"/>
  <c r="E34" i="44"/>
  <c r="G34" i="44" s="1"/>
  <c r="E33" i="44"/>
  <c r="G33" i="44" s="1"/>
  <c r="E32" i="44"/>
  <c r="G32" i="44" s="1"/>
  <c r="E31" i="44"/>
  <c r="G31" i="44" s="1"/>
  <c r="E30" i="44"/>
  <c r="G30" i="44" s="1"/>
  <c r="E29" i="44"/>
  <c r="G29" i="44" s="1"/>
  <c r="E28" i="44"/>
  <c r="G28" i="44" s="1"/>
  <c r="E27" i="44"/>
  <c r="G27" i="44" s="1"/>
  <c r="E26" i="44"/>
  <c r="G26" i="44" s="1"/>
  <c r="E25" i="44"/>
  <c r="G25" i="44" s="1"/>
  <c r="E24" i="44"/>
  <c r="G24" i="44" s="1"/>
  <c r="E23" i="44"/>
  <c r="G23" i="44" s="1"/>
  <c r="E22" i="44"/>
  <c r="G22" i="44" s="1"/>
  <c r="F21" i="44"/>
  <c r="D21" i="44"/>
  <c r="C21" i="44"/>
  <c r="B21" i="44"/>
  <c r="E20" i="44"/>
  <c r="G20" i="44" s="1"/>
  <c r="E19" i="44"/>
  <c r="G19" i="44" s="1"/>
  <c r="E18" i="44"/>
  <c r="G18" i="44" s="1"/>
  <c r="E17" i="44"/>
  <c r="G17" i="44" s="1"/>
  <c r="E16" i="44"/>
  <c r="G16" i="44" s="1"/>
  <c r="E15" i="44"/>
  <c r="G15" i="44" s="1"/>
  <c r="E14" i="44"/>
  <c r="G14" i="44" s="1"/>
  <c r="F13" i="44"/>
  <c r="D13" i="44"/>
  <c r="C13" i="44"/>
  <c r="B13" i="44"/>
  <c r="E12" i="44"/>
  <c r="G12" i="44" s="1"/>
  <c r="E11" i="44"/>
  <c r="G11" i="44" s="1"/>
  <c r="E10" i="44"/>
  <c r="G10" i="44" s="1"/>
  <c r="F9" i="44"/>
  <c r="D9" i="44"/>
  <c r="C9" i="44"/>
  <c r="B9" i="44"/>
  <c r="F5" i="44"/>
  <c r="G4" i="44"/>
  <c r="F4" i="44"/>
  <c r="G2" i="44"/>
  <c r="F34" i="43"/>
  <c r="E34" i="43"/>
  <c r="D34" i="43"/>
  <c r="C34" i="43"/>
  <c r="F19" i="43"/>
  <c r="E19" i="43"/>
  <c r="D19" i="43"/>
  <c r="C19" i="43"/>
  <c r="F18" i="43"/>
  <c r="E18" i="43"/>
  <c r="D18" i="43"/>
  <c r="C18" i="43"/>
  <c r="F17" i="43"/>
  <c r="E17" i="43"/>
  <c r="D17" i="43"/>
  <c r="C17" i="43"/>
  <c r="F16" i="43"/>
  <c r="E16" i="43"/>
  <c r="D16" i="43"/>
  <c r="C16" i="43"/>
  <c r="F15" i="43"/>
  <c r="E15" i="43"/>
  <c r="D15" i="43"/>
  <c r="C15" i="43"/>
  <c r="F14" i="43"/>
  <c r="E14" i="43"/>
  <c r="D14" i="43"/>
  <c r="C14" i="43"/>
  <c r="F13" i="43"/>
  <c r="E13" i="43"/>
  <c r="D13" i="43"/>
  <c r="C13" i="43"/>
  <c r="F12" i="43"/>
  <c r="E12" i="43"/>
  <c r="D12" i="43"/>
  <c r="C12" i="43"/>
  <c r="F11" i="43"/>
  <c r="E11" i="43"/>
  <c r="D11" i="43"/>
  <c r="C11" i="43"/>
  <c r="F10" i="43"/>
  <c r="E10" i="43"/>
  <c r="D10" i="43"/>
  <c r="C10" i="43"/>
  <c r="F9" i="43"/>
  <c r="E9" i="43"/>
  <c r="D9" i="43"/>
  <c r="C9" i="43"/>
  <c r="F8" i="43"/>
  <c r="E8" i="43"/>
  <c r="D8" i="43"/>
  <c r="C8" i="43"/>
  <c r="F5" i="43"/>
  <c r="G4" i="43"/>
  <c r="F4" i="43"/>
  <c r="K24" i="42"/>
  <c r="K25" i="42" s="1"/>
  <c r="I24" i="42"/>
  <c r="F24" i="42"/>
  <c r="E24" i="42"/>
  <c r="D24" i="42"/>
  <c r="J23" i="42"/>
  <c r="H23" i="42"/>
  <c r="J22" i="42"/>
  <c r="G22" i="42"/>
  <c r="H22" i="42" s="1"/>
  <c r="J21" i="42"/>
  <c r="G21" i="42"/>
  <c r="J20" i="42"/>
  <c r="G20" i="42"/>
  <c r="C12" i="47" s="1"/>
  <c r="J19" i="42"/>
  <c r="G19" i="42"/>
  <c r="H19" i="42" s="1"/>
  <c r="J18" i="42"/>
  <c r="G18" i="42"/>
  <c r="H18" i="42" s="1"/>
  <c r="J17" i="42"/>
  <c r="G17" i="42"/>
  <c r="C11" i="47" s="1"/>
  <c r="J16" i="42"/>
  <c r="G16" i="42"/>
  <c r="C10" i="47" s="1"/>
  <c r="J15" i="42"/>
  <c r="G15" i="42"/>
  <c r="C9" i="47" s="1"/>
  <c r="J14" i="42"/>
  <c r="G14" i="42"/>
  <c r="I13" i="42"/>
  <c r="F13" i="42"/>
  <c r="D13" i="42"/>
  <c r="J12" i="42"/>
  <c r="H12" i="42"/>
  <c r="J11" i="42"/>
  <c r="G11" i="42"/>
  <c r="H11" i="42" s="1"/>
  <c r="E10" i="42"/>
  <c r="C8" i="49" s="1"/>
  <c r="C13" i="122" s="1"/>
  <c r="J9" i="42"/>
  <c r="J8" i="42"/>
  <c r="G8" i="42"/>
  <c r="I4" i="42"/>
  <c r="K3" i="42"/>
  <c r="J3" i="42"/>
  <c r="I3" i="42"/>
  <c r="H39" i="41"/>
  <c r="G37" i="41"/>
  <c r="G40" i="41" s="1"/>
  <c r="C11" i="124" s="1"/>
  <c r="F37" i="41"/>
  <c r="F40" i="41" s="1"/>
  <c r="E37" i="41"/>
  <c r="D37" i="41"/>
  <c r="C37" i="41"/>
  <c r="H36" i="41"/>
  <c r="H35" i="41"/>
  <c r="H34" i="41"/>
  <c r="H33" i="41"/>
  <c r="H32" i="41"/>
  <c r="H31" i="41"/>
  <c r="H30" i="41"/>
  <c r="H29" i="41"/>
  <c r="H28" i="41"/>
  <c r="H27" i="41"/>
  <c r="H26" i="41"/>
  <c r="H25" i="41"/>
  <c r="H22" i="41"/>
  <c r="G20" i="41"/>
  <c r="G23" i="41" s="1"/>
  <c r="C11" i="122" s="1"/>
  <c r="F20" i="41"/>
  <c r="F23" i="41" s="1"/>
  <c r="C10" i="122" s="1"/>
  <c r="E20" i="41"/>
  <c r="E23" i="41" s="1"/>
  <c r="C9" i="122" s="1"/>
  <c r="D20" i="41"/>
  <c r="D23" i="41" s="1"/>
  <c r="C20" i="41"/>
  <c r="H19" i="41"/>
  <c r="H18" i="41"/>
  <c r="H17" i="41"/>
  <c r="H16" i="41"/>
  <c r="H15" i="41"/>
  <c r="H14" i="41"/>
  <c r="H13" i="41"/>
  <c r="H12" i="41"/>
  <c r="H11" i="41"/>
  <c r="H10" i="41"/>
  <c r="H9" i="41"/>
  <c r="H8" i="41"/>
  <c r="F5" i="41"/>
  <c r="H4" i="41"/>
  <c r="F4" i="41"/>
  <c r="H2" i="41"/>
  <c r="D38" i="39"/>
  <c r="D64" i="197" s="1"/>
  <c r="B38" i="39"/>
  <c r="B64" i="197" s="1"/>
  <c r="D37" i="39"/>
  <c r="D63" i="197" s="1"/>
  <c r="B37" i="39"/>
  <c r="B63" i="197" s="1"/>
  <c r="F36" i="39"/>
  <c r="F101" i="197" s="1"/>
  <c r="F35" i="39"/>
  <c r="E35" i="39"/>
  <c r="D34" i="39"/>
  <c r="D61" i="197" s="1"/>
  <c r="B34" i="39"/>
  <c r="B61" i="197" s="1"/>
  <c r="D32" i="39"/>
  <c r="D60" i="197" s="1"/>
  <c r="B32" i="39"/>
  <c r="B60" i="197" s="1"/>
  <c r="F30" i="39"/>
  <c r="D29" i="39"/>
  <c r="D28" i="39"/>
  <c r="D58" i="197" s="1"/>
  <c r="B28" i="39"/>
  <c r="B58" i="197" s="1"/>
  <c r="F27" i="39"/>
  <c r="F98" i="197" s="1"/>
  <c r="D26" i="39"/>
  <c r="D57" i="197" s="1"/>
  <c r="B26" i="39"/>
  <c r="B57" i="197" s="1"/>
  <c r="D25" i="39"/>
  <c r="D56" i="197" s="1"/>
  <c r="B25" i="39"/>
  <c r="B56" i="197" s="1"/>
  <c r="D24" i="39"/>
  <c r="C31" i="128" s="1"/>
  <c r="D52" i="197" s="1"/>
  <c r="D23" i="39"/>
  <c r="D55" i="197" s="1"/>
  <c r="B23" i="39"/>
  <c r="B55" i="197" s="1"/>
  <c r="D22" i="39"/>
  <c r="D54" i="197" s="1"/>
  <c r="B22" i="39"/>
  <c r="B54" i="197" s="1"/>
  <c r="F14" i="39"/>
  <c r="F71" i="197" s="1"/>
  <c r="F13" i="39"/>
  <c r="F70" i="197" s="1"/>
  <c r="F12" i="39"/>
  <c r="F34" i="197" s="1"/>
  <c r="F11" i="39"/>
  <c r="F9" i="39"/>
  <c r="F38" i="197" s="1"/>
  <c r="F8" i="39"/>
  <c r="D4" i="39"/>
  <c r="F3" i="39"/>
  <c r="E3" i="39"/>
  <c r="D3" i="39"/>
  <c r="G16" i="189"/>
  <c r="G15" i="189"/>
  <c r="G14" i="189"/>
  <c r="G13" i="189"/>
  <c r="F12" i="189"/>
  <c r="E12" i="189"/>
  <c r="D12" i="189"/>
  <c r="C12" i="189"/>
  <c r="G11" i="189"/>
  <c r="G10" i="189"/>
  <c r="G9" i="189"/>
  <c r="F8" i="189"/>
  <c r="E8" i="189"/>
  <c r="D8" i="189"/>
  <c r="C8" i="189"/>
  <c r="M13" i="164"/>
  <c r="M13" i="132" s="1"/>
  <c r="D50" i="197" s="1"/>
  <c r="L13" i="164"/>
  <c r="L13" i="132" s="1"/>
  <c r="F13" i="164"/>
  <c r="E13" i="164"/>
  <c r="E13" i="132" s="1"/>
  <c r="D13" i="164"/>
  <c r="D13" i="132" s="1"/>
  <c r="N12" i="164"/>
  <c r="N12" i="132" s="1"/>
  <c r="C12" i="164"/>
  <c r="N11" i="164"/>
  <c r="N11" i="132" s="1"/>
  <c r="N10" i="164"/>
  <c r="N10" i="132" s="1"/>
  <c r="N9" i="164"/>
  <c r="N9" i="132" s="1"/>
  <c r="N8" i="164"/>
  <c r="N8" i="132" s="1"/>
  <c r="N7" i="164"/>
  <c r="I15" i="163"/>
  <c r="I15" i="131" s="1"/>
  <c r="H15" i="163"/>
  <c r="H15" i="131" s="1"/>
  <c r="G15" i="163"/>
  <c r="G15" i="131" s="1"/>
  <c r="F15" i="163"/>
  <c r="F15" i="131" s="1"/>
  <c r="D15" i="163"/>
  <c r="D15" i="131" s="1"/>
  <c r="C15" i="163"/>
  <c r="K14" i="163"/>
  <c r="K14" i="131" s="1"/>
  <c r="J14" i="163"/>
  <c r="J14" i="131" s="1"/>
  <c r="E14" i="163"/>
  <c r="E14" i="131" s="1"/>
  <c r="K13" i="163"/>
  <c r="K13" i="131" s="1"/>
  <c r="J13" i="163"/>
  <c r="J13" i="131" s="1"/>
  <c r="E13" i="163"/>
  <c r="E13" i="131" s="1"/>
  <c r="K12" i="163"/>
  <c r="K12" i="131" s="1"/>
  <c r="J12" i="163"/>
  <c r="J12" i="131" s="1"/>
  <c r="E12" i="163"/>
  <c r="E12" i="131" s="1"/>
  <c r="K11" i="163"/>
  <c r="J11" i="163"/>
  <c r="J11" i="131" s="1"/>
  <c r="E11" i="163"/>
  <c r="E11" i="131" s="1"/>
  <c r="K10" i="163"/>
  <c r="K10" i="131" s="1"/>
  <c r="J10" i="163"/>
  <c r="J10" i="131" s="1"/>
  <c r="E10" i="163"/>
  <c r="E10" i="131" s="1"/>
  <c r="K9" i="163"/>
  <c r="K9" i="131" s="1"/>
  <c r="J9" i="163"/>
  <c r="J9" i="131" s="1"/>
  <c r="E9" i="163"/>
  <c r="E9" i="131" s="1"/>
  <c r="K8" i="163"/>
  <c r="K8" i="131" s="1"/>
  <c r="J8" i="163"/>
  <c r="J8" i="131" s="1"/>
  <c r="E8" i="163"/>
  <c r="E8" i="131" s="1"/>
  <c r="K7" i="163"/>
  <c r="J7" i="163"/>
  <c r="J7" i="131" s="1"/>
  <c r="E7" i="163"/>
  <c r="E7" i="131" s="1"/>
  <c r="K6" i="163"/>
  <c r="K6" i="131" s="1"/>
  <c r="E6" i="163"/>
  <c r="H18" i="162"/>
  <c r="H18" i="130" s="1"/>
  <c r="H17" i="162"/>
  <c r="H17" i="130" s="1"/>
  <c r="H16" i="162"/>
  <c r="H16" i="130" s="1"/>
  <c r="H15" i="162"/>
  <c r="H15" i="130" s="1"/>
  <c r="G14" i="162"/>
  <c r="G14" i="130" s="1"/>
  <c r="F14" i="162"/>
  <c r="F14" i="130" s="1"/>
  <c r="E14" i="162"/>
  <c r="E14" i="130" s="1"/>
  <c r="D14" i="162"/>
  <c r="D14" i="130" s="1"/>
  <c r="C14" i="162"/>
  <c r="C14" i="130" s="1"/>
  <c r="H13" i="162"/>
  <c r="H13" i="130" s="1"/>
  <c r="H12" i="162"/>
  <c r="H12" i="130" s="1"/>
  <c r="H11" i="162"/>
  <c r="H11" i="130" s="1"/>
  <c r="G10" i="162"/>
  <c r="G10" i="130" s="1"/>
  <c r="F10" i="162"/>
  <c r="F10" i="130" s="1"/>
  <c r="E10" i="162"/>
  <c r="E10" i="130" s="1"/>
  <c r="D10" i="162"/>
  <c r="D10" i="130" s="1"/>
  <c r="C10" i="162"/>
  <c r="C10" i="130" s="1"/>
  <c r="H9" i="162"/>
  <c r="H9" i="130" s="1"/>
  <c r="H8" i="162"/>
  <c r="H8" i="130" s="1"/>
  <c r="H7" i="162"/>
  <c r="H7" i="130" s="1"/>
  <c r="G6" i="162"/>
  <c r="G6" i="130" s="1"/>
  <c r="F6" i="162"/>
  <c r="E6" i="162"/>
  <c r="D6" i="162"/>
  <c r="D6" i="130" s="1"/>
  <c r="C6" i="162"/>
  <c r="D36" i="161"/>
  <c r="D33" i="129" s="1"/>
  <c r="D35" i="161"/>
  <c r="D32" i="129" s="1"/>
  <c r="C33" i="161"/>
  <c r="C30" i="129" s="1"/>
  <c r="D32" i="161"/>
  <c r="D29" i="129" s="1"/>
  <c r="D31" i="161"/>
  <c r="D28" i="129" s="1"/>
  <c r="C29" i="161"/>
  <c r="D27" i="161"/>
  <c r="D24" i="129" s="1"/>
  <c r="D26" i="161"/>
  <c r="D23" i="129" s="1"/>
  <c r="D25" i="161"/>
  <c r="D22" i="129" s="1"/>
  <c r="D24" i="161"/>
  <c r="D21" i="129" s="1"/>
  <c r="D23" i="161"/>
  <c r="D20" i="129" s="1"/>
  <c r="D22" i="161"/>
  <c r="D19" i="129" s="1"/>
  <c r="D21" i="161"/>
  <c r="D18" i="129" s="1"/>
  <c r="D20" i="161"/>
  <c r="D17" i="129" s="1"/>
  <c r="D19" i="161"/>
  <c r="D16" i="129" s="1"/>
  <c r="C18" i="161"/>
  <c r="C15" i="129" s="1"/>
  <c r="D17" i="128" s="1"/>
  <c r="E92" i="197" s="1"/>
  <c r="D17" i="161"/>
  <c r="D14" i="129" s="1"/>
  <c r="D16" i="161"/>
  <c r="D13" i="129" s="1"/>
  <c r="D15" i="161"/>
  <c r="D12" i="129" s="1"/>
  <c r="D14" i="161"/>
  <c r="D11" i="129" s="1"/>
  <c r="D13" i="161"/>
  <c r="D10" i="129" s="1"/>
  <c r="D12" i="161"/>
  <c r="D9" i="129" s="1"/>
  <c r="D11" i="161"/>
  <c r="D8" i="129" s="1"/>
  <c r="D10" i="161"/>
  <c r="D7" i="129" s="1"/>
  <c r="D9" i="161"/>
  <c r="D6" i="129" s="1"/>
  <c r="C8" i="161"/>
  <c r="F17" i="85"/>
  <c r="D17" i="85"/>
  <c r="M17" i="90" s="1" a="1"/>
  <c r="M17" i="90" s="1"/>
  <c r="E4" i="85"/>
  <c r="F3" i="85"/>
  <c r="E3" i="85"/>
  <c r="E3" i="84"/>
  <c r="G2" i="84"/>
  <c r="E2" i="84"/>
  <c r="A16" i="38"/>
  <c r="F15" i="38"/>
  <c r="A15" i="38"/>
  <c r="F14" i="38"/>
  <c r="A14" i="38"/>
  <c r="F13" i="38"/>
  <c r="F7" i="143" s="1"/>
  <c r="A13" i="38"/>
  <c r="F12" i="38"/>
  <c r="A12" i="38"/>
  <c r="F11" i="38"/>
  <c r="A11" i="38"/>
  <c r="F10" i="38"/>
  <c r="A10" i="38"/>
  <c r="F9" i="38"/>
  <c r="A9" i="38"/>
  <c r="F8" i="38"/>
  <c r="A8" i="38"/>
  <c r="F7" i="38"/>
  <c r="A7" i="38"/>
  <c r="E4" i="38"/>
  <c r="H3" i="38"/>
  <c r="F3" i="38"/>
  <c r="E3" i="38"/>
  <c r="D18" i="36"/>
  <c r="D28" i="36" s="1"/>
  <c r="D17" i="36"/>
  <c r="D16" i="36"/>
  <c r="D14" i="36"/>
  <c r="D13" i="36"/>
  <c r="D12" i="36"/>
  <c r="D11" i="36"/>
  <c r="D66" i="197" s="1"/>
  <c r="D9" i="36"/>
  <c r="D8" i="36"/>
  <c r="F4" i="36"/>
  <c r="J3" i="36"/>
  <c r="H3" i="36"/>
  <c r="F3" i="36"/>
  <c r="I18" i="35"/>
  <c r="D22" i="128" s="1"/>
  <c r="H18" i="35"/>
  <c r="D18" i="35"/>
  <c r="J17" i="35"/>
  <c r="J16" i="35"/>
  <c r="J15" i="35"/>
  <c r="J14" i="35"/>
  <c r="J13" i="35"/>
  <c r="J12" i="35"/>
  <c r="J11" i="35"/>
  <c r="J10" i="35"/>
  <c r="J9" i="35"/>
  <c r="J8" i="35"/>
  <c r="K4" i="35"/>
  <c r="H4" i="35"/>
  <c r="J3" i="35"/>
  <c r="H3" i="35"/>
  <c r="I15" i="34"/>
  <c r="D15" i="34"/>
  <c r="C15" i="34"/>
  <c r="J14" i="34"/>
  <c r="C13" i="135" s="1"/>
  <c r="J13" i="34"/>
  <c r="C12" i="135" s="1"/>
  <c r="J12" i="34"/>
  <c r="C11" i="135" s="1"/>
  <c r="J11" i="34"/>
  <c r="C10" i="135" s="1"/>
  <c r="J10" i="34"/>
  <c r="C9" i="135" s="1"/>
  <c r="J9" i="34"/>
  <c r="C8" i="135" s="1"/>
  <c r="J8" i="34"/>
  <c r="C7" i="135" s="1"/>
  <c r="J7" i="34"/>
  <c r="H4" i="34"/>
  <c r="J3" i="34"/>
  <c r="I3" i="34"/>
  <c r="H3" i="34"/>
  <c r="J34" i="33"/>
  <c r="G23" i="33"/>
  <c r="J20" i="33"/>
  <c r="E20" i="33"/>
  <c r="J19" i="33"/>
  <c r="G19" i="33" s="1"/>
  <c r="J18" i="33"/>
  <c r="G18" i="33" s="1"/>
  <c r="J17" i="33"/>
  <c r="G17" i="33" s="1"/>
  <c r="J16" i="33"/>
  <c r="E15" i="33"/>
  <c r="J14" i="33"/>
  <c r="G14" i="33" s="1"/>
  <c r="J13" i="33"/>
  <c r="G13" i="33" s="1"/>
  <c r="J12" i="33"/>
  <c r="G12" i="33" s="1"/>
  <c r="J11" i="33"/>
  <c r="G11" i="33" s="1"/>
  <c r="J10" i="33"/>
  <c r="G10" i="33" s="1"/>
  <c r="J9" i="33"/>
  <c r="G9" i="33" s="1"/>
  <c r="J8" i="33"/>
  <c r="G8" i="33" s="1"/>
  <c r="E7" i="33"/>
  <c r="K4" i="33"/>
  <c r="F4" i="33"/>
  <c r="J3" i="33"/>
  <c r="F3" i="33"/>
  <c r="J36" i="32"/>
  <c r="H36" i="32"/>
  <c r="F36" i="32"/>
  <c r="D16" i="31" s="1"/>
  <c r="D36" i="32"/>
  <c r="B36" i="32"/>
  <c r="D15" i="31" s="1"/>
  <c r="C14" i="133" s="1"/>
  <c r="J21" i="32"/>
  <c r="H21" i="32"/>
  <c r="F21" i="32"/>
  <c r="E17" i="31" s="1"/>
  <c r="D21" i="32"/>
  <c r="B21" i="32"/>
  <c r="G5" i="32"/>
  <c r="I4" i="32"/>
  <c r="G4" i="32"/>
  <c r="F19" i="31"/>
  <c r="F18" i="31"/>
  <c r="E5" i="31"/>
  <c r="G4" i="31"/>
  <c r="F4" i="31"/>
  <c r="E4" i="31"/>
  <c r="O24" i="30"/>
  <c r="K24" i="30"/>
  <c r="E23" i="136" s="1"/>
  <c r="E24" i="30"/>
  <c r="F23" i="136" s="1"/>
  <c r="O23" i="30"/>
  <c r="E23" i="30"/>
  <c r="F22" i="136" s="1"/>
  <c r="O21" i="30"/>
  <c r="O20" i="30"/>
  <c r="K20" i="30"/>
  <c r="E19" i="136" s="1"/>
  <c r="E20" i="30"/>
  <c r="F19" i="136" s="1"/>
  <c r="O19" i="30"/>
  <c r="K19" i="30"/>
  <c r="E18" i="136" s="1"/>
  <c r="E19" i="30"/>
  <c r="F18" i="136" s="1"/>
  <c r="O18" i="30"/>
  <c r="K18" i="30"/>
  <c r="E18" i="30"/>
  <c r="F17" i="136" s="1"/>
  <c r="M17" i="30"/>
  <c r="J17" i="30"/>
  <c r="I17" i="30"/>
  <c r="G17" i="30"/>
  <c r="F17" i="30"/>
  <c r="D17" i="30"/>
  <c r="C17" i="30"/>
  <c r="O16" i="30"/>
  <c r="K16" i="30"/>
  <c r="E16" i="30"/>
  <c r="O15" i="30"/>
  <c r="K15" i="30"/>
  <c r="E15" i="30"/>
  <c r="O14" i="30"/>
  <c r="K14" i="30"/>
  <c r="E14" i="30"/>
  <c r="O13" i="30"/>
  <c r="K13" i="30"/>
  <c r="E13" i="30"/>
  <c r="M12" i="30"/>
  <c r="J12" i="30"/>
  <c r="J7" i="30" s="1"/>
  <c r="I12" i="30"/>
  <c r="G12" i="30"/>
  <c r="G7" i="30" s="1"/>
  <c r="F12" i="30"/>
  <c r="F7" i="30" s="1"/>
  <c r="D12" i="30"/>
  <c r="D7" i="30" s="1"/>
  <c r="C12" i="30"/>
  <c r="O10" i="30"/>
  <c r="K10" i="30"/>
  <c r="E27" i="136" s="1"/>
  <c r="E10" i="30"/>
  <c r="O9" i="30"/>
  <c r="K9" i="30"/>
  <c r="E26" i="136" s="1"/>
  <c r="E9" i="30"/>
  <c r="O8" i="30"/>
  <c r="K8" i="30"/>
  <c r="E25" i="136" s="1"/>
  <c r="E8" i="30"/>
  <c r="F25" i="136" s="1"/>
  <c r="O3" i="30"/>
  <c r="H3" i="30"/>
  <c r="K2" i="30"/>
  <c r="H2" i="30"/>
  <c r="J1004" i="29"/>
  <c r="I1004" i="29"/>
  <c r="F1004" i="29"/>
  <c r="J1003" i="29"/>
  <c r="I1003" i="29"/>
  <c r="F1003" i="29"/>
  <c r="J1002" i="29"/>
  <c r="I1002" i="29"/>
  <c r="F1002" i="29"/>
  <c r="J1001" i="29"/>
  <c r="I1001" i="29"/>
  <c r="F1001" i="29"/>
  <c r="J1000" i="29"/>
  <c r="I1000" i="29"/>
  <c r="F1000" i="29"/>
  <c r="J999" i="29"/>
  <c r="I999" i="29"/>
  <c r="F999" i="29"/>
  <c r="J998" i="29"/>
  <c r="I998" i="29"/>
  <c r="F998" i="29"/>
  <c r="J997" i="29"/>
  <c r="I997" i="29"/>
  <c r="F997" i="29"/>
  <c r="J996" i="29"/>
  <c r="I996" i="29"/>
  <c r="F996" i="29"/>
  <c r="J995" i="29"/>
  <c r="I995" i="29"/>
  <c r="F995" i="29"/>
  <c r="J994" i="29"/>
  <c r="I994" i="29"/>
  <c r="F994" i="29"/>
  <c r="J993" i="29"/>
  <c r="I993" i="29"/>
  <c r="F993" i="29"/>
  <c r="J992" i="29"/>
  <c r="I992" i="29"/>
  <c r="F992" i="29"/>
  <c r="J991" i="29"/>
  <c r="I991" i="29"/>
  <c r="F991" i="29"/>
  <c r="J990" i="29"/>
  <c r="I990" i="29"/>
  <c r="F990" i="29"/>
  <c r="J989" i="29"/>
  <c r="I989" i="29"/>
  <c r="F989" i="29"/>
  <c r="J988" i="29"/>
  <c r="I988" i="29"/>
  <c r="F988" i="29"/>
  <c r="J987" i="29"/>
  <c r="I987" i="29"/>
  <c r="F987" i="29"/>
  <c r="J986" i="29"/>
  <c r="I986" i="29"/>
  <c r="F986" i="29"/>
  <c r="J985" i="29"/>
  <c r="I985" i="29"/>
  <c r="F985" i="29"/>
  <c r="J984" i="29"/>
  <c r="I984" i="29"/>
  <c r="F984" i="29"/>
  <c r="J983" i="29"/>
  <c r="I983" i="29"/>
  <c r="F983" i="29"/>
  <c r="J982" i="29"/>
  <c r="I982" i="29"/>
  <c r="F982" i="29"/>
  <c r="J981" i="29"/>
  <c r="I981" i="29"/>
  <c r="F981" i="29"/>
  <c r="J980" i="29"/>
  <c r="I980" i="29"/>
  <c r="F980" i="29"/>
  <c r="J979" i="29"/>
  <c r="I979" i="29"/>
  <c r="F979" i="29"/>
  <c r="J978" i="29"/>
  <c r="I978" i="29"/>
  <c r="F978" i="29"/>
  <c r="J977" i="29"/>
  <c r="I977" i="29"/>
  <c r="F977" i="29"/>
  <c r="J976" i="29"/>
  <c r="I976" i="29"/>
  <c r="F976" i="29"/>
  <c r="J975" i="29"/>
  <c r="I975" i="29"/>
  <c r="F975" i="29"/>
  <c r="J974" i="29"/>
  <c r="I974" i="29"/>
  <c r="F974" i="29"/>
  <c r="J973" i="29"/>
  <c r="I973" i="29"/>
  <c r="F973" i="29"/>
  <c r="J972" i="29"/>
  <c r="I972" i="29"/>
  <c r="F972" i="29"/>
  <c r="J971" i="29"/>
  <c r="I971" i="29"/>
  <c r="F971" i="29"/>
  <c r="J970" i="29"/>
  <c r="I970" i="29"/>
  <c r="F970" i="29"/>
  <c r="J969" i="29"/>
  <c r="I969" i="29"/>
  <c r="F969" i="29"/>
  <c r="J968" i="29"/>
  <c r="I968" i="29"/>
  <c r="F968" i="29"/>
  <c r="J967" i="29"/>
  <c r="I967" i="29"/>
  <c r="F967" i="29"/>
  <c r="J966" i="29"/>
  <c r="I966" i="29"/>
  <c r="F966" i="29"/>
  <c r="J965" i="29"/>
  <c r="I965" i="29"/>
  <c r="F965" i="29"/>
  <c r="J964" i="29"/>
  <c r="I964" i="29"/>
  <c r="F964" i="29"/>
  <c r="J963" i="29"/>
  <c r="I963" i="29"/>
  <c r="F963" i="29"/>
  <c r="J962" i="29"/>
  <c r="I962" i="29"/>
  <c r="F962" i="29"/>
  <c r="J961" i="29"/>
  <c r="I961" i="29"/>
  <c r="F961" i="29"/>
  <c r="J960" i="29"/>
  <c r="I960" i="29"/>
  <c r="F960" i="29"/>
  <c r="J959" i="29"/>
  <c r="I959" i="29"/>
  <c r="F959" i="29"/>
  <c r="J958" i="29"/>
  <c r="I958" i="29"/>
  <c r="F958" i="29"/>
  <c r="J957" i="29"/>
  <c r="I957" i="29"/>
  <c r="F957" i="29"/>
  <c r="J956" i="29"/>
  <c r="I956" i="29"/>
  <c r="F956" i="29"/>
  <c r="J955" i="29"/>
  <c r="I955" i="29"/>
  <c r="F955" i="29"/>
  <c r="J954" i="29"/>
  <c r="I954" i="29"/>
  <c r="F954" i="29"/>
  <c r="J953" i="29"/>
  <c r="I953" i="29"/>
  <c r="F953" i="29"/>
  <c r="J952" i="29"/>
  <c r="I952" i="29"/>
  <c r="F952" i="29"/>
  <c r="J951" i="29"/>
  <c r="I951" i="29"/>
  <c r="F951" i="29"/>
  <c r="J950" i="29"/>
  <c r="I950" i="29"/>
  <c r="F950" i="29"/>
  <c r="J949" i="29"/>
  <c r="I949" i="29"/>
  <c r="F949" i="29"/>
  <c r="J948" i="29"/>
  <c r="I948" i="29"/>
  <c r="F948" i="29"/>
  <c r="J947" i="29"/>
  <c r="I947" i="29"/>
  <c r="F947" i="29"/>
  <c r="J946" i="29"/>
  <c r="I946" i="29"/>
  <c r="F946" i="29"/>
  <c r="J945" i="29"/>
  <c r="I945" i="29"/>
  <c r="F945" i="29"/>
  <c r="J944" i="29"/>
  <c r="I944" i="29"/>
  <c r="F944" i="29"/>
  <c r="J943" i="29"/>
  <c r="I943" i="29"/>
  <c r="F943" i="29"/>
  <c r="J942" i="29"/>
  <c r="I942" i="29"/>
  <c r="F942" i="29"/>
  <c r="J941" i="29"/>
  <c r="I941" i="29"/>
  <c r="F941" i="29"/>
  <c r="J940" i="29"/>
  <c r="I940" i="29"/>
  <c r="F940" i="29"/>
  <c r="J939" i="29"/>
  <c r="I939" i="29"/>
  <c r="F939" i="29"/>
  <c r="J938" i="29"/>
  <c r="I938" i="29"/>
  <c r="F938" i="29"/>
  <c r="J937" i="29"/>
  <c r="I937" i="29"/>
  <c r="F937" i="29"/>
  <c r="J936" i="29"/>
  <c r="I936" i="29"/>
  <c r="F936" i="29"/>
  <c r="J935" i="29"/>
  <c r="I935" i="29"/>
  <c r="F935" i="29"/>
  <c r="J934" i="29"/>
  <c r="I934" i="29"/>
  <c r="F934" i="29"/>
  <c r="J933" i="29"/>
  <c r="I933" i="29"/>
  <c r="F933" i="29"/>
  <c r="J932" i="29"/>
  <c r="I932" i="29"/>
  <c r="F932" i="29"/>
  <c r="J931" i="29"/>
  <c r="I931" i="29"/>
  <c r="F931" i="29"/>
  <c r="J930" i="29"/>
  <c r="I930" i="29"/>
  <c r="F930" i="29"/>
  <c r="J929" i="29"/>
  <c r="I929" i="29"/>
  <c r="F929" i="29"/>
  <c r="J928" i="29"/>
  <c r="I928" i="29"/>
  <c r="F928" i="29"/>
  <c r="J927" i="29"/>
  <c r="I927" i="29"/>
  <c r="F927" i="29"/>
  <c r="J926" i="29"/>
  <c r="I926" i="29"/>
  <c r="F926" i="29"/>
  <c r="J925" i="29"/>
  <c r="I925" i="29"/>
  <c r="F925" i="29"/>
  <c r="J924" i="29"/>
  <c r="I924" i="29"/>
  <c r="F924" i="29"/>
  <c r="J923" i="29"/>
  <c r="I923" i="29"/>
  <c r="F923" i="29"/>
  <c r="J922" i="29"/>
  <c r="I922" i="29"/>
  <c r="F922" i="29"/>
  <c r="J921" i="29"/>
  <c r="I921" i="29"/>
  <c r="F921" i="29"/>
  <c r="J920" i="29"/>
  <c r="I920" i="29"/>
  <c r="F920" i="29"/>
  <c r="J919" i="29"/>
  <c r="I919" i="29"/>
  <c r="F919" i="29"/>
  <c r="J918" i="29"/>
  <c r="I918" i="29"/>
  <c r="F918" i="29"/>
  <c r="J917" i="29"/>
  <c r="I917" i="29"/>
  <c r="F917" i="29"/>
  <c r="J916" i="29"/>
  <c r="I916" i="29"/>
  <c r="F916" i="29"/>
  <c r="J915" i="29"/>
  <c r="I915" i="29"/>
  <c r="F915" i="29"/>
  <c r="J914" i="29"/>
  <c r="I914" i="29"/>
  <c r="F914" i="29"/>
  <c r="J913" i="29"/>
  <c r="I913" i="29"/>
  <c r="F913" i="29"/>
  <c r="J912" i="29"/>
  <c r="I912" i="29"/>
  <c r="F912" i="29"/>
  <c r="J911" i="29"/>
  <c r="I911" i="29"/>
  <c r="F911" i="29"/>
  <c r="J910" i="29"/>
  <c r="I910" i="29"/>
  <c r="F910" i="29"/>
  <c r="J909" i="29"/>
  <c r="I909" i="29"/>
  <c r="F909" i="29"/>
  <c r="J908" i="29"/>
  <c r="I908" i="29"/>
  <c r="F908" i="29"/>
  <c r="J907" i="29"/>
  <c r="I907" i="29"/>
  <c r="F907" i="29"/>
  <c r="J906" i="29"/>
  <c r="I906" i="29"/>
  <c r="F906" i="29"/>
  <c r="J905" i="29"/>
  <c r="I905" i="29"/>
  <c r="F905" i="29"/>
  <c r="J904" i="29"/>
  <c r="I904" i="29"/>
  <c r="F904" i="29"/>
  <c r="J903" i="29"/>
  <c r="I903" i="29"/>
  <c r="F903" i="29"/>
  <c r="J902" i="29"/>
  <c r="I902" i="29"/>
  <c r="F902" i="29"/>
  <c r="J901" i="29"/>
  <c r="I901" i="29"/>
  <c r="F901" i="29"/>
  <c r="J900" i="29"/>
  <c r="I900" i="29"/>
  <c r="F900" i="29"/>
  <c r="J899" i="29"/>
  <c r="I899" i="29"/>
  <c r="F899" i="29"/>
  <c r="J898" i="29"/>
  <c r="I898" i="29"/>
  <c r="F898" i="29"/>
  <c r="J897" i="29"/>
  <c r="I897" i="29"/>
  <c r="F897" i="29"/>
  <c r="J896" i="29"/>
  <c r="I896" i="29"/>
  <c r="F896" i="29"/>
  <c r="J895" i="29"/>
  <c r="I895" i="29"/>
  <c r="F895" i="29"/>
  <c r="J894" i="29"/>
  <c r="I894" i="29"/>
  <c r="F894" i="29"/>
  <c r="J893" i="29"/>
  <c r="I893" i="29"/>
  <c r="F893" i="29"/>
  <c r="J892" i="29"/>
  <c r="I892" i="29"/>
  <c r="F892" i="29"/>
  <c r="J891" i="29"/>
  <c r="I891" i="29"/>
  <c r="F891" i="29"/>
  <c r="J890" i="29"/>
  <c r="I890" i="29"/>
  <c r="F890" i="29"/>
  <c r="J889" i="29"/>
  <c r="I889" i="29"/>
  <c r="F889" i="29"/>
  <c r="J888" i="29"/>
  <c r="I888" i="29"/>
  <c r="F888" i="29"/>
  <c r="J887" i="29"/>
  <c r="I887" i="29"/>
  <c r="F887" i="29"/>
  <c r="J886" i="29"/>
  <c r="I886" i="29"/>
  <c r="F886" i="29"/>
  <c r="J885" i="29"/>
  <c r="I885" i="29"/>
  <c r="F885" i="29"/>
  <c r="J884" i="29"/>
  <c r="I884" i="29"/>
  <c r="F884" i="29"/>
  <c r="J883" i="29"/>
  <c r="I883" i="29"/>
  <c r="F883" i="29"/>
  <c r="J882" i="29"/>
  <c r="I882" i="29"/>
  <c r="F882" i="29"/>
  <c r="J881" i="29"/>
  <c r="I881" i="29"/>
  <c r="F881" i="29"/>
  <c r="J880" i="29"/>
  <c r="I880" i="29"/>
  <c r="F880" i="29"/>
  <c r="J879" i="29"/>
  <c r="I879" i="29"/>
  <c r="F879" i="29"/>
  <c r="J878" i="29"/>
  <c r="I878" i="29"/>
  <c r="F878" i="29"/>
  <c r="J877" i="29"/>
  <c r="I877" i="29"/>
  <c r="F877" i="29"/>
  <c r="J876" i="29"/>
  <c r="I876" i="29"/>
  <c r="F876" i="29"/>
  <c r="J875" i="29"/>
  <c r="I875" i="29"/>
  <c r="F875" i="29"/>
  <c r="J874" i="29"/>
  <c r="I874" i="29"/>
  <c r="F874" i="29"/>
  <c r="J873" i="29"/>
  <c r="I873" i="29"/>
  <c r="F873" i="29"/>
  <c r="J872" i="29"/>
  <c r="I872" i="29"/>
  <c r="F872" i="29"/>
  <c r="J871" i="29"/>
  <c r="I871" i="29"/>
  <c r="F871" i="29"/>
  <c r="J870" i="29"/>
  <c r="I870" i="29"/>
  <c r="F870" i="29"/>
  <c r="J869" i="29"/>
  <c r="I869" i="29"/>
  <c r="F869" i="29"/>
  <c r="J868" i="29"/>
  <c r="I868" i="29"/>
  <c r="F868" i="29"/>
  <c r="J867" i="29"/>
  <c r="I867" i="29"/>
  <c r="F867" i="29"/>
  <c r="J866" i="29"/>
  <c r="I866" i="29"/>
  <c r="F866" i="29"/>
  <c r="J865" i="29"/>
  <c r="I865" i="29"/>
  <c r="F865" i="29"/>
  <c r="J864" i="29"/>
  <c r="I864" i="29"/>
  <c r="F864" i="29"/>
  <c r="J863" i="29"/>
  <c r="I863" i="29"/>
  <c r="F863" i="29"/>
  <c r="J862" i="29"/>
  <c r="I862" i="29"/>
  <c r="F862" i="29"/>
  <c r="J861" i="29"/>
  <c r="I861" i="29"/>
  <c r="F861" i="29"/>
  <c r="J860" i="29"/>
  <c r="I860" i="29"/>
  <c r="F860" i="29"/>
  <c r="J859" i="29"/>
  <c r="I859" i="29"/>
  <c r="F859" i="29"/>
  <c r="J858" i="29"/>
  <c r="I858" i="29"/>
  <c r="F858" i="29"/>
  <c r="J857" i="29"/>
  <c r="I857" i="29"/>
  <c r="F857" i="29"/>
  <c r="J856" i="29"/>
  <c r="I856" i="29"/>
  <c r="F856" i="29"/>
  <c r="J855" i="29"/>
  <c r="I855" i="29"/>
  <c r="F855" i="29"/>
  <c r="J854" i="29"/>
  <c r="I854" i="29"/>
  <c r="F854" i="29"/>
  <c r="J853" i="29"/>
  <c r="I853" i="29"/>
  <c r="F853" i="29"/>
  <c r="J852" i="29"/>
  <c r="I852" i="29"/>
  <c r="F852" i="29"/>
  <c r="J851" i="29"/>
  <c r="I851" i="29"/>
  <c r="F851" i="29"/>
  <c r="J850" i="29"/>
  <c r="I850" i="29"/>
  <c r="F850" i="29"/>
  <c r="J849" i="29"/>
  <c r="I849" i="29"/>
  <c r="F849" i="29"/>
  <c r="J848" i="29"/>
  <c r="I848" i="29"/>
  <c r="F848" i="29"/>
  <c r="J847" i="29"/>
  <c r="I847" i="29"/>
  <c r="F847" i="29"/>
  <c r="J846" i="29"/>
  <c r="I846" i="29"/>
  <c r="F846" i="29"/>
  <c r="J845" i="29"/>
  <c r="I845" i="29"/>
  <c r="F845" i="29"/>
  <c r="J844" i="29"/>
  <c r="I844" i="29"/>
  <c r="F844" i="29"/>
  <c r="J843" i="29"/>
  <c r="I843" i="29"/>
  <c r="F843" i="29"/>
  <c r="J842" i="29"/>
  <c r="I842" i="29"/>
  <c r="F842" i="29"/>
  <c r="J841" i="29"/>
  <c r="I841" i="29"/>
  <c r="F841" i="29"/>
  <c r="J840" i="29"/>
  <c r="I840" i="29"/>
  <c r="F840" i="29"/>
  <c r="J839" i="29"/>
  <c r="I839" i="29"/>
  <c r="F839" i="29"/>
  <c r="J838" i="29"/>
  <c r="I838" i="29"/>
  <c r="F838" i="29"/>
  <c r="J837" i="29"/>
  <c r="I837" i="29"/>
  <c r="F837" i="29"/>
  <c r="J836" i="29"/>
  <c r="I836" i="29"/>
  <c r="F836" i="29"/>
  <c r="J835" i="29"/>
  <c r="I835" i="29"/>
  <c r="F835" i="29"/>
  <c r="J834" i="29"/>
  <c r="I834" i="29"/>
  <c r="F834" i="29"/>
  <c r="J833" i="29"/>
  <c r="I833" i="29"/>
  <c r="F833" i="29"/>
  <c r="J832" i="29"/>
  <c r="I832" i="29"/>
  <c r="F832" i="29"/>
  <c r="J831" i="29"/>
  <c r="I831" i="29"/>
  <c r="F831" i="29"/>
  <c r="J830" i="29"/>
  <c r="I830" i="29"/>
  <c r="F830" i="29"/>
  <c r="J829" i="29"/>
  <c r="I829" i="29"/>
  <c r="F829" i="29"/>
  <c r="J828" i="29"/>
  <c r="I828" i="29"/>
  <c r="F828" i="29"/>
  <c r="J827" i="29"/>
  <c r="I827" i="29"/>
  <c r="F827" i="29"/>
  <c r="J826" i="29"/>
  <c r="I826" i="29"/>
  <c r="F826" i="29"/>
  <c r="J825" i="29"/>
  <c r="I825" i="29"/>
  <c r="F825" i="29"/>
  <c r="J824" i="29"/>
  <c r="I824" i="29"/>
  <c r="F824" i="29"/>
  <c r="J823" i="29"/>
  <c r="I823" i="29"/>
  <c r="F823" i="29"/>
  <c r="J822" i="29"/>
  <c r="I822" i="29"/>
  <c r="F822" i="29"/>
  <c r="J821" i="29"/>
  <c r="I821" i="29"/>
  <c r="F821" i="29"/>
  <c r="J820" i="29"/>
  <c r="I820" i="29"/>
  <c r="F820" i="29"/>
  <c r="J819" i="29"/>
  <c r="I819" i="29"/>
  <c r="F819" i="29"/>
  <c r="J818" i="29"/>
  <c r="I818" i="29"/>
  <c r="F818" i="29"/>
  <c r="J817" i="29"/>
  <c r="I817" i="29"/>
  <c r="F817" i="29"/>
  <c r="J816" i="29"/>
  <c r="I816" i="29"/>
  <c r="F816" i="29"/>
  <c r="J815" i="29"/>
  <c r="I815" i="29"/>
  <c r="F815" i="29"/>
  <c r="J814" i="29"/>
  <c r="I814" i="29"/>
  <c r="F814" i="29"/>
  <c r="J813" i="29"/>
  <c r="I813" i="29"/>
  <c r="F813" i="29"/>
  <c r="J812" i="29"/>
  <c r="I812" i="29"/>
  <c r="F812" i="29"/>
  <c r="J811" i="29"/>
  <c r="I811" i="29"/>
  <c r="F811" i="29"/>
  <c r="J810" i="29"/>
  <c r="I810" i="29"/>
  <c r="F810" i="29"/>
  <c r="J809" i="29"/>
  <c r="I809" i="29"/>
  <c r="F809" i="29"/>
  <c r="J808" i="29"/>
  <c r="I808" i="29"/>
  <c r="F808" i="29"/>
  <c r="J807" i="29"/>
  <c r="I807" i="29"/>
  <c r="F807" i="29"/>
  <c r="J806" i="29"/>
  <c r="I806" i="29"/>
  <c r="F806" i="29"/>
  <c r="J805" i="29"/>
  <c r="I805" i="29"/>
  <c r="F805" i="29"/>
  <c r="J804" i="29"/>
  <c r="I804" i="29"/>
  <c r="F804" i="29"/>
  <c r="J803" i="29"/>
  <c r="I803" i="29"/>
  <c r="F803" i="29"/>
  <c r="J802" i="29"/>
  <c r="I802" i="29"/>
  <c r="F802" i="29"/>
  <c r="J801" i="29"/>
  <c r="I801" i="29"/>
  <c r="F801" i="29"/>
  <c r="J800" i="29"/>
  <c r="I800" i="29"/>
  <c r="F800" i="29"/>
  <c r="J799" i="29"/>
  <c r="I799" i="29"/>
  <c r="F799" i="29"/>
  <c r="J798" i="29"/>
  <c r="I798" i="29"/>
  <c r="F798" i="29"/>
  <c r="J797" i="29"/>
  <c r="I797" i="29"/>
  <c r="F797" i="29"/>
  <c r="J796" i="29"/>
  <c r="I796" i="29"/>
  <c r="F796" i="29"/>
  <c r="J795" i="29"/>
  <c r="I795" i="29"/>
  <c r="F795" i="29"/>
  <c r="J794" i="29"/>
  <c r="I794" i="29"/>
  <c r="F794" i="29"/>
  <c r="J793" i="29"/>
  <c r="I793" i="29"/>
  <c r="F793" i="29"/>
  <c r="J792" i="29"/>
  <c r="I792" i="29"/>
  <c r="F792" i="29"/>
  <c r="J791" i="29"/>
  <c r="I791" i="29"/>
  <c r="F791" i="29"/>
  <c r="J790" i="29"/>
  <c r="I790" i="29"/>
  <c r="F790" i="29"/>
  <c r="J789" i="29"/>
  <c r="I789" i="29"/>
  <c r="F789" i="29"/>
  <c r="J788" i="29"/>
  <c r="I788" i="29"/>
  <c r="F788" i="29"/>
  <c r="J787" i="29"/>
  <c r="I787" i="29"/>
  <c r="F787" i="29"/>
  <c r="J786" i="29"/>
  <c r="I786" i="29"/>
  <c r="F786" i="29"/>
  <c r="J785" i="29"/>
  <c r="I785" i="29"/>
  <c r="F785" i="29"/>
  <c r="J784" i="29"/>
  <c r="I784" i="29"/>
  <c r="F784" i="29"/>
  <c r="J783" i="29"/>
  <c r="I783" i="29"/>
  <c r="F783" i="29"/>
  <c r="J782" i="29"/>
  <c r="I782" i="29"/>
  <c r="F782" i="29"/>
  <c r="J781" i="29"/>
  <c r="I781" i="29"/>
  <c r="F781" i="29"/>
  <c r="J780" i="29"/>
  <c r="I780" i="29"/>
  <c r="F780" i="29"/>
  <c r="J779" i="29"/>
  <c r="I779" i="29"/>
  <c r="F779" i="29"/>
  <c r="J778" i="29"/>
  <c r="I778" i="29"/>
  <c r="F778" i="29"/>
  <c r="J777" i="29"/>
  <c r="I777" i="29"/>
  <c r="F777" i="29"/>
  <c r="J776" i="29"/>
  <c r="I776" i="29"/>
  <c r="F776" i="29"/>
  <c r="J775" i="29"/>
  <c r="I775" i="29"/>
  <c r="F775" i="29"/>
  <c r="J774" i="29"/>
  <c r="I774" i="29"/>
  <c r="F774" i="29"/>
  <c r="J773" i="29"/>
  <c r="I773" i="29"/>
  <c r="F773" i="29"/>
  <c r="J772" i="29"/>
  <c r="I772" i="29"/>
  <c r="F772" i="29"/>
  <c r="J771" i="29"/>
  <c r="I771" i="29"/>
  <c r="F771" i="29"/>
  <c r="J770" i="29"/>
  <c r="I770" i="29"/>
  <c r="F770" i="29"/>
  <c r="J769" i="29"/>
  <c r="I769" i="29"/>
  <c r="F769" i="29"/>
  <c r="J768" i="29"/>
  <c r="I768" i="29"/>
  <c r="F768" i="29"/>
  <c r="J767" i="29"/>
  <c r="I767" i="29"/>
  <c r="F767" i="29"/>
  <c r="J766" i="29"/>
  <c r="I766" i="29"/>
  <c r="F766" i="29"/>
  <c r="J765" i="29"/>
  <c r="I765" i="29"/>
  <c r="F765" i="29"/>
  <c r="J764" i="29"/>
  <c r="I764" i="29"/>
  <c r="F764" i="29"/>
  <c r="J763" i="29"/>
  <c r="I763" i="29"/>
  <c r="F763" i="29"/>
  <c r="J762" i="29"/>
  <c r="I762" i="29"/>
  <c r="F762" i="29"/>
  <c r="J761" i="29"/>
  <c r="I761" i="29"/>
  <c r="F761" i="29"/>
  <c r="J760" i="29"/>
  <c r="I760" i="29"/>
  <c r="F760" i="29"/>
  <c r="J759" i="29"/>
  <c r="I759" i="29"/>
  <c r="F759" i="29"/>
  <c r="J758" i="29"/>
  <c r="I758" i="29"/>
  <c r="F758" i="29"/>
  <c r="J757" i="29"/>
  <c r="I757" i="29"/>
  <c r="F757" i="29"/>
  <c r="J756" i="29"/>
  <c r="I756" i="29"/>
  <c r="F756" i="29"/>
  <c r="J755" i="29"/>
  <c r="I755" i="29"/>
  <c r="F755" i="29"/>
  <c r="J754" i="29"/>
  <c r="I754" i="29"/>
  <c r="F754" i="29"/>
  <c r="J753" i="29"/>
  <c r="I753" i="29"/>
  <c r="F753" i="29"/>
  <c r="J752" i="29"/>
  <c r="I752" i="29"/>
  <c r="F752" i="29"/>
  <c r="J751" i="29"/>
  <c r="I751" i="29"/>
  <c r="F751" i="29"/>
  <c r="J750" i="29"/>
  <c r="I750" i="29"/>
  <c r="F750" i="29"/>
  <c r="J749" i="29"/>
  <c r="I749" i="29"/>
  <c r="F749" i="29"/>
  <c r="J748" i="29"/>
  <c r="I748" i="29"/>
  <c r="F748" i="29"/>
  <c r="J747" i="29"/>
  <c r="I747" i="29"/>
  <c r="F747" i="29"/>
  <c r="J746" i="29"/>
  <c r="I746" i="29"/>
  <c r="F746" i="29"/>
  <c r="J745" i="29"/>
  <c r="I745" i="29"/>
  <c r="F745" i="29"/>
  <c r="J744" i="29"/>
  <c r="I744" i="29"/>
  <c r="F744" i="29"/>
  <c r="J743" i="29"/>
  <c r="I743" i="29"/>
  <c r="F743" i="29"/>
  <c r="J742" i="29"/>
  <c r="I742" i="29"/>
  <c r="F742" i="29"/>
  <c r="J741" i="29"/>
  <c r="I741" i="29"/>
  <c r="F741" i="29"/>
  <c r="J740" i="29"/>
  <c r="I740" i="29"/>
  <c r="F740" i="29"/>
  <c r="J739" i="29"/>
  <c r="I739" i="29"/>
  <c r="F739" i="29"/>
  <c r="J738" i="29"/>
  <c r="I738" i="29"/>
  <c r="F738" i="29"/>
  <c r="J737" i="29"/>
  <c r="I737" i="29"/>
  <c r="F737" i="29"/>
  <c r="J736" i="29"/>
  <c r="I736" i="29"/>
  <c r="F736" i="29"/>
  <c r="J735" i="29"/>
  <c r="I735" i="29"/>
  <c r="F735" i="29"/>
  <c r="J734" i="29"/>
  <c r="I734" i="29"/>
  <c r="F734" i="29"/>
  <c r="J733" i="29"/>
  <c r="I733" i="29"/>
  <c r="F733" i="29"/>
  <c r="J732" i="29"/>
  <c r="I732" i="29"/>
  <c r="F732" i="29"/>
  <c r="J731" i="29"/>
  <c r="I731" i="29"/>
  <c r="F731" i="29"/>
  <c r="J730" i="29"/>
  <c r="I730" i="29"/>
  <c r="F730" i="29"/>
  <c r="J729" i="29"/>
  <c r="I729" i="29"/>
  <c r="F729" i="29"/>
  <c r="J728" i="29"/>
  <c r="I728" i="29"/>
  <c r="F728" i="29"/>
  <c r="J727" i="29"/>
  <c r="I727" i="29"/>
  <c r="F727" i="29"/>
  <c r="J726" i="29"/>
  <c r="I726" i="29"/>
  <c r="F726" i="29"/>
  <c r="J725" i="29"/>
  <c r="I725" i="29"/>
  <c r="F725" i="29"/>
  <c r="J724" i="29"/>
  <c r="I724" i="29"/>
  <c r="F724" i="29"/>
  <c r="J723" i="29"/>
  <c r="I723" i="29"/>
  <c r="F723" i="29"/>
  <c r="J722" i="29"/>
  <c r="I722" i="29"/>
  <c r="F722" i="29"/>
  <c r="J721" i="29"/>
  <c r="I721" i="29"/>
  <c r="F721" i="29"/>
  <c r="J720" i="29"/>
  <c r="I720" i="29"/>
  <c r="F720" i="29"/>
  <c r="J719" i="29"/>
  <c r="I719" i="29"/>
  <c r="F719" i="29"/>
  <c r="J718" i="29"/>
  <c r="I718" i="29"/>
  <c r="F718" i="29"/>
  <c r="J717" i="29"/>
  <c r="I717" i="29"/>
  <c r="F717" i="29"/>
  <c r="J716" i="29"/>
  <c r="I716" i="29"/>
  <c r="F716" i="29"/>
  <c r="J715" i="29"/>
  <c r="I715" i="29"/>
  <c r="F715" i="29"/>
  <c r="J714" i="29"/>
  <c r="I714" i="29"/>
  <c r="F714" i="29"/>
  <c r="J713" i="29"/>
  <c r="I713" i="29"/>
  <c r="F713" i="29"/>
  <c r="J712" i="29"/>
  <c r="I712" i="29"/>
  <c r="F712" i="29"/>
  <c r="J711" i="29"/>
  <c r="I711" i="29"/>
  <c r="F711" i="29"/>
  <c r="J710" i="29"/>
  <c r="I710" i="29"/>
  <c r="F710" i="29"/>
  <c r="J709" i="29"/>
  <c r="I709" i="29"/>
  <c r="F709" i="29"/>
  <c r="J708" i="29"/>
  <c r="I708" i="29"/>
  <c r="F708" i="29"/>
  <c r="J707" i="29"/>
  <c r="I707" i="29"/>
  <c r="F707" i="29"/>
  <c r="J706" i="29"/>
  <c r="I706" i="29"/>
  <c r="F706" i="29"/>
  <c r="J705" i="29"/>
  <c r="I705" i="29"/>
  <c r="F705" i="29"/>
  <c r="J704" i="29"/>
  <c r="I704" i="29"/>
  <c r="F704" i="29"/>
  <c r="J703" i="29"/>
  <c r="I703" i="29"/>
  <c r="F703" i="29"/>
  <c r="J702" i="29"/>
  <c r="I702" i="29"/>
  <c r="F702" i="29"/>
  <c r="J701" i="29"/>
  <c r="I701" i="29"/>
  <c r="F701" i="29"/>
  <c r="J700" i="29"/>
  <c r="I700" i="29"/>
  <c r="F700" i="29"/>
  <c r="J699" i="29"/>
  <c r="I699" i="29"/>
  <c r="F699" i="29"/>
  <c r="J698" i="29"/>
  <c r="I698" i="29"/>
  <c r="F698" i="29"/>
  <c r="J697" i="29"/>
  <c r="I697" i="29"/>
  <c r="F697" i="29"/>
  <c r="J696" i="29"/>
  <c r="I696" i="29"/>
  <c r="F696" i="29"/>
  <c r="J695" i="29"/>
  <c r="I695" i="29"/>
  <c r="F695" i="29"/>
  <c r="J694" i="29"/>
  <c r="I694" i="29"/>
  <c r="F694" i="29"/>
  <c r="J693" i="29"/>
  <c r="I693" i="29"/>
  <c r="F693" i="29"/>
  <c r="J692" i="29"/>
  <c r="I692" i="29"/>
  <c r="F692" i="29"/>
  <c r="J691" i="29"/>
  <c r="I691" i="29"/>
  <c r="F691" i="29"/>
  <c r="J690" i="29"/>
  <c r="I690" i="29"/>
  <c r="F690" i="29"/>
  <c r="J689" i="29"/>
  <c r="I689" i="29"/>
  <c r="F689" i="29"/>
  <c r="J688" i="29"/>
  <c r="I688" i="29"/>
  <c r="F688" i="29"/>
  <c r="J687" i="29"/>
  <c r="I687" i="29"/>
  <c r="F687" i="29"/>
  <c r="J686" i="29"/>
  <c r="I686" i="29"/>
  <c r="F686" i="29"/>
  <c r="J685" i="29"/>
  <c r="I685" i="29"/>
  <c r="F685" i="29"/>
  <c r="J684" i="29"/>
  <c r="I684" i="29"/>
  <c r="F684" i="29"/>
  <c r="J683" i="29"/>
  <c r="I683" i="29"/>
  <c r="F683" i="29"/>
  <c r="J682" i="29"/>
  <c r="I682" i="29"/>
  <c r="F682" i="29"/>
  <c r="J681" i="29"/>
  <c r="I681" i="29"/>
  <c r="F681" i="29"/>
  <c r="J680" i="29"/>
  <c r="I680" i="29"/>
  <c r="F680" i="29"/>
  <c r="J679" i="29"/>
  <c r="I679" i="29"/>
  <c r="F679" i="29"/>
  <c r="J678" i="29"/>
  <c r="I678" i="29"/>
  <c r="F678" i="29"/>
  <c r="J677" i="29"/>
  <c r="I677" i="29"/>
  <c r="F677" i="29"/>
  <c r="J676" i="29"/>
  <c r="I676" i="29"/>
  <c r="F676" i="29"/>
  <c r="J675" i="29"/>
  <c r="I675" i="29"/>
  <c r="F675" i="29"/>
  <c r="J674" i="29"/>
  <c r="I674" i="29"/>
  <c r="F674" i="29"/>
  <c r="J673" i="29"/>
  <c r="I673" i="29"/>
  <c r="F673" i="29"/>
  <c r="J672" i="29"/>
  <c r="I672" i="29"/>
  <c r="F672" i="29"/>
  <c r="J671" i="29"/>
  <c r="I671" i="29"/>
  <c r="F671" i="29"/>
  <c r="J670" i="29"/>
  <c r="I670" i="29"/>
  <c r="F670" i="29"/>
  <c r="J669" i="29"/>
  <c r="I669" i="29"/>
  <c r="F669" i="29"/>
  <c r="J668" i="29"/>
  <c r="I668" i="29"/>
  <c r="F668" i="29"/>
  <c r="J667" i="29"/>
  <c r="I667" i="29"/>
  <c r="F667" i="29"/>
  <c r="J666" i="29"/>
  <c r="I666" i="29"/>
  <c r="F666" i="29"/>
  <c r="J665" i="29"/>
  <c r="I665" i="29"/>
  <c r="F665" i="29"/>
  <c r="J664" i="29"/>
  <c r="I664" i="29"/>
  <c r="F664" i="29"/>
  <c r="J663" i="29"/>
  <c r="I663" i="29"/>
  <c r="F663" i="29"/>
  <c r="J662" i="29"/>
  <c r="I662" i="29"/>
  <c r="F662" i="29"/>
  <c r="J661" i="29"/>
  <c r="I661" i="29"/>
  <c r="F661" i="29"/>
  <c r="J660" i="29"/>
  <c r="I660" i="29"/>
  <c r="F660" i="29"/>
  <c r="J659" i="29"/>
  <c r="I659" i="29"/>
  <c r="F659" i="29"/>
  <c r="J658" i="29"/>
  <c r="I658" i="29"/>
  <c r="F658" i="29"/>
  <c r="J657" i="29"/>
  <c r="I657" i="29"/>
  <c r="F657" i="29"/>
  <c r="J656" i="29"/>
  <c r="I656" i="29"/>
  <c r="F656" i="29"/>
  <c r="J655" i="29"/>
  <c r="I655" i="29"/>
  <c r="F655" i="29"/>
  <c r="J654" i="29"/>
  <c r="I654" i="29"/>
  <c r="F654" i="29"/>
  <c r="J653" i="29"/>
  <c r="I653" i="29"/>
  <c r="F653" i="29"/>
  <c r="J652" i="29"/>
  <c r="I652" i="29"/>
  <c r="F652" i="29"/>
  <c r="J651" i="29"/>
  <c r="I651" i="29"/>
  <c r="F651" i="29"/>
  <c r="J650" i="29"/>
  <c r="I650" i="29"/>
  <c r="F650" i="29"/>
  <c r="J649" i="29"/>
  <c r="I649" i="29"/>
  <c r="F649" i="29"/>
  <c r="J648" i="29"/>
  <c r="I648" i="29"/>
  <c r="F648" i="29"/>
  <c r="J647" i="29"/>
  <c r="I647" i="29"/>
  <c r="F647" i="29"/>
  <c r="J646" i="29"/>
  <c r="I646" i="29"/>
  <c r="F646" i="29"/>
  <c r="J645" i="29"/>
  <c r="I645" i="29"/>
  <c r="F645" i="29"/>
  <c r="J644" i="29"/>
  <c r="I644" i="29"/>
  <c r="F644" i="29"/>
  <c r="J643" i="29"/>
  <c r="I643" i="29"/>
  <c r="F643" i="29"/>
  <c r="J642" i="29"/>
  <c r="I642" i="29"/>
  <c r="F642" i="29"/>
  <c r="J641" i="29"/>
  <c r="I641" i="29"/>
  <c r="F641" i="29"/>
  <c r="J640" i="29"/>
  <c r="I640" i="29"/>
  <c r="F640" i="29"/>
  <c r="J639" i="29"/>
  <c r="I639" i="29"/>
  <c r="F639" i="29"/>
  <c r="J638" i="29"/>
  <c r="I638" i="29"/>
  <c r="F638" i="29"/>
  <c r="J637" i="29"/>
  <c r="I637" i="29"/>
  <c r="F637" i="29"/>
  <c r="J636" i="29"/>
  <c r="I636" i="29"/>
  <c r="F636" i="29"/>
  <c r="J635" i="29"/>
  <c r="I635" i="29"/>
  <c r="F635" i="29"/>
  <c r="J634" i="29"/>
  <c r="I634" i="29"/>
  <c r="F634" i="29"/>
  <c r="J633" i="29"/>
  <c r="I633" i="29"/>
  <c r="F633" i="29"/>
  <c r="J632" i="29"/>
  <c r="I632" i="29"/>
  <c r="F632" i="29"/>
  <c r="J631" i="29"/>
  <c r="I631" i="29"/>
  <c r="F631" i="29"/>
  <c r="J630" i="29"/>
  <c r="I630" i="29"/>
  <c r="F630" i="29"/>
  <c r="J629" i="29"/>
  <c r="I629" i="29"/>
  <c r="F629" i="29"/>
  <c r="J628" i="29"/>
  <c r="I628" i="29"/>
  <c r="F628" i="29"/>
  <c r="J627" i="29"/>
  <c r="I627" i="29"/>
  <c r="F627" i="29"/>
  <c r="J626" i="29"/>
  <c r="I626" i="29"/>
  <c r="F626" i="29"/>
  <c r="J625" i="29"/>
  <c r="I625" i="29"/>
  <c r="F625" i="29"/>
  <c r="J624" i="29"/>
  <c r="I624" i="29"/>
  <c r="F624" i="29"/>
  <c r="J623" i="29"/>
  <c r="I623" i="29"/>
  <c r="F623" i="29"/>
  <c r="J622" i="29"/>
  <c r="I622" i="29"/>
  <c r="F622" i="29"/>
  <c r="J621" i="29"/>
  <c r="I621" i="29"/>
  <c r="F621" i="29"/>
  <c r="J620" i="29"/>
  <c r="I620" i="29"/>
  <c r="F620" i="29"/>
  <c r="J619" i="29"/>
  <c r="I619" i="29"/>
  <c r="F619" i="29"/>
  <c r="J618" i="29"/>
  <c r="I618" i="29"/>
  <c r="F618" i="29"/>
  <c r="J617" i="29"/>
  <c r="I617" i="29"/>
  <c r="F617" i="29"/>
  <c r="J616" i="29"/>
  <c r="I616" i="29"/>
  <c r="F616" i="29"/>
  <c r="J615" i="29"/>
  <c r="I615" i="29"/>
  <c r="F615" i="29"/>
  <c r="J614" i="29"/>
  <c r="I614" i="29"/>
  <c r="F614" i="29"/>
  <c r="J613" i="29"/>
  <c r="I613" i="29"/>
  <c r="F613" i="29"/>
  <c r="J612" i="29"/>
  <c r="I612" i="29"/>
  <c r="F612" i="29"/>
  <c r="J611" i="29"/>
  <c r="I611" i="29"/>
  <c r="F611" i="29"/>
  <c r="J610" i="29"/>
  <c r="I610" i="29"/>
  <c r="F610" i="29"/>
  <c r="J609" i="29"/>
  <c r="I609" i="29"/>
  <c r="F609" i="29"/>
  <c r="J608" i="29"/>
  <c r="I608" i="29"/>
  <c r="F608" i="29"/>
  <c r="J607" i="29"/>
  <c r="I607" i="29"/>
  <c r="F607" i="29"/>
  <c r="J606" i="29"/>
  <c r="I606" i="29"/>
  <c r="F606" i="29"/>
  <c r="J605" i="29"/>
  <c r="I605" i="29"/>
  <c r="F605" i="29"/>
  <c r="J604" i="29"/>
  <c r="I604" i="29"/>
  <c r="F604" i="29"/>
  <c r="J603" i="29"/>
  <c r="I603" i="29"/>
  <c r="F603" i="29"/>
  <c r="J602" i="29"/>
  <c r="I602" i="29"/>
  <c r="F602" i="29"/>
  <c r="J601" i="29"/>
  <c r="I601" i="29"/>
  <c r="F601" i="29"/>
  <c r="J600" i="29"/>
  <c r="I600" i="29"/>
  <c r="F600" i="29"/>
  <c r="J599" i="29"/>
  <c r="I599" i="29"/>
  <c r="F599" i="29"/>
  <c r="J598" i="29"/>
  <c r="I598" i="29"/>
  <c r="F598" i="29"/>
  <c r="J597" i="29"/>
  <c r="I597" i="29"/>
  <c r="F597" i="29"/>
  <c r="J596" i="29"/>
  <c r="I596" i="29"/>
  <c r="F596" i="29"/>
  <c r="J595" i="29"/>
  <c r="I595" i="29"/>
  <c r="F595" i="29"/>
  <c r="J594" i="29"/>
  <c r="I594" i="29"/>
  <c r="F594" i="29"/>
  <c r="J593" i="29"/>
  <c r="I593" i="29"/>
  <c r="F593" i="29"/>
  <c r="J592" i="29"/>
  <c r="I592" i="29"/>
  <c r="F592" i="29"/>
  <c r="J591" i="29"/>
  <c r="I591" i="29"/>
  <c r="F591" i="29"/>
  <c r="J590" i="29"/>
  <c r="I590" i="29"/>
  <c r="F590" i="29"/>
  <c r="J589" i="29"/>
  <c r="I589" i="29"/>
  <c r="F589" i="29"/>
  <c r="J588" i="29"/>
  <c r="I588" i="29"/>
  <c r="F588" i="29"/>
  <c r="J587" i="29"/>
  <c r="I587" i="29"/>
  <c r="F587" i="29"/>
  <c r="J586" i="29"/>
  <c r="I586" i="29"/>
  <c r="F586" i="29"/>
  <c r="J585" i="29"/>
  <c r="I585" i="29"/>
  <c r="F585" i="29"/>
  <c r="J584" i="29"/>
  <c r="I584" i="29"/>
  <c r="F584" i="29"/>
  <c r="J583" i="29"/>
  <c r="I583" i="29"/>
  <c r="F583" i="29"/>
  <c r="J582" i="29"/>
  <c r="I582" i="29"/>
  <c r="F582" i="29"/>
  <c r="J581" i="29"/>
  <c r="I581" i="29"/>
  <c r="F581" i="29"/>
  <c r="J580" i="29"/>
  <c r="I580" i="29"/>
  <c r="F580" i="29"/>
  <c r="J579" i="29"/>
  <c r="I579" i="29"/>
  <c r="F579" i="29"/>
  <c r="J578" i="29"/>
  <c r="I578" i="29"/>
  <c r="F578" i="29"/>
  <c r="J577" i="29"/>
  <c r="I577" i="29"/>
  <c r="F577" i="29"/>
  <c r="J576" i="29"/>
  <c r="I576" i="29"/>
  <c r="F576" i="29"/>
  <c r="J575" i="29"/>
  <c r="I575" i="29"/>
  <c r="F575" i="29"/>
  <c r="J574" i="29"/>
  <c r="I574" i="29"/>
  <c r="F574" i="29"/>
  <c r="J573" i="29"/>
  <c r="I573" i="29"/>
  <c r="F573" i="29"/>
  <c r="J572" i="29"/>
  <c r="I572" i="29"/>
  <c r="F572" i="29"/>
  <c r="J571" i="29"/>
  <c r="I571" i="29"/>
  <c r="F571" i="29"/>
  <c r="J570" i="29"/>
  <c r="I570" i="29"/>
  <c r="F570" i="29"/>
  <c r="J569" i="29"/>
  <c r="I569" i="29"/>
  <c r="F569" i="29"/>
  <c r="J568" i="29"/>
  <c r="I568" i="29"/>
  <c r="F568" i="29"/>
  <c r="J567" i="29"/>
  <c r="I567" i="29"/>
  <c r="F567" i="29"/>
  <c r="J566" i="29"/>
  <c r="I566" i="29"/>
  <c r="F566" i="29"/>
  <c r="J565" i="29"/>
  <c r="I565" i="29"/>
  <c r="F565" i="29"/>
  <c r="J564" i="29"/>
  <c r="I564" i="29"/>
  <c r="F564" i="29"/>
  <c r="J563" i="29"/>
  <c r="I563" i="29"/>
  <c r="F563" i="29"/>
  <c r="J562" i="29"/>
  <c r="I562" i="29"/>
  <c r="F562" i="29"/>
  <c r="J561" i="29"/>
  <c r="I561" i="29"/>
  <c r="F561" i="29"/>
  <c r="J560" i="29"/>
  <c r="I560" i="29"/>
  <c r="F560" i="29"/>
  <c r="J559" i="29"/>
  <c r="I559" i="29"/>
  <c r="F559" i="29"/>
  <c r="J558" i="29"/>
  <c r="I558" i="29"/>
  <c r="F558" i="29"/>
  <c r="J557" i="29"/>
  <c r="I557" i="29"/>
  <c r="F557" i="29"/>
  <c r="J556" i="29"/>
  <c r="I556" i="29"/>
  <c r="F556" i="29"/>
  <c r="J555" i="29"/>
  <c r="I555" i="29"/>
  <c r="F555" i="29"/>
  <c r="J554" i="29"/>
  <c r="I554" i="29"/>
  <c r="F554" i="29"/>
  <c r="J553" i="29"/>
  <c r="I553" i="29"/>
  <c r="F553" i="29"/>
  <c r="J552" i="29"/>
  <c r="I552" i="29"/>
  <c r="F552" i="29"/>
  <c r="J551" i="29"/>
  <c r="I551" i="29"/>
  <c r="F551" i="29"/>
  <c r="J550" i="29"/>
  <c r="I550" i="29"/>
  <c r="F550" i="29"/>
  <c r="J549" i="29"/>
  <c r="I549" i="29"/>
  <c r="F549" i="29"/>
  <c r="J548" i="29"/>
  <c r="I548" i="29"/>
  <c r="F548" i="29"/>
  <c r="J547" i="29"/>
  <c r="I547" i="29"/>
  <c r="F547" i="29"/>
  <c r="J546" i="29"/>
  <c r="I546" i="29"/>
  <c r="F546" i="29"/>
  <c r="J545" i="29"/>
  <c r="I545" i="29"/>
  <c r="F545" i="29"/>
  <c r="J544" i="29"/>
  <c r="I544" i="29"/>
  <c r="F544" i="29"/>
  <c r="J543" i="29"/>
  <c r="I543" i="29"/>
  <c r="F543" i="29"/>
  <c r="J542" i="29"/>
  <c r="I542" i="29"/>
  <c r="F542" i="29"/>
  <c r="J541" i="29"/>
  <c r="I541" i="29"/>
  <c r="F541" i="29"/>
  <c r="J540" i="29"/>
  <c r="I540" i="29"/>
  <c r="F540" i="29"/>
  <c r="J539" i="29"/>
  <c r="I539" i="29"/>
  <c r="F539" i="29"/>
  <c r="J538" i="29"/>
  <c r="I538" i="29"/>
  <c r="F538" i="29"/>
  <c r="J537" i="29"/>
  <c r="I537" i="29"/>
  <c r="F537" i="29"/>
  <c r="J536" i="29"/>
  <c r="I536" i="29"/>
  <c r="F536" i="29"/>
  <c r="J535" i="29"/>
  <c r="I535" i="29"/>
  <c r="F535" i="29"/>
  <c r="J534" i="29"/>
  <c r="I534" i="29"/>
  <c r="F534" i="29"/>
  <c r="J533" i="29"/>
  <c r="I533" i="29"/>
  <c r="F533" i="29"/>
  <c r="J532" i="29"/>
  <c r="I532" i="29"/>
  <c r="F532" i="29"/>
  <c r="J531" i="29"/>
  <c r="I531" i="29"/>
  <c r="F531" i="29"/>
  <c r="J530" i="29"/>
  <c r="I530" i="29"/>
  <c r="F530" i="29"/>
  <c r="J529" i="29"/>
  <c r="I529" i="29"/>
  <c r="F529" i="29"/>
  <c r="J528" i="29"/>
  <c r="I528" i="29"/>
  <c r="F528" i="29"/>
  <c r="J527" i="29"/>
  <c r="I527" i="29"/>
  <c r="F527" i="29"/>
  <c r="J526" i="29"/>
  <c r="I526" i="29"/>
  <c r="F526" i="29"/>
  <c r="J525" i="29"/>
  <c r="I525" i="29"/>
  <c r="F525" i="29"/>
  <c r="J524" i="29"/>
  <c r="I524" i="29"/>
  <c r="F524" i="29"/>
  <c r="J523" i="29"/>
  <c r="I523" i="29"/>
  <c r="F523" i="29"/>
  <c r="J522" i="29"/>
  <c r="I522" i="29"/>
  <c r="F522" i="29"/>
  <c r="J521" i="29"/>
  <c r="I521" i="29"/>
  <c r="F521" i="29"/>
  <c r="J520" i="29"/>
  <c r="I520" i="29"/>
  <c r="F520" i="29"/>
  <c r="J519" i="29"/>
  <c r="I519" i="29"/>
  <c r="F519" i="29"/>
  <c r="J518" i="29"/>
  <c r="I518" i="29"/>
  <c r="F518" i="29"/>
  <c r="J517" i="29"/>
  <c r="I517" i="29"/>
  <c r="F517" i="29"/>
  <c r="J516" i="29"/>
  <c r="I516" i="29"/>
  <c r="F516" i="29"/>
  <c r="J515" i="29"/>
  <c r="I515" i="29"/>
  <c r="F515" i="29"/>
  <c r="J514" i="29"/>
  <c r="I514" i="29"/>
  <c r="F514" i="29"/>
  <c r="J513" i="29"/>
  <c r="I513" i="29"/>
  <c r="F513" i="29"/>
  <c r="J512" i="29"/>
  <c r="I512" i="29"/>
  <c r="F512" i="29"/>
  <c r="J511" i="29"/>
  <c r="I511" i="29"/>
  <c r="F511" i="29"/>
  <c r="J510" i="29"/>
  <c r="I510" i="29"/>
  <c r="F510" i="29"/>
  <c r="J509" i="29"/>
  <c r="I509" i="29"/>
  <c r="F509" i="29"/>
  <c r="J508" i="29"/>
  <c r="I508" i="29"/>
  <c r="F508" i="29"/>
  <c r="J507" i="29"/>
  <c r="I507" i="29"/>
  <c r="F507" i="29"/>
  <c r="J506" i="29"/>
  <c r="I506" i="29"/>
  <c r="F506" i="29"/>
  <c r="J505" i="29"/>
  <c r="I505" i="29"/>
  <c r="F505" i="29"/>
  <c r="J504" i="29"/>
  <c r="I504" i="29"/>
  <c r="F504" i="29"/>
  <c r="J503" i="29"/>
  <c r="I503" i="29"/>
  <c r="F503" i="29"/>
  <c r="J502" i="29"/>
  <c r="I502" i="29"/>
  <c r="F502" i="29"/>
  <c r="J501" i="29"/>
  <c r="I501" i="29"/>
  <c r="F501" i="29"/>
  <c r="J500" i="29"/>
  <c r="I500" i="29"/>
  <c r="F500" i="29"/>
  <c r="J499" i="29"/>
  <c r="I499" i="29"/>
  <c r="F499" i="29"/>
  <c r="J498" i="29"/>
  <c r="I498" i="29"/>
  <c r="F498" i="29"/>
  <c r="J497" i="29"/>
  <c r="I497" i="29"/>
  <c r="F497" i="29"/>
  <c r="J496" i="29"/>
  <c r="I496" i="29"/>
  <c r="F496" i="29"/>
  <c r="J495" i="29"/>
  <c r="I495" i="29"/>
  <c r="F495" i="29"/>
  <c r="J494" i="29"/>
  <c r="I494" i="29"/>
  <c r="F494" i="29"/>
  <c r="J493" i="29"/>
  <c r="I493" i="29"/>
  <c r="F493" i="29"/>
  <c r="J492" i="29"/>
  <c r="I492" i="29"/>
  <c r="F492" i="29"/>
  <c r="J491" i="29"/>
  <c r="I491" i="29"/>
  <c r="F491" i="29"/>
  <c r="J490" i="29"/>
  <c r="I490" i="29"/>
  <c r="F490" i="29"/>
  <c r="J489" i="29"/>
  <c r="I489" i="29"/>
  <c r="F489" i="29"/>
  <c r="J488" i="29"/>
  <c r="I488" i="29"/>
  <c r="F488" i="29"/>
  <c r="J487" i="29"/>
  <c r="I487" i="29"/>
  <c r="F487" i="29"/>
  <c r="J486" i="29"/>
  <c r="I486" i="29"/>
  <c r="F486" i="29"/>
  <c r="J485" i="29"/>
  <c r="I485" i="29"/>
  <c r="F485" i="29"/>
  <c r="J484" i="29"/>
  <c r="I484" i="29"/>
  <c r="F484" i="29"/>
  <c r="J483" i="29"/>
  <c r="I483" i="29"/>
  <c r="F483" i="29"/>
  <c r="J482" i="29"/>
  <c r="I482" i="29"/>
  <c r="F482" i="29"/>
  <c r="J481" i="29"/>
  <c r="I481" i="29"/>
  <c r="F481" i="29"/>
  <c r="J480" i="29"/>
  <c r="I480" i="29"/>
  <c r="F480" i="29"/>
  <c r="J479" i="29"/>
  <c r="I479" i="29"/>
  <c r="F479" i="29"/>
  <c r="J478" i="29"/>
  <c r="I478" i="29"/>
  <c r="F478" i="29"/>
  <c r="J477" i="29"/>
  <c r="I477" i="29"/>
  <c r="F477" i="29"/>
  <c r="J476" i="29"/>
  <c r="I476" i="29"/>
  <c r="F476" i="29"/>
  <c r="J475" i="29"/>
  <c r="I475" i="29"/>
  <c r="F475" i="29"/>
  <c r="J474" i="29"/>
  <c r="I474" i="29"/>
  <c r="F474" i="29"/>
  <c r="J473" i="29"/>
  <c r="I473" i="29"/>
  <c r="F473" i="29"/>
  <c r="J472" i="29"/>
  <c r="I472" i="29"/>
  <c r="F472" i="29"/>
  <c r="J471" i="29"/>
  <c r="I471" i="29"/>
  <c r="F471" i="29"/>
  <c r="J470" i="29"/>
  <c r="I470" i="29"/>
  <c r="F470" i="29"/>
  <c r="J469" i="29"/>
  <c r="I469" i="29"/>
  <c r="F469" i="29"/>
  <c r="J468" i="29"/>
  <c r="I468" i="29"/>
  <c r="F468" i="29"/>
  <c r="J467" i="29"/>
  <c r="I467" i="29"/>
  <c r="F467" i="29"/>
  <c r="J466" i="29"/>
  <c r="I466" i="29"/>
  <c r="F466" i="29"/>
  <c r="J465" i="29"/>
  <c r="I465" i="29"/>
  <c r="F465" i="29"/>
  <c r="J464" i="29"/>
  <c r="I464" i="29"/>
  <c r="F464" i="29"/>
  <c r="J463" i="29"/>
  <c r="I463" i="29"/>
  <c r="F463" i="29"/>
  <c r="J462" i="29"/>
  <c r="I462" i="29"/>
  <c r="F462" i="29"/>
  <c r="J461" i="29"/>
  <c r="I461" i="29"/>
  <c r="F461" i="29"/>
  <c r="J460" i="29"/>
  <c r="I460" i="29"/>
  <c r="F460" i="29"/>
  <c r="J459" i="29"/>
  <c r="I459" i="29"/>
  <c r="F459" i="29"/>
  <c r="J458" i="29"/>
  <c r="I458" i="29"/>
  <c r="F458" i="29"/>
  <c r="J457" i="29"/>
  <c r="I457" i="29"/>
  <c r="F457" i="29"/>
  <c r="J456" i="29"/>
  <c r="I456" i="29"/>
  <c r="F456" i="29"/>
  <c r="J455" i="29"/>
  <c r="I455" i="29"/>
  <c r="F455" i="29"/>
  <c r="J454" i="29"/>
  <c r="I454" i="29"/>
  <c r="F454" i="29"/>
  <c r="J453" i="29"/>
  <c r="I453" i="29"/>
  <c r="F453" i="29"/>
  <c r="J452" i="29"/>
  <c r="I452" i="29"/>
  <c r="F452" i="29"/>
  <c r="J451" i="29"/>
  <c r="I451" i="29"/>
  <c r="F451" i="29"/>
  <c r="J450" i="29"/>
  <c r="I450" i="29"/>
  <c r="F450" i="29"/>
  <c r="J449" i="29"/>
  <c r="I449" i="29"/>
  <c r="F449" i="29"/>
  <c r="J448" i="29"/>
  <c r="I448" i="29"/>
  <c r="F448" i="29"/>
  <c r="J447" i="29"/>
  <c r="I447" i="29"/>
  <c r="F447" i="29"/>
  <c r="J446" i="29"/>
  <c r="I446" i="29"/>
  <c r="F446" i="29"/>
  <c r="J445" i="29"/>
  <c r="I445" i="29"/>
  <c r="F445" i="29"/>
  <c r="J444" i="29"/>
  <c r="I444" i="29"/>
  <c r="F444" i="29"/>
  <c r="J443" i="29"/>
  <c r="I443" i="29"/>
  <c r="F443" i="29"/>
  <c r="J442" i="29"/>
  <c r="I442" i="29"/>
  <c r="F442" i="29"/>
  <c r="J441" i="29"/>
  <c r="I441" i="29"/>
  <c r="F441" i="29"/>
  <c r="J440" i="29"/>
  <c r="I440" i="29"/>
  <c r="F440" i="29"/>
  <c r="J439" i="29"/>
  <c r="I439" i="29"/>
  <c r="F439" i="29"/>
  <c r="J438" i="29"/>
  <c r="I438" i="29"/>
  <c r="F438" i="29"/>
  <c r="J437" i="29"/>
  <c r="I437" i="29"/>
  <c r="F437" i="29"/>
  <c r="J436" i="29"/>
  <c r="I436" i="29"/>
  <c r="F436" i="29"/>
  <c r="J435" i="29"/>
  <c r="I435" i="29"/>
  <c r="F435" i="29"/>
  <c r="J434" i="29"/>
  <c r="I434" i="29"/>
  <c r="F434" i="29"/>
  <c r="J433" i="29"/>
  <c r="I433" i="29"/>
  <c r="F433" i="29"/>
  <c r="J432" i="29"/>
  <c r="I432" i="29"/>
  <c r="F432" i="29"/>
  <c r="J431" i="29"/>
  <c r="I431" i="29"/>
  <c r="F431" i="29"/>
  <c r="J430" i="29"/>
  <c r="I430" i="29"/>
  <c r="F430" i="29"/>
  <c r="J429" i="29"/>
  <c r="I429" i="29"/>
  <c r="F429" i="29"/>
  <c r="J428" i="29"/>
  <c r="I428" i="29"/>
  <c r="F428" i="29"/>
  <c r="J427" i="29"/>
  <c r="I427" i="29"/>
  <c r="F427" i="29"/>
  <c r="J426" i="29"/>
  <c r="I426" i="29"/>
  <c r="F426" i="29"/>
  <c r="J425" i="29"/>
  <c r="I425" i="29"/>
  <c r="F425" i="29"/>
  <c r="J424" i="29"/>
  <c r="I424" i="29"/>
  <c r="F424" i="29"/>
  <c r="J423" i="29"/>
  <c r="I423" i="29"/>
  <c r="F423" i="29"/>
  <c r="J422" i="29"/>
  <c r="I422" i="29"/>
  <c r="F422" i="29"/>
  <c r="J421" i="29"/>
  <c r="I421" i="29"/>
  <c r="F421" i="29"/>
  <c r="J420" i="29"/>
  <c r="I420" i="29"/>
  <c r="F420" i="29"/>
  <c r="J419" i="29"/>
  <c r="I419" i="29"/>
  <c r="F419" i="29"/>
  <c r="J418" i="29"/>
  <c r="I418" i="29"/>
  <c r="F418" i="29"/>
  <c r="J417" i="29"/>
  <c r="I417" i="29"/>
  <c r="F417" i="29"/>
  <c r="J416" i="29"/>
  <c r="I416" i="29"/>
  <c r="F416" i="29"/>
  <c r="J415" i="29"/>
  <c r="I415" i="29"/>
  <c r="F415" i="29"/>
  <c r="J414" i="29"/>
  <c r="I414" i="29"/>
  <c r="F414" i="29"/>
  <c r="J413" i="29"/>
  <c r="I413" i="29"/>
  <c r="F413" i="29"/>
  <c r="J412" i="29"/>
  <c r="I412" i="29"/>
  <c r="F412" i="29"/>
  <c r="J411" i="29"/>
  <c r="I411" i="29"/>
  <c r="F411" i="29"/>
  <c r="J410" i="29"/>
  <c r="I410" i="29"/>
  <c r="F410" i="29"/>
  <c r="J409" i="29"/>
  <c r="I409" i="29"/>
  <c r="F409" i="29"/>
  <c r="J408" i="29"/>
  <c r="I408" i="29"/>
  <c r="F408" i="29"/>
  <c r="J407" i="29"/>
  <c r="I407" i="29"/>
  <c r="F407" i="29"/>
  <c r="J406" i="29"/>
  <c r="I406" i="29"/>
  <c r="F406" i="29"/>
  <c r="J405" i="29"/>
  <c r="I405" i="29"/>
  <c r="F405" i="29"/>
  <c r="J404" i="29"/>
  <c r="I404" i="29"/>
  <c r="F404" i="29"/>
  <c r="J403" i="29"/>
  <c r="I403" i="29"/>
  <c r="F403" i="29"/>
  <c r="J402" i="29"/>
  <c r="I402" i="29"/>
  <c r="F402" i="29"/>
  <c r="J401" i="29"/>
  <c r="I401" i="29"/>
  <c r="F401" i="29"/>
  <c r="J400" i="29"/>
  <c r="I400" i="29"/>
  <c r="F400" i="29"/>
  <c r="J399" i="29"/>
  <c r="I399" i="29"/>
  <c r="F399" i="29"/>
  <c r="J398" i="29"/>
  <c r="I398" i="29"/>
  <c r="F398" i="29"/>
  <c r="J397" i="29"/>
  <c r="I397" i="29"/>
  <c r="F397" i="29"/>
  <c r="J396" i="29"/>
  <c r="I396" i="29"/>
  <c r="F396" i="29"/>
  <c r="J395" i="29"/>
  <c r="I395" i="29"/>
  <c r="F395" i="29"/>
  <c r="J394" i="29"/>
  <c r="I394" i="29"/>
  <c r="F394" i="29"/>
  <c r="J393" i="29"/>
  <c r="I393" i="29"/>
  <c r="F393" i="29"/>
  <c r="J392" i="29"/>
  <c r="I392" i="29"/>
  <c r="F392" i="29"/>
  <c r="J391" i="29"/>
  <c r="I391" i="29"/>
  <c r="F391" i="29"/>
  <c r="J390" i="29"/>
  <c r="I390" i="29"/>
  <c r="F390" i="29"/>
  <c r="J389" i="29"/>
  <c r="I389" i="29"/>
  <c r="F389" i="29"/>
  <c r="J388" i="29"/>
  <c r="I388" i="29"/>
  <c r="F388" i="29"/>
  <c r="J387" i="29"/>
  <c r="I387" i="29"/>
  <c r="F387" i="29"/>
  <c r="J386" i="29"/>
  <c r="I386" i="29"/>
  <c r="F386" i="29"/>
  <c r="J385" i="29"/>
  <c r="I385" i="29"/>
  <c r="F385" i="29"/>
  <c r="J384" i="29"/>
  <c r="I384" i="29"/>
  <c r="F384" i="29"/>
  <c r="J383" i="29"/>
  <c r="I383" i="29"/>
  <c r="F383" i="29"/>
  <c r="J382" i="29"/>
  <c r="I382" i="29"/>
  <c r="F382" i="29"/>
  <c r="J381" i="29"/>
  <c r="I381" i="29"/>
  <c r="F381" i="29"/>
  <c r="J380" i="29"/>
  <c r="I380" i="29"/>
  <c r="F380" i="29"/>
  <c r="J379" i="29"/>
  <c r="I379" i="29"/>
  <c r="F379" i="29"/>
  <c r="J378" i="29"/>
  <c r="I378" i="29"/>
  <c r="F378" i="29"/>
  <c r="J377" i="29"/>
  <c r="I377" i="29"/>
  <c r="F377" i="29"/>
  <c r="J376" i="29"/>
  <c r="I376" i="29"/>
  <c r="F376" i="29"/>
  <c r="J375" i="29"/>
  <c r="I375" i="29"/>
  <c r="F375" i="29"/>
  <c r="J374" i="29"/>
  <c r="I374" i="29"/>
  <c r="F374" i="29"/>
  <c r="J373" i="29"/>
  <c r="I373" i="29"/>
  <c r="F373" i="29"/>
  <c r="J372" i="29"/>
  <c r="I372" i="29"/>
  <c r="F372" i="29"/>
  <c r="J371" i="29"/>
  <c r="I371" i="29"/>
  <c r="F371" i="29"/>
  <c r="J370" i="29"/>
  <c r="I370" i="29"/>
  <c r="F370" i="29"/>
  <c r="J369" i="29"/>
  <c r="I369" i="29"/>
  <c r="F369" i="29"/>
  <c r="J368" i="29"/>
  <c r="I368" i="29"/>
  <c r="F368" i="29"/>
  <c r="J367" i="29"/>
  <c r="I367" i="29"/>
  <c r="F367" i="29"/>
  <c r="J366" i="29"/>
  <c r="I366" i="29"/>
  <c r="F366" i="29"/>
  <c r="J365" i="29"/>
  <c r="I365" i="29"/>
  <c r="F365" i="29"/>
  <c r="J364" i="29"/>
  <c r="I364" i="29"/>
  <c r="F364" i="29"/>
  <c r="J363" i="29"/>
  <c r="I363" i="29"/>
  <c r="F363" i="29"/>
  <c r="J362" i="29"/>
  <c r="I362" i="29"/>
  <c r="F362" i="29"/>
  <c r="J361" i="29"/>
  <c r="I361" i="29"/>
  <c r="F361" i="29"/>
  <c r="J360" i="29"/>
  <c r="I360" i="29"/>
  <c r="F360" i="29"/>
  <c r="J359" i="29"/>
  <c r="I359" i="29"/>
  <c r="F359" i="29"/>
  <c r="J358" i="29"/>
  <c r="I358" i="29"/>
  <c r="F358" i="29"/>
  <c r="J357" i="29"/>
  <c r="I357" i="29"/>
  <c r="F357" i="29"/>
  <c r="J356" i="29"/>
  <c r="I356" i="29"/>
  <c r="F356" i="29"/>
  <c r="J355" i="29"/>
  <c r="I355" i="29"/>
  <c r="F355" i="29"/>
  <c r="J354" i="29"/>
  <c r="I354" i="29"/>
  <c r="F354" i="29"/>
  <c r="J353" i="29"/>
  <c r="I353" i="29"/>
  <c r="F353" i="29"/>
  <c r="J352" i="29"/>
  <c r="I352" i="29"/>
  <c r="F352" i="29"/>
  <c r="J351" i="29"/>
  <c r="I351" i="29"/>
  <c r="F351" i="29"/>
  <c r="J350" i="29"/>
  <c r="I350" i="29"/>
  <c r="F350" i="29"/>
  <c r="J349" i="29"/>
  <c r="I349" i="29"/>
  <c r="F349" i="29"/>
  <c r="J348" i="29"/>
  <c r="I348" i="29"/>
  <c r="F348" i="29"/>
  <c r="J347" i="29"/>
  <c r="I347" i="29"/>
  <c r="F347" i="29"/>
  <c r="J346" i="29"/>
  <c r="I346" i="29"/>
  <c r="F346" i="29"/>
  <c r="J345" i="29"/>
  <c r="I345" i="29"/>
  <c r="F345" i="29"/>
  <c r="J344" i="29"/>
  <c r="I344" i="29"/>
  <c r="F344" i="29"/>
  <c r="J343" i="29"/>
  <c r="I343" i="29"/>
  <c r="F343" i="29"/>
  <c r="J342" i="29"/>
  <c r="I342" i="29"/>
  <c r="F342" i="29"/>
  <c r="J341" i="29"/>
  <c r="I341" i="29"/>
  <c r="F341" i="29"/>
  <c r="J340" i="29"/>
  <c r="I340" i="29"/>
  <c r="F340" i="29"/>
  <c r="J339" i="29"/>
  <c r="I339" i="29"/>
  <c r="F339" i="29"/>
  <c r="J338" i="29"/>
  <c r="I338" i="29"/>
  <c r="F338" i="29"/>
  <c r="J337" i="29"/>
  <c r="I337" i="29"/>
  <c r="F337" i="29"/>
  <c r="J336" i="29"/>
  <c r="I336" i="29"/>
  <c r="F336" i="29"/>
  <c r="J335" i="29"/>
  <c r="I335" i="29"/>
  <c r="F335" i="29"/>
  <c r="J334" i="29"/>
  <c r="I334" i="29"/>
  <c r="F334" i="29"/>
  <c r="J333" i="29"/>
  <c r="I333" i="29"/>
  <c r="F333" i="29"/>
  <c r="J332" i="29"/>
  <c r="I332" i="29"/>
  <c r="F332" i="29"/>
  <c r="J331" i="29"/>
  <c r="I331" i="29"/>
  <c r="F331" i="29"/>
  <c r="J330" i="29"/>
  <c r="I330" i="29"/>
  <c r="F330" i="29"/>
  <c r="J329" i="29"/>
  <c r="I329" i="29"/>
  <c r="F329" i="29"/>
  <c r="J328" i="29"/>
  <c r="I328" i="29"/>
  <c r="F328" i="29"/>
  <c r="J327" i="29"/>
  <c r="I327" i="29"/>
  <c r="F327" i="29"/>
  <c r="J326" i="29"/>
  <c r="I326" i="29"/>
  <c r="F326" i="29"/>
  <c r="J325" i="29"/>
  <c r="I325" i="29"/>
  <c r="F325" i="29"/>
  <c r="J324" i="29"/>
  <c r="I324" i="29"/>
  <c r="F324" i="29"/>
  <c r="J323" i="29"/>
  <c r="I323" i="29"/>
  <c r="F323" i="29"/>
  <c r="J322" i="29"/>
  <c r="I322" i="29"/>
  <c r="F322" i="29"/>
  <c r="J321" i="29"/>
  <c r="I321" i="29"/>
  <c r="F321" i="29"/>
  <c r="J320" i="29"/>
  <c r="I320" i="29"/>
  <c r="F320" i="29"/>
  <c r="J319" i="29"/>
  <c r="I319" i="29"/>
  <c r="F319" i="29"/>
  <c r="J318" i="29"/>
  <c r="I318" i="29"/>
  <c r="F318" i="29"/>
  <c r="J317" i="29"/>
  <c r="I317" i="29"/>
  <c r="F317" i="29"/>
  <c r="J316" i="29"/>
  <c r="I316" i="29"/>
  <c r="F316" i="29"/>
  <c r="J315" i="29"/>
  <c r="I315" i="29"/>
  <c r="F315" i="29"/>
  <c r="J314" i="29"/>
  <c r="I314" i="29"/>
  <c r="F314" i="29"/>
  <c r="J313" i="29"/>
  <c r="I313" i="29"/>
  <c r="F313" i="29"/>
  <c r="J312" i="29"/>
  <c r="I312" i="29"/>
  <c r="F312" i="29"/>
  <c r="J311" i="29"/>
  <c r="I311" i="29"/>
  <c r="F311" i="29"/>
  <c r="J310" i="29"/>
  <c r="I310" i="29"/>
  <c r="F310" i="29"/>
  <c r="J309" i="29"/>
  <c r="I309" i="29"/>
  <c r="F309" i="29"/>
  <c r="J308" i="29"/>
  <c r="I308" i="29"/>
  <c r="F308" i="29"/>
  <c r="J307" i="29"/>
  <c r="I307" i="29"/>
  <c r="F307" i="29"/>
  <c r="J306" i="29"/>
  <c r="I306" i="29"/>
  <c r="F306" i="29"/>
  <c r="J305" i="29"/>
  <c r="I305" i="29"/>
  <c r="F305" i="29"/>
  <c r="J304" i="29"/>
  <c r="I304" i="29"/>
  <c r="F304" i="29"/>
  <c r="J303" i="29"/>
  <c r="I303" i="29"/>
  <c r="F303" i="29"/>
  <c r="J302" i="29"/>
  <c r="I302" i="29"/>
  <c r="F302" i="29"/>
  <c r="J301" i="29"/>
  <c r="I301" i="29"/>
  <c r="F301" i="29"/>
  <c r="J300" i="29"/>
  <c r="I300" i="29"/>
  <c r="F300" i="29"/>
  <c r="J299" i="29"/>
  <c r="I299" i="29"/>
  <c r="F299" i="29"/>
  <c r="J298" i="29"/>
  <c r="I298" i="29"/>
  <c r="F298" i="29"/>
  <c r="J297" i="29"/>
  <c r="I297" i="29"/>
  <c r="F297" i="29"/>
  <c r="J296" i="29"/>
  <c r="I296" i="29"/>
  <c r="F296" i="29"/>
  <c r="J295" i="29"/>
  <c r="I295" i="29"/>
  <c r="F295" i="29"/>
  <c r="J294" i="29"/>
  <c r="I294" i="29"/>
  <c r="F294" i="29"/>
  <c r="J293" i="29"/>
  <c r="I293" i="29"/>
  <c r="F293" i="29"/>
  <c r="J292" i="29"/>
  <c r="I292" i="29"/>
  <c r="F292" i="29"/>
  <c r="J291" i="29"/>
  <c r="I291" i="29"/>
  <c r="F291" i="29"/>
  <c r="J290" i="29"/>
  <c r="I290" i="29"/>
  <c r="F290" i="29"/>
  <c r="J289" i="29"/>
  <c r="I289" i="29"/>
  <c r="F289" i="29"/>
  <c r="J288" i="29"/>
  <c r="I288" i="29"/>
  <c r="F288" i="29"/>
  <c r="J287" i="29"/>
  <c r="I287" i="29"/>
  <c r="F287" i="29"/>
  <c r="J286" i="29"/>
  <c r="I286" i="29"/>
  <c r="F286" i="29"/>
  <c r="J285" i="29"/>
  <c r="I285" i="29"/>
  <c r="F285" i="29"/>
  <c r="J284" i="29"/>
  <c r="I284" i="29"/>
  <c r="F284" i="29"/>
  <c r="J283" i="29"/>
  <c r="I283" i="29"/>
  <c r="F283" i="29"/>
  <c r="J282" i="29"/>
  <c r="I282" i="29"/>
  <c r="F282" i="29"/>
  <c r="J281" i="29"/>
  <c r="I281" i="29"/>
  <c r="F281" i="29"/>
  <c r="J280" i="29"/>
  <c r="I280" i="29"/>
  <c r="F280" i="29"/>
  <c r="J279" i="29"/>
  <c r="I279" i="29"/>
  <c r="F279" i="29"/>
  <c r="J278" i="29"/>
  <c r="I278" i="29"/>
  <c r="F278" i="29"/>
  <c r="J277" i="29"/>
  <c r="I277" i="29"/>
  <c r="F277" i="29"/>
  <c r="J276" i="29"/>
  <c r="I276" i="29"/>
  <c r="F276" i="29"/>
  <c r="J275" i="29"/>
  <c r="I275" i="29"/>
  <c r="F275" i="29"/>
  <c r="J274" i="29"/>
  <c r="I274" i="29"/>
  <c r="F274" i="29"/>
  <c r="J273" i="29"/>
  <c r="I273" i="29"/>
  <c r="F273" i="29"/>
  <c r="J272" i="29"/>
  <c r="I272" i="29"/>
  <c r="F272" i="29"/>
  <c r="J271" i="29"/>
  <c r="I271" i="29"/>
  <c r="F271" i="29"/>
  <c r="J270" i="29"/>
  <c r="I270" i="29"/>
  <c r="F270" i="29"/>
  <c r="J269" i="29"/>
  <c r="I269" i="29"/>
  <c r="F269" i="29"/>
  <c r="J268" i="29"/>
  <c r="I268" i="29"/>
  <c r="F268" i="29"/>
  <c r="J267" i="29"/>
  <c r="I267" i="29"/>
  <c r="F267" i="29"/>
  <c r="J266" i="29"/>
  <c r="I266" i="29"/>
  <c r="F266" i="29"/>
  <c r="J265" i="29"/>
  <c r="I265" i="29"/>
  <c r="F265" i="29"/>
  <c r="J264" i="29"/>
  <c r="I264" i="29"/>
  <c r="F264" i="29"/>
  <c r="J263" i="29"/>
  <c r="I263" i="29"/>
  <c r="F263" i="29"/>
  <c r="J262" i="29"/>
  <c r="I262" i="29"/>
  <c r="F262" i="29"/>
  <c r="J261" i="29"/>
  <c r="I261" i="29"/>
  <c r="F261" i="29"/>
  <c r="J260" i="29"/>
  <c r="I260" i="29"/>
  <c r="F260" i="29"/>
  <c r="J259" i="29"/>
  <c r="I259" i="29"/>
  <c r="F259" i="29"/>
  <c r="J258" i="29"/>
  <c r="I258" i="29"/>
  <c r="F258" i="29"/>
  <c r="J257" i="29"/>
  <c r="I257" i="29"/>
  <c r="F257" i="29"/>
  <c r="J256" i="29"/>
  <c r="I256" i="29"/>
  <c r="F256" i="29"/>
  <c r="J255" i="29"/>
  <c r="I255" i="29"/>
  <c r="F255" i="29"/>
  <c r="J254" i="29"/>
  <c r="I254" i="29"/>
  <c r="F254" i="29"/>
  <c r="J253" i="29"/>
  <c r="I253" i="29"/>
  <c r="F253" i="29"/>
  <c r="J252" i="29"/>
  <c r="I252" i="29"/>
  <c r="F252" i="29"/>
  <c r="J251" i="29"/>
  <c r="I251" i="29"/>
  <c r="F251" i="29"/>
  <c r="J250" i="29"/>
  <c r="I250" i="29"/>
  <c r="F250" i="29"/>
  <c r="J249" i="29"/>
  <c r="I249" i="29"/>
  <c r="F249" i="29"/>
  <c r="J248" i="29"/>
  <c r="I248" i="29"/>
  <c r="F248" i="29"/>
  <c r="J247" i="29"/>
  <c r="I247" i="29"/>
  <c r="F247" i="29"/>
  <c r="J246" i="29"/>
  <c r="I246" i="29"/>
  <c r="F246" i="29"/>
  <c r="J245" i="29"/>
  <c r="I245" i="29"/>
  <c r="F245" i="29"/>
  <c r="J244" i="29"/>
  <c r="I244" i="29"/>
  <c r="F244" i="29"/>
  <c r="J243" i="29"/>
  <c r="I243" i="29"/>
  <c r="F243" i="29"/>
  <c r="J242" i="29"/>
  <c r="I242" i="29"/>
  <c r="F242" i="29"/>
  <c r="J241" i="29"/>
  <c r="I241" i="29"/>
  <c r="F241" i="29"/>
  <c r="J240" i="29"/>
  <c r="I240" i="29"/>
  <c r="F240" i="29"/>
  <c r="J239" i="29"/>
  <c r="I239" i="29"/>
  <c r="F239" i="29"/>
  <c r="J238" i="29"/>
  <c r="I238" i="29"/>
  <c r="F238" i="29"/>
  <c r="J237" i="29"/>
  <c r="I237" i="29"/>
  <c r="F237" i="29"/>
  <c r="J236" i="29"/>
  <c r="I236" i="29"/>
  <c r="F236" i="29"/>
  <c r="J235" i="29"/>
  <c r="I235" i="29"/>
  <c r="F235" i="29"/>
  <c r="J234" i="29"/>
  <c r="I234" i="29"/>
  <c r="F234" i="29"/>
  <c r="J233" i="29"/>
  <c r="I233" i="29"/>
  <c r="F233" i="29"/>
  <c r="J232" i="29"/>
  <c r="I232" i="29"/>
  <c r="F232" i="29"/>
  <c r="J231" i="29"/>
  <c r="I231" i="29"/>
  <c r="F231" i="29"/>
  <c r="J230" i="29"/>
  <c r="I230" i="29"/>
  <c r="F230" i="29"/>
  <c r="J229" i="29"/>
  <c r="I229" i="29"/>
  <c r="F229" i="29"/>
  <c r="J228" i="29"/>
  <c r="I228" i="29"/>
  <c r="F228" i="29"/>
  <c r="J227" i="29"/>
  <c r="I227" i="29"/>
  <c r="F227" i="29"/>
  <c r="J226" i="29"/>
  <c r="I226" i="29"/>
  <c r="F226" i="29"/>
  <c r="J225" i="29"/>
  <c r="I225" i="29"/>
  <c r="F225" i="29"/>
  <c r="J224" i="29"/>
  <c r="I224" i="29"/>
  <c r="F224" i="29"/>
  <c r="J223" i="29"/>
  <c r="I223" i="29"/>
  <c r="F223" i="29"/>
  <c r="J222" i="29"/>
  <c r="I222" i="29"/>
  <c r="F222" i="29"/>
  <c r="J221" i="29"/>
  <c r="I221" i="29"/>
  <c r="F221" i="29"/>
  <c r="J220" i="29"/>
  <c r="I220" i="29"/>
  <c r="F220" i="29"/>
  <c r="J219" i="29"/>
  <c r="I219" i="29"/>
  <c r="F219" i="29"/>
  <c r="J218" i="29"/>
  <c r="I218" i="29"/>
  <c r="F218" i="29"/>
  <c r="J217" i="29"/>
  <c r="I217" i="29"/>
  <c r="F217" i="29"/>
  <c r="J216" i="29"/>
  <c r="I216" i="29"/>
  <c r="F216" i="29"/>
  <c r="J215" i="29"/>
  <c r="I215" i="29"/>
  <c r="F215" i="29"/>
  <c r="J214" i="29"/>
  <c r="I214" i="29"/>
  <c r="F214" i="29"/>
  <c r="J213" i="29"/>
  <c r="I213" i="29"/>
  <c r="F213" i="29"/>
  <c r="J212" i="29"/>
  <c r="I212" i="29"/>
  <c r="F212" i="29"/>
  <c r="J211" i="29"/>
  <c r="I211" i="29"/>
  <c r="F211" i="29"/>
  <c r="J210" i="29"/>
  <c r="I210" i="29"/>
  <c r="F210" i="29"/>
  <c r="J209" i="29"/>
  <c r="I209" i="29"/>
  <c r="F209" i="29"/>
  <c r="J208" i="29"/>
  <c r="I208" i="29"/>
  <c r="F208" i="29"/>
  <c r="J207" i="29"/>
  <c r="I207" i="29"/>
  <c r="F207" i="29"/>
  <c r="J206" i="29"/>
  <c r="I206" i="29"/>
  <c r="F206" i="29"/>
  <c r="J205" i="29"/>
  <c r="I205" i="29"/>
  <c r="F205" i="29"/>
  <c r="J204" i="29"/>
  <c r="I204" i="29"/>
  <c r="F204" i="29"/>
  <c r="J203" i="29"/>
  <c r="I203" i="29"/>
  <c r="F203" i="29"/>
  <c r="J202" i="29"/>
  <c r="I202" i="29"/>
  <c r="F202" i="29"/>
  <c r="J201" i="29"/>
  <c r="I201" i="29"/>
  <c r="F201" i="29"/>
  <c r="J200" i="29"/>
  <c r="I200" i="29"/>
  <c r="F200" i="29"/>
  <c r="J199" i="29"/>
  <c r="I199" i="29"/>
  <c r="F199" i="29"/>
  <c r="J198" i="29"/>
  <c r="I198" i="29"/>
  <c r="F198" i="29"/>
  <c r="J197" i="29"/>
  <c r="I197" i="29"/>
  <c r="F197" i="29"/>
  <c r="J196" i="29"/>
  <c r="I196" i="29"/>
  <c r="F196" i="29"/>
  <c r="J195" i="29"/>
  <c r="I195" i="29"/>
  <c r="F195" i="29"/>
  <c r="J194" i="29"/>
  <c r="I194" i="29"/>
  <c r="F194" i="29"/>
  <c r="J193" i="29"/>
  <c r="I193" i="29"/>
  <c r="F193" i="29"/>
  <c r="J192" i="29"/>
  <c r="I192" i="29"/>
  <c r="F192" i="29"/>
  <c r="J191" i="29"/>
  <c r="I191" i="29"/>
  <c r="F191" i="29"/>
  <c r="J190" i="29"/>
  <c r="I190" i="29"/>
  <c r="F190" i="29"/>
  <c r="J189" i="29"/>
  <c r="I189" i="29"/>
  <c r="F189" i="29"/>
  <c r="J188" i="29"/>
  <c r="I188" i="29"/>
  <c r="F188" i="29"/>
  <c r="J187" i="29"/>
  <c r="I187" i="29"/>
  <c r="F187" i="29"/>
  <c r="J186" i="29"/>
  <c r="I186" i="29"/>
  <c r="F186" i="29"/>
  <c r="J185" i="29"/>
  <c r="I185" i="29"/>
  <c r="F185" i="29"/>
  <c r="J184" i="29"/>
  <c r="I184" i="29"/>
  <c r="F184" i="29"/>
  <c r="J183" i="29"/>
  <c r="I183" i="29"/>
  <c r="F183" i="29"/>
  <c r="J182" i="29"/>
  <c r="I182" i="29"/>
  <c r="F182" i="29"/>
  <c r="J181" i="29"/>
  <c r="I181" i="29"/>
  <c r="F181" i="29"/>
  <c r="J180" i="29"/>
  <c r="I180" i="29"/>
  <c r="F180" i="29"/>
  <c r="J179" i="29"/>
  <c r="I179" i="29"/>
  <c r="F179" i="29"/>
  <c r="J178" i="29"/>
  <c r="I178" i="29"/>
  <c r="F178" i="29"/>
  <c r="J177" i="29"/>
  <c r="I177" i="29"/>
  <c r="F177" i="29"/>
  <c r="J176" i="29"/>
  <c r="I176" i="29"/>
  <c r="F176" i="29"/>
  <c r="J175" i="29"/>
  <c r="I175" i="29"/>
  <c r="F175" i="29"/>
  <c r="J174" i="29"/>
  <c r="I174" i="29"/>
  <c r="F174" i="29"/>
  <c r="J173" i="29"/>
  <c r="I173" i="29"/>
  <c r="F173" i="29"/>
  <c r="J172" i="29"/>
  <c r="I172" i="29"/>
  <c r="F172" i="29"/>
  <c r="J171" i="29"/>
  <c r="I171" i="29"/>
  <c r="F171" i="29"/>
  <c r="J170" i="29"/>
  <c r="I170" i="29"/>
  <c r="F170" i="29"/>
  <c r="J169" i="29"/>
  <c r="I169" i="29"/>
  <c r="F169" i="29"/>
  <c r="J168" i="29"/>
  <c r="I168" i="29"/>
  <c r="F168" i="29"/>
  <c r="J167" i="29"/>
  <c r="I167" i="29"/>
  <c r="F167" i="29"/>
  <c r="J166" i="29"/>
  <c r="I166" i="29"/>
  <c r="F166" i="29"/>
  <c r="J165" i="29"/>
  <c r="I165" i="29"/>
  <c r="F165" i="29"/>
  <c r="J164" i="29"/>
  <c r="I164" i="29"/>
  <c r="F164" i="29"/>
  <c r="J163" i="29"/>
  <c r="I163" i="29"/>
  <c r="F163" i="29"/>
  <c r="J162" i="29"/>
  <c r="I162" i="29"/>
  <c r="F162" i="29"/>
  <c r="J161" i="29"/>
  <c r="I161" i="29"/>
  <c r="F161" i="29"/>
  <c r="J160" i="29"/>
  <c r="I160" i="29"/>
  <c r="F160" i="29"/>
  <c r="J159" i="29"/>
  <c r="I159" i="29"/>
  <c r="F159" i="29"/>
  <c r="J158" i="29"/>
  <c r="I158" i="29"/>
  <c r="F158" i="29"/>
  <c r="J157" i="29"/>
  <c r="I157" i="29"/>
  <c r="F157" i="29"/>
  <c r="J156" i="29"/>
  <c r="I156" i="29"/>
  <c r="F156" i="29"/>
  <c r="J155" i="29"/>
  <c r="I155" i="29"/>
  <c r="F155" i="29"/>
  <c r="J154" i="29"/>
  <c r="I154" i="29"/>
  <c r="F154" i="29"/>
  <c r="J153" i="29"/>
  <c r="I153" i="29"/>
  <c r="F153" i="29"/>
  <c r="J152" i="29"/>
  <c r="I152" i="29"/>
  <c r="F152" i="29"/>
  <c r="J151" i="29"/>
  <c r="I151" i="29"/>
  <c r="F151" i="29"/>
  <c r="J150" i="29"/>
  <c r="I150" i="29"/>
  <c r="F150" i="29"/>
  <c r="J149" i="29"/>
  <c r="I149" i="29"/>
  <c r="F149" i="29"/>
  <c r="J148" i="29"/>
  <c r="I148" i="29"/>
  <c r="F148" i="29"/>
  <c r="J147" i="29"/>
  <c r="I147" i="29"/>
  <c r="F147" i="29"/>
  <c r="J146" i="29"/>
  <c r="I146" i="29"/>
  <c r="F146" i="29"/>
  <c r="J145" i="29"/>
  <c r="I145" i="29"/>
  <c r="F145" i="29"/>
  <c r="J144" i="29"/>
  <c r="I144" i="29"/>
  <c r="F144" i="29"/>
  <c r="J143" i="29"/>
  <c r="I143" i="29"/>
  <c r="F143" i="29"/>
  <c r="J142" i="29"/>
  <c r="I142" i="29"/>
  <c r="F142" i="29"/>
  <c r="J141" i="29"/>
  <c r="I141" i="29"/>
  <c r="F141" i="29"/>
  <c r="J140" i="29"/>
  <c r="I140" i="29"/>
  <c r="F140" i="29"/>
  <c r="J139" i="29"/>
  <c r="I139" i="29"/>
  <c r="F139" i="29"/>
  <c r="J138" i="29"/>
  <c r="I138" i="29"/>
  <c r="F138" i="29"/>
  <c r="J137" i="29"/>
  <c r="I137" i="29"/>
  <c r="F137" i="29"/>
  <c r="J136" i="29"/>
  <c r="I136" i="29"/>
  <c r="F136" i="29"/>
  <c r="J135" i="29"/>
  <c r="I135" i="29"/>
  <c r="F135" i="29"/>
  <c r="J134" i="29"/>
  <c r="I134" i="29"/>
  <c r="F134" i="29"/>
  <c r="J133" i="29"/>
  <c r="I133" i="29"/>
  <c r="F133" i="29"/>
  <c r="J132" i="29"/>
  <c r="I132" i="29"/>
  <c r="F132" i="29"/>
  <c r="J131" i="29"/>
  <c r="I131" i="29"/>
  <c r="F131" i="29"/>
  <c r="J130" i="29"/>
  <c r="I130" i="29"/>
  <c r="F130" i="29"/>
  <c r="J129" i="29"/>
  <c r="I129" i="29"/>
  <c r="F129" i="29"/>
  <c r="J128" i="29"/>
  <c r="I128" i="29"/>
  <c r="F128" i="29"/>
  <c r="J127" i="29"/>
  <c r="I127" i="29"/>
  <c r="F127" i="29"/>
  <c r="J126" i="29"/>
  <c r="I126" i="29"/>
  <c r="F126" i="29"/>
  <c r="J125" i="29"/>
  <c r="I125" i="29"/>
  <c r="F125" i="29"/>
  <c r="J124" i="29"/>
  <c r="I124" i="29"/>
  <c r="F124" i="29"/>
  <c r="J123" i="29"/>
  <c r="I123" i="29"/>
  <c r="F123" i="29"/>
  <c r="J122" i="29"/>
  <c r="I122" i="29"/>
  <c r="F122" i="29"/>
  <c r="J121" i="29"/>
  <c r="I121" i="29"/>
  <c r="F121" i="29"/>
  <c r="J120" i="29"/>
  <c r="I120" i="29"/>
  <c r="F120" i="29"/>
  <c r="J119" i="29"/>
  <c r="I119" i="29"/>
  <c r="F119" i="29"/>
  <c r="J118" i="29"/>
  <c r="I118" i="29"/>
  <c r="F118" i="29"/>
  <c r="J117" i="29"/>
  <c r="I117" i="29"/>
  <c r="F117" i="29"/>
  <c r="J116" i="29"/>
  <c r="I116" i="29"/>
  <c r="F116" i="29"/>
  <c r="J115" i="29"/>
  <c r="I115" i="29"/>
  <c r="F115" i="29"/>
  <c r="J114" i="29"/>
  <c r="I114" i="29"/>
  <c r="F114" i="29"/>
  <c r="J113" i="29"/>
  <c r="I113" i="29"/>
  <c r="F113" i="29"/>
  <c r="J112" i="29"/>
  <c r="I112" i="29"/>
  <c r="F112" i="29"/>
  <c r="J111" i="29"/>
  <c r="I111" i="29"/>
  <c r="F111" i="29"/>
  <c r="J110" i="29"/>
  <c r="I110" i="29"/>
  <c r="F110" i="29"/>
  <c r="J109" i="29"/>
  <c r="I109" i="29"/>
  <c r="F109" i="29"/>
  <c r="J108" i="29"/>
  <c r="I108" i="29"/>
  <c r="F108" i="29"/>
  <c r="J107" i="29"/>
  <c r="I107" i="29"/>
  <c r="F107" i="29"/>
  <c r="J106" i="29"/>
  <c r="I106" i="29"/>
  <c r="F106" i="29"/>
  <c r="J105" i="29"/>
  <c r="I105" i="29"/>
  <c r="F105" i="29"/>
  <c r="J104" i="29"/>
  <c r="I104" i="29"/>
  <c r="F104" i="29"/>
  <c r="J103" i="29"/>
  <c r="I103" i="29"/>
  <c r="F103" i="29"/>
  <c r="J102" i="29"/>
  <c r="I102" i="29"/>
  <c r="F102" i="29"/>
  <c r="J101" i="29"/>
  <c r="I101" i="29"/>
  <c r="F101" i="29"/>
  <c r="J100" i="29"/>
  <c r="I100" i="29"/>
  <c r="F100" i="29"/>
  <c r="J99" i="29"/>
  <c r="I99" i="29"/>
  <c r="F99" i="29"/>
  <c r="J98" i="29"/>
  <c r="I98" i="29"/>
  <c r="F98" i="29"/>
  <c r="J97" i="29"/>
  <c r="I97" i="29"/>
  <c r="F97" i="29"/>
  <c r="J96" i="29"/>
  <c r="I96" i="29"/>
  <c r="F96" i="29"/>
  <c r="J95" i="29"/>
  <c r="I95" i="29"/>
  <c r="F95" i="29"/>
  <c r="J94" i="29"/>
  <c r="I94" i="29"/>
  <c r="F94" i="29"/>
  <c r="J93" i="29"/>
  <c r="I93" i="29"/>
  <c r="F93" i="29"/>
  <c r="J92" i="29"/>
  <c r="I92" i="29"/>
  <c r="F92" i="29"/>
  <c r="J91" i="29"/>
  <c r="I91" i="29"/>
  <c r="F91" i="29"/>
  <c r="J90" i="29"/>
  <c r="I90" i="29"/>
  <c r="F90" i="29"/>
  <c r="J89" i="29"/>
  <c r="I89" i="29"/>
  <c r="F89" i="29"/>
  <c r="J88" i="29"/>
  <c r="I88" i="29"/>
  <c r="F88" i="29"/>
  <c r="J87" i="29"/>
  <c r="I87" i="29"/>
  <c r="F87" i="29"/>
  <c r="J86" i="29"/>
  <c r="I86" i="29"/>
  <c r="F86" i="29"/>
  <c r="J85" i="29"/>
  <c r="I85" i="29"/>
  <c r="F85" i="29"/>
  <c r="J84" i="29"/>
  <c r="I84" i="29"/>
  <c r="F84" i="29"/>
  <c r="J83" i="29"/>
  <c r="I83" i="29"/>
  <c r="F83" i="29"/>
  <c r="J82" i="29"/>
  <c r="I82" i="29"/>
  <c r="F82" i="29"/>
  <c r="J81" i="29"/>
  <c r="I81" i="29"/>
  <c r="F81" i="29"/>
  <c r="J80" i="29"/>
  <c r="I80" i="29"/>
  <c r="F80" i="29"/>
  <c r="J79" i="29"/>
  <c r="I79" i="29"/>
  <c r="F79" i="29"/>
  <c r="J78" i="29"/>
  <c r="I78" i="29"/>
  <c r="F78" i="29"/>
  <c r="J77" i="29"/>
  <c r="I77" i="29"/>
  <c r="F77" i="29"/>
  <c r="J76" i="29"/>
  <c r="I76" i="29"/>
  <c r="F76" i="29"/>
  <c r="J75" i="29"/>
  <c r="I75" i="29"/>
  <c r="F75" i="29"/>
  <c r="J74" i="29"/>
  <c r="I74" i="29"/>
  <c r="F74" i="29"/>
  <c r="J73" i="29"/>
  <c r="I73" i="29"/>
  <c r="F73" i="29"/>
  <c r="J72" i="29"/>
  <c r="I72" i="29"/>
  <c r="F72" i="29"/>
  <c r="J71" i="29"/>
  <c r="I71" i="29"/>
  <c r="F71" i="29"/>
  <c r="J70" i="29"/>
  <c r="I70" i="29"/>
  <c r="F70" i="29"/>
  <c r="J69" i="29"/>
  <c r="I69" i="29"/>
  <c r="F69" i="29"/>
  <c r="J68" i="29"/>
  <c r="I68" i="29"/>
  <c r="F68" i="29"/>
  <c r="J67" i="29"/>
  <c r="I67" i="29"/>
  <c r="F67" i="29"/>
  <c r="J66" i="29"/>
  <c r="I66" i="29"/>
  <c r="F66" i="29"/>
  <c r="J65" i="29"/>
  <c r="I65" i="29"/>
  <c r="F65" i="29"/>
  <c r="J64" i="29"/>
  <c r="I64" i="29"/>
  <c r="F64" i="29"/>
  <c r="J63" i="29"/>
  <c r="I63" i="29"/>
  <c r="F63" i="29"/>
  <c r="J62" i="29"/>
  <c r="I62" i="29"/>
  <c r="F62" i="29"/>
  <c r="J61" i="29"/>
  <c r="I61" i="29"/>
  <c r="F61" i="29"/>
  <c r="J60" i="29"/>
  <c r="I60" i="29"/>
  <c r="F60" i="29"/>
  <c r="J59" i="29"/>
  <c r="I59" i="29"/>
  <c r="F59" i="29"/>
  <c r="J58" i="29"/>
  <c r="I58" i="29"/>
  <c r="F58" i="29"/>
  <c r="J57" i="29"/>
  <c r="I57" i="29"/>
  <c r="F57" i="29"/>
  <c r="J56" i="29"/>
  <c r="I56" i="29"/>
  <c r="F56" i="29"/>
  <c r="J55" i="29"/>
  <c r="I55" i="29"/>
  <c r="F55" i="29"/>
  <c r="J54" i="29"/>
  <c r="I54" i="29"/>
  <c r="F54" i="29"/>
  <c r="J53" i="29"/>
  <c r="I53" i="29"/>
  <c r="F53" i="29"/>
  <c r="J52" i="29"/>
  <c r="I52" i="29"/>
  <c r="F52" i="29"/>
  <c r="J51" i="29"/>
  <c r="I51" i="29"/>
  <c r="F51" i="29"/>
  <c r="J50" i="29"/>
  <c r="I50" i="29"/>
  <c r="F50" i="29"/>
  <c r="J49" i="29"/>
  <c r="I49" i="29"/>
  <c r="F49" i="29"/>
  <c r="J48" i="29"/>
  <c r="I48" i="29"/>
  <c r="F48" i="29"/>
  <c r="J47" i="29"/>
  <c r="I47" i="29"/>
  <c r="F47" i="29"/>
  <c r="J46" i="29"/>
  <c r="I46" i="29"/>
  <c r="F46" i="29"/>
  <c r="J45" i="29"/>
  <c r="I45" i="29"/>
  <c r="F45" i="29"/>
  <c r="J44" i="29"/>
  <c r="I44" i="29"/>
  <c r="F44" i="29"/>
  <c r="J43" i="29"/>
  <c r="I43" i="29"/>
  <c r="F43" i="29"/>
  <c r="J42" i="29"/>
  <c r="I42" i="29"/>
  <c r="F42" i="29"/>
  <c r="J41" i="29"/>
  <c r="I41" i="29"/>
  <c r="F41" i="29"/>
  <c r="J40" i="29"/>
  <c r="I40" i="29"/>
  <c r="F40" i="29"/>
  <c r="J39" i="29"/>
  <c r="I39" i="29"/>
  <c r="F39" i="29"/>
  <c r="J38" i="29"/>
  <c r="I38" i="29"/>
  <c r="F38" i="29"/>
  <c r="J37" i="29"/>
  <c r="I37" i="29"/>
  <c r="F37" i="29"/>
  <c r="J36" i="29"/>
  <c r="I36" i="29"/>
  <c r="F36" i="29"/>
  <c r="J35" i="29"/>
  <c r="I35" i="29"/>
  <c r="F35" i="29"/>
  <c r="J34" i="29"/>
  <c r="I34" i="29"/>
  <c r="F34" i="29"/>
  <c r="J33" i="29"/>
  <c r="I33" i="29"/>
  <c r="F33" i="29"/>
  <c r="J32" i="29"/>
  <c r="I32" i="29"/>
  <c r="F32" i="29"/>
  <c r="J31" i="29"/>
  <c r="I31" i="29"/>
  <c r="F31" i="29"/>
  <c r="J30" i="29"/>
  <c r="I30" i="29"/>
  <c r="F30" i="29"/>
  <c r="J29" i="29"/>
  <c r="I29" i="29"/>
  <c r="F29" i="29"/>
  <c r="J28" i="29"/>
  <c r="I28" i="29"/>
  <c r="F28" i="29"/>
  <c r="J27" i="29"/>
  <c r="I27" i="29"/>
  <c r="F27" i="29"/>
  <c r="J26" i="29"/>
  <c r="I26" i="29"/>
  <c r="F26" i="29"/>
  <c r="J25" i="29"/>
  <c r="I25" i="29"/>
  <c r="F25" i="29"/>
  <c r="J24" i="29"/>
  <c r="I24" i="29"/>
  <c r="F24" i="29"/>
  <c r="J23" i="29"/>
  <c r="I23" i="29"/>
  <c r="F23" i="29"/>
  <c r="J22" i="29"/>
  <c r="I22" i="29"/>
  <c r="F22" i="29"/>
  <c r="J21" i="29"/>
  <c r="I21" i="29"/>
  <c r="F21" i="29"/>
  <c r="J20" i="29"/>
  <c r="I20" i="29"/>
  <c r="F20" i="29"/>
  <c r="J19" i="29"/>
  <c r="I19" i="29"/>
  <c r="F19" i="29"/>
  <c r="J18" i="29"/>
  <c r="I18" i="29"/>
  <c r="F18" i="29"/>
  <c r="J17" i="29"/>
  <c r="I17" i="29"/>
  <c r="F17" i="29"/>
  <c r="J16" i="29"/>
  <c r="I16" i="29"/>
  <c r="F16" i="29"/>
  <c r="J15" i="29"/>
  <c r="I15" i="29"/>
  <c r="F15" i="29"/>
  <c r="J14" i="29"/>
  <c r="I14" i="29"/>
  <c r="F14" i="29"/>
  <c r="J13" i="29"/>
  <c r="I13" i="29"/>
  <c r="F13" i="29"/>
  <c r="J12" i="29"/>
  <c r="I12" i="29"/>
  <c r="F12" i="29"/>
  <c r="J11" i="29"/>
  <c r="I11" i="29"/>
  <c r="F11" i="29"/>
  <c r="J10" i="29"/>
  <c r="I10" i="29"/>
  <c r="F10" i="29"/>
  <c r="J9" i="29"/>
  <c r="I9" i="29"/>
  <c r="F9" i="29"/>
  <c r="M8" i="29"/>
  <c r="L8" i="29"/>
  <c r="H8" i="29"/>
  <c r="E8" i="29"/>
  <c r="C8" i="29"/>
  <c r="H3" i="29"/>
  <c r="K2" i="29"/>
  <c r="H2" i="29"/>
  <c r="E23" i="28"/>
  <c r="C23" i="28"/>
  <c r="D22" i="28"/>
  <c r="D21" i="28"/>
  <c r="D20" i="28"/>
  <c r="F20" i="28" s="1"/>
  <c r="E9" i="136" s="1"/>
  <c r="D19" i="28"/>
  <c r="D18" i="28"/>
  <c r="D7" i="136" s="1"/>
  <c r="E12" i="28" a="1"/>
  <c r="E12" i="28" s="1"/>
  <c r="D12" i="28" a="1"/>
  <c r="D12" i="28" s="1"/>
  <c r="C12" i="28" a="1"/>
  <c r="C12" i="28" s="1"/>
  <c r="E11" i="28" a="1"/>
  <c r="E11" i="28" s="1"/>
  <c r="D11" i="28" a="1"/>
  <c r="D11" i="28" s="1"/>
  <c r="C11" i="28" a="1"/>
  <c r="C11" i="28" s="1"/>
  <c r="E10" i="28" a="1"/>
  <c r="E10" i="28" s="1"/>
  <c r="D10" i="28" a="1"/>
  <c r="D10" i="28" s="1"/>
  <c r="C10" i="28" a="1"/>
  <c r="C10" i="28" s="1"/>
  <c r="E9" i="28" a="1"/>
  <c r="E9" i="28" s="1"/>
  <c r="D9" i="28" a="1"/>
  <c r="D9" i="28" s="1"/>
  <c r="C9" i="28" a="1"/>
  <c r="C9" i="28" s="1"/>
  <c r="E8" i="28" a="1"/>
  <c r="E8" i="28" s="1"/>
  <c r="D8" i="28" a="1"/>
  <c r="D8" i="28" s="1"/>
  <c r="C8" i="28" a="1"/>
  <c r="C8" i="28" s="1"/>
  <c r="E4" i="28"/>
  <c r="G3" i="28"/>
  <c r="F3" i="28"/>
  <c r="E3" i="28"/>
  <c r="G15" i="27"/>
  <c r="J13" i="27"/>
  <c r="J12" i="27"/>
  <c r="J11" i="27"/>
  <c r="E10" i="27"/>
  <c r="J10" i="27" s="1"/>
  <c r="H5" i="27"/>
  <c r="L4" i="27"/>
  <c r="J4" i="27"/>
  <c r="H4" i="27"/>
  <c r="G32" i="26"/>
  <c r="F21" i="26"/>
  <c r="F6" i="84" s="1"/>
  <c r="C18" i="26"/>
  <c r="F8" i="26"/>
  <c r="E8" i="26"/>
  <c r="C8" i="26"/>
  <c r="C7" i="26"/>
  <c r="F4" i="26"/>
  <c r="H3" i="26"/>
  <c r="G3" i="26"/>
  <c r="F3" i="26"/>
  <c r="H23" i="24"/>
  <c r="G10" i="42" s="1"/>
  <c r="G9" i="42"/>
  <c r="H9" i="42" s="1"/>
  <c r="I18" i="24"/>
  <c r="G18" i="24"/>
  <c r="I17" i="24"/>
  <c r="G17" i="24"/>
  <c r="D17" i="24"/>
  <c r="I16" i="24"/>
  <c r="G16" i="24"/>
  <c r="I15" i="24"/>
  <c r="G15" i="24"/>
  <c r="D15" i="24"/>
  <c r="I14" i="24"/>
  <c r="G14" i="24"/>
  <c r="I13" i="24"/>
  <c r="G13" i="24"/>
  <c r="I12" i="24"/>
  <c r="G12" i="24"/>
  <c r="I11" i="24"/>
  <c r="G11" i="24"/>
  <c r="K10" i="24"/>
  <c r="D35" i="121" s="1"/>
  <c r="G54" i="195" s="1"/>
  <c r="I10" i="24"/>
  <c r="G10" i="24"/>
  <c r="D10" i="24"/>
  <c r="I9" i="24"/>
  <c r="G9" i="24"/>
  <c r="I8" i="24"/>
  <c r="G8" i="24"/>
  <c r="I7" i="24"/>
  <c r="G7" i="24"/>
  <c r="I6" i="24"/>
  <c r="G6" i="24"/>
  <c r="B17" i="38"/>
  <c r="C9" i="66"/>
  <c r="E9" i="66" s="1"/>
  <c r="K211" i="20"/>
  <c r="D211" i="20"/>
  <c r="K210" i="20"/>
  <c r="D210" i="20"/>
  <c r="K209" i="20"/>
  <c r="D209" i="20"/>
  <c r="K208" i="20"/>
  <c r="D208" i="20"/>
  <c r="K207" i="20"/>
  <c r="D207" i="20"/>
  <c r="K206" i="20"/>
  <c r="D206" i="20"/>
  <c r="N205" i="20"/>
  <c r="N204" i="20"/>
  <c r="N203" i="20"/>
  <c r="N202" i="20"/>
  <c r="N201" i="20"/>
  <c r="N200" i="20"/>
  <c r="N199" i="20"/>
  <c r="N198" i="20"/>
  <c r="N197" i="20"/>
  <c r="N196" i="20"/>
  <c r="N195" i="20"/>
  <c r="N194" i="20"/>
  <c r="N193" i="20"/>
  <c r="N192" i="20"/>
  <c r="N191" i="20"/>
  <c r="N190" i="20"/>
  <c r="N189" i="20"/>
  <c r="N188" i="20"/>
  <c r="N187" i="20"/>
  <c r="N186" i="20"/>
  <c r="N185" i="20"/>
  <c r="N184" i="20"/>
  <c r="N183" i="20"/>
  <c r="N182" i="20"/>
  <c r="N181" i="20"/>
  <c r="N180" i="20"/>
  <c r="N179" i="20"/>
  <c r="N178" i="20"/>
  <c r="N177" i="20"/>
  <c r="N176" i="20"/>
  <c r="N175" i="20"/>
  <c r="N174" i="20"/>
  <c r="N173" i="20"/>
  <c r="N172" i="20"/>
  <c r="N171" i="20"/>
  <c r="N170" i="20"/>
  <c r="N169" i="20"/>
  <c r="N168" i="20"/>
  <c r="N167" i="20"/>
  <c r="N166" i="20"/>
  <c r="N165" i="20"/>
  <c r="N164" i="20"/>
  <c r="N163" i="20"/>
  <c r="N162" i="20"/>
  <c r="N161" i="20"/>
  <c r="N160" i="20"/>
  <c r="N159" i="20"/>
  <c r="N158" i="20"/>
  <c r="N157" i="20"/>
  <c r="N156" i="20"/>
  <c r="N155" i="20"/>
  <c r="N154" i="20"/>
  <c r="N153" i="20"/>
  <c r="N152" i="20"/>
  <c r="N151" i="20"/>
  <c r="N150" i="20"/>
  <c r="N149" i="20"/>
  <c r="N148" i="20"/>
  <c r="N147" i="20"/>
  <c r="N146" i="20"/>
  <c r="N145" i="20"/>
  <c r="N144" i="20"/>
  <c r="N143" i="20"/>
  <c r="N142" i="20"/>
  <c r="N141" i="20"/>
  <c r="N140" i="20"/>
  <c r="N139" i="20"/>
  <c r="N138" i="20"/>
  <c r="N137" i="20"/>
  <c r="N136" i="20"/>
  <c r="N135" i="20"/>
  <c r="N134" i="20"/>
  <c r="N133" i="20"/>
  <c r="N132" i="20"/>
  <c r="N131" i="20"/>
  <c r="N130" i="20"/>
  <c r="N129" i="20"/>
  <c r="N128" i="20"/>
  <c r="N127" i="20"/>
  <c r="N126" i="20"/>
  <c r="N125" i="20"/>
  <c r="N124" i="20"/>
  <c r="N123" i="20"/>
  <c r="N122" i="20"/>
  <c r="N121" i="20"/>
  <c r="N120" i="20"/>
  <c r="N119" i="20"/>
  <c r="N118" i="20"/>
  <c r="N117" i="20"/>
  <c r="N116" i="20"/>
  <c r="N115" i="20"/>
  <c r="N114" i="20"/>
  <c r="N113" i="20"/>
  <c r="N112" i="20"/>
  <c r="N111" i="20"/>
  <c r="N110" i="20"/>
  <c r="N109" i="20"/>
  <c r="N108" i="20"/>
  <c r="N107" i="20"/>
  <c r="N106" i="20"/>
  <c r="N105" i="20"/>
  <c r="N104" i="20"/>
  <c r="N103" i="20"/>
  <c r="N102" i="20"/>
  <c r="N101" i="20"/>
  <c r="N100" i="20"/>
  <c r="N99" i="20"/>
  <c r="N98" i="20"/>
  <c r="N97" i="20"/>
  <c r="N96" i="20"/>
  <c r="N95" i="20"/>
  <c r="N94" i="20"/>
  <c r="N93" i="20"/>
  <c r="N92" i="20"/>
  <c r="N91" i="20"/>
  <c r="N90" i="20"/>
  <c r="N89" i="20"/>
  <c r="N88" i="20"/>
  <c r="N87" i="20"/>
  <c r="N86" i="20"/>
  <c r="N85" i="20"/>
  <c r="N84" i="20"/>
  <c r="N83" i="20"/>
  <c r="N82" i="20"/>
  <c r="N81" i="20"/>
  <c r="N80" i="20"/>
  <c r="N79" i="20"/>
  <c r="N78" i="20"/>
  <c r="N77" i="20"/>
  <c r="N76" i="20"/>
  <c r="N75" i="20"/>
  <c r="N74" i="20"/>
  <c r="N73" i="20"/>
  <c r="N72" i="20"/>
  <c r="N71" i="20"/>
  <c r="N70" i="20"/>
  <c r="N69" i="20"/>
  <c r="N68" i="20"/>
  <c r="N67" i="20"/>
  <c r="N66" i="20"/>
  <c r="N65" i="20"/>
  <c r="N64" i="20"/>
  <c r="N63" i="20"/>
  <c r="N62" i="20"/>
  <c r="N61" i="20"/>
  <c r="N60" i="20"/>
  <c r="N59" i="20"/>
  <c r="N58" i="20"/>
  <c r="N57" i="20"/>
  <c r="N56" i="20"/>
  <c r="N55" i="20"/>
  <c r="N54" i="20"/>
  <c r="N53" i="20"/>
  <c r="N52" i="20"/>
  <c r="N51" i="20"/>
  <c r="N50" i="20"/>
  <c r="N49" i="20"/>
  <c r="N48" i="20"/>
  <c r="N47" i="20"/>
  <c r="N46" i="20"/>
  <c r="N45" i="20"/>
  <c r="N44" i="20"/>
  <c r="N43" i="20"/>
  <c r="N42" i="20"/>
  <c r="N41" i="20"/>
  <c r="N40" i="20"/>
  <c r="N39" i="20"/>
  <c r="N38" i="20"/>
  <c r="N37" i="20"/>
  <c r="N36" i="20"/>
  <c r="N35" i="20"/>
  <c r="N34" i="20"/>
  <c r="N33" i="20"/>
  <c r="N32" i="20"/>
  <c r="N31" i="20"/>
  <c r="N30" i="20"/>
  <c r="N29" i="20"/>
  <c r="N28" i="20"/>
  <c r="N27" i="20"/>
  <c r="N26" i="20"/>
  <c r="N25" i="20"/>
  <c r="N24" i="20"/>
  <c r="N23" i="20"/>
  <c r="N22" i="20"/>
  <c r="N21" i="20"/>
  <c r="N20" i="20"/>
  <c r="N19" i="20"/>
  <c r="N18" i="20"/>
  <c r="N17" i="20"/>
  <c r="N16" i="20"/>
  <c r="N15" i="20"/>
  <c r="N14" i="20"/>
  <c r="N13" i="20"/>
  <c r="N12" i="20"/>
  <c r="N11" i="20"/>
  <c r="N10" i="20"/>
  <c r="N9" i="20"/>
  <c r="N8" i="20"/>
  <c r="N7" i="20"/>
  <c r="N6" i="20"/>
  <c r="J3" i="20"/>
  <c r="Q2" i="20"/>
  <c r="N2" i="20"/>
  <c r="J2" i="20"/>
  <c r="H52" i="19"/>
  <c r="H50" i="19"/>
  <c r="F33" i="18"/>
  <c r="D33" i="18"/>
  <c r="E3" i="16"/>
  <c r="E5" i="15"/>
  <c r="F5" i="14"/>
  <c r="B5" i="14"/>
  <c r="F4" i="14"/>
  <c r="B4" i="14"/>
  <c r="G2" i="14"/>
  <c r="G5" i="13"/>
  <c r="E5" i="13"/>
  <c r="B4" i="13"/>
  <c r="G3" i="13"/>
  <c r="M3" i="12"/>
  <c r="E5" i="11"/>
  <c r="K4" i="11"/>
  <c r="H4" i="11"/>
  <c r="E4" i="11"/>
  <c r="D15" i="10"/>
  <c r="F14" i="10"/>
  <c r="J13" i="10"/>
  <c r="K3" i="10"/>
  <c r="K2" i="10"/>
  <c r="G2" i="9"/>
  <c r="B56" i="4"/>
  <c r="F20" i="196" s="1"/>
  <c r="A56" i="4"/>
  <c r="A20" i="196" s="1"/>
  <c r="A55" i="4"/>
  <c r="A19" i="196" s="1"/>
  <c r="B54" i="4"/>
  <c r="F18" i="196" s="1"/>
  <c r="A54" i="4"/>
  <c r="A18" i="196" s="1"/>
  <c r="A53" i="4"/>
  <c r="A17" i="196" s="1"/>
  <c r="A52" i="4"/>
  <c r="A16" i="196" s="1"/>
  <c r="J8" i="196"/>
  <c r="C12" i="196"/>
  <c r="E10" i="196"/>
  <c r="E11" i="196"/>
  <c r="C9" i="196"/>
  <c r="C8" i="196"/>
  <c r="B37" i="4"/>
  <c r="C2" i="3" s="1"/>
  <c r="J7" i="196"/>
  <c r="C5" i="96"/>
  <c r="B22" i="4"/>
  <c r="F21" i="4"/>
  <c r="B6" i="91" s="1"/>
  <c r="F20" i="4"/>
  <c r="B7" i="91" s="1"/>
  <c r="B19" i="4"/>
  <c r="D13" i="10" s="1"/>
  <c r="F13" i="10" s="1"/>
  <c r="D14" i="10" s="1"/>
  <c r="G4" i="4"/>
  <c r="G6" i="4" s="1"/>
  <c r="F4" i="4"/>
  <c r="F32" i="7"/>
  <c r="F24" i="7"/>
  <c r="F14" i="7"/>
  <c r="I4" i="7"/>
  <c r="A4" i="7"/>
  <c r="K3" i="7"/>
  <c r="B17" i="6"/>
  <c r="B14" i="6"/>
  <c r="B11" i="6"/>
  <c r="B8" i="6"/>
  <c r="E5" i="6"/>
  <c r="B5" i="6"/>
  <c r="E2" i="6"/>
  <c r="E5" i="5"/>
  <c r="H4" i="5"/>
  <c r="E4" i="5"/>
  <c r="D15" i="2"/>
  <c r="D14" i="2"/>
  <c r="D11" i="2"/>
  <c r="F3" i="2"/>
  <c r="F1" i="2"/>
  <c r="H11" i="188"/>
  <c r="H9" i="188"/>
  <c r="H4" i="188"/>
  <c r="H26" i="188"/>
  <c r="H28" i="188"/>
  <c r="H20" i="188"/>
  <c r="H23" i="188"/>
  <c r="H10" i="188"/>
  <c r="H14" i="188"/>
  <c r="H13" i="188"/>
  <c r="H17" i="188"/>
  <c r="H27" i="188"/>
  <c r="H24" i="188"/>
  <c r="H2" i="188"/>
  <c r="H12" i="188"/>
  <c r="H21" i="188"/>
  <c r="H7" i="188"/>
  <c r="H19" i="188"/>
  <c r="H15" i="188"/>
  <c r="H3" i="188"/>
  <c r="H6" i="188"/>
  <c r="H16" i="188"/>
  <c r="H22" i="188"/>
  <c r="H18" i="188"/>
  <c r="H25" i="188"/>
  <c r="H8" i="188"/>
  <c r="H5" i="188"/>
  <c r="E4" i="161" l="1"/>
  <c r="I3" i="211"/>
  <c r="H3" i="209"/>
  <c r="M9" i="90" a="1"/>
  <c r="M9" i="90" s="1"/>
  <c r="D19" i="45"/>
  <c r="D25" i="45" s="1"/>
  <c r="D40" i="45" s="1"/>
  <c r="C6" i="130"/>
  <c r="C20" i="122"/>
  <c r="T15" i="158"/>
  <c r="M42" i="90" a="1"/>
  <c r="M42" i="90" s="1"/>
  <c r="M12" i="90" a="1"/>
  <c r="M12" i="90" s="1"/>
  <c r="E6" i="131"/>
  <c r="N7" i="132"/>
  <c r="M21" i="90" a="1"/>
  <c r="M21" i="90" s="1"/>
  <c r="C9" i="26"/>
  <c r="C6" i="135"/>
  <c r="C25" i="135" s="1"/>
  <c r="C5" i="129"/>
  <c r="D6" i="128" s="1"/>
  <c r="E31" i="197" s="1"/>
  <c r="E13" i="56"/>
  <c r="E7" i="64"/>
  <c r="J6" i="196"/>
  <c r="E5" i="200"/>
  <c r="C6" i="196"/>
  <c r="B4" i="200"/>
  <c r="H13" i="196"/>
  <c r="E4" i="200"/>
  <c r="C16" i="61"/>
  <c r="C44" i="116"/>
  <c r="H15" i="42"/>
  <c r="C13" i="47"/>
  <c r="G13" i="47" s="1"/>
  <c r="C8" i="47"/>
  <c r="G8" i="47" s="1"/>
  <c r="C34" i="47"/>
  <c r="G34" i="47" s="1"/>
  <c r="F34" i="47" s="1"/>
  <c r="E66" i="197"/>
  <c r="F66" i="197"/>
  <c r="E96" i="197"/>
  <c r="E48" i="197"/>
  <c r="D4" i="14"/>
  <c r="C13" i="196"/>
  <c r="E100" i="197"/>
  <c r="E62" i="197"/>
  <c r="D97" i="197"/>
  <c r="D51" i="197"/>
  <c r="A1" i="197"/>
  <c r="A2" i="194"/>
  <c r="C4" i="196"/>
  <c r="A16" i="195"/>
  <c r="J11" i="196"/>
  <c r="J10" i="196"/>
  <c r="E95" i="197"/>
  <c r="E44" i="197"/>
  <c r="F100" i="197"/>
  <c r="F62" i="197"/>
  <c r="F13" i="65"/>
  <c r="E97" i="197"/>
  <c r="E51" i="197"/>
  <c r="C37" i="47"/>
  <c r="G37" i="47" s="1"/>
  <c r="C36" i="47"/>
  <c r="C35" i="47"/>
  <c r="F9" i="128"/>
  <c r="F87" i="197"/>
  <c r="D96" i="197"/>
  <c r="D48" i="197"/>
  <c r="K16" i="196"/>
  <c r="H16" i="196"/>
  <c r="K17" i="196"/>
  <c r="H17" i="196"/>
  <c r="K18" i="196"/>
  <c r="H18" i="196"/>
  <c r="K19" i="196"/>
  <c r="H19" i="196"/>
  <c r="K20" i="196"/>
  <c r="H20" i="196"/>
  <c r="E8" i="186"/>
  <c r="C39" i="116"/>
  <c r="B6" i="56"/>
  <c r="B6" i="58"/>
  <c r="H21" i="53"/>
  <c r="B37" i="53"/>
  <c r="C37" i="116"/>
  <c r="B6" i="57"/>
  <c r="C40" i="116"/>
  <c r="B6" i="64"/>
  <c r="C47" i="116"/>
  <c r="C3" i="96"/>
  <c r="G3" i="178"/>
  <c r="K867" i="29"/>
  <c r="N867" i="29" s="1"/>
  <c r="O867" i="29" s="1"/>
  <c r="K995" i="29"/>
  <c r="N995" i="29" s="1"/>
  <c r="O995" i="29" s="1"/>
  <c r="K15" i="29"/>
  <c r="N15" i="29" s="1"/>
  <c r="O15" i="29" s="1"/>
  <c r="K19" i="29"/>
  <c r="N19" i="29" s="1"/>
  <c r="O19" i="29" s="1"/>
  <c r="K23" i="29"/>
  <c r="N23" i="29" s="1"/>
  <c r="O23" i="29" s="1"/>
  <c r="K71" i="29"/>
  <c r="N71" i="29" s="1"/>
  <c r="O71" i="29" s="1"/>
  <c r="K87" i="29"/>
  <c r="N87" i="29" s="1"/>
  <c r="O87" i="29" s="1"/>
  <c r="K103" i="29"/>
  <c r="N103" i="29" s="1"/>
  <c r="O103" i="29" s="1"/>
  <c r="K119" i="29"/>
  <c r="N119" i="29" s="1"/>
  <c r="O119" i="29" s="1"/>
  <c r="C33" i="128"/>
  <c r="D6" i="121"/>
  <c r="E12" i="49"/>
  <c r="C16" i="122"/>
  <c r="J10" i="49"/>
  <c r="C15" i="124"/>
  <c r="J12" i="49"/>
  <c r="C16" i="124"/>
  <c r="A24" i="120"/>
  <c r="A2" i="28"/>
  <c r="B3" i="161"/>
  <c r="A25" i="120"/>
  <c r="I7" i="143"/>
  <c r="I8" i="143"/>
  <c r="I6" i="143"/>
  <c r="F9" i="143"/>
  <c r="F15" i="119"/>
  <c r="E28" i="128"/>
  <c r="E31" i="128"/>
  <c r="F52" i="197" s="1"/>
  <c r="E23" i="128"/>
  <c r="F45" i="197" s="1"/>
  <c r="E10" i="128"/>
  <c r="G6" i="143"/>
  <c r="F6" i="143"/>
  <c r="H6" i="143"/>
  <c r="H7" i="143"/>
  <c r="F8" i="143"/>
  <c r="F13" i="132"/>
  <c r="A21" i="120"/>
  <c r="A23" i="120"/>
  <c r="A22" i="120"/>
  <c r="F23" i="39"/>
  <c r="F55" i="197" s="1"/>
  <c r="H44" i="51"/>
  <c r="M57" i="90" s="1" a="1"/>
  <c r="M57" i="90" s="1"/>
  <c r="H44" i="50"/>
  <c r="M56" i="90" s="1" a="1"/>
  <c r="M56" i="90" s="1"/>
  <c r="C43" i="47"/>
  <c r="H27" i="52"/>
  <c r="M58" i="90" s="1" a="1"/>
  <c r="M58" i="90" s="1"/>
  <c r="K153" i="29"/>
  <c r="N153" i="29" s="1"/>
  <c r="O153" i="29" s="1"/>
  <c r="K185" i="29"/>
  <c r="N185" i="29" s="1"/>
  <c r="O185" i="29" s="1"/>
  <c r="K217" i="29"/>
  <c r="N217" i="29" s="1"/>
  <c r="O217" i="29" s="1"/>
  <c r="H21" i="42"/>
  <c r="H10" i="42"/>
  <c r="H17" i="34"/>
  <c r="G3" i="50"/>
  <c r="G3" i="51"/>
  <c r="G3" i="52"/>
  <c r="L7" i="163"/>
  <c r="L7" i="131" s="1"/>
  <c r="K7" i="131"/>
  <c r="L11" i="163"/>
  <c r="L11" i="131" s="1"/>
  <c r="K11" i="131"/>
  <c r="J19" i="27"/>
  <c r="K38" i="29"/>
  <c r="N38" i="29" s="1"/>
  <c r="O38" i="29" s="1"/>
  <c r="K42" i="29"/>
  <c r="N42" i="29" s="1"/>
  <c r="O42" i="29" s="1"/>
  <c r="K46" i="29"/>
  <c r="N46" i="29" s="1"/>
  <c r="O46" i="29" s="1"/>
  <c r="K66" i="29"/>
  <c r="N66" i="29" s="1"/>
  <c r="O66" i="29" s="1"/>
  <c r="K142" i="29"/>
  <c r="N142" i="29" s="1"/>
  <c r="O142" i="29" s="1"/>
  <c r="K174" i="29"/>
  <c r="N174" i="29" s="1"/>
  <c r="O174" i="29" s="1"/>
  <c r="K206" i="29"/>
  <c r="N206" i="29" s="1"/>
  <c r="O206" i="29" s="1"/>
  <c r="K238" i="29"/>
  <c r="N238" i="29" s="1"/>
  <c r="O238" i="29" s="1"/>
  <c r="K270" i="29"/>
  <c r="N270" i="29" s="1"/>
  <c r="O270" i="29" s="1"/>
  <c r="K302" i="29"/>
  <c r="N302" i="29" s="1"/>
  <c r="O302" i="29" s="1"/>
  <c r="K334" i="29"/>
  <c r="N334" i="29" s="1"/>
  <c r="O334" i="29" s="1"/>
  <c r="K394" i="29"/>
  <c r="N394" i="29" s="1"/>
  <c r="O394" i="29" s="1"/>
  <c r="K398" i="29"/>
  <c r="N398" i="29" s="1"/>
  <c r="O398" i="29" s="1"/>
  <c r="K402" i="29"/>
  <c r="N402" i="29" s="1"/>
  <c r="O402" i="29" s="1"/>
  <c r="K630" i="29"/>
  <c r="N630" i="29" s="1"/>
  <c r="O630" i="29" s="1"/>
  <c r="K642" i="29"/>
  <c r="N642" i="29" s="1"/>
  <c r="O642" i="29" s="1"/>
  <c r="K646" i="29"/>
  <c r="N646" i="29" s="1"/>
  <c r="O646" i="29" s="1"/>
  <c r="K678" i="29"/>
  <c r="N678" i="29" s="1"/>
  <c r="O678" i="29" s="1"/>
  <c r="K738" i="29"/>
  <c r="N738" i="29" s="1"/>
  <c r="O738" i="29" s="1"/>
  <c r="K746" i="29"/>
  <c r="N746" i="29" s="1"/>
  <c r="O746" i="29" s="1"/>
  <c r="K750" i="29"/>
  <c r="N750" i="29" s="1"/>
  <c r="O750" i="29" s="1"/>
  <c r="K754" i="29"/>
  <c r="N754" i="29" s="1"/>
  <c r="O754" i="29" s="1"/>
  <c r="K770" i="29"/>
  <c r="N770" i="29" s="1"/>
  <c r="O770" i="29" s="1"/>
  <c r="K778" i="29"/>
  <c r="N778" i="29" s="1"/>
  <c r="O778" i="29" s="1"/>
  <c r="K782" i="29"/>
  <c r="N782" i="29" s="1"/>
  <c r="O782" i="29" s="1"/>
  <c r="K786" i="29"/>
  <c r="N786" i="29" s="1"/>
  <c r="O786" i="29" s="1"/>
  <c r="K894" i="29"/>
  <c r="N894" i="29" s="1"/>
  <c r="O894" i="29" s="1"/>
  <c r="K934" i="29"/>
  <c r="N934" i="29" s="1"/>
  <c r="O934" i="29" s="1"/>
  <c r="K958" i="29"/>
  <c r="N958" i="29" s="1"/>
  <c r="O958" i="29" s="1"/>
  <c r="K982" i="29"/>
  <c r="N982" i="29" s="1"/>
  <c r="O982" i="29" s="1"/>
  <c r="K998" i="29"/>
  <c r="N998" i="29" s="1"/>
  <c r="O998" i="29" s="1"/>
  <c r="C31" i="65"/>
  <c r="E26" i="128"/>
  <c r="F48" i="197" s="1"/>
  <c r="E29" i="128"/>
  <c r="C28" i="161"/>
  <c r="C25" i="129" s="1"/>
  <c r="D43" i="128" s="1"/>
  <c r="C26" i="129"/>
  <c r="E19" i="162"/>
  <c r="E19" i="130" s="1"/>
  <c r="E6" i="130"/>
  <c r="H8" i="155"/>
  <c r="J8" i="182"/>
  <c r="H15" i="182"/>
  <c r="H15" i="155" s="1"/>
  <c r="B3" i="5"/>
  <c r="B2" i="3"/>
  <c r="K40" i="29"/>
  <c r="N40" i="29" s="1"/>
  <c r="O40" i="29" s="1"/>
  <c r="K64" i="29"/>
  <c r="N64" i="29" s="1"/>
  <c r="O64" i="29" s="1"/>
  <c r="K616" i="29"/>
  <c r="N616" i="29" s="1"/>
  <c r="O616" i="29" s="1"/>
  <c r="K628" i="29"/>
  <c r="N628" i="29" s="1"/>
  <c r="O628" i="29" s="1"/>
  <c r="K692" i="29"/>
  <c r="N692" i="29" s="1"/>
  <c r="O692" i="29" s="1"/>
  <c r="K744" i="29"/>
  <c r="N744" i="29" s="1"/>
  <c r="O744" i="29" s="1"/>
  <c r="K776" i="29"/>
  <c r="N776" i="29" s="1"/>
  <c r="O776" i="29" s="1"/>
  <c r="K824" i="29"/>
  <c r="N824" i="29" s="1"/>
  <c r="O824" i="29" s="1"/>
  <c r="K836" i="29"/>
  <c r="N836" i="29" s="1"/>
  <c r="O836" i="29" s="1"/>
  <c r="K840" i="29"/>
  <c r="N840" i="29" s="1"/>
  <c r="O840" i="29" s="1"/>
  <c r="K864" i="29"/>
  <c r="N864" i="29" s="1"/>
  <c r="O864" i="29" s="1"/>
  <c r="K868" i="29"/>
  <c r="N868" i="29" s="1"/>
  <c r="O868" i="29" s="1"/>
  <c r="K876" i="29"/>
  <c r="N876" i="29" s="1"/>
  <c r="O876" i="29" s="1"/>
  <c r="K892" i="29"/>
  <c r="N892" i="29" s="1"/>
  <c r="O892" i="29" s="1"/>
  <c r="F19" i="162"/>
  <c r="F19" i="130" s="1"/>
  <c r="D7" i="128" s="1"/>
  <c r="F6" i="130"/>
  <c r="C15" i="131"/>
  <c r="K865" i="29"/>
  <c r="N865" i="29" s="1"/>
  <c r="O865" i="29" s="1"/>
  <c r="K985" i="29"/>
  <c r="N985" i="29" s="1"/>
  <c r="O985" i="29" s="1"/>
  <c r="K993" i="29"/>
  <c r="N993" i="29" s="1"/>
  <c r="O993" i="29" s="1"/>
  <c r="E8" i="49"/>
  <c r="C18" i="49"/>
  <c r="J27" i="33"/>
  <c r="C11" i="164"/>
  <c r="C12" i="132"/>
  <c r="C4" i="144"/>
  <c r="C30" i="171"/>
  <c r="C30" i="144" s="1"/>
  <c r="D12" i="2"/>
  <c r="E2" i="20"/>
  <c r="B4" i="6"/>
  <c r="A2" i="7"/>
  <c r="C3" i="27"/>
  <c r="K14" i="29"/>
  <c r="N14" i="29" s="1"/>
  <c r="O14" i="29" s="1"/>
  <c r="K34" i="29"/>
  <c r="N34" i="29" s="1"/>
  <c r="O34" i="29" s="1"/>
  <c r="K50" i="29"/>
  <c r="N50" i="29" s="1"/>
  <c r="O50" i="29" s="1"/>
  <c r="K54" i="29"/>
  <c r="N54" i="29" s="1"/>
  <c r="O54" i="29" s="1"/>
  <c r="K70" i="29"/>
  <c r="N70" i="29" s="1"/>
  <c r="O70" i="29" s="1"/>
  <c r="K86" i="29"/>
  <c r="N86" i="29" s="1"/>
  <c r="O86" i="29" s="1"/>
  <c r="K102" i="29"/>
  <c r="N102" i="29" s="1"/>
  <c r="O102" i="29" s="1"/>
  <c r="K118" i="29"/>
  <c r="N118" i="29" s="1"/>
  <c r="O118" i="29" s="1"/>
  <c r="K134" i="29"/>
  <c r="N134" i="29" s="1"/>
  <c r="O134" i="29" s="1"/>
  <c r="K166" i="29"/>
  <c r="N166" i="29" s="1"/>
  <c r="O166" i="29" s="1"/>
  <c r="K198" i="29"/>
  <c r="N198" i="29" s="1"/>
  <c r="O198" i="29" s="1"/>
  <c r="K230" i="29"/>
  <c r="N230" i="29" s="1"/>
  <c r="O230" i="29" s="1"/>
  <c r="K249" i="29"/>
  <c r="N249" i="29" s="1"/>
  <c r="O249" i="29" s="1"/>
  <c r="K262" i="29"/>
  <c r="N262" i="29" s="1"/>
  <c r="O262" i="29" s="1"/>
  <c r="K281" i="29"/>
  <c r="N281" i="29" s="1"/>
  <c r="O281" i="29" s="1"/>
  <c r="K294" i="29"/>
  <c r="N294" i="29" s="1"/>
  <c r="O294" i="29" s="1"/>
  <c r="K313" i="29"/>
  <c r="N313" i="29" s="1"/>
  <c r="O313" i="29" s="1"/>
  <c r="K326" i="29"/>
  <c r="N326" i="29" s="1"/>
  <c r="O326" i="29" s="1"/>
  <c r="K345" i="29"/>
  <c r="N345" i="29" s="1"/>
  <c r="O345" i="29" s="1"/>
  <c r="K370" i="29"/>
  <c r="N370" i="29" s="1"/>
  <c r="O370" i="29" s="1"/>
  <c r="K409" i="29"/>
  <c r="N409" i="29" s="1"/>
  <c r="O409" i="29" s="1"/>
  <c r="K417" i="29"/>
  <c r="N417" i="29" s="1"/>
  <c r="O417" i="29" s="1"/>
  <c r="K434" i="29"/>
  <c r="N434" i="29" s="1"/>
  <c r="O434" i="29" s="1"/>
  <c r="K554" i="29"/>
  <c r="N554" i="29" s="1"/>
  <c r="O554" i="29" s="1"/>
  <c r="K558" i="29"/>
  <c r="N558" i="29" s="1"/>
  <c r="O558" i="29" s="1"/>
  <c r="K605" i="29"/>
  <c r="N605" i="29" s="1"/>
  <c r="O605" i="29" s="1"/>
  <c r="K609" i="29"/>
  <c r="N609" i="29" s="1"/>
  <c r="O609" i="29" s="1"/>
  <c r="K617" i="29"/>
  <c r="N617" i="29" s="1"/>
  <c r="O617" i="29" s="1"/>
  <c r="K662" i="29"/>
  <c r="N662" i="29" s="1"/>
  <c r="O662" i="29" s="1"/>
  <c r="K694" i="29"/>
  <c r="N694" i="29" s="1"/>
  <c r="O694" i="29" s="1"/>
  <c r="K722" i="29"/>
  <c r="N722" i="29" s="1"/>
  <c r="O722" i="29" s="1"/>
  <c r="K774" i="29"/>
  <c r="N774" i="29" s="1"/>
  <c r="O774" i="29" s="1"/>
  <c r="K790" i="29"/>
  <c r="N790" i="29" s="1"/>
  <c r="O790" i="29" s="1"/>
  <c r="K821" i="29"/>
  <c r="N821" i="29" s="1"/>
  <c r="O821" i="29" s="1"/>
  <c r="K826" i="29"/>
  <c r="N826" i="29" s="1"/>
  <c r="O826" i="29" s="1"/>
  <c r="K834" i="29"/>
  <c r="N834" i="29" s="1"/>
  <c r="O834" i="29" s="1"/>
  <c r="K842" i="29"/>
  <c r="N842" i="29" s="1"/>
  <c r="O842" i="29" s="1"/>
  <c r="K846" i="29"/>
  <c r="N846" i="29" s="1"/>
  <c r="O846" i="29" s="1"/>
  <c r="K849" i="29"/>
  <c r="N849" i="29" s="1"/>
  <c r="O849" i="29" s="1"/>
  <c r="K857" i="29"/>
  <c r="N857" i="29" s="1"/>
  <c r="O857" i="29" s="1"/>
  <c r="K866" i="29"/>
  <c r="N866" i="29" s="1"/>
  <c r="O866" i="29" s="1"/>
  <c r="K869" i="29"/>
  <c r="N869" i="29" s="1"/>
  <c r="O869" i="29" s="1"/>
  <c r="K873" i="29"/>
  <c r="N873" i="29" s="1"/>
  <c r="O873" i="29" s="1"/>
  <c r="K881" i="29"/>
  <c r="N881" i="29" s="1"/>
  <c r="O881" i="29" s="1"/>
  <c r="K889" i="29"/>
  <c r="N889" i="29" s="1"/>
  <c r="O889" i="29" s="1"/>
  <c r="K893" i="29"/>
  <c r="N893" i="29" s="1"/>
  <c r="O893" i="29" s="1"/>
  <c r="K897" i="29"/>
  <c r="N897" i="29" s="1"/>
  <c r="O897" i="29" s="1"/>
  <c r="K938" i="29"/>
  <c r="N938" i="29" s="1"/>
  <c r="O938" i="29" s="1"/>
  <c r="K941" i="29"/>
  <c r="N941" i="29" s="1"/>
  <c r="O941" i="29" s="1"/>
  <c r="K945" i="29"/>
  <c r="N945" i="29" s="1"/>
  <c r="O945" i="29" s="1"/>
  <c r="K954" i="29"/>
  <c r="N954" i="29" s="1"/>
  <c r="O954" i="29" s="1"/>
  <c r="K957" i="29"/>
  <c r="N957" i="29" s="1"/>
  <c r="O957" i="29" s="1"/>
  <c r="K961" i="29"/>
  <c r="N961" i="29" s="1"/>
  <c r="O961" i="29" s="1"/>
  <c r="K16" i="29"/>
  <c r="N16" i="29" s="1"/>
  <c r="O16" i="29" s="1"/>
  <c r="K20" i="29"/>
  <c r="N20" i="29" s="1"/>
  <c r="O20" i="29" s="1"/>
  <c r="K24" i="29"/>
  <c r="N24" i="29" s="1"/>
  <c r="O24" i="29" s="1"/>
  <c r="K36" i="29"/>
  <c r="N36" i="29" s="1"/>
  <c r="O36" i="29" s="1"/>
  <c r="K72" i="29"/>
  <c r="N72" i="29" s="1"/>
  <c r="O72" i="29" s="1"/>
  <c r="K88" i="29"/>
  <c r="N88" i="29" s="1"/>
  <c r="O88" i="29" s="1"/>
  <c r="K104" i="29"/>
  <c r="N104" i="29" s="1"/>
  <c r="O104" i="29" s="1"/>
  <c r="K120" i="29"/>
  <c r="N120" i="29" s="1"/>
  <c r="O120" i="29" s="1"/>
  <c r="K136" i="29"/>
  <c r="N136" i="29" s="1"/>
  <c r="O136" i="29" s="1"/>
  <c r="K168" i="29"/>
  <c r="N168" i="29" s="1"/>
  <c r="O168" i="29" s="1"/>
  <c r="K200" i="29"/>
  <c r="N200" i="29" s="1"/>
  <c r="O200" i="29" s="1"/>
  <c r="K232" i="29"/>
  <c r="N232" i="29" s="1"/>
  <c r="O232" i="29" s="1"/>
  <c r="K264" i="29"/>
  <c r="N264" i="29" s="1"/>
  <c r="O264" i="29" s="1"/>
  <c r="K296" i="29"/>
  <c r="N296" i="29" s="1"/>
  <c r="O296" i="29" s="1"/>
  <c r="K328" i="29"/>
  <c r="N328" i="29" s="1"/>
  <c r="O328" i="29" s="1"/>
  <c r="K372" i="29"/>
  <c r="N372" i="29" s="1"/>
  <c r="O372" i="29" s="1"/>
  <c r="K436" i="29"/>
  <c r="N436" i="29" s="1"/>
  <c r="O436" i="29" s="1"/>
  <c r="K456" i="29"/>
  <c r="N456" i="29" s="1"/>
  <c r="O456" i="29" s="1"/>
  <c r="K460" i="29"/>
  <c r="N460" i="29" s="1"/>
  <c r="O460" i="29" s="1"/>
  <c r="K472" i="29"/>
  <c r="N472" i="29" s="1"/>
  <c r="O472" i="29" s="1"/>
  <c r="K476" i="29"/>
  <c r="N476" i="29" s="1"/>
  <c r="O476" i="29" s="1"/>
  <c r="K488" i="29"/>
  <c r="N488" i="29" s="1"/>
  <c r="O488" i="29" s="1"/>
  <c r="K492" i="29"/>
  <c r="N492" i="29" s="1"/>
  <c r="O492" i="29" s="1"/>
  <c r="K504" i="29"/>
  <c r="N504" i="29" s="1"/>
  <c r="O504" i="29" s="1"/>
  <c r="K508" i="29"/>
  <c r="N508" i="29" s="1"/>
  <c r="O508" i="29" s="1"/>
  <c r="K520" i="29"/>
  <c r="N520" i="29" s="1"/>
  <c r="O520" i="29" s="1"/>
  <c r="K524" i="29"/>
  <c r="N524" i="29" s="1"/>
  <c r="O524" i="29" s="1"/>
  <c r="K536" i="29"/>
  <c r="N536" i="29" s="1"/>
  <c r="O536" i="29" s="1"/>
  <c r="K556" i="29"/>
  <c r="N556" i="29" s="1"/>
  <c r="O556" i="29" s="1"/>
  <c r="K560" i="29"/>
  <c r="N560" i="29" s="1"/>
  <c r="O560" i="29" s="1"/>
  <c r="K564" i="29"/>
  <c r="N564" i="29" s="1"/>
  <c r="O564" i="29" s="1"/>
  <c r="K568" i="29"/>
  <c r="N568" i="29" s="1"/>
  <c r="O568" i="29" s="1"/>
  <c r="K584" i="29"/>
  <c r="N584" i="29" s="1"/>
  <c r="O584" i="29" s="1"/>
  <c r="K664" i="29"/>
  <c r="N664" i="29" s="1"/>
  <c r="O664" i="29" s="1"/>
  <c r="K668" i="29"/>
  <c r="N668" i="29" s="1"/>
  <c r="O668" i="29" s="1"/>
  <c r="K672" i="29"/>
  <c r="N672" i="29" s="1"/>
  <c r="O672" i="29" s="1"/>
  <c r="K680" i="29"/>
  <c r="N680" i="29" s="1"/>
  <c r="O680" i="29" s="1"/>
  <c r="K696" i="29"/>
  <c r="N696" i="29" s="1"/>
  <c r="O696" i="29" s="1"/>
  <c r="K700" i="29"/>
  <c r="N700" i="29" s="1"/>
  <c r="O700" i="29" s="1"/>
  <c r="K704" i="29"/>
  <c r="N704" i="29" s="1"/>
  <c r="O704" i="29" s="1"/>
  <c r="K708" i="29"/>
  <c r="N708" i="29" s="1"/>
  <c r="O708" i="29" s="1"/>
  <c r="K724" i="29"/>
  <c r="N724" i="29" s="1"/>
  <c r="O724" i="29" s="1"/>
  <c r="K792" i="29"/>
  <c r="N792" i="29" s="1"/>
  <c r="O792" i="29" s="1"/>
  <c r="K796" i="29"/>
  <c r="N796" i="29" s="1"/>
  <c r="O796" i="29" s="1"/>
  <c r="K800" i="29"/>
  <c r="N800" i="29" s="1"/>
  <c r="O800" i="29" s="1"/>
  <c r="K804" i="29"/>
  <c r="N804" i="29" s="1"/>
  <c r="O804" i="29" s="1"/>
  <c r="K896" i="29"/>
  <c r="N896" i="29" s="1"/>
  <c r="O896" i="29" s="1"/>
  <c r="K912" i="29"/>
  <c r="N912" i="29" s="1"/>
  <c r="O912" i="29" s="1"/>
  <c r="K960" i="29"/>
  <c r="N960" i="29" s="1"/>
  <c r="O960" i="29" s="1"/>
  <c r="K603" i="29"/>
  <c r="N603" i="29" s="1"/>
  <c r="O603" i="29" s="1"/>
  <c r="K715" i="29"/>
  <c r="N715" i="29" s="1"/>
  <c r="O715" i="29" s="1"/>
  <c r="K827" i="29"/>
  <c r="N827" i="29" s="1"/>
  <c r="O827" i="29" s="1"/>
  <c r="K831" i="29"/>
  <c r="N831" i="29" s="1"/>
  <c r="O831" i="29" s="1"/>
  <c r="K835" i="29"/>
  <c r="N835" i="29" s="1"/>
  <c r="O835" i="29" s="1"/>
  <c r="K843" i="29"/>
  <c r="N843" i="29" s="1"/>
  <c r="O843" i="29" s="1"/>
  <c r="K851" i="29"/>
  <c r="N851" i="29" s="1"/>
  <c r="O851" i="29" s="1"/>
  <c r="K895" i="29"/>
  <c r="N895" i="29" s="1"/>
  <c r="O895" i="29" s="1"/>
  <c r="K959" i="29"/>
  <c r="N959" i="29" s="1"/>
  <c r="O959" i="29" s="1"/>
  <c r="G27" i="31"/>
  <c r="D17" i="31" s="1"/>
  <c r="C13" i="133" s="1"/>
  <c r="K18" i="29"/>
  <c r="N18" i="29" s="1"/>
  <c r="O18" i="29" s="1"/>
  <c r="K22" i="29"/>
  <c r="N22" i="29" s="1"/>
  <c r="O22" i="29" s="1"/>
  <c r="K26" i="29"/>
  <c r="N26" i="29" s="1"/>
  <c r="O26" i="29" s="1"/>
  <c r="K32" i="29"/>
  <c r="N32" i="29" s="1"/>
  <c r="O32" i="29" s="1"/>
  <c r="B3" i="11"/>
  <c r="A4" i="12"/>
  <c r="A5" i="15"/>
  <c r="A3" i="23"/>
  <c r="G14" i="26"/>
  <c r="G16" i="26" s="1"/>
  <c r="K39" i="29"/>
  <c r="N39" i="29" s="1"/>
  <c r="O39" i="29" s="1"/>
  <c r="K48" i="29"/>
  <c r="N48" i="29" s="1"/>
  <c r="O48" i="29" s="1"/>
  <c r="K52" i="29"/>
  <c r="N52" i="29" s="1"/>
  <c r="O52" i="29" s="1"/>
  <c r="K56" i="29"/>
  <c r="N56" i="29" s="1"/>
  <c r="O56" i="29" s="1"/>
  <c r="K58" i="29"/>
  <c r="N58" i="29" s="1"/>
  <c r="O58" i="29" s="1"/>
  <c r="K63" i="29"/>
  <c r="N63" i="29" s="1"/>
  <c r="O63" i="29" s="1"/>
  <c r="K68" i="29"/>
  <c r="N68" i="29" s="1"/>
  <c r="O68" i="29" s="1"/>
  <c r="K69" i="29"/>
  <c r="N69" i="29" s="1"/>
  <c r="O69" i="29" s="1"/>
  <c r="K74" i="29"/>
  <c r="N74" i="29" s="1"/>
  <c r="O74" i="29" s="1"/>
  <c r="K75" i="29"/>
  <c r="N75" i="29" s="1"/>
  <c r="O75" i="29" s="1"/>
  <c r="K78" i="29"/>
  <c r="N78" i="29" s="1"/>
  <c r="O78" i="29" s="1"/>
  <c r="K80" i="29"/>
  <c r="N80" i="29" s="1"/>
  <c r="O80" i="29" s="1"/>
  <c r="K84" i="29"/>
  <c r="N84" i="29" s="1"/>
  <c r="O84" i="29" s="1"/>
  <c r="K85" i="29"/>
  <c r="N85" i="29" s="1"/>
  <c r="O85" i="29" s="1"/>
  <c r="K90" i="29"/>
  <c r="N90" i="29" s="1"/>
  <c r="O90" i="29" s="1"/>
  <c r="K91" i="29"/>
  <c r="N91" i="29" s="1"/>
  <c r="O91" i="29" s="1"/>
  <c r="K94" i="29"/>
  <c r="N94" i="29" s="1"/>
  <c r="O94" i="29" s="1"/>
  <c r="K96" i="29"/>
  <c r="N96" i="29" s="1"/>
  <c r="O96" i="29" s="1"/>
  <c r="K100" i="29"/>
  <c r="N100" i="29" s="1"/>
  <c r="O100" i="29" s="1"/>
  <c r="K101" i="29"/>
  <c r="N101" i="29" s="1"/>
  <c r="O101" i="29" s="1"/>
  <c r="K106" i="29"/>
  <c r="N106" i="29" s="1"/>
  <c r="O106" i="29" s="1"/>
  <c r="K107" i="29"/>
  <c r="N107" i="29" s="1"/>
  <c r="O107" i="29" s="1"/>
  <c r="K110" i="29"/>
  <c r="N110" i="29" s="1"/>
  <c r="O110" i="29" s="1"/>
  <c r="K112" i="29"/>
  <c r="N112" i="29" s="1"/>
  <c r="O112" i="29" s="1"/>
  <c r="K116" i="29"/>
  <c r="N116" i="29" s="1"/>
  <c r="O116" i="29" s="1"/>
  <c r="K117" i="29"/>
  <c r="N117" i="29" s="1"/>
  <c r="O117" i="29" s="1"/>
  <c r="K122" i="29"/>
  <c r="N122" i="29" s="1"/>
  <c r="O122" i="29" s="1"/>
  <c r="K126" i="29"/>
  <c r="N126" i="29" s="1"/>
  <c r="O126" i="29" s="1"/>
  <c r="K130" i="29"/>
  <c r="N130" i="29" s="1"/>
  <c r="O130" i="29" s="1"/>
  <c r="K144" i="29"/>
  <c r="N144" i="29" s="1"/>
  <c r="O144" i="29" s="1"/>
  <c r="K150" i="29"/>
  <c r="N150" i="29" s="1"/>
  <c r="O150" i="29" s="1"/>
  <c r="K154" i="29"/>
  <c r="N154" i="29" s="1"/>
  <c r="O154" i="29" s="1"/>
  <c r="K158" i="29"/>
  <c r="N158" i="29" s="1"/>
  <c r="O158" i="29" s="1"/>
  <c r="K162" i="29"/>
  <c r="N162" i="29" s="1"/>
  <c r="O162" i="29" s="1"/>
  <c r="K176" i="29"/>
  <c r="N176" i="29" s="1"/>
  <c r="O176" i="29" s="1"/>
  <c r="K182" i="29"/>
  <c r="N182" i="29" s="1"/>
  <c r="O182" i="29" s="1"/>
  <c r="K186" i="29"/>
  <c r="N186" i="29" s="1"/>
  <c r="O186" i="29" s="1"/>
  <c r="K190" i="29"/>
  <c r="N190" i="29" s="1"/>
  <c r="O190" i="29" s="1"/>
  <c r="K194" i="29"/>
  <c r="N194" i="29" s="1"/>
  <c r="O194" i="29" s="1"/>
  <c r="K208" i="29"/>
  <c r="N208" i="29" s="1"/>
  <c r="O208" i="29" s="1"/>
  <c r="K214" i="29"/>
  <c r="N214" i="29" s="1"/>
  <c r="O214" i="29" s="1"/>
  <c r="K218" i="29"/>
  <c r="N218" i="29" s="1"/>
  <c r="O218" i="29" s="1"/>
  <c r="K222" i="29"/>
  <c r="N222" i="29" s="1"/>
  <c r="O222" i="29" s="1"/>
  <c r="K226" i="29"/>
  <c r="N226" i="29" s="1"/>
  <c r="O226" i="29" s="1"/>
  <c r="K240" i="29"/>
  <c r="N240" i="29" s="1"/>
  <c r="O240" i="29" s="1"/>
  <c r="K246" i="29"/>
  <c r="N246" i="29" s="1"/>
  <c r="O246" i="29" s="1"/>
  <c r="K250" i="29"/>
  <c r="N250" i="29" s="1"/>
  <c r="O250" i="29" s="1"/>
  <c r="K254" i="29"/>
  <c r="N254" i="29" s="1"/>
  <c r="O254" i="29" s="1"/>
  <c r="K258" i="29"/>
  <c r="N258" i="29" s="1"/>
  <c r="O258" i="29" s="1"/>
  <c r="K272" i="29"/>
  <c r="N272" i="29" s="1"/>
  <c r="O272" i="29" s="1"/>
  <c r="K278" i="29"/>
  <c r="N278" i="29" s="1"/>
  <c r="O278" i="29" s="1"/>
  <c r="K282" i="29"/>
  <c r="N282" i="29" s="1"/>
  <c r="O282" i="29" s="1"/>
  <c r="K286" i="29"/>
  <c r="N286" i="29" s="1"/>
  <c r="O286" i="29" s="1"/>
  <c r="K290" i="29"/>
  <c r="N290" i="29" s="1"/>
  <c r="O290" i="29" s="1"/>
  <c r="K304" i="29"/>
  <c r="N304" i="29" s="1"/>
  <c r="O304" i="29" s="1"/>
  <c r="K310" i="29"/>
  <c r="N310" i="29" s="1"/>
  <c r="O310" i="29" s="1"/>
  <c r="K314" i="29"/>
  <c r="N314" i="29" s="1"/>
  <c r="O314" i="29" s="1"/>
  <c r="K318" i="29"/>
  <c r="N318" i="29" s="1"/>
  <c r="O318" i="29" s="1"/>
  <c r="K322" i="29"/>
  <c r="N322" i="29" s="1"/>
  <c r="O322" i="29" s="1"/>
  <c r="K336" i="29"/>
  <c r="N336" i="29" s="1"/>
  <c r="O336" i="29" s="1"/>
  <c r="K342" i="29"/>
  <c r="N342" i="29" s="1"/>
  <c r="O342" i="29" s="1"/>
  <c r="K344" i="29"/>
  <c r="N344" i="29" s="1"/>
  <c r="O344" i="29" s="1"/>
  <c r="K350" i="29"/>
  <c r="N350" i="29" s="1"/>
  <c r="O350" i="29" s="1"/>
  <c r="K354" i="29"/>
  <c r="N354" i="29" s="1"/>
  <c r="O354" i="29" s="1"/>
  <c r="K358" i="29"/>
  <c r="N358" i="29" s="1"/>
  <c r="O358" i="29" s="1"/>
  <c r="K362" i="29"/>
  <c r="N362" i="29" s="1"/>
  <c r="O362" i="29" s="1"/>
  <c r="K366" i="29"/>
  <c r="N366" i="29" s="1"/>
  <c r="O366" i="29" s="1"/>
  <c r="K404" i="29"/>
  <c r="N404" i="29" s="1"/>
  <c r="O404" i="29" s="1"/>
  <c r="K418" i="29"/>
  <c r="N418" i="29" s="1"/>
  <c r="O418" i="29" s="1"/>
  <c r="K426" i="29"/>
  <c r="N426" i="29" s="1"/>
  <c r="O426" i="29" s="1"/>
  <c r="K430" i="29"/>
  <c r="N430" i="29" s="1"/>
  <c r="O430" i="29" s="1"/>
  <c r="K459" i="29"/>
  <c r="N459" i="29" s="1"/>
  <c r="O459" i="29" s="1"/>
  <c r="K467" i="29"/>
  <c r="N467" i="29" s="1"/>
  <c r="O467" i="29" s="1"/>
  <c r="K493" i="29"/>
  <c r="N493" i="29" s="1"/>
  <c r="O493" i="29" s="1"/>
  <c r="K507" i="29"/>
  <c r="N507" i="29" s="1"/>
  <c r="O507" i="29" s="1"/>
  <c r="K538" i="29"/>
  <c r="N538" i="29" s="1"/>
  <c r="O538" i="29" s="1"/>
  <c r="K542" i="29"/>
  <c r="N542" i="29" s="1"/>
  <c r="O542" i="29" s="1"/>
  <c r="K546" i="29"/>
  <c r="N546" i="29" s="1"/>
  <c r="O546" i="29" s="1"/>
  <c r="K550" i="29"/>
  <c r="N550" i="29" s="1"/>
  <c r="O550" i="29" s="1"/>
  <c r="K573" i="29"/>
  <c r="N573" i="29" s="1"/>
  <c r="O573" i="29" s="1"/>
  <c r="K577" i="29"/>
  <c r="N577" i="29" s="1"/>
  <c r="O577" i="29" s="1"/>
  <c r="K586" i="29"/>
  <c r="N586" i="29" s="1"/>
  <c r="O586" i="29" s="1"/>
  <c r="K590" i="29"/>
  <c r="N590" i="29" s="1"/>
  <c r="O590" i="29" s="1"/>
  <c r="K600" i="29"/>
  <c r="N600" i="29" s="1"/>
  <c r="O600" i="29" s="1"/>
  <c r="K622" i="29"/>
  <c r="N622" i="29" s="1"/>
  <c r="O622" i="29" s="1"/>
  <c r="K626" i="29"/>
  <c r="N626" i="29" s="1"/>
  <c r="O626" i="29" s="1"/>
  <c r="K637" i="29"/>
  <c r="N637" i="29" s="1"/>
  <c r="O637" i="29" s="1"/>
  <c r="K648" i="29"/>
  <c r="N648" i="29" s="1"/>
  <c r="O648" i="29" s="1"/>
  <c r="K676" i="29"/>
  <c r="N676" i="29" s="1"/>
  <c r="O676" i="29" s="1"/>
  <c r="K682" i="29"/>
  <c r="N682" i="29" s="1"/>
  <c r="O682" i="29" s="1"/>
  <c r="K686" i="29"/>
  <c r="N686" i="29" s="1"/>
  <c r="O686" i="29" s="1"/>
  <c r="K690" i="29"/>
  <c r="N690" i="29" s="1"/>
  <c r="O690" i="29" s="1"/>
  <c r="K706" i="29"/>
  <c r="N706" i="29" s="1"/>
  <c r="O706" i="29" s="1"/>
  <c r="K710" i="29"/>
  <c r="N710" i="29" s="1"/>
  <c r="O710" i="29" s="1"/>
  <c r="K740" i="29"/>
  <c r="N740" i="29" s="1"/>
  <c r="O740" i="29" s="1"/>
  <c r="K765" i="29"/>
  <c r="N765" i="29" s="1"/>
  <c r="O765" i="29" s="1"/>
  <c r="K772" i="29"/>
  <c r="N772" i="29" s="1"/>
  <c r="O772" i="29" s="1"/>
  <c r="K788" i="29"/>
  <c r="N788" i="29" s="1"/>
  <c r="O788" i="29" s="1"/>
  <c r="K797" i="29"/>
  <c r="N797" i="29" s="1"/>
  <c r="O797" i="29" s="1"/>
  <c r="K806" i="29"/>
  <c r="N806" i="29" s="1"/>
  <c r="O806" i="29" s="1"/>
  <c r="K825" i="29"/>
  <c r="N825" i="29" s="1"/>
  <c r="O825" i="29" s="1"/>
  <c r="K848" i="29"/>
  <c r="N848" i="29" s="1"/>
  <c r="O848" i="29" s="1"/>
  <c r="K854" i="29"/>
  <c r="N854" i="29" s="1"/>
  <c r="O854" i="29" s="1"/>
  <c r="K856" i="29"/>
  <c r="N856" i="29" s="1"/>
  <c r="O856" i="29" s="1"/>
  <c r="K862" i="29"/>
  <c r="N862" i="29" s="1"/>
  <c r="O862" i="29" s="1"/>
  <c r="K870" i="29"/>
  <c r="N870" i="29" s="1"/>
  <c r="O870" i="29" s="1"/>
  <c r="K878" i="29"/>
  <c r="N878" i="29" s="1"/>
  <c r="O878" i="29" s="1"/>
  <c r="K899" i="29"/>
  <c r="N899" i="29" s="1"/>
  <c r="O899" i="29" s="1"/>
  <c r="K906" i="29"/>
  <c r="N906" i="29" s="1"/>
  <c r="O906" i="29" s="1"/>
  <c r="K911" i="29"/>
  <c r="N911" i="29" s="1"/>
  <c r="O911" i="29" s="1"/>
  <c r="K915" i="29"/>
  <c r="N915" i="29" s="1"/>
  <c r="O915" i="29" s="1"/>
  <c r="K936" i="29"/>
  <c r="N936" i="29" s="1"/>
  <c r="O936" i="29" s="1"/>
  <c r="K963" i="29"/>
  <c r="N963" i="29" s="1"/>
  <c r="O963" i="29" s="1"/>
  <c r="K984" i="29"/>
  <c r="N984" i="29" s="1"/>
  <c r="O984" i="29" s="1"/>
  <c r="K992" i="29"/>
  <c r="N992" i="29" s="1"/>
  <c r="O992" i="29" s="1"/>
  <c r="K996" i="29"/>
  <c r="N996" i="29" s="1"/>
  <c r="O996" i="29" s="1"/>
  <c r="K1000" i="29"/>
  <c r="N1000" i="29" s="1"/>
  <c r="O1000" i="29" s="1"/>
  <c r="D8" i="161"/>
  <c r="D5" i="129" s="1"/>
  <c r="D29" i="161"/>
  <c r="L10" i="163"/>
  <c r="L10" i="131" s="1"/>
  <c r="L14" i="163"/>
  <c r="L14" i="131" s="1"/>
  <c r="F22" i="39"/>
  <c r="F54" i="197" s="1"/>
  <c r="D25" i="42"/>
  <c r="F8" i="44"/>
  <c r="E43" i="44" s="1"/>
  <c r="H8" i="49"/>
  <c r="C13" i="124" s="1"/>
  <c r="E13" i="42"/>
  <c r="E25" i="42" s="1"/>
  <c r="F60" i="83"/>
  <c r="F60" i="114" s="1"/>
  <c r="C42" i="116"/>
  <c r="H16" i="133"/>
  <c r="E2" i="3"/>
  <c r="D52" i="4"/>
  <c r="I16" i="196" s="1"/>
  <c r="D56" i="4"/>
  <c r="I20" i="196" s="1"/>
  <c r="K31" i="29"/>
  <c r="N31" i="29" s="1"/>
  <c r="O31" i="29" s="1"/>
  <c r="K908" i="29"/>
  <c r="N908" i="29" s="1"/>
  <c r="O908" i="29" s="1"/>
  <c r="D12" i="10"/>
  <c r="B2" i="14"/>
  <c r="B4" i="19"/>
  <c r="A2" i="22"/>
  <c r="A2" i="24"/>
  <c r="F14" i="26"/>
  <c r="F16" i="26" s="1"/>
  <c r="C9" i="133" s="1"/>
  <c r="G22" i="28"/>
  <c r="G11" i="136" s="1"/>
  <c r="K30" i="29"/>
  <c r="N30" i="29" s="1"/>
  <c r="O30" i="29" s="1"/>
  <c r="K47" i="29"/>
  <c r="N47" i="29" s="1"/>
  <c r="O47" i="29" s="1"/>
  <c r="K51" i="29"/>
  <c r="N51" i="29" s="1"/>
  <c r="O51" i="29" s="1"/>
  <c r="K55" i="29"/>
  <c r="N55" i="29" s="1"/>
  <c r="O55" i="29" s="1"/>
  <c r="K60" i="29"/>
  <c r="N60" i="29" s="1"/>
  <c r="O60" i="29" s="1"/>
  <c r="K76" i="29"/>
  <c r="N76" i="29" s="1"/>
  <c r="O76" i="29" s="1"/>
  <c r="K77" i="29"/>
  <c r="N77" i="29" s="1"/>
  <c r="O77" i="29" s="1"/>
  <c r="K82" i="29"/>
  <c r="N82" i="29" s="1"/>
  <c r="O82" i="29" s="1"/>
  <c r="K92" i="29"/>
  <c r="N92" i="29" s="1"/>
  <c r="O92" i="29" s="1"/>
  <c r="K93" i="29"/>
  <c r="N93" i="29" s="1"/>
  <c r="O93" i="29" s="1"/>
  <c r="K98" i="29"/>
  <c r="N98" i="29" s="1"/>
  <c r="O98" i="29" s="1"/>
  <c r="K108" i="29"/>
  <c r="N108" i="29" s="1"/>
  <c r="O108" i="29" s="1"/>
  <c r="K109" i="29"/>
  <c r="N109" i="29" s="1"/>
  <c r="O109" i="29" s="1"/>
  <c r="K114" i="29"/>
  <c r="N114" i="29" s="1"/>
  <c r="O114" i="29" s="1"/>
  <c r="K138" i="29"/>
  <c r="N138" i="29" s="1"/>
  <c r="O138" i="29" s="1"/>
  <c r="K152" i="29"/>
  <c r="N152" i="29" s="1"/>
  <c r="O152" i="29" s="1"/>
  <c r="K170" i="29"/>
  <c r="N170" i="29" s="1"/>
  <c r="O170" i="29" s="1"/>
  <c r="K184" i="29"/>
  <c r="N184" i="29" s="1"/>
  <c r="O184" i="29" s="1"/>
  <c r="K202" i="29"/>
  <c r="N202" i="29" s="1"/>
  <c r="O202" i="29" s="1"/>
  <c r="K216" i="29"/>
  <c r="N216" i="29" s="1"/>
  <c r="O216" i="29" s="1"/>
  <c r="K234" i="29"/>
  <c r="N234" i="29" s="1"/>
  <c r="O234" i="29" s="1"/>
  <c r="K248" i="29"/>
  <c r="N248" i="29" s="1"/>
  <c r="O248" i="29" s="1"/>
  <c r="K266" i="29"/>
  <c r="N266" i="29" s="1"/>
  <c r="O266" i="29" s="1"/>
  <c r="K280" i="29"/>
  <c r="N280" i="29" s="1"/>
  <c r="O280" i="29" s="1"/>
  <c r="K298" i="29"/>
  <c r="N298" i="29" s="1"/>
  <c r="O298" i="29" s="1"/>
  <c r="K312" i="29"/>
  <c r="N312" i="29" s="1"/>
  <c r="O312" i="29" s="1"/>
  <c r="K330" i="29"/>
  <c r="N330" i="29" s="1"/>
  <c r="O330" i="29" s="1"/>
  <c r="K386" i="29"/>
  <c r="N386" i="29" s="1"/>
  <c r="O386" i="29" s="1"/>
  <c r="K450" i="29"/>
  <c r="N450" i="29" s="1"/>
  <c r="O450" i="29" s="1"/>
  <c r="K491" i="29"/>
  <c r="N491" i="29" s="1"/>
  <c r="O491" i="29" s="1"/>
  <c r="K552" i="29"/>
  <c r="N552" i="29" s="1"/>
  <c r="O552" i="29" s="1"/>
  <c r="K570" i="29"/>
  <c r="N570" i="29" s="1"/>
  <c r="O570" i="29" s="1"/>
  <c r="K574" i="29"/>
  <c r="N574" i="29" s="1"/>
  <c r="O574" i="29" s="1"/>
  <c r="K587" i="29"/>
  <c r="N587" i="29" s="1"/>
  <c r="O587" i="29" s="1"/>
  <c r="K712" i="29"/>
  <c r="N712" i="29" s="1"/>
  <c r="O712" i="29" s="1"/>
  <c r="K726" i="29"/>
  <c r="N726" i="29" s="1"/>
  <c r="O726" i="29" s="1"/>
  <c r="K756" i="29"/>
  <c r="N756" i="29" s="1"/>
  <c r="O756" i="29" s="1"/>
  <c r="K874" i="29"/>
  <c r="N874" i="29" s="1"/>
  <c r="O874" i="29" s="1"/>
  <c r="K890" i="29"/>
  <c r="N890" i="29" s="1"/>
  <c r="O890" i="29" s="1"/>
  <c r="K969" i="29"/>
  <c r="N969" i="29" s="1"/>
  <c r="O969" i="29" s="1"/>
  <c r="K970" i="29"/>
  <c r="N970" i="29" s="1"/>
  <c r="O970" i="29" s="1"/>
  <c r="B9" i="57"/>
  <c r="B9" i="63"/>
  <c r="E7" i="63"/>
  <c r="K4" i="10"/>
  <c r="K37" i="29"/>
  <c r="N37" i="29" s="1"/>
  <c r="O37" i="29" s="1"/>
  <c r="K62" i="29"/>
  <c r="N62" i="29" s="1"/>
  <c r="O62" i="29" s="1"/>
  <c r="K79" i="29"/>
  <c r="N79" i="29" s="1"/>
  <c r="O79" i="29" s="1"/>
  <c r="K95" i="29"/>
  <c r="N95" i="29" s="1"/>
  <c r="O95" i="29" s="1"/>
  <c r="K111" i="29"/>
  <c r="N111" i="29" s="1"/>
  <c r="O111" i="29" s="1"/>
  <c r="K953" i="29"/>
  <c r="N953" i="29" s="1"/>
  <c r="O953" i="29" s="1"/>
  <c r="B8" i="44"/>
  <c r="K28" i="29"/>
  <c r="N28" i="29" s="1"/>
  <c r="O28" i="29" s="1"/>
  <c r="K128" i="29"/>
  <c r="N128" i="29" s="1"/>
  <c r="O128" i="29" s="1"/>
  <c r="K137" i="29"/>
  <c r="N137" i="29" s="1"/>
  <c r="O137" i="29" s="1"/>
  <c r="K146" i="29"/>
  <c r="N146" i="29" s="1"/>
  <c r="O146" i="29" s="1"/>
  <c r="K160" i="29"/>
  <c r="N160" i="29" s="1"/>
  <c r="O160" i="29" s="1"/>
  <c r="K169" i="29"/>
  <c r="N169" i="29" s="1"/>
  <c r="O169" i="29" s="1"/>
  <c r="K178" i="29"/>
  <c r="N178" i="29" s="1"/>
  <c r="O178" i="29" s="1"/>
  <c r="K192" i="29"/>
  <c r="N192" i="29" s="1"/>
  <c r="O192" i="29" s="1"/>
  <c r="K201" i="29"/>
  <c r="N201" i="29" s="1"/>
  <c r="O201" i="29" s="1"/>
  <c r="K210" i="29"/>
  <c r="N210" i="29" s="1"/>
  <c r="O210" i="29" s="1"/>
  <c r="K224" i="29"/>
  <c r="N224" i="29" s="1"/>
  <c r="O224" i="29" s="1"/>
  <c r="K233" i="29"/>
  <c r="N233" i="29" s="1"/>
  <c r="O233" i="29" s="1"/>
  <c r="K242" i="29"/>
  <c r="N242" i="29" s="1"/>
  <c r="O242" i="29" s="1"/>
  <c r="K256" i="29"/>
  <c r="N256" i="29" s="1"/>
  <c r="O256" i="29" s="1"/>
  <c r="K265" i="29"/>
  <c r="N265" i="29" s="1"/>
  <c r="O265" i="29" s="1"/>
  <c r="K274" i="29"/>
  <c r="N274" i="29" s="1"/>
  <c r="O274" i="29" s="1"/>
  <c r="K288" i="29"/>
  <c r="N288" i="29" s="1"/>
  <c r="O288" i="29" s="1"/>
  <c r="K297" i="29"/>
  <c r="N297" i="29" s="1"/>
  <c r="O297" i="29" s="1"/>
  <c r="K306" i="29"/>
  <c r="N306" i="29" s="1"/>
  <c r="O306" i="29" s="1"/>
  <c r="K320" i="29"/>
  <c r="N320" i="29" s="1"/>
  <c r="O320" i="29" s="1"/>
  <c r="K329" i="29"/>
  <c r="N329" i="29" s="1"/>
  <c r="O329" i="29" s="1"/>
  <c r="K338" i="29"/>
  <c r="N338" i="29" s="1"/>
  <c r="O338" i="29" s="1"/>
  <c r="K377" i="29"/>
  <c r="N377" i="29" s="1"/>
  <c r="O377" i="29" s="1"/>
  <c r="K385" i="29"/>
  <c r="N385" i="29" s="1"/>
  <c r="O385" i="29" s="1"/>
  <c r="K441" i="29"/>
  <c r="N441" i="29" s="1"/>
  <c r="O441" i="29" s="1"/>
  <c r="K449" i="29"/>
  <c r="N449" i="29" s="1"/>
  <c r="O449" i="29" s="1"/>
  <c r="K477" i="29"/>
  <c r="N477" i="29" s="1"/>
  <c r="O477" i="29" s="1"/>
  <c r="K481" i="29"/>
  <c r="N481" i="29" s="1"/>
  <c r="O481" i="29" s="1"/>
  <c r="K490" i="29"/>
  <c r="N490" i="29" s="1"/>
  <c r="O490" i="29" s="1"/>
  <c r="K494" i="29"/>
  <c r="N494" i="29" s="1"/>
  <c r="O494" i="29" s="1"/>
  <c r="K522" i="29"/>
  <c r="N522" i="29" s="1"/>
  <c r="O522" i="29" s="1"/>
  <c r="K526" i="29"/>
  <c r="N526" i="29" s="1"/>
  <c r="O526" i="29" s="1"/>
  <c r="K539" i="29"/>
  <c r="N539" i="29" s="1"/>
  <c r="O539" i="29" s="1"/>
  <c r="K644" i="29"/>
  <c r="N644" i="29" s="1"/>
  <c r="O644" i="29" s="1"/>
  <c r="K650" i="29"/>
  <c r="N650" i="29" s="1"/>
  <c r="O650" i="29" s="1"/>
  <c r="K654" i="29"/>
  <c r="N654" i="29" s="1"/>
  <c r="O654" i="29" s="1"/>
  <c r="K658" i="29"/>
  <c r="N658" i="29" s="1"/>
  <c r="O658" i="29" s="1"/>
  <c r="K808" i="29"/>
  <c r="N808" i="29" s="1"/>
  <c r="O808" i="29" s="1"/>
  <c r="K968" i="29"/>
  <c r="N968" i="29" s="1"/>
  <c r="O968" i="29" s="1"/>
  <c r="D22" i="35"/>
  <c r="K352" i="29"/>
  <c r="N352" i="29" s="1"/>
  <c r="O352" i="29" s="1"/>
  <c r="K361" i="29"/>
  <c r="N361" i="29" s="1"/>
  <c r="O361" i="29" s="1"/>
  <c r="K369" i="29"/>
  <c r="N369" i="29" s="1"/>
  <c r="O369" i="29" s="1"/>
  <c r="K389" i="29"/>
  <c r="N389" i="29" s="1"/>
  <c r="O389" i="29" s="1"/>
  <c r="K393" i="29"/>
  <c r="N393" i="29" s="1"/>
  <c r="O393" i="29" s="1"/>
  <c r="K401" i="29"/>
  <c r="N401" i="29" s="1"/>
  <c r="O401" i="29" s="1"/>
  <c r="K421" i="29"/>
  <c r="N421" i="29" s="1"/>
  <c r="O421" i="29" s="1"/>
  <c r="K425" i="29"/>
  <c r="N425" i="29" s="1"/>
  <c r="O425" i="29" s="1"/>
  <c r="K433" i="29"/>
  <c r="N433" i="29" s="1"/>
  <c r="O433" i="29" s="1"/>
  <c r="K453" i="29"/>
  <c r="N453" i="29" s="1"/>
  <c r="O453" i="29" s="1"/>
  <c r="K458" i="29"/>
  <c r="N458" i="29" s="1"/>
  <c r="O458" i="29" s="1"/>
  <c r="K462" i="29"/>
  <c r="N462" i="29" s="1"/>
  <c r="O462" i="29" s="1"/>
  <c r="K475" i="29"/>
  <c r="N475" i="29" s="1"/>
  <c r="O475" i="29" s="1"/>
  <c r="K506" i="29"/>
  <c r="N506" i="29" s="1"/>
  <c r="O506" i="29" s="1"/>
  <c r="K510" i="29"/>
  <c r="N510" i="29" s="1"/>
  <c r="O510" i="29" s="1"/>
  <c r="K514" i="29"/>
  <c r="N514" i="29" s="1"/>
  <c r="O514" i="29" s="1"/>
  <c r="K518" i="29"/>
  <c r="N518" i="29" s="1"/>
  <c r="O518" i="29" s="1"/>
  <c r="K528" i="29"/>
  <c r="N528" i="29" s="1"/>
  <c r="O528" i="29" s="1"/>
  <c r="K532" i="29"/>
  <c r="N532" i="29" s="1"/>
  <c r="O532" i="29" s="1"/>
  <c r="K541" i="29"/>
  <c r="N541" i="29" s="1"/>
  <c r="O541" i="29" s="1"/>
  <c r="K545" i="29"/>
  <c r="N545" i="29" s="1"/>
  <c r="O545" i="29" s="1"/>
  <c r="K555" i="29"/>
  <c r="N555" i="29" s="1"/>
  <c r="O555" i="29" s="1"/>
  <c r="K557" i="29"/>
  <c r="N557" i="29" s="1"/>
  <c r="O557" i="29" s="1"/>
  <c r="K572" i="29"/>
  <c r="N572" i="29" s="1"/>
  <c r="O572" i="29" s="1"/>
  <c r="K589" i="29"/>
  <c r="N589" i="29" s="1"/>
  <c r="O589" i="29" s="1"/>
  <c r="K602" i="29"/>
  <c r="N602" i="29" s="1"/>
  <c r="O602" i="29" s="1"/>
  <c r="K606" i="29"/>
  <c r="N606" i="29" s="1"/>
  <c r="O606" i="29" s="1"/>
  <c r="K610" i="29"/>
  <c r="N610" i="29" s="1"/>
  <c r="O610" i="29" s="1"/>
  <c r="K614" i="29"/>
  <c r="N614" i="29" s="1"/>
  <c r="O614" i="29" s="1"/>
  <c r="K674" i="29"/>
  <c r="N674" i="29" s="1"/>
  <c r="O674" i="29" s="1"/>
  <c r="K758" i="29"/>
  <c r="N758" i="29" s="1"/>
  <c r="O758" i="29" s="1"/>
  <c r="K810" i="29"/>
  <c r="N810" i="29" s="1"/>
  <c r="O810" i="29" s="1"/>
  <c r="K814" i="29"/>
  <c r="N814" i="29" s="1"/>
  <c r="O814" i="29" s="1"/>
  <c r="K818" i="29"/>
  <c r="N818" i="29" s="1"/>
  <c r="O818" i="29" s="1"/>
  <c r="K841" i="29"/>
  <c r="N841" i="29" s="1"/>
  <c r="O841" i="29" s="1"/>
  <c r="K853" i="29"/>
  <c r="N853" i="29" s="1"/>
  <c r="O853" i="29" s="1"/>
  <c r="K859" i="29"/>
  <c r="N859" i="29" s="1"/>
  <c r="O859" i="29" s="1"/>
  <c r="K976" i="29"/>
  <c r="N976" i="29" s="1"/>
  <c r="O976" i="29" s="1"/>
  <c r="C48" i="51"/>
  <c r="D46" i="51"/>
  <c r="D36" i="114"/>
  <c r="F36" i="83"/>
  <c r="F36" i="114" s="1"/>
  <c r="K346" i="29"/>
  <c r="N346" i="29" s="1"/>
  <c r="O346" i="29" s="1"/>
  <c r="K378" i="29"/>
  <c r="N378" i="29" s="1"/>
  <c r="O378" i="29" s="1"/>
  <c r="K382" i="29"/>
  <c r="N382" i="29" s="1"/>
  <c r="O382" i="29" s="1"/>
  <c r="K388" i="29"/>
  <c r="N388" i="29" s="1"/>
  <c r="O388" i="29" s="1"/>
  <c r="K410" i="29"/>
  <c r="N410" i="29" s="1"/>
  <c r="O410" i="29" s="1"/>
  <c r="K414" i="29"/>
  <c r="N414" i="29" s="1"/>
  <c r="O414" i="29" s="1"/>
  <c r="K420" i="29"/>
  <c r="N420" i="29" s="1"/>
  <c r="O420" i="29" s="1"/>
  <c r="K442" i="29"/>
  <c r="N442" i="29" s="1"/>
  <c r="O442" i="29" s="1"/>
  <c r="K446" i="29"/>
  <c r="N446" i="29" s="1"/>
  <c r="O446" i="29" s="1"/>
  <c r="K452" i="29"/>
  <c r="N452" i="29" s="1"/>
  <c r="O452" i="29" s="1"/>
  <c r="K461" i="29"/>
  <c r="N461" i="29" s="1"/>
  <c r="O461" i="29" s="1"/>
  <c r="K474" i="29"/>
  <c r="N474" i="29" s="1"/>
  <c r="O474" i="29" s="1"/>
  <c r="K478" i="29"/>
  <c r="N478" i="29" s="1"/>
  <c r="O478" i="29" s="1"/>
  <c r="K482" i="29"/>
  <c r="N482" i="29" s="1"/>
  <c r="O482" i="29" s="1"/>
  <c r="K486" i="29"/>
  <c r="N486" i="29" s="1"/>
  <c r="O486" i="29" s="1"/>
  <c r="K496" i="29"/>
  <c r="N496" i="29" s="1"/>
  <c r="O496" i="29" s="1"/>
  <c r="K500" i="29"/>
  <c r="N500" i="29" s="1"/>
  <c r="O500" i="29" s="1"/>
  <c r="K509" i="29"/>
  <c r="N509" i="29" s="1"/>
  <c r="O509" i="29" s="1"/>
  <c r="K513" i="29"/>
  <c r="N513" i="29" s="1"/>
  <c r="O513" i="29" s="1"/>
  <c r="K523" i="29"/>
  <c r="N523" i="29" s="1"/>
  <c r="O523" i="29" s="1"/>
  <c r="K525" i="29"/>
  <c r="N525" i="29" s="1"/>
  <c r="O525" i="29" s="1"/>
  <c r="K540" i="29"/>
  <c r="N540" i="29" s="1"/>
  <c r="O540" i="29" s="1"/>
  <c r="K571" i="29"/>
  <c r="N571" i="29" s="1"/>
  <c r="O571" i="29" s="1"/>
  <c r="K588" i="29"/>
  <c r="N588" i="29" s="1"/>
  <c r="O588" i="29" s="1"/>
  <c r="K660" i="29"/>
  <c r="N660" i="29" s="1"/>
  <c r="O660" i="29" s="1"/>
  <c r="K669" i="29"/>
  <c r="N669" i="29" s="1"/>
  <c r="O669" i="29" s="1"/>
  <c r="K728" i="29"/>
  <c r="N728" i="29" s="1"/>
  <c r="O728" i="29" s="1"/>
  <c r="K732" i="29"/>
  <c r="N732" i="29" s="1"/>
  <c r="O732" i="29" s="1"/>
  <c r="K736" i="29"/>
  <c r="N736" i="29" s="1"/>
  <c r="O736" i="29" s="1"/>
  <c r="K742" i="29"/>
  <c r="N742" i="29" s="1"/>
  <c r="O742" i="29" s="1"/>
  <c r="K747" i="29"/>
  <c r="N747" i="29" s="1"/>
  <c r="O747" i="29" s="1"/>
  <c r="K802" i="29"/>
  <c r="N802" i="29" s="1"/>
  <c r="O802" i="29" s="1"/>
  <c r="K879" i="29"/>
  <c r="N879" i="29" s="1"/>
  <c r="O879" i="29" s="1"/>
  <c r="K883" i="29"/>
  <c r="N883" i="29" s="1"/>
  <c r="O883" i="29" s="1"/>
  <c r="K901" i="29"/>
  <c r="N901" i="29" s="1"/>
  <c r="O901" i="29" s="1"/>
  <c r="K909" i="29"/>
  <c r="N909" i="29" s="1"/>
  <c r="O909" i="29" s="1"/>
  <c r="K913" i="29"/>
  <c r="N913" i="29" s="1"/>
  <c r="O913" i="29" s="1"/>
  <c r="K921" i="29"/>
  <c r="N921" i="29" s="1"/>
  <c r="O921" i="29" s="1"/>
  <c r="K929" i="29"/>
  <c r="N929" i="29" s="1"/>
  <c r="O929" i="29" s="1"/>
  <c r="K942" i="29"/>
  <c r="N942" i="29" s="1"/>
  <c r="O942" i="29" s="1"/>
  <c r="K950" i="29"/>
  <c r="N950" i="29" s="1"/>
  <c r="O950" i="29" s="1"/>
  <c r="K965" i="29"/>
  <c r="N965" i="29" s="1"/>
  <c r="O965" i="29" s="1"/>
  <c r="K971" i="29"/>
  <c r="N971" i="29" s="1"/>
  <c r="O971" i="29" s="1"/>
  <c r="K987" i="29"/>
  <c r="N987" i="29" s="1"/>
  <c r="O987" i="29" s="1"/>
  <c r="K1001" i="29"/>
  <c r="N1001" i="29" s="1"/>
  <c r="O1001" i="29" s="1"/>
  <c r="D33" i="161"/>
  <c r="D30" i="129" s="1"/>
  <c r="F32" i="39"/>
  <c r="F60" i="197" s="1"/>
  <c r="H14" i="42"/>
  <c r="F53" i="48"/>
  <c r="E43" i="83" s="1"/>
  <c r="F43" i="83" s="1"/>
  <c r="F43" i="114" s="1"/>
  <c r="D19" i="48"/>
  <c r="F19" i="48" s="1"/>
  <c r="F36" i="48"/>
  <c r="E51" i="83" s="1"/>
  <c r="F51" i="83" s="1"/>
  <c r="F51" i="114" s="1"/>
  <c r="G50" i="48"/>
  <c r="D16" i="48" s="1"/>
  <c r="F16" i="48" s="1"/>
  <c r="E22" i="49"/>
  <c r="K604" i="29"/>
  <c r="N604" i="29" s="1"/>
  <c r="O604" i="29" s="1"/>
  <c r="K613" i="29"/>
  <c r="N613" i="29" s="1"/>
  <c r="O613" i="29" s="1"/>
  <c r="K618" i="29"/>
  <c r="N618" i="29" s="1"/>
  <c r="O618" i="29" s="1"/>
  <c r="K632" i="29"/>
  <c r="N632" i="29" s="1"/>
  <c r="O632" i="29" s="1"/>
  <c r="K636" i="29"/>
  <c r="N636" i="29" s="1"/>
  <c r="O636" i="29" s="1"/>
  <c r="K640" i="29"/>
  <c r="N640" i="29" s="1"/>
  <c r="O640" i="29" s="1"/>
  <c r="K683" i="29"/>
  <c r="N683" i="29" s="1"/>
  <c r="O683" i="29" s="1"/>
  <c r="K714" i="29"/>
  <c r="N714" i="29" s="1"/>
  <c r="O714" i="29" s="1"/>
  <c r="K718" i="29"/>
  <c r="N718" i="29" s="1"/>
  <c r="O718" i="29" s="1"/>
  <c r="K733" i="29"/>
  <c r="N733" i="29" s="1"/>
  <c r="O733" i="29" s="1"/>
  <c r="K760" i="29"/>
  <c r="N760" i="29" s="1"/>
  <c r="O760" i="29" s="1"/>
  <c r="K764" i="29"/>
  <c r="N764" i="29" s="1"/>
  <c r="O764" i="29" s="1"/>
  <c r="K768" i="29"/>
  <c r="N768" i="29" s="1"/>
  <c r="O768" i="29" s="1"/>
  <c r="K811" i="29"/>
  <c r="N811" i="29" s="1"/>
  <c r="O811" i="29" s="1"/>
  <c r="K850" i="29"/>
  <c r="N850" i="29" s="1"/>
  <c r="O850" i="29" s="1"/>
  <c r="K852" i="29"/>
  <c r="N852" i="29" s="1"/>
  <c r="O852" i="29" s="1"/>
  <c r="K858" i="29"/>
  <c r="N858" i="29" s="1"/>
  <c r="O858" i="29" s="1"/>
  <c r="K872" i="29"/>
  <c r="N872" i="29" s="1"/>
  <c r="O872" i="29" s="1"/>
  <c r="K880" i="29"/>
  <c r="N880" i="29" s="1"/>
  <c r="O880" i="29" s="1"/>
  <c r="K902" i="29"/>
  <c r="N902" i="29" s="1"/>
  <c r="O902" i="29" s="1"/>
  <c r="K910" i="29"/>
  <c r="N910" i="29" s="1"/>
  <c r="O910" i="29" s="1"/>
  <c r="K918" i="29"/>
  <c r="N918" i="29" s="1"/>
  <c r="O918" i="29" s="1"/>
  <c r="K926" i="29"/>
  <c r="N926" i="29" s="1"/>
  <c r="O926" i="29" s="1"/>
  <c r="K940" i="29"/>
  <c r="N940" i="29" s="1"/>
  <c r="O940" i="29" s="1"/>
  <c r="K948" i="29"/>
  <c r="N948" i="29" s="1"/>
  <c r="O948" i="29" s="1"/>
  <c r="K952" i="29"/>
  <c r="N952" i="29" s="1"/>
  <c r="O952" i="29" s="1"/>
  <c r="K955" i="29"/>
  <c r="N955" i="29" s="1"/>
  <c r="O955" i="29" s="1"/>
  <c r="K966" i="29"/>
  <c r="N966" i="29" s="1"/>
  <c r="O966" i="29" s="1"/>
  <c r="K973" i="29"/>
  <c r="N973" i="29" s="1"/>
  <c r="O973" i="29" s="1"/>
  <c r="K977" i="29"/>
  <c r="N977" i="29" s="1"/>
  <c r="O977" i="29" s="1"/>
  <c r="K978" i="29"/>
  <c r="N978" i="29" s="1"/>
  <c r="O978" i="29" s="1"/>
  <c r="K986" i="29"/>
  <c r="N986" i="29" s="1"/>
  <c r="O986" i="29" s="1"/>
  <c r="K990" i="29"/>
  <c r="N990" i="29" s="1"/>
  <c r="O990" i="29" s="1"/>
  <c r="K994" i="29"/>
  <c r="N994" i="29" s="1"/>
  <c r="O994" i="29" s="1"/>
  <c r="K997" i="29"/>
  <c r="N997" i="29" s="1"/>
  <c r="O997" i="29" s="1"/>
  <c r="H31" i="30"/>
  <c r="H6" i="162"/>
  <c r="H6" i="130" s="1"/>
  <c r="L12" i="163"/>
  <c r="C17" i="189"/>
  <c r="C48" i="41"/>
  <c r="J10" i="42"/>
  <c r="J13" i="42" s="1"/>
  <c r="I25" i="42"/>
  <c r="G36" i="48"/>
  <c r="D17" i="48" s="1"/>
  <c r="F17" i="48" s="1"/>
  <c r="F8" i="83"/>
  <c r="F8" i="114" s="1"/>
  <c r="F48" i="83"/>
  <c r="F48" i="114" s="1"/>
  <c r="E10" i="49"/>
  <c r="F6" i="4"/>
  <c r="E4" i="56"/>
  <c r="K3" i="30"/>
  <c r="F22" i="26"/>
  <c r="K11" i="29"/>
  <c r="N11" i="29" s="1"/>
  <c r="O11" i="29" s="1"/>
  <c r="K29" i="29"/>
  <c r="N29" i="29" s="1"/>
  <c r="O29" i="29" s="1"/>
  <c r="K61" i="29"/>
  <c r="N61" i="29" s="1"/>
  <c r="O61" i="29" s="1"/>
  <c r="H5" i="5"/>
  <c r="G4" i="26"/>
  <c r="K10" i="29"/>
  <c r="N10" i="29" s="1"/>
  <c r="O10" i="29" s="1"/>
  <c r="K12" i="29"/>
  <c r="N12" i="29" s="1"/>
  <c r="O12" i="29" s="1"/>
  <c r="K13" i="29"/>
  <c r="N13" i="29" s="1"/>
  <c r="O13" i="29" s="1"/>
  <c r="K27" i="29"/>
  <c r="N27" i="29" s="1"/>
  <c r="O27" i="29" s="1"/>
  <c r="K44" i="29"/>
  <c r="N44" i="29" s="1"/>
  <c r="O44" i="29" s="1"/>
  <c r="K45" i="29"/>
  <c r="N45" i="29" s="1"/>
  <c r="O45" i="29" s="1"/>
  <c r="K59" i="29"/>
  <c r="N59" i="29" s="1"/>
  <c r="O59" i="29" s="1"/>
  <c r="K129" i="29"/>
  <c r="N129" i="29" s="1"/>
  <c r="O129" i="29" s="1"/>
  <c r="K145" i="29"/>
  <c r="N145" i="29" s="1"/>
  <c r="O145" i="29" s="1"/>
  <c r="K161" i="29"/>
  <c r="N161" i="29" s="1"/>
  <c r="O161" i="29" s="1"/>
  <c r="K177" i="29"/>
  <c r="N177" i="29" s="1"/>
  <c r="O177" i="29" s="1"/>
  <c r="K193" i="29"/>
  <c r="N193" i="29" s="1"/>
  <c r="O193" i="29" s="1"/>
  <c r="K209" i="29"/>
  <c r="N209" i="29" s="1"/>
  <c r="O209" i="29" s="1"/>
  <c r="K225" i="29"/>
  <c r="N225" i="29" s="1"/>
  <c r="O225" i="29" s="1"/>
  <c r="K241" i="29"/>
  <c r="N241" i="29" s="1"/>
  <c r="O241" i="29" s="1"/>
  <c r="K257" i="29"/>
  <c r="N257" i="29" s="1"/>
  <c r="O257" i="29" s="1"/>
  <c r="K273" i="29"/>
  <c r="N273" i="29" s="1"/>
  <c r="O273" i="29" s="1"/>
  <c r="K289" i="29"/>
  <c r="N289" i="29" s="1"/>
  <c r="O289" i="29" s="1"/>
  <c r="K305" i="29"/>
  <c r="N305" i="29" s="1"/>
  <c r="O305" i="29" s="1"/>
  <c r="K321" i="29"/>
  <c r="N321" i="29" s="1"/>
  <c r="O321" i="29" s="1"/>
  <c r="K337" i="29"/>
  <c r="N337" i="29" s="1"/>
  <c r="O337" i="29" s="1"/>
  <c r="K353" i="29"/>
  <c r="N353" i="29" s="1"/>
  <c r="O353" i="29" s="1"/>
  <c r="K373" i="29"/>
  <c r="N373" i="29" s="1"/>
  <c r="O373" i="29" s="1"/>
  <c r="K405" i="29"/>
  <c r="N405" i="29" s="1"/>
  <c r="O405" i="29" s="1"/>
  <c r="K437" i="29"/>
  <c r="N437" i="29" s="1"/>
  <c r="O437" i="29" s="1"/>
  <c r="K464" i="29"/>
  <c r="N464" i="29" s="1"/>
  <c r="O464" i="29" s="1"/>
  <c r="K468" i="29"/>
  <c r="N468" i="29" s="1"/>
  <c r="O468" i="29" s="1"/>
  <c r="K578" i="29"/>
  <c r="N578" i="29" s="1"/>
  <c r="O578" i="29" s="1"/>
  <c r="K582" i="29"/>
  <c r="N582" i="29" s="1"/>
  <c r="O582" i="29" s="1"/>
  <c r="K592" i="29"/>
  <c r="N592" i="29" s="1"/>
  <c r="O592" i="29" s="1"/>
  <c r="K596" i="29"/>
  <c r="N596" i="29" s="1"/>
  <c r="O596" i="29" s="1"/>
  <c r="K651" i="29"/>
  <c r="N651" i="29" s="1"/>
  <c r="O651" i="29" s="1"/>
  <c r="K701" i="29"/>
  <c r="N701" i="29" s="1"/>
  <c r="O701" i="29" s="1"/>
  <c r="K779" i="29"/>
  <c r="N779" i="29" s="1"/>
  <c r="O779" i="29" s="1"/>
  <c r="K832" i="29"/>
  <c r="N832" i="29" s="1"/>
  <c r="O832" i="29" s="1"/>
  <c r="F23" i="36"/>
  <c r="D26" i="36"/>
  <c r="D56" i="114"/>
  <c r="F56" i="83"/>
  <c r="F56" i="114" s="1"/>
  <c r="I8" i="29"/>
  <c r="K43" i="29"/>
  <c r="N43" i="29" s="1"/>
  <c r="O43" i="29" s="1"/>
  <c r="K946" i="29"/>
  <c r="N946" i="29" s="1"/>
  <c r="O946" i="29" s="1"/>
  <c r="A3" i="31"/>
  <c r="A2" i="30"/>
  <c r="G23" i="24"/>
  <c r="E14" i="26"/>
  <c r="E16" i="26" s="1"/>
  <c r="E15" i="27"/>
  <c r="J15" i="27" s="1"/>
  <c r="K21" i="29"/>
  <c r="N21" i="29" s="1"/>
  <c r="O21" i="29" s="1"/>
  <c r="K35" i="29"/>
  <c r="N35" i="29" s="1"/>
  <c r="O35" i="29" s="1"/>
  <c r="K53" i="29"/>
  <c r="N53" i="29" s="1"/>
  <c r="O53" i="29" s="1"/>
  <c r="K67" i="29"/>
  <c r="N67" i="29" s="1"/>
  <c r="O67" i="29" s="1"/>
  <c r="K83" i="29"/>
  <c r="N83" i="29" s="1"/>
  <c r="O83" i="29" s="1"/>
  <c r="K99" i="29"/>
  <c r="N99" i="29" s="1"/>
  <c r="O99" i="29" s="1"/>
  <c r="K115" i="29"/>
  <c r="N115" i="29" s="1"/>
  <c r="O115" i="29" s="1"/>
  <c r="G29" i="28"/>
  <c r="K9" i="29"/>
  <c r="N9" i="29" s="1"/>
  <c r="G21" i="28" s="1"/>
  <c r="G10" i="136" s="1"/>
  <c r="K17" i="29"/>
  <c r="N17" i="29" s="1"/>
  <c r="O17" i="29" s="1"/>
  <c r="K25" i="29"/>
  <c r="N25" i="29" s="1"/>
  <c r="O25" i="29" s="1"/>
  <c r="K33" i="29"/>
  <c r="N33" i="29" s="1"/>
  <c r="O33" i="29" s="1"/>
  <c r="K41" i="29"/>
  <c r="N41" i="29" s="1"/>
  <c r="O41" i="29" s="1"/>
  <c r="K49" i="29"/>
  <c r="N49" i="29" s="1"/>
  <c r="O49" i="29" s="1"/>
  <c r="K57" i="29"/>
  <c r="N57" i="29" s="1"/>
  <c r="O57" i="29" s="1"/>
  <c r="K65" i="29"/>
  <c r="N65" i="29" s="1"/>
  <c r="O65" i="29" s="1"/>
  <c r="K73" i="29"/>
  <c r="N73" i="29" s="1"/>
  <c r="O73" i="29" s="1"/>
  <c r="K81" i="29"/>
  <c r="N81" i="29" s="1"/>
  <c r="O81" i="29" s="1"/>
  <c r="K89" i="29"/>
  <c r="N89" i="29" s="1"/>
  <c r="O89" i="29" s="1"/>
  <c r="K97" i="29"/>
  <c r="N97" i="29" s="1"/>
  <c r="O97" i="29" s="1"/>
  <c r="K105" i="29"/>
  <c r="N105" i="29" s="1"/>
  <c r="O105" i="29" s="1"/>
  <c r="K113" i="29"/>
  <c r="N113" i="29" s="1"/>
  <c r="O113" i="29" s="1"/>
  <c r="K121" i="29"/>
  <c r="N121" i="29" s="1"/>
  <c r="O121" i="29" s="1"/>
  <c r="K125" i="29"/>
  <c r="N125" i="29" s="1"/>
  <c r="O125" i="29" s="1"/>
  <c r="K133" i="29"/>
  <c r="N133" i="29" s="1"/>
  <c r="O133" i="29" s="1"/>
  <c r="K141" i="29"/>
  <c r="N141" i="29" s="1"/>
  <c r="O141" i="29" s="1"/>
  <c r="K149" i="29"/>
  <c r="N149" i="29" s="1"/>
  <c r="O149" i="29" s="1"/>
  <c r="K157" i="29"/>
  <c r="N157" i="29" s="1"/>
  <c r="O157" i="29" s="1"/>
  <c r="K165" i="29"/>
  <c r="N165" i="29" s="1"/>
  <c r="O165" i="29" s="1"/>
  <c r="K173" i="29"/>
  <c r="N173" i="29" s="1"/>
  <c r="O173" i="29" s="1"/>
  <c r="K181" i="29"/>
  <c r="N181" i="29" s="1"/>
  <c r="O181" i="29" s="1"/>
  <c r="K189" i="29"/>
  <c r="N189" i="29" s="1"/>
  <c r="O189" i="29" s="1"/>
  <c r="K197" i="29"/>
  <c r="N197" i="29" s="1"/>
  <c r="O197" i="29" s="1"/>
  <c r="K205" i="29"/>
  <c r="N205" i="29" s="1"/>
  <c r="O205" i="29" s="1"/>
  <c r="K213" i="29"/>
  <c r="N213" i="29" s="1"/>
  <c r="O213" i="29" s="1"/>
  <c r="K221" i="29"/>
  <c r="N221" i="29" s="1"/>
  <c r="O221" i="29" s="1"/>
  <c r="K229" i="29"/>
  <c r="N229" i="29" s="1"/>
  <c r="O229" i="29" s="1"/>
  <c r="K237" i="29"/>
  <c r="N237" i="29" s="1"/>
  <c r="O237" i="29" s="1"/>
  <c r="K245" i="29"/>
  <c r="N245" i="29" s="1"/>
  <c r="O245" i="29" s="1"/>
  <c r="K253" i="29"/>
  <c r="N253" i="29" s="1"/>
  <c r="O253" i="29" s="1"/>
  <c r="K261" i="29"/>
  <c r="N261" i="29" s="1"/>
  <c r="O261" i="29" s="1"/>
  <c r="K269" i="29"/>
  <c r="N269" i="29" s="1"/>
  <c r="O269" i="29" s="1"/>
  <c r="K277" i="29"/>
  <c r="N277" i="29" s="1"/>
  <c r="O277" i="29" s="1"/>
  <c r="K285" i="29"/>
  <c r="N285" i="29" s="1"/>
  <c r="O285" i="29" s="1"/>
  <c r="K293" i="29"/>
  <c r="N293" i="29" s="1"/>
  <c r="O293" i="29" s="1"/>
  <c r="K301" i="29"/>
  <c r="N301" i="29" s="1"/>
  <c r="O301" i="29" s="1"/>
  <c r="K309" i="29"/>
  <c r="N309" i="29" s="1"/>
  <c r="O309" i="29" s="1"/>
  <c r="K317" i="29"/>
  <c r="N317" i="29" s="1"/>
  <c r="O317" i="29" s="1"/>
  <c r="K325" i="29"/>
  <c r="N325" i="29" s="1"/>
  <c r="O325" i="29" s="1"/>
  <c r="K333" i="29"/>
  <c r="N333" i="29" s="1"/>
  <c r="O333" i="29" s="1"/>
  <c r="K341" i="29"/>
  <c r="N341" i="29" s="1"/>
  <c r="O341" i="29" s="1"/>
  <c r="K349" i="29"/>
  <c r="N349" i="29" s="1"/>
  <c r="O349" i="29" s="1"/>
  <c r="K357" i="29"/>
  <c r="N357" i="29" s="1"/>
  <c r="O357" i="29" s="1"/>
  <c r="K365" i="29"/>
  <c r="N365" i="29" s="1"/>
  <c r="O365" i="29" s="1"/>
  <c r="K381" i="29"/>
  <c r="N381" i="29" s="1"/>
  <c r="O381" i="29" s="1"/>
  <c r="K397" i="29"/>
  <c r="N397" i="29" s="1"/>
  <c r="O397" i="29" s="1"/>
  <c r="K413" i="29"/>
  <c r="N413" i="29" s="1"/>
  <c r="O413" i="29" s="1"/>
  <c r="K429" i="29"/>
  <c r="N429" i="29" s="1"/>
  <c r="O429" i="29" s="1"/>
  <c r="K445" i="29"/>
  <c r="N445" i="29" s="1"/>
  <c r="O445" i="29" s="1"/>
  <c r="K466" i="29"/>
  <c r="N466" i="29" s="1"/>
  <c r="O466" i="29" s="1"/>
  <c r="K470" i="29"/>
  <c r="N470" i="29" s="1"/>
  <c r="O470" i="29" s="1"/>
  <c r="K480" i="29"/>
  <c r="N480" i="29" s="1"/>
  <c r="O480" i="29" s="1"/>
  <c r="K484" i="29"/>
  <c r="N484" i="29" s="1"/>
  <c r="O484" i="29" s="1"/>
  <c r="K498" i="29"/>
  <c r="N498" i="29" s="1"/>
  <c r="O498" i="29" s="1"/>
  <c r="K502" i="29"/>
  <c r="N502" i="29" s="1"/>
  <c r="O502" i="29" s="1"/>
  <c r="K512" i="29"/>
  <c r="N512" i="29" s="1"/>
  <c r="O512" i="29" s="1"/>
  <c r="K516" i="29"/>
  <c r="N516" i="29" s="1"/>
  <c r="O516" i="29" s="1"/>
  <c r="K530" i="29"/>
  <c r="N530" i="29" s="1"/>
  <c r="O530" i="29" s="1"/>
  <c r="K534" i="29"/>
  <c r="N534" i="29" s="1"/>
  <c r="O534" i="29" s="1"/>
  <c r="K544" i="29"/>
  <c r="N544" i="29" s="1"/>
  <c r="O544" i="29" s="1"/>
  <c r="K548" i="29"/>
  <c r="N548" i="29" s="1"/>
  <c r="O548" i="29" s="1"/>
  <c r="K562" i="29"/>
  <c r="N562" i="29" s="1"/>
  <c r="O562" i="29" s="1"/>
  <c r="K566" i="29"/>
  <c r="N566" i="29" s="1"/>
  <c r="O566" i="29" s="1"/>
  <c r="K576" i="29"/>
  <c r="N576" i="29" s="1"/>
  <c r="O576" i="29" s="1"/>
  <c r="K580" i="29"/>
  <c r="N580" i="29" s="1"/>
  <c r="O580" i="29" s="1"/>
  <c r="K594" i="29"/>
  <c r="N594" i="29" s="1"/>
  <c r="O594" i="29" s="1"/>
  <c r="K598" i="29"/>
  <c r="N598" i="29" s="1"/>
  <c r="O598" i="29" s="1"/>
  <c r="K608" i="29"/>
  <c r="N608" i="29" s="1"/>
  <c r="O608" i="29" s="1"/>
  <c r="K612" i="29"/>
  <c r="N612" i="29" s="1"/>
  <c r="O612" i="29" s="1"/>
  <c r="K621" i="29"/>
  <c r="N621" i="29" s="1"/>
  <c r="O621" i="29" s="1"/>
  <c r="K635" i="29"/>
  <c r="N635" i="29" s="1"/>
  <c r="O635" i="29" s="1"/>
  <c r="K653" i="29"/>
  <c r="N653" i="29" s="1"/>
  <c r="O653" i="29" s="1"/>
  <c r="K667" i="29"/>
  <c r="N667" i="29" s="1"/>
  <c r="O667" i="29" s="1"/>
  <c r="K685" i="29"/>
  <c r="N685" i="29" s="1"/>
  <c r="O685" i="29" s="1"/>
  <c r="K699" i="29"/>
  <c r="N699" i="29" s="1"/>
  <c r="O699" i="29" s="1"/>
  <c r="K717" i="29"/>
  <c r="N717" i="29" s="1"/>
  <c r="O717" i="29" s="1"/>
  <c r="K731" i="29"/>
  <c r="N731" i="29" s="1"/>
  <c r="O731" i="29" s="1"/>
  <c r="K749" i="29"/>
  <c r="N749" i="29" s="1"/>
  <c r="O749" i="29" s="1"/>
  <c r="K763" i="29"/>
  <c r="N763" i="29" s="1"/>
  <c r="O763" i="29" s="1"/>
  <c r="K781" i="29"/>
  <c r="N781" i="29" s="1"/>
  <c r="O781" i="29" s="1"/>
  <c r="K795" i="29"/>
  <c r="N795" i="29" s="1"/>
  <c r="O795" i="29" s="1"/>
  <c r="K813" i="29"/>
  <c r="N813" i="29" s="1"/>
  <c r="O813" i="29" s="1"/>
  <c r="K830" i="29"/>
  <c r="N830" i="29" s="1"/>
  <c r="O830" i="29" s="1"/>
  <c r="K860" i="29"/>
  <c r="N860" i="29" s="1"/>
  <c r="O860" i="29" s="1"/>
  <c r="K904" i="29"/>
  <c r="N904" i="29" s="1"/>
  <c r="O904" i="29" s="1"/>
  <c r="K922" i="29"/>
  <c r="N922" i="29" s="1"/>
  <c r="O922" i="29" s="1"/>
  <c r="K930" i="29"/>
  <c r="N930" i="29" s="1"/>
  <c r="O930" i="29" s="1"/>
  <c r="L6" i="163"/>
  <c r="J15" i="163"/>
  <c r="J15" i="131" s="1"/>
  <c r="F38" i="39"/>
  <c r="F64" i="197" s="1"/>
  <c r="E7" i="58"/>
  <c r="B9" i="58"/>
  <c r="D32" i="114"/>
  <c r="F32" i="83"/>
  <c r="F32" i="114" s="1"/>
  <c r="K124" i="29"/>
  <c r="N124" i="29" s="1"/>
  <c r="O124" i="29" s="1"/>
  <c r="K132" i="29"/>
  <c r="N132" i="29" s="1"/>
  <c r="O132" i="29" s="1"/>
  <c r="K140" i="29"/>
  <c r="N140" i="29" s="1"/>
  <c r="O140" i="29" s="1"/>
  <c r="K148" i="29"/>
  <c r="N148" i="29" s="1"/>
  <c r="O148" i="29" s="1"/>
  <c r="K156" i="29"/>
  <c r="N156" i="29" s="1"/>
  <c r="O156" i="29" s="1"/>
  <c r="K164" i="29"/>
  <c r="N164" i="29" s="1"/>
  <c r="O164" i="29" s="1"/>
  <c r="K172" i="29"/>
  <c r="N172" i="29" s="1"/>
  <c r="O172" i="29" s="1"/>
  <c r="K180" i="29"/>
  <c r="N180" i="29" s="1"/>
  <c r="O180" i="29" s="1"/>
  <c r="K188" i="29"/>
  <c r="N188" i="29" s="1"/>
  <c r="O188" i="29" s="1"/>
  <c r="K196" i="29"/>
  <c r="N196" i="29" s="1"/>
  <c r="O196" i="29" s="1"/>
  <c r="K204" i="29"/>
  <c r="N204" i="29" s="1"/>
  <c r="O204" i="29" s="1"/>
  <c r="K212" i="29"/>
  <c r="N212" i="29" s="1"/>
  <c r="O212" i="29" s="1"/>
  <c r="K220" i="29"/>
  <c r="N220" i="29" s="1"/>
  <c r="O220" i="29" s="1"/>
  <c r="K228" i="29"/>
  <c r="N228" i="29" s="1"/>
  <c r="O228" i="29" s="1"/>
  <c r="K236" i="29"/>
  <c r="N236" i="29" s="1"/>
  <c r="O236" i="29" s="1"/>
  <c r="K244" i="29"/>
  <c r="N244" i="29" s="1"/>
  <c r="O244" i="29" s="1"/>
  <c r="K252" i="29"/>
  <c r="N252" i="29" s="1"/>
  <c r="O252" i="29" s="1"/>
  <c r="K260" i="29"/>
  <c r="N260" i="29" s="1"/>
  <c r="O260" i="29" s="1"/>
  <c r="K268" i="29"/>
  <c r="N268" i="29" s="1"/>
  <c r="O268" i="29" s="1"/>
  <c r="K276" i="29"/>
  <c r="N276" i="29" s="1"/>
  <c r="O276" i="29" s="1"/>
  <c r="K284" i="29"/>
  <c r="N284" i="29" s="1"/>
  <c r="O284" i="29" s="1"/>
  <c r="K292" i="29"/>
  <c r="N292" i="29" s="1"/>
  <c r="O292" i="29" s="1"/>
  <c r="K300" i="29"/>
  <c r="N300" i="29" s="1"/>
  <c r="O300" i="29" s="1"/>
  <c r="K308" i="29"/>
  <c r="N308" i="29" s="1"/>
  <c r="O308" i="29" s="1"/>
  <c r="K316" i="29"/>
  <c r="N316" i="29" s="1"/>
  <c r="O316" i="29" s="1"/>
  <c r="K324" i="29"/>
  <c r="N324" i="29" s="1"/>
  <c r="O324" i="29" s="1"/>
  <c r="K332" i="29"/>
  <c r="N332" i="29" s="1"/>
  <c r="O332" i="29" s="1"/>
  <c r="K340" i="29"/>
  <c r="N340" i="29" s="1"/>
  <c r="O340" i="29" s="1"/>
  <c r="K348" i="29"/>
  <c r="N348" i="29" s="1"/>
  <c r="O348" i="29" s="1"/>
  <c r="K356" i="29"/>
  <c r="N356" i="29" s="1"/>
  <c r="O356" i="29" s="1"/>
  <c r="K364" i="29"/>
  <c r="N364" i="29" s="1"/>
  <c r="O364" i="29" s="1"/>
  <c r="K374" i="29"/>
  <c r="N374" i="29" s="1"/>
  <c r="O374" i="29" s="1"/>
  <c r="K380" i="29"/>
  <c r="N380" i="29" s="1"/>
  <c r="O380" i="29" s="1"/>
  <c r="K390" i="29"/>
  <c r="N390" i="29" s="1"/>
  <c r="O390" i="29" s="1"/>
  <c r="K396" i="29"/>
  <c r="N396" i="29" s="1"/>
  <c r="O396" i="29" s="1"/>
  <c r="K406" i="29"/>
  <c r="N406" i="29" s="1"/>
  <c r="O406" i="29" s="1"/>
  <c r="K412" i="29"/>
  <c r="N412" i="29" s="1"/>
  <c r="O412" i="29" s="1"/>
  <c r="K422" i="29"/>
  <c r="N422" i="29" s="1"/>
  <c r="O422" i="29" s="1"/>
  <c r="K428" i="29"/>
  <c r="N428" i="29" s="1"/>
  <c r="O428" i="29" s="1"/>
  <c r="K438" i="29"/>
  <c r="N438" i="29" s="1"/>
  <c r="O438" i="29" s="1"/>
  <c r="K444" i="29"/>
  <c r="N444" i="29" s="1"/>
  <c r="O444" i="29" s="1"/>
  <c r="K454" i="29"/>
  <c r="N454" i="29" s="1"/>
  <c r="O454" i="29" s="1"/>
  <c r="K465" i="29"/>
  <c r="N465" i="29" s="1"/>
  <c r="O465" i="29" s="1"/>
  <c r="K469" i="29"/>
  <c r="N469" i="29" s="1"/>
  <c r="O469" i="29" s="1"/>
  <c r="K497" i="29"/>
  <c r="N497" i="29" s="1"/>
  <c r="O497" i="29" s="1"/>
  <c r="K529" i="29"/>
  <c r="N529" i="29" s="1"/>
  <c r="O529" i="29" s="1"/>
  <c r="K561" i="29"/>
  <c r="N561" i="29" s="1"/>
  <c r="O561" i="29" s="1"/>
  <c r="K593" i="29"/>
  <c r="N593" i="29" s="1"/>
  <c r="O593" i="29" s="1"/>
  <c r="K615" i="29"/>
  <c r="N615" i="29" s="1"/>
  <c r="O615" i="29" s="1"/>
  <c r="K620" i="29"/>
  <c r="N620" i="29" s="1"/>
  <c r="O620" i="29" s="1"/>
  <c r="K624" i="29"/>
  <c r="N624" i="29" s="1"/>
  <c r="O624" i="29" s="1"/>
  <c r="K634" i="29"/>
  <c r="N634" i="29" s="1"/>
  <c r="O634" i="29" s="1"/>
  <c r="K638" i="29"/>
  <c r="N638" i="29" s="1"/>
  <c r="O638" i="29" s="1"/>
  <c r="K652" i="29"/>
  <c r="N652" i="29" s="1"/>
  <c r="O652" i="29" s="1"/>
  <c r="K656" i="29"/>
  <c r="N656" i="29" s="1"/>
  <c r="O656" i="29" s="1"/>
  <c r="K666" i="29"/>
  <c r="N666" i="29" s="1"/>
  <c r="O666" i="29" s="1"/>
  <c r="K670" i="29"/>
  <c r="N670" i="29" s="1"/>
  <c r="O670" i="29" s="1"/>
  <c r="K684" i="29"/>
  <c r="N684" i="29" s="1"/>
  <c r="O684" i="29" s="1"/>
  <c r="K688" i="29"/>
  <c r="N688" i="29" s="1"/>
  <c r="O688" i="29" s="1"/>
  <c r="K698" i="29"/>
  <c r="N698" i="29" s="1"/>
  <c r="O698" i="29" s="1"/>
  <c r="K702" i="29"/>
  <c r="N702" i="29" s="1"/>
  <c r="O702" i="29" s="1"/>
  <c r="K716" i="29"/>
  <c r="N716" i="29" s="1"/>
  <c r="O716" i="29" s="1"/>
  <c r="K720" i="29"/>
  <c r="N720" i="29" s="1"/>
  <c r="O720" i="29" s="1"/>
  <c r="K730" i="29"/>
  <c r="N730" i="29" s="1"/>
  <c r="O730" i="29" s="1"/>
  <c r="K734" i="29"/>
  <c r="N734" i="29" s="1"/>
  <c r="O734" i="29" s="1"/>
  <c r="K748" i="29"/>
  <c r="N748" i="29" s="1"/>
  <c r="O748" i="29" s="1"/>
  <c r="K752" i="29"/>
  <c r="N752" i="29" s="1"/>
  <c r="O752" i="29" s="1"/>
  <c r="K762" i="29"/>
  <c r="N762" i="29" s="1"/>
  <c r="O762" i="29" s="1"/>
  <c r="K766" i="29"/>
  <c r="N766" i="29" s="1"/>
  <c r="O766" i="29" s="1"/>
  <c r="K780" i="29"/>
  <c r="N780" i="29" s="1"/>
  <c r="O780" i="29" s="1"/>
  <c r="K784" i="29"/>
  <c r="N784" i="29" s="1"/>
  <c r="O784" i="29" s="1"/>
  <c r="K794" i="29"/>
  <c r="N794" i="29" s="1"/>
  <c r="O794" i="29" s="1"/>
  <c r="K798" i="29"/>
  <c r="N798" i="29" s="1"/>
  <c r="O798" i="29" s="1"/>
  <c r="K812" i="29"/>
  <c r="N812" i="29" s="1"/>
  <c r="O812" i="29" s="1"/>
  <c r="K816" i="29"/>
  <c r="N816" i="29" s="1"/>
  <c r="O816" i="29" s="1"/>
  <c r="K822" i="29"/>
  <c r="N822" i="29" s="1"/>
  <c r="O822" i="29" s="1"/>
  <c r="K829" i="29"/>
  <c r="N829" i="29" s="1"/>
  <c r="O829" i="29" s="1"/>
  <c r="K833" i="29"/>
  <c r="N833" i="29" s="1"/>
  <c r="O833" i="29" s="1"/>
  <c r="K886" i="29"/>
  <c r="N886" i="29" s="1"/>
  <c r="O886" i="29" s="1"/>
  <c r="B9" i="56"/>
  <c r="E7" i="56"/>
  <c r="K360" i="29"/>
  <c r="N360" i="29" s="1"/>
  <c r="O360" i="29" s="1"/>
  <c r="K368" i="29"/>
  <c r="N368" i="29" s="1"/>
  <c r="O368" i="29" s="1"/>
  <c r="K376" i="29"/>
  <c r="N376" i="29" s="1"/>
  <c r="O376" i="29" s="1"/>
  <c r="K384" i="29"/>
  <c r="N384" i="29" s="1"/>
  <c r="O384" i="29" s="1"/>
  <c r="K392" i="29"/>
  <c r="N392" i="29" s="1"/>
  <c r="O392" i="29" s="1"/>
  <c r="K400" i="29"/>
  <c r="N400" i="29" s="1"/>
  <c r="O400" i="29" s="1"/>
  <c r="K408" i="29"/>
  <c r="N408" i="29" s="1"/>
  <c r="O408" i="29" s="1"/>
  <c r="K416" i="29"/>
  <c r="N416" i="29" s="1"/>
  <c r="O416" i="29" s="1"/>
  <c r="K424" i="29"/>
  <c r="N424" i="29" s="1"/>
  <c r="O424" i="29" s="1"/>
  <c r="K432" i="29"/>
  <c r="N432" i="29" s="1"/>
  <c r="O432" i="29" s="1"/>
  <c r="K440" i="29"/>
  <c r="N440" i="29" s="1"/>
  <c r="O440" i="29" s="1"/>
  <c r="K448" i="29"/>
  <c r="N448" i="29" s="1"/>
  <c r="O448" i="29" s="1"/>
  <c r="K457" i="29"/>
  <c r="N457" i="29" s="1"/>
  <c r="O457" i="29" s="1"/>
  <c r="K473" i="29"/>
  <c r="N473" i="29" s="1"/>
  <c r="O473" i="29" s="1"/>
  <c r="K489" i="29"/>
  <c r="N489" i="29" s="1"/>
  <c r="O489" i="29" s="1"/>
  <c r="K505" i="29"/>
  <c r="N505" i="29" s="1"/>
  <c r="O505" i="29" s="1"/>
  <c r="K521" i="29"/>
  <c r="N521" i="29" s="1"/>
  <c r="O521" i="29" s="1"/>
  <c r="K537" i="29"/>
  <c r="N537" i="29" s="1"/>
  <c r="O537" i="29" s="1"/>
  <c r="K553" i="29"/>
  <c r="N553" i="29" s="1"/>
  <c r="O553" i="29" s="1"/>
  <c r="K569" i="29"/>
  <c r="N569" i="29" s="1"/>
  <c r="O569" i="29" s="1"/>
  <c r="K585" i="29"/>
  <c r="N585" i="29" s="1"/>
  <c r="O585" i="29" s="1"/>
  <c r="K601" i="29"/>
  <c r="N601" i="29" s="1"/>
  <c r="O601" i="29" s="1"/>
  <c r="K627" i="29"/>
  <c r="N627" i="29" s="1"/>
  <c r="O627" i="29" s="1"/>
  <c r="K629" i="29"/>
  <c r="N629" i="29" s="1"/>
  <c r="O629" i="29" s="1"/>
  <c r="K643" i="29"/>
  <c r="N643" i="29" s="1"/>
  <c r="O643" i="29" s="1"/>
  <c r="K645" i="29"/>
  <c r="N645" i="29" s="1"/>
  <c r="O645" i="29" s="1"/>
  <c r="K659" i="29"/>
  <c r="N659" i="29" s="1"/>
  <c r="O659" i="29" s="1"/>
  <c r="K661" i="29"/>
  <c r="N661" i="29" s="1"/>
  <c r="O661" i="29" s="1"/>
  <c r="K675" i="29"/>
  <c r="N675" i="29" s="1"/>
  <c r="O675" i="29" s="1"/>
  <c r="K677" i="29"/>
  <c r="N677" i="29" s="1"/>
  <c r="O677" i="29" s="1"/>
  <c r="K691" i="29"/>
  <c r="N691" i="29" s="1"/>
  <c r="O691" i="29" s="1"/>
  <c r="K693" i="29"/>
  <c r="N693" i="29" s="1"/>
  <c r="O693" i="29" s="1"/>
  <c r="K707" i="29"/>
  <c r="N707" i="29" s="1"/>
  <c r="O707" i="29" s="1"/>
  <c r="K709" i="29"/>
  <c r="N709" i="29" s="1"/>
  <c r="O709" i="29" s="1"/>
  <c r="K723" i="29"/>
  <c r="N723" i="29" s="1"/>
  <c r="O723" i="29" s="1"/>
  <c r="K725" i="29"/>
  <c r="N725" i="29" s="1"/>
  <c r="O725" i="29" s="1"/>
  <c r="K739" i="29"/>
  <c r="N739" i="29" s="1"/>
  <c r="O739" i="29" s="1"/>
  <c r="K741" i="29"/>
  <c r="N741" i="29" s="1"/>
  <c r="O741" i="29" s="1"/>
  <c r="K755" i="29"/>
  <c r="N755" i="29" s="1"/>
  <c r="O755" i="29" s="1"/>
  <c r="K757" i="29"/>
  <c r="N757" i="29" s="1"/>
  <c r="O757" i="29" s="1"/>
  <c r="K771" i="29"/>
  <c r="N771" i="29" s="1"/>
  <c r="O771" i="29" s="1"/>
  <c r="K773" i="29"/>
  <c r="N773" i="29" s="1"/>
  <c r="O773" i="29" s="1"/>
  <c r="K787" i="29"/>
  <c r="N787" i="29" s="1"/>
  <c r="O787" i="29" s="1"/>
  <c r="K789" i="29"/>
  <c r="N789" i="29" s="1"/>
  <c r="O789" i="29" s="1"/>
  <c r="K803" i="29"/>
  <c r="N803" i="29" s="1"/>
  <c r="O803" i="29" s="1"/>
  <c r="K805" i="29"/>
  <c r="N805" i="29" s="1"/>
  <c r="O805" i="29" s="1"/>
  <c r="K819" i="29"/>
  <c r="N819" i="29" s="1"/>
  <c r="O819" i="29" s="1"/>
  <c r="K820" i="29"/>
  <c r="N820" i="29" s="1"/>
  <c r="O820" i="29" s="1"/>
  <c r="K838" i="29"/>
  <c r="N838" i="29" s="1"/>
  <c r="O838" i="29" s="1"/>
  <c r="K845" i="29"/>
  <c r="N845" i="29" s="1"/>
  <c r="O845" i="29" s="1"/>
  <c r="K847" i="29"/>
  <c r="N847" i="29" s="1"/>
  <c r="O847" i="29" s="1"/>
  <c r="K888" i="29"/>
  <c r="N888" i="29" s="1"/>
  <c r="O888" i="29" s="1"/>
  <c r="K920" i="29"/>
  <c r="N920" i="29" s="1"/>
  <c r="O920" i="29" s="1"/>
  <c r="K928" i="29"/>
  <c r="N928" i="29" s="1"/>
  <c r="O928" i="29" s="1"/>
  <c r="K944" i="29"/>
  <c r="N944" i="29" s="1"/>
  <c r="O944" i="29" s="1"/>
  <c r="K975" i="29"/>
  <c r="N975" i="29" s="1"/>
  <c r="O975" i="29" s="1"/>
  <c r="K979" i="29"/>
  <c r="N979" i="29" s="1"/>
  <c r="O979" i="29" s="1"/>
  <c r="K980" i="29"/>
  <c r="N980" i="29" s="1"/>
  <c r="O980" i="29" s="1"/>
  <c r="K1003" i="29"/>
  <c r="N1003" i="29" s="1"/>
  <c r="O1003" i="29" s="1"/>
  <c r="K1004" i="29"/>
  <c r="N1004" i="29" s="1"/>
  <c r="O1004" i="29" s="1"/>
  <c r="O12" i="30"/>
  <c r="J7" i="33"/>
  <c r="G7" i="33" s="1"/>
  <c r="E17" i="189"/>
  <c r="H16" i="42"/>
  <c r="C33" i="47"/>
  <c r="G33" i="47" s="1"/>
  <c r="F33" i="47" s="1"/>
  <c r="G10" i="47"/>
  <c r="C28" i="47" s="1"/>
  <c r="G28" i="47" s="1"/>
  <c r="F28" i="47" s="1"/>
  <c r="C24" i="122"/>
  <c r="D24" i="114"/>
  <c r="F24" i="83"/>
  <c r="F24" i="114" s="1"/>
  <c r="K483" i="29"/>
  <c r="N483" i="29" s="1"/>
  <c r="O483" i="29" s="1"/>
  <c r="K485" i="29"/>
  <c r="N485" i="29" s="1"/>
  <c r="O485" i="29" s="1"/>
  <c r="K499" i="29"/>
  <c r="N499" i="29" s="1"/>
  <c r="O499" i="29" s="1"/>
  <c r="K501" i="29"/>
  <c r="N501" i="29" s="1"/>
  <c r="O501" i="29" s="1"/>
  <c r="K515" i="29"/>
  <c r="N515" i="29" s="1"/>
  <c r="O515" i="29" s="1"/>
  <c r="K517" i="29"/>
  <c r="N517" i="29" s="1"/>
  <c r="O517" i="29" s="1"/>
  <c r="K531" i="29"/>
  <c r="N531" i="29" s="1"/>
  <c r="O531" i="29" s="1"/>
  <c r="K533" i="29"/>
  <c r="N533" i="29" s="1"/>
  <c r="O533" i="29" s="1"/>
  <c r="K547" i="29"/>
  <c r="N547" i="29" s="1"/>
  <c r="O547" i="29" s="1"/>
  <c r="K549" i="29"/>
  <c r="N549" i="29" s="1"/>
  <c r="O549" i="29" s="1"/>
  <c r="K563" i="29"/>
  <c r="N563" i="29" s="1"/>
  <c r="O563" i="29" s="1"/>
  <c r="K565" i="29"/>
  <c r="N565" i="29" s="1"/>
  <c r="O565" i="29" s="1"/>
  <c r="K579" i="29"/>
  <c r="N579" i="29" s="1"/>
  <c r="O579" i="29" s="1"/>
  <c r="K581" i="29"/>
  <c r="N581" i="29" s="1"/>
  <c r="O581" i="29" s="1"/>
  <c r="K595" i="29"/>
  <c r="N595" i="29" s="1"/>
  <c r="O595" i="29" s="1"/>
  <c r="K597" i="29"/>
  <c r="N597" i="29" s="1"/>
  <c r="O597" i="29" s="1"/>
  <c r="K611" i="29"/>
  <c r="N611" i="29" s="1"/>
  <c r="O611" i="29" s="1"/>
  <c r="K837" i="29"/>
  <c r="N837" i="29" s="1"/>
  <c r="O837" i="29" s="1"/>
  <c r="K875" i="29"/>
  <c r="N875" i="29" s="1"/>
  <c r="O875" i="29" s="1"/>
  <c r="K885" i="29"/>
  <c r="N885" i="29" s="1"/>
  <c r="O885" i="29" s="1"/>
  <c r="K905" i="29"/>
  <c r="N905" i="29" s="1"/>
  <c r="O905" i="29" s="1"/>
  <c r="K917" i="29"/>
  <c r="N917" i="29" s="1"/>
  <c r="O917" i="29" s="1"/>
  <c r="K927" i="29"/>
  <c r="N927" i="29" s="1"/>
  <c r="O927" i="29" s="1"/>
  <c r="K931" i="29"/>
  <c r="N931" i="29" s="1"/>
  <c r="O931" i="29" s="1"/>
  <c r="K937" i="29"/>
  <c r="N937" i="29" s="1"/>
  <c r="O937" i="29" s="1"/>
  <c r="K943" i="29"/>
  <c r="N943" i="29" s="1"/>
  <c r="O943" i="29" s="1"/>
  <c r="K947" i="29"/>
  <c r="N947" i="29" s="1"/>
  <c r="O947" i="29" s="1"/>
  <c r="K974" i="29"/>
  <c r="N974" i="29" s="1"/>
  <c r="O974" i="29" s="1"/>
  <c r="D19" i="162"/>
  <c r="D19" i="130" s="1"/>
  <c r="F37" i="39"/>
  <c r="F63" i="197" s="1"/>
  <c r="D20" i="43"/>
  <c r="D40" i="41"/>
  <c r="D6" i="17"/>
  <c r="G6" i="54"/>
  <c r="H6" i="54"/>
  <c r="E14" i="56"/>
  <c r="E12" i="63"/>
  <c r="M70" i="90" s="1" a="1"/>
  <c r="M70" i="90" s="1"/>
  <c r="K828" i="29"/>
  <c r="N828" i="29" s="1"/>
  <c r="O828" i="29" s="1"/>
  <c r="K844" i="29"/>
  <c r="N844" i="29" s="1"/>
  <c r="O844" i="29" s="1"/>
  <c r="K863" i="29"/>
  <c r="N863" i="29" s="1"/>
  <c r="O863" i="29" s="1"/>
  <c r="K877" i="29"/>
  <c r="N877" i="29" s="1"/>
  <c r="O877" i="29" s="1"/>
  <c r="K882" i="29"/>
  <c r="N882" i="29" s="1"/>
  <c r="O882" i="29" s="1"/>
  <c r="K884" i="29"/>
  <c r="N884" i="29" s="1"/>
  <c r="O884" i="29" s="1"/>
  <c r="K891" i="29"/>
  <c r="N891" i="29" s="1"/>
  <c r="O891" i="29" s="1"/>
  <c r="K898" i="29"/>
  <c r="N898" i="29" s="1"/>
  <c r="O898" i="29" s="1"/>
  <c r="K900" i="29"/>
  <c r="N900" i="29" s="1"/>
  <c r="O900" i="29" s="1"/>
  <c r="K907" i="29"/>
  <c r="N907" i="29" s="1"/>
  <c r="O907" i="29" s="1"/>
  <c r="K914" i="29"/>
  <c r="N914" i="29" s="1"/>
  <c r="O914" i="29" s="1"/>
  <c r="K916" i="29"/>
  <c r="N916" i="29" s="1"/>
  <c r="O916" i="29" s="1"/>
  <c r="K923" i="29"/>
  <c r="N923" i="29" s="1"/>
  <c r="O923" i="29" s="1"/>
  <c r="K924" i="29"/>
  <c r="N924" i="29" s="1"/>
  <c r="O924" i="29" s="1"/>
  <c r="K933" i="29"/>
  <c r="N933" i="29" s="1"/>
  <c r="O933" i="29" s="1"/>
  <c r="K949" i="29"/>
  <c r="N949" i="29" s="1"/>
  <c r="O949" i="29" s="1"/>
  <c r="K962" i="29"/>
  <c r="N962" i="29" s="1"/>
  <c r="O962" i="29" s="1"/>
  <c r="K964" i="29"/>
  <c r="N964" i="29" s="1"/>
  <c r="O964" i="29" s="1"/>
  <c r="K981" i="29"/>
  <c r="N981" i="29" s="1"/>
  <c r="O981" i="29" s="1"/>
  <c r="K988" i="29"/>
  <c r="N988" i="29" s="1"/>
  <c r="O988" i="29" s="1"/>
  <c r="K1002" i="29"/>
  <c r="N1002" i="29" s="1"/>
  <c r="O1002" i="29" s="1"/>
  <c r="M7" i="30"/>
  <c r="G29" i="136"/>
  <c r="G24" i="136" s="1"/>
  <c r="I21" i="36"/>
  <c r="D22" i="36" s="1"/>
  <c r="F29" i="39"/>
  <c r="C24" i="128"/>
  <c r="D46" i="197" s="1"/>
  <c r="E20" i="43"/>
  <c r="F25" i="42"/>
  <c r="C31" i="52"/>
  <c r="D29" i="52"/>
  <c r="H7" i="54"/>
  <c r="E14" i="58"/>
  <c r="M65" i="90" s="1" a="1"/>
  <c r="M65" i="90" s="1"/>
  <c r="F27" i="59"/>
  <c r="M66" i="90" s="1" a="1"/>
  <c r="M66" i="90" s="1"/>
  <c r="F16" i="83"/>
  <c r="F16" i="114" s="1"/>
  <c r="F44" i="83"/>
  <c r="F44" i="114" s="1"/>
  <c r="D52" i="114"/>
  <c r="F52" i="83"/>
  <c r="F52" i="114" s="1"/>
  <c r="K932" i="29"/>
  <c r="N932" i="29" s="1"/>
  <c r="O932" i="29" s="1"/>
  <c r="K939" i="29"/>
  <c r="N939" i="29" s="1"/>
  <c r="O939" i="29" s="1"/>
  <c r="K956" i="29"/>
  <c r="N956" i="29" s="1"/>
  <c r="O956" i="29" s="1"/>
  <c r="K972" i="29"/>
  <c r="N972" i="29" s="1"/>
  <c r="O972" i="29" s="1"/>
  <c r="K991" i="29"/>
  <c r="N991" i="29" s="1"/>
  <c r="O991" i="29" s="1"/>
  <c r="D29" i="136"/>
  <c r="I7" i="30"/>
  <c r="K17" i="30"/>
  <c r="H28" i="30" s="1"/>
  <c r="E17" i="136"/>
  <c r="E16" i="136" s="1"/>
  <c r="E22" i="33"/>
  <c r="E24" i="33" s="1"/>
  <c r="G20" i="33"/>
  <c r="J18" i="35"/>
  <c r="D18" i="161"/>
  <c r="D15" i="129" s="1"/>
  <c r="F17" i="128" s="1"/>
  <c r="F92" i="197" s="1"/>
  <c r="G12" i="189"/>
  <c r="F25" i="39"/>
  <c r="F56" i="197" s="1"/>
  <c r="E40" i="41"/>
  <c r="C9" i="124" s="1"/>
  <c r="F20" i="43"/>
  <c r="G9" i="47"/>
  <c r="C21" i="47" s="1"/>
  <c r="G21" i="47" s="1"/>
  <c r="F21" i="47" s="1"/>
  <c r="E56" i="48"/>
  <c r="E14" i="57"/>
  <c r="M64" i="90" s="1" a="1"/>
  <c r="M64" i="90" s="1"/>
  <c r="H15" i="61"/>
  <c r="M68" i="90" s="1" a="1"/>
  <c r="M68" i="90" s="1"/>
  <c r="E12" i="64"/>
  <c r="M71" i="90" s="1" a="1"/>
  <c r="M71" i="90" s="1"/>
  <c r="F12" i="83"/>
  <c r="F12" i="114" s="1"/>
  <c r="F20" i="83"/>
  <c r="F20" i="114" s="1"/>
  <c r="F28" i="83"/>
  <c r="F28" i="114" s="1"/>
  <c r="F40" i="83"/>
  <c r="F40" i="114" s="1"/>
  <c r="F26" i="128"/>
  <c r="F96" i="197" s="1"/>
  <c r="G16" i="133"/>
  <c r="E12" i="30"/>
  <c r="K12" i="30"/>
  <c r="E29" i="136" s="1"/>
  <c r="E24" i="136" s="1"/>
  <c r="F16" i="136"/>
  <c r="H14" i="162"/>
  <c r="H14" i="130" s="1"/>
  <c r="K15" i="163"/>
  <c r="K15" i="131" s="1"/>
  <c r="D8" i="128" s="1"/>
  <c r="L8" i="163"/>
  <c r="F17" i="189"/>
  <c r="E19" i="54"/>
  <c r="F18" i="65"/>
  <c r="C27" i="65" s="1"/>
  <c r="F30" i="128"/>
  <c r="F97" i="197" s="1"/>
  <c r="F27" i="136"/>
  <c r="F26" i="136"/>
  <c r="C7" i="30"/>
  <c r="C29" i="136"/>
  <c r="D10" i="136"/>
  <c r="D8" i="136"/>
  <c r="D9" i="136"/>
  <c r="D11" i="136"/>
  <c r="J8" i="29"/>
  <c r="F9" i="28"/>
  <c r="F12" i="28"/>
  <c r="G5" i="4"/>
  <c r="F5" i="4"/>
  <c r="D5" i="14"/>
  <c r="A47" i="12"/>
  <c r="C39" i="23"/>
  <c r="C13" i="28"/>
  <c r="F8" i="28"/>
  <c r="C7" i="136" s="1"/>
  <c r="D13" i="28"/>
  <c r="F11" i="28"/>
  <c r="C10" i="136" s="1"/>
  <c r="D53" i="4"/>
  <c r="I17" i="196" s="1"/>
  <c r="I23" i="24"/>
  <c r="E13" i="28"/>
  <c r="F10" i="28"/>
  <c r="C9" i="136" s="1"/>
  <c r="J14" i="27"/>
  <c r="D23" i="28"/>
  <c r="F17" i="49"/>
  <c r="H13" i="49"/>
  <c r="C17" i="124" s="1"/>
  <c r="J6" i="60"/>
  <c r="H12" i="60"/>
  <c r="E4" i="62"/>
  <c r="G4" i="61"/>
  <c r="G4" i="65"/>
  <c r="H3" i="60"/>
  <c r="E4" i="59"/>
  <c r="E4" i="57"/>
  <c r="F5" i="66"/>
  <c r="E4" i="58"/>
  <c r="M4" i="46"/>
  <c r="H5" i="41"/>
  <c r="E4" i="39"/>
  <c r="G3" i="84"/>
  <c r="F4" i="48"/>
  <c r="J4" i="35"/>
  <c r="I4" i="34"/>
  <c r="J4" i="33"/>
  <c r="F5" i="31"/>
  <c r="E4" i="63"/>
  <c r="I4" i="49"/>
  <c r="G5" i="43"/>
  <c r="J4" i="42"/>
  <c r="E4" i="64"/>
  <c r="G3" i="54"/>
  <c r="F3" i="53"/>
  <c r="F32" i="48"/>
  <c r="F4" i="47"/>
  <c r="G5" i="44"/>
  <c r="H4" i="36"/>
  <c r="I5" i="32"/>
  <c r="F18" i="28"/>
  <c r="G19" i="28"/>
  <c r="G8" i="136" s="1"/>
  <c r="F22" i="28"/>
  <c r="E11" i="136" s="1"/>
  <c r="A2" i="29"/>
  <c r="F8" i="29"/>
  <c r="F4" i="38"/>
  <c r="D17" i="189"/>
  <c r="F21" i="39"/>
  <c r="F50" i="197" s="1"/>
  <c r="G12" i="47"/>
  <c r="H20" i="42"/>
  <c r="C20" i="43"/>
  <c r="H37" i="41"/>
  <c r="C40" i="41"/>
  <c r="B4" i="85"/>
  <c r="F19" i="28"/>
  <c r="E8" i="136" s="1"/>
  <c r="I2" i="84"/>
  <c r="H5" i="11"/>
  <c r="G5" i="19"/>
  <c r="E15" i="48"/>
  <c r="E25" i="48" s="1"/>
  <c r="C10" i="26"/>
  <c r="J5" i="27"/>
  <c r="J9" i="27"/>
  <c r="A3" i="66"/>
  <c r="A2" i="64"/>
  <c r="B4" i="91"/>
  <c r="A2" i="63"/>
  <c r="A2" i="61"/>
  <c r="A2" i="58"/>
  <c r="A2" i="56"/>
  <c r="B3" i="17"/>
  <c r="A4" i="83"/>
  <c r="A2" i="62"/>
  <c r="C2" i="60"/>
  <c r="A5" i="55"/>
  <c r="M62" i="90" s="1" a="1"/>
  <c r="M62" i="90" s="1"/>
  <c r="C2" i="49"/>
  <c r="A2" i="47"/>
  <c r="B3" i="44"/>
  <c r="B3" i="85"/>
  <c r="B3" i="36"/>
  <c r="A2" i="34"/>
  <c r="A2" i="65"/>
  <c r="C2" i="52"/>
  <c r="A3" i="46"/>
  <c r="C3" i="45"/>
  <c r="C3" i="41"/>
  <c r="C2" i="42" s="1"/>
  <c r="A2" i="38"/>
  <c r="A2" i="59"/>
  <c r="A2" i="57"/>
  <c r="C2" i="51"/>
  <c r="A2" i="48"/>
  <c r="A2" i="39"/>
  <c r="C3" i="33"/>
  <c r="C3" i="43"/>
  <c r="C3" i="35"/>
  <c r="A2" i="54"/>
  <c r="A2" i="53"/>
  <c r="C2" i="50"/>
  <c r="A30" i="48"/>
  <c r="B2" i="84"/>
  <c r="A3" i="32"/>
  <c r="C4" i="96"/>
  <c r="C6" i="96"/>
  <c r="C12" i="54"/>
  <c r="C10" i="96"/>
  <c r="D54" i="4"/>
  <c r="I18" i="196" s="1"/>
  <c r="C3" i="10"/>
  <c r="B3" i="13"/>
  <c r="A35" i="18"/>
  <c r="N3" i="20"/>
  <c r="G35" i="47"/>
  <c r="G36" i="47"/>
  <c r="A2" i="26"/>
  <c r="F4" i="28"/>
  <c r="G18" i="28"/>
  <c r="F21" i="28"/>
  <c r="E10" i="136" s="1"/>
  <c r="K3" i="29"/>
  <c r="K123" i="29"/>
  <c r="N123" i="29" s="1"/>
  <c r="O123" i="29" s="1"/>
  <c r="K127" i="29"/>
  <c r="N127" i="29" s="1"/>
  <c r="O127" i="29" s="1"/>
  <c r="K131" i="29"/>
  <c r="N131" i="29" s="1"/>
  <c r="O131" i="29" s="1"/>
  <c r="K135" i="29"/>
  <c r="N135" i="29" s="1"/>
  <c r="O135" i="29" s="1"/>
  <c r="K139" i="29"/>
  <c r="N139" i="29" s="1"/>
  <c r="O139" i="29" s="1"/>
  <c r="K143" i="29"/>
  <c r="N143" i="29" s="1"/>
  <c r="O143" i="29" s="1"/>
  <c r="K147" i="29"/>
  <c r="N147" i="29" s="1"/>
  <c r="O147" i="29" s="1"/>
  <c r="K151" i="29"/>
  <c r="N151" i="29" s="1"/>
  <c r="O151" i="29" s="1"/>
  <c r="K155" i="29"/>
  <c r="N155" i="29" s="1"/>
  <c r="O155" i="29" s="1"/>
  <c r="K159" i="29"/>
  <c r="N159" i="29" s="1"/>
  <c r="O159" i="29" s="1"/>
  <c r="K163" i="29"/>
  <c r="N163" i="29" s="1"/>
  <c r="O163" i="29" s="1"/>
  <c r="K167" i="29"/>
  <c r="N167" i="29" s="1"/>
  <c r="O167" i="29" s="1"/>
  <c r="K171" i="29"/>
  <c r="N171" i="29" s="1"/>
  <c r="O171" i="29" s="1"/>
  <c r="K175" i="29"/>
  <c r="N175" i="29" s="1"/>
  <c r="O175" i="29" s="1"/>
  <c r="K179" i="29"/>
  <c r="N179" i="29" s="1"/>
  <c r="O179" i="29" s="1"/>
  <c r="K183" i="29"/>
  <c r="N183" i="29" s="1"/>
  <c r="O183" i="29" s="1"/>
  <c r="K187" i="29"/>
  <c r="N187" i="29" s="1"/>
  <c r="O187" i="29" s="1"/>
  <c r="K191" i="29"/>
  <c r="N191" i="29" s="1"/>
  <c r="O191" i="29" s="1"/>
  <c r="K195" i="29"/>
  <c r="N195" i="29" s="1"/>
  <c r="O195" i="29" s="1"/>
  <c r="K199" i="29"/>
  <c r="N199" i="29" s="1"/>
  <c r="O199" i="29" s="1"/>
  <c r="K203" i="29"/>
  <c r="N203" i="29" s="1"/>
  <c r="O203" i="29" s="1"/>
  <c r="K207" i="29"/>
  <c r="N207" i="29" s="1"/>
  <c r="O207" i="29" s="1"/>
  <c r="K211" i="29"/>
  <c r="N211" i="29" s="1"/>
  <c r="O211" i="29" s="1"/>
  <c r="K215" i="29"/>
  <c r="N215" i="29" s="1"/>
  <c r="O215" i="29" s="1"/>
  <c r="K219" i="29"/>
  <c r="N219" i="29" s="1"/>
  <c r="O219" i="29" s="1"/>
  <c r="K223" i="29"/>
  <c r="N223" i="29" s="1"/>
  <c r="O223" i="29" s="1"/>
  <c r="K227" i="29"/>
  <c r="N227" i="29" s="1"/>
  <c r="O227" i="29" s="1"/>
  <c r="K231" i="29"/>
  <c r="N231" i="29" s="1"/>
  <c r="O231" i="29" s="1"/>
  <c r="K235" i="29"/>
  <c r="N235" i="29" s="1"/>
  <c r="O235" i="29" s="1"/>
  <c r="K239" i="29"/>
  <c r="N239" i="29" s="1"/>
  <c r="O239" i="29" s="1"/>
  <c r="K243" i="29"/>
  <c r="N243" i="29" s="1"/>
  <c r="O243" i="29" s="1"/>
  <c r="K247" i="29"/>
  <c r="N247" i="29" s="1"/>
  <c r="O247" i="29" s="1"/>
  <c r="K251" i="29"/>
  <c r="N251" i="29" s="1"/>
  <c r="O251" i="29" s="1"/>
  <c r="K255" i="29"/>
  <c r="N255" i="29" s="1"/>
  <c r="O255" i="29" s="1"/>
  <c r="K259" i="29"/>
  <c r="N259" i="29" s="1"/>
  <c r="O259" i="29" s="1"/>
  <c r="K263" i="29"/>
  <c r="N263" i="29" s="1"/>
  <c r="O263" i="29" s="1"/>
  <c r="K267" i="29"/>
  <c r="N267" i="29" s="1"/>
  <c r="O267" i="29" s="1"/>
  <c r="K271" i="29"/>
  <c r="N271" i="29" s="1"/>
  <c r="O271" i="29" s="1"/>
  <c r="K275" i="29"/>
  <c r="N275" i="29" s="1"/>
  <c r="O275" i="29" s="1"/>
  <c r="K279" i="29"/>
  <c r="N279" i="29" s="1"/>
  <c r="O279" i="29" s="1"/>
  <c r="K283" i="29"/>
  <c r="N283" i="29" s="1"/>
  <c r="O283" i="29" s="1"/>
  <c r="K287" i="29"/>
  <c r="N287" i="29" s="1"/>
  <c r="O287" i="29" s="1"/>
  <c r="K291" i="29"/>
  <c r="N291" i="29" s="1"/>
  <c r="O291" i="29" s="1"/>
  <c r="K295" i="29"/>
  <c r="N295" i="29" s="1"/>
  <c r="O295" i="29" s="1"/>
  <c r="K299" i="29"/>
  <c r="N299" i="29" s="1"/>
  <c r="O299" i="29" s="1"/>
  <c r="K303" i="29"/>
  <c r="N303" i="29" s="1"/>
  <c r="O303" i="29" s="1"/>
  <c r="K307" i="29"/>
  <c r="N307" i="29" s="1"/>
  <c r="O307" i="29" s="1"/>
  <c r="K311" i="29"/>
  <c r="N311" i="29" s="1"/>
  <c r="O311" i="29" s="1"/>
  <c r="K315" i="29"/>
  <c r="N315" i="29" s="1"/>
  <c r="O315" i="29" s="1"/>
  <c r="K319" i="29"/>
  <c r="N319" i="29" s="1"/>
  <c r="O319" i="29" s="1"/>
  <c r="K323" i="29"/>
  <c r="N323" i="29" s="1"/>
  <c r="O323" i="29" s="1"/>
  <c r="K327" i="29"/>
  <c r="N327" i="29" s="1"/>
  <c r="O327" i="29" s="1"/>
  <c r="K331" i="29"/>
  <c r="N331" i="29" s="1"/>
  <c r="O331" i="29" s="1"/>
  <c r="K335" i="29"/>
  <c r="N335" i="29" s="1"/>
  <c r="O335" i="29" s="1"/>
  <c r="K339" i="29"/>
  <c r="N339" i="29" s="1"/>
  <c r="O339" i="29" s="1"/>
  <c r="K343" i="29"/>
  <c r="N343" i="29" s="1"/>
  <c r="O343" i="29" s="1"/>
  <c r="K347" i="29"/>
  <c r="N347" i="29" s="1"/>
  <c r="O347" i="29" s="1"/>
  <c r="K351" i="29"/>
  <c r="N351" i="29" s="1"/>
  <c r="O351" i="29" s="1"/>
  <c r="K355" i="29"/>
  <c r="N355" i="29" s="1"/>
  <c r="O355" i="29" s="1"/>
  <c r="K359" i="29"/>
  <c r="N359" i="29" s="1"/>
  <c r="O359" i="29" s="1"/>
  <c r="K363" i="29"/>
  <c r="N363" i="29" s="1"/>
  <c r="O363" i="29" s="1"/>
  <c r="K367" i="29"/>
  <c r="N367" i="29" s="1"/>
  <c r="O367" i="29" s="1"/>
  <c r="K371" i="29"/>
  <c r="N371" i="29" s="1"/>
  <c r="O371" i="29" s="1"/>
  <c r="K375" i="29"/>
  <c r="N375" i="29" s="1"/>
  <c r="O375" i="29" s="1"/>
  <c r="K379" i="29"/>
  <c r="N379" i="29" s="1"/>
  <c r="O379" i="29" s="1"/>
  <c r="K383" i="29"/>
  <c r="N383" i="29" s="1"/>
  <c r="O383" i="29" s="1"/>
  <c r="K387" i="29"/>
  <c r="N387" i="29" s="1"/>
  <c r="O387" i="29" s="1"/>
  <c r="K391" i="29"/>
  <c r="N391" i="29" s="1"/>
  <c r="O391" i="29" s="1"/>
  <c r="K395" i="29"/>
  <c r="N395" i="29" s="1"/>
  <c r="O395" i="29" s="1"/>
  <c r="K399" i="29"/>
  <c r="N399" i="29" s="1"/>
  <c r="O399" i="29" s="1"/>
  <c r="K403" i="29"/>
  <c r="N403" i="29" s="1"/>
  <c r="O403" i="29" s="1"/>
  <c r="K407" i="29"/>
  <c r="N407" i="29" s="1"/>
  <c r="O407" i="29" s="1"/>
  <c r="K411" i="29"/>
  <c r="N411" i="29" s="1"/>
  <c r="O411" i="29" s="1"/>
  <c r="K415" i="29"/>
  <c r="N415" i="29" s="1"/>
  <c r="O415" i="29" s="1"/>
  <c r="K419" i="29"/>
  <c r="N419" i="29" s="1"/>
  <c r="O419" i="29" s="1"/>
  <c r="K423" i="29"/>
  <c r="N423" i="29" s="1"/>
  <c r="O423" i="29" s="1"/>
  <c r="K427" i="29"/>
  <c r="N427" i="29" s="1"/>
  <c r="O427" i="29" s="1"/>
  <c r="K431" i="29"/>
  <c r="N431" i="29" s="1"/>
  <c r="O431" i="29" s="1"/>
  <c r="K435" i="29"/>
  <c r="N435" i="29" s="1"/>
  <c r="O435" i="29" s="1"/>
  <c r="K439" i="29"/>
  <c r="N439" i="29" s="1"/>
  <c r="O439" i="29" s="1"/>
  <c r="K443" i="29"/>
  <c r="N443" i="29" s="1"/>
  <c r="O443" i="29" s="1"/>
  <c r="K447" i="29"/>
  <c r="N447" i="29" s="1"/>
  <c r="O447" i="29" s="1"/>
  <c r="K451" i="29"/>
  <c r="N451" i="29" s="1"/>
  <c r="O451" i="29" s="1"/>
  <c r="K455" i="29"/>
  <c r="N455" i="29" s="1"/>
  <c r="O455" i="29" s="1"/>
  <c r="K463" i="29"/>
  <c r="N463" i="29" s="1"/>
  <c r="O463" i="29" s="1"/>
  <c r="K471" i="29"/>
  <c r="N471" i="29" s="1"/>
  <c r="O471" i="29" s="1"/>
  <c r="K479" i="29"/>
  <c r="N479" i="29" s="1"/>
  <c r="O479" i="29" s="1"/>
  <c r="K487" i="29"/>
  <c r="N487" i="29" s="1"/>
  <c r="O487" i="29" s="1"/>
  <c r="K495" i="29"/>
  <c r="N495" i="29" s="1"/>
  <c r="O495" i="29" s="1"/>
  <c r="K503" i="29"/>
  <c r="N503" i="29" s="1"/>
  <c r="O503" i="29" s="1"/>
  <c r="K511" i="29"/>
  <c r="N511" i="29" s="1"/>
  <c r="O511" i="29" s="1"/>
  <c r="K519" i="29"/>
  <c r="N519" i="29" s="1"/>
  <c r="O519" i="29" s="1"/>
  <c r="K527" i="29"/>
  <c r="N527" i="29" s="1"/>
  <c r="O527" i="29" s="1"/>
  <c r="K535" i="29"/>
  <c r="N535" i="29" s="1"/>
  <c r="O535" i="29" s="1"/>
  <c r="K543" i="29"/>
  <c r="N543" i="29" s="1"/>
  <c r="O543" i="29" s="1"/>
  <c r="K551" i="29"/>
  <c r="N551" i="29" s="1"/>
  <c r="O551" i="29" s="1"/>
  <c r="K559" i="29"/>
  <c r="N559" i="29" s="1"/>
  <c r="O559" i="29" s="1"/>
  <c r="K567" i="29"/>
  <c r="N567" i="29" s="1"/>
  <c r="O567" i="29" s="1"/>
  <c r="K575" i="29"/>
  <c r="N575" i="29" s="1"/>
  <c r="O575" i="29" s="1"/>
  <c r="K583" i="29"/>
  <c r="N583" i="29" s="1"/>
  <c r="O583" i="29" s="1"/>
  <c r="K591" i="29"/>
  <c r="N591" i="29" s="1"/>
  <c r="O591" i="29" s="1"/>
  <c r="K599" i="29"/>
  <c r="N599" i="29" s="1"/>
  <c r="O599" i="29" s="1"/>
  <c r="K607" i="29"/>
  <c r="N607" i="29" s="1"/>
  <c r="O607" i="29" s="1"/>
  <c r="K619" i="29"/>
  <c r="N619" i="29" s="1"/>
  <c r="O619" i="29" s="1"/>
  <c r="K625" i="29"/>
  <c r="N625" i="29" s="1"/>
  <c r="O625" i="29" s="1"/>
  <c r="K633" i="29"/>
  <c r="N633" i="29" s="1"/>
  <c r="O633" i="29" s="1"/>
  <c r="K641" i="29"/>
  <c r="N641" i="29" s="1"/>
  <c r="O641" i="29" s="1"/>
  <c r="K649" i="29"/>
  <c r="N649" i="29" s="1"/>
  <c r="O649" i="29" s="1"/>
  <c r="K657" i="29"/>
  <c r="N657" i="29" s="1"/>
  <c r="O657" i="29" s="1"/>
  <c r="K665" i="29"/>
  <c r="N665" i="29" s="1"/>
  <c r="O665" i="29" s="1"/>
  <c r="K673" i="29"/>
  <c r="N673" i="29" s="1"/>
  <c r="O673" i="29" s="1"/>
  <c r="K681" i="29"/>
  <c r="N681" i="29" s="1"/>
  <c r="O681" i="29" s="1"/>
  <c r="K689" i="29"/>
  <c r="N689" i="29" s="1"/>
  <c r="O689" i="29" s="1"/>
  <c r="K697" i="29"/>
  <c r="N697" i="29" s="1"/>
  <c r="O697" i="29" s="1"/>
  <c r="K705" i="29"/>
  <c r="N705" i="29" s="1"/>
  <c r="O705" i="29" s="1"/>
  <c r="K713" i="29"/>
  <c r="N713" i="29" s="1"/>
  <c r="O713" i="29" s="1"/>
  <c r="K721" i="29"/>
  <c r="N721" i="29" s="1"/>
  <c r="O721" i="29" s="1"/>
  <c r="K729" i="29"/>
  <c r="N729" i="29" s="1"/>
  <c r="O729" i="29" s="1"/>
  <c r="K737" i="29"/>
  <c r="N737" i="29" s="1"/>
  <c r="O737" i="29" s="1"/>
  <c r="K745" i="29"/>
  <c r="N745" i="29" s="1"/>
  <c r="O745" i="29" s="1"/>
  <c r="K753" i="29"/>
  <c r="N753" i="29" s="1"/>
  <c r="O753" i="29" s="1"/>
  <c r="K761" i="29"/>
  <c r="N761" i="29" s="1"/>
  <c r="O761" i="29" s="1"/>
  <c r="K769" i="29"/>
  <c r="N769" i="29" s="1"/>
  <c r="O769" i="29" s="1"/>
  <c r="K777" i="29"/>
  <c r="N777" i="29" s="1"/>
  <c r="O777" i="29" s="1"/>
  <c r="K785" i="29"/>
  <c r="N785" i="29" s="1"/>
  <c r="O785" i="29" s="1"/>
  <c r="K793" i="29"/>
  <c r="N793" i="29" s="1"/>
  <c r="O793" i="29" s="1"/>
  <c r="K801" i="29"/>
  <c r="N801" i="29" s="1"/>
  <c r="O801" i="29" s="1"/>
  <c r="K809" i="29"/>
  <c r="N809" i="29" s="1"/>
  <c r="O809" i="29" s="1"/>
  <c r="K817" i="29"/>
  <c r="N817" i="29" s="1"/>
  <c r="O817" i="29" s="1"/>
  <c r="K861" i="29"/>
  <c r="N861" i="29" s="1"/>
  <c r="O861" i="29" s="1"/>
  <c r="K925" i="29"/>
  <c r="N925" i="29" s="1"/>
  <c r="O925" i="29" s="1"/>
  <c r="K989" i="29"/>
  <c r="N989" i="29" s="1"/>
  <c r="O989" i="29" s="1"/>
  <c r="G24" i="31"/>
  <c r="C15" i="133"/>
  <c r="D14" i="31"/>
  <c r="F4" i="85"/>
  <c r="H10" i="162"/>
  <c r="H10" i="130" s="1"/>
  <c r="F15" i="39"/>
  <c r="C23" i="41"/>
  <c r="H20" i="41"/>
  <c r="G11" i="47"/>
  <c r="H17" i="42"/>
  <c r="H5" i="45"/>
  <c r="B9" i="46"/>
  <c r="K9" i="46" s="1"/>
  <c r="L8" i="46"/>
  <c r="C9" i="46" s="1"/>
  <c r="I9" i="46" s="1"/>
  <c r="J9" i="46" s="1"/>
  <c r="C25" i="49"/>
  <c r="H19" i="49"/>
  <c r="C46" i="116"/>
  <c r="B6" i="63"/>
  <c r="E65" i="114"/>
  <c r="F65" i="83"/>
  <c r="F65" i="114" s="1"/>
  <c r="C8" i="122"/>
  <c r="G24" i="42"/>
  <c r="C29" i="116"/>
  <c r="D44" i="45"/>
  <c r="E11" i="114"/>
  <c r="E13" i="83"/>
  <c r="E13" i="114" s="1"/>
  <c r="E17" i="49"/>
  <c r="C22" i="122"/>
  <c r="C26" i="122"/>
  <c r="E17" i="61"/>
  <c r="C19" i="61"/>
  <c r="K623" i="29"/>
  <c r="N623" i="29" s="1"/>
  <c r="O623" i="29" s="1"/>
  <c r="K631" i="29"/>
  <c r="N631" i="29" s="1"/>
  <c r="O631" i="29" s="1"/>
  <c r="K639" i="29"/>
  <c r="N639" i="29" s="1"/>
  <c r="O639" i="29" s="1"/>
  <c r="K647" i="29"/>
  <c r="N647" i="29" s="1"/>
  <c r="O647" i="29" s="1"/>
  <c r="K655" i="29"/>
  <c r="N655" i="29" s="1"/>
  <c r="O655" i="29" s="1"/>
  <c r="K663" i="29"/>
  <c r="N663" i="29" s="1"/>
  <c r="O663" i="29" s="1"/>
  <c r="K671" i="29"/>
  <c r="N671" i="29" s="1"/>
  <c r="O671" i="29" s="1"/>
  <c r="K679" i="29"/>
  <c r="N679" i="29" s="1"/>
  <c r="O679" i="29" s="1"/>
  <c r="K687" i="29"/>
  <c r="N687" i="29" s="1"/>
  <c r="O687" i="29" s="1"/>
  <c r="K695" i="29"/>
  <c r="N695" i="29" s="1"/>
  <c r="O695" i="29" s="1"/>
  <c r="K703" i="29"/>
  <c r="N703" i="29" s="1"/>
  <c r="O703" i="29" s="1"/>
  <c r="K711" i="29"/>
  <c r="N711" i="29" s="1"/>
  <c r="O711" i="29" s="1"/>
  <c r="K719" i="29"/>
  <c r="N719" i="29" s="1"/>
  <c r="O719" i="29" s="1"/>
  <c r="K727" i="29"/>
  <c r="N727" i="29" s="1"/>
  <c r="O727" i="29" s="1"/>
  <c r="K735" i="29"/>
  <c r="N735" i="29" s="1"/>
  <c r="O735" i="29" s="1"/>
  <c r="K743" i="29"/>
  <c r="N743" i="29" s="1"/>
  <c r="O743" i="29" s="1"/>
  <c r="K751" i="29"/>
  <c r="N751" i="29" s="1"/>
  <c r="O751" i="29" s="1"/>
  <c r="K759" i="29"/>
  <c r="N759" i="29" s="1"/>
  <c r="O759" i="29" s="1"/>
  <c r="K767" i="29"/>
  <c r="N767" i="29" s="1"/>
  <c r="O767" i="29" s="1"/>
  <c r="K775" i="29"/>
  <c r="N775" i="29" s="1"/>
  <c r="O775" i="29" s="1"/>
  <c r="K783" i="29"/>
  <c r="N783" i="29" s="1"/>
  <c r="O783" i="29" s="1"/>
  <c r="K791" i="29"/>
  <c r="N791" i="29" s="1"/>
  <c r="O791" i="29" s="1"/>
  <c r="K799" i="29"/>
  <c r="N799" i="29" s="1"/>
  <c r="O799" i="29" s="1"/>
  <c r="K807" i="29"/>
  <c r="N807" i="29" s="1"/>
  <c r="O807" i="29" s="1"/>
  <c r="K815" i="29"/>
  <c r="N815" i="29" s="1"/>
  <c r="O815" i="29" s="1"/>
  <c r="K823" i="29"/>
  <c r="N823" i="29" s="1"/>
  <c r="O823" i="29" s="1"/>
  <c r="K839" i="29"/>
  <c r="N839" i="29" s="1"/>
  <c r="O839" i="29" s="1"/>
  <c r="K855" i="29"/>
  <c r="N855" i="29" s="1"/>
  <c r="O855" i="29" s="1"/>
  <c r="K871" i="29"/>
  <c r="N871" i="29" s="1"/>
  <c r="O871" i="29" s="1"/>
  <c r="K887" i="29"/>
  <c r="N887" i="29" s="1"/>
  <c r="O887" i="29" s="1"/>
  <c r="K903" i="29"/>
  <c r="N903" i="29" s="1"/>
  <c r="O903" i="29" s="1"/>
  <c r="K919" i="29"/>
  <c r="N919" i="29" s="1"/>
  <c r="O919" i="29" s="1"/>
  <c r="K935" i="29"/>
  <c r="N935" i="29" s="1"/>
  <c r="O935" i="29" s="1"/>
  <c r="K951" i="29"/>
  <c r="N951" i="29" s="1"/>
  <c r="O951" i="29" s="1"/>
  <c r="K967" i="29"/>
  <c r="N967" i="29" s="1"/>
  <c r="O967" i="29" s="1"/>
  <c r="K983" i="29"/>
  <c r="N983" i="29" s="1"/>
  <c r="O983" i="29" s="1"/>
  <c r="K999" i="29"/>
  <c r="N999" i="29" s="1"/>
  <c r="O999" i="29" s="1"/>
  <c r="O17" i="30"/>
  <c r="G16" i="33"/>
  <c r="G15" i="33" s="1"/>
  <c r="J15" i="33"/>
  <c r="D41" i="33"/>
  <c r="E15" i="163"/>
  <c r="E15" i="131" s="1"/>
  <c r="F24" i="39"/>
  <c r="C16" i="48"/>
  <c r="D39" i="83" s="1"/>
  <c r="C45" i="116"/>
  <c r="B6" i="62"/>
  <c r="E17" i="30"/>
  <c r="C19" i="162"/>
  <c r="C19" i="130" s="1"/>
  <c r="G19" i="162"/>
  <c r="G19" i="130" s="1"/>
  <c r="L9" i="163"/>
  <c r="L13" i="163"/>
  <c r="G13" i="42"/>
  <c r="H8" i="42"/>
  <c r="E9" i="44"/>
  <c r="G9" i="44" s="1"/>
  <c r="C8" i="44"/>
  <c r="E21" i="44"/>
  <c r="G21" i="44" s="1"/>
  <c r="D15" i="114"/>
  <c r="D17" i="83"/>
  <c r="E31" i="114"/>
  <c r="E33" i="83"/>
  <c r="E33" i="114" s="1"/>
  <c r="F51" i="48"/>
  <c r="F50" i="48" s="1"/>
  <c r="E39" i="83" s="1"/>
  <c r="C48" i="50"/>
  <c r="D24" i="54"/>
  <c r="H19" i="54"/>
  <c r="G12" i="54"/>
  <c r="G19" i="54" s="1"/>
  <c r="C29" i="59"/>
  <c r="B31" i="59"/>
  <c r="B9" i="62"/>
  <c r="E7" i="62"/>
  <c r="H10" i="65"/>
  <c r="B55" i="4" s="1"/>
  <c r="F19" i="196" s="1"/>
  <c r="F21" i="196" s="1"/>
  <c r="C28" i="66"/>
  <c r="F13" i="133"/>
  <c r="J15" i="34"/>
  <c r="C10" i="124"/>
  <c r="J24" i="42"/>
  <c r="D8" i="44"/>
  <c r="E13" i="44"/>
  <c r="G13" i="44" s="1"/>
  <c r="C28" i="116"/>
  <c r="C41" i="44"/>
  <c r="I8" i="46"/>
  <c r="J8" i="46" s="1"/>
  <c r="D19" i="114"/>
  <c r="D21" i="83"/>
  <c r="C21" i="122"/>
  <c r="C25" i="122"/>
  <c r="E15" i="53"/>
  <c r="C29" i="122" s="1"/>
  <c r="H8" i="54"/>
  <c r="G8" i="54"/>
  <c r="H18" i="65"/>
  <c r="F24" i="65"/>
  <c r="C28" i="65" s="1"/>
  <c r="H19" i="65"/>
  <c r="H24" i="65" s="1"/>
  <c r="C32" i="47"/>
  <c r="G32" i="47" s="1"/>
  <c r="D27" i="114"/>
  <c r="D29" i="83"/>
  <c r="E35" i="114"/>
  <c r="E37" i="83"/>
  <c r="E37" i="114" s="1"/>
  <c r="E47" i="114"/>
  <c r="E49" i="83"/>
  <c r="E49" i="114" s="1"/>
  <c r="E55" i="114"/>
  <c r="E57" i="83"/>
  <c r="E57" i="114" s="1"/>
  <c r="C23" i="122"/>
  <c r="C27" i="122"/>
  <c r="C41" i="116"/>
  <c r="D22" i="34"/>
  <c r="C22" i="128"/>
  <c r="C20" i="116"/>
  <c r="G8" i="189"/>
  <c r="F26" i="39"/>
  <c r="F57" i="197" s="1"/>
  <c r="F28" i="39"/>
  <c r="F58" i="197" s="1"/>
  <c r="F34" i="39"/>
  <c r="F61" i="197" s="1"/>
  <c r="F41" i="39"/>
  <c r="F65" i="197" s="1"/>
  <c r="E7" i="114"/>
  <c r="E9" i="83"/>
  <c r="E9" i="114" s="1"/>
  <c r="D23" i="114"/>
  <c r="D25" i="83"/>
  <c r="D51" i="114"/>
  <c r="D53" i="83"/>
  <c r="D43" i="114"/>
  <c r="D45" i="83"/>
  <c r="E59" i="114"/>
  <c r="E61" i="83"/>
  <c r="E61" i="114" s="1"/>
  <c r="G7" i="54"/>
  <c r="E10" i="54"/>
  <c r="H23" i="54"/>
  <c r="H19" i="60"/>
  <c r="G20" i="60" s="1"/>
  <c r="E12" i="62"/>
  <c r="M69" i="90" s="1" a="1"/>
  <c r="M69" i="90" s="1"/>
  <c r="D7" i="114"/>
  <c r="F7" i="83"/>
  <c r="F7" i="114" s="1"/>
  <c r="D9" i="83"/>
  <c r="D11" i="114"/>
  <c r="F11" i="83"/>
  <c r="F11" i="114" s="1"/>
  <c r="D13" i="83"/>
  <c r="D31" i="114"/>
  <c r="F31" i="83"/>
  <c r="F31" i="114" s="1"/>
  <c r="D33" i="83"/>
  <c r="D35" i="114"/>
  <c r="F35" i="83"/>
  <c r="F35" i="114" s="1"/>
  <c r="D37" i="83"/>
  <c r="D47" i="114"/>
  <c r="F47" i="83"/>
  <c r="F47" i="114" s="1"/>
  <c r="D49" i="83"/>
  <c r="D55" i="114"/>
  <c r="F55" i="83"/>
  <c r="F55" i="114" s="1"/>
  <c r="D57" i="83"/>
  <c r="D59" i="114"/>
  <c r="F59" i="83"/>
  <c r="F59" i="114" s="1"/>
  <c r="D61" i="83"/>
  <c r="G6" i="133"/>
  <c r="G10" i="133"/>
  <c r="E30" i="128"/>
  <c r="F51" i="197" s="1"/>
  <c r="G25" i="135"/>
  <c r="E42" i="188"/>
  <c r="E38" i="188"/>
  <c r="E34" i="188"/>
  <c r="E30" i="188"/>
  <c r="E41" i="188"/>
  <c r="E37" i="188"/>
  <c r="E33" i="188"/>
  <c r="E29" i="188"/>
  <c r="E27" i="188"/>
  <c r="E25" i="188"/>
  <c r="E23" i="188"/>
  <c r="E21" i="188"/>
  <c r="E19" i="188"/>
  <c r="E17" i="188"/>
  <c r="E15" i="188"/>
  <c r="E13" i="188"/>
  <c r="E11" i="188"/>
  <c r="E9" i="188"/>
  <c r="E7" i="188"/>
  <c r="E5" i="188"/>
  <c r="E3" i="188"/>
  <c r="E40" i="188"/>
  <c r="E36" i="188"/>
  <c r="E32" i="188"/>
  <c r="E39" i="188"/>
  <c r="E35" i="188"/>
  <c r="E31" i="188"/>
  <c r="E28" i="188"/>
  <c r="E26" i="188"/>
  <c r="E24" i="188"/>
  <c r="E22" i="188"/>
  <c r="E20" i="188"/>
  <c r="E18" i="188"/>
  <c r="E16" i="188"/>
  <c r="E14" i="188"/>
  <c r="E12" i="188"/>
  <c r="E10" i="188"/>
  <c r="E8" i="188"/>
  <c r="E6" i="188"/>
  <c r="E4" i="188"/>
  <c r="E2" i="188"/>
  <c r="M28" i="90" l="1" a="1"/>
  <c r="M28" i="90" s="1"/>
  <c r="M11" i="163"/>
  <c r="M11" i="131" s="1"/>
  <c r="M49" i="90" a="1"/>
  <c r="M49" i="90" s="1"/>
  <c r="M2" i="90" a="1"/>
  <c r="M2" i="90" s="1"/>
  <c r="M63" i="90" a="1"/>
  <c r="M63" i="90" s="1"/>
  <c r="C14" i="26"/>
  <c r="C16" i="26" s="1"/>
  <c r="C5" i="133" s="1"/>
  <c r="B6" i="17"/>
  <c r="M61" i="90" a="1"/>
  <c r="M61" i="90" s="1"/>
  <c r="B9" i="120"/>
  <c r="B9" i="10"/>
  <c r="B7" i="10"/>
  <c r="C8" i="208"/>
  <c r="M7" i="163"/>
  <c r="M7" i="131" s="1"/>
  <c r="M13" i="90" a="1"/>
  <c r="M13" i="90" s="1"/>
  <c r="M51" i="90" a="1"/>
  <c r="M51" i="90" s="1"/>
  <c r="G7" i="136"/>
  <c r="B8" i="120"/>
  <c r="F18" i="119"/>
  <c r="C41" i="41"/>
  <c r="C20" i="49"/>
  <c r="C48" i="116"/>
  <c r="C43" i="116"/>
  <c r="C20" i="60"/>
  <c r="C26" i="47"/>
  <c r="G26" i="47" s="1"/>
  <c r="F26" i="47" s="1"/>
  <c r="C14" i="47"/>
  <c r="G14" i="47" s="1"/>
  <c r="F14" i="47" s="1"/>
  <c r="F8" i="47"/>
  <c r="C20" i="47"/>
  <c r="G20" i="47" s="1"/>
  <c r="F20" i="47" s="1"/>
  <c r="C25" i="47"/>
  <c r="G25" i="47" s="1"/>
  <c r="F25" i="47" s="1"/>
  <c r="F13" i="47"/>
  <c r="C31" i="47"/>
  <c r="G31" i="47" s="1"/>
  <c r="F31" i="47" s="1"/>
  <c r="C19" i="47"/>
  <c r="G19" i="47" s="1"/>
  <c r="F19" i="47" s="1"/>
  <c r="E85" i="197"/>
  <c r="E32" i="197"/>
  <c r="D36" i="197"/>
  <c r="D89" i="197"/>
  <c r="J3" i="178"/>
  <c r="I3" i="178"/>
  <c r="D95" i="197"/>
  <c r="D44" i="197"/>
  <c r="F105" i="197"/>
  <c r="F72" i="197"/>
  <c r="E86" i="197"/>
  <c r="E33" i="197"/>
  <c r="A5" i="17"/>
  <c r="F2" i="178"/>
  <c r="H13" i="65"/>
  <c r="M72" i="90" s="1" a="1"/>
  <c r="M72" i="90" s="1"/>
  <c r="B122" i="197"/>
  <c r="A4" i="197"/>
  <c r="E109" i="197"/>
  <c r="E76" i="197"/>
  <c r="E29" i="65"/>
  <c r="C26" i="65"/>
  <c r="K21" i="196"/>
  <c r="H21" i="196"/>
  <c r="F13" i="128"/>
  <c r="M14" i="163"/>
  <c r="M14" i="131" s="1"/>
  <c r="F27" i="119"/>
  <c r="C27" i="119" s="1"/>
  <c r="D20" i="121"/>
  <c r="G39" i="195" s="1"/>
  <c r="B37" i="22"/>
  <c r="E24" i="128"/>
  <c r="F46" i="197" s="1"/>
  <c r="C7" i="128"/>
  <c r="F14" i="119"/>
  <c r="C14" i="119" s="1"/>
  <c r="E22" i="128"/>
  <c r="F44" i="197" s="1"/>
  <c r="G12" i="28"/>
  <c r="F11" i="136" s="1"/>
  <c r="C11" i="136"/>
  <c r="O7" i="30"/>
  <c r="G9" i="28"/>
  <c r="F8" i="136" s="1"/>
  <c r="C8" i="136"/>
  <c r="C15" i="119"/>
  <c r="G15" i="119"/>
  <c r="E6" i="128"/>
  <c r="F31" i="197" s="1"/>
  <c r="G56" i="48"/>
  <c r="G30" i="127"/>
  <c r="D9" i="121" s="1"/>
  <c r="E30" i="127"/>
  <c r="D8" i="121" s="1"/>
  <c r="C30" i="127"/>
  <c r="D7" i="121" s="1"/>
  <c r="C22" i="47"/>
  <c r="G22" i="47" s="1"/>
  <c r="F22" i="47" s="1"/>
  <c r="H13" i="42"/>
  <c r="C8" i="128"/>
  <c r="F10" i="47"/>
  <c r="M13" i="163"/>
  <c r="M13" i="131" s="1"/>
  <c r="L13" i="131"/>
  <c r="D28" i="161"/>
  <c r="D25" i="129" s="1"/>
  <c r="F12" i="119" s="1"/>
  <c r="D26" i="129"/>
  <c r="E7" i="30"/>
  <c r="M12" i="163"/>
  <c r="M12" i="131" s="1"/>
  <c r="L12" i="131"/>
  <c r="I32" i="136"/>
  <c r="M8" i="163"/>
  <c r="M8" i="131" s="1"/>
  <c r="L8" i="131"/>
  <c r="M6" i="163"/>
  <c r="L6" i="131"/>
  <c r="C48" i="44"/>
  <c r="C11" i="133"/>
  <c r="F29" i="136"/>
  <c r="F24" i="136" s="1"/>
  <c r="F18" i="49"/>
  <c r="C18" i="116"/>
  <c r="M9" i="163"/>
  <c r="M9" i="131" s="1"/>
  <c r="L9" i="131"/>
  <c r="J8" i="155"/>
  <c r="J15" i="182"/>
  <c r="M10" i="163"/>
  <c r="M10" i="131" s="1"/>
  <c r="E18" i="49"/>
  <c r="H26" i="42"/>
  <c r="C12" i="122"/>
  <c r="C10" i="164"/>
  <c r="C11" i="132"/>
  <c r="J22" i="33"/>
  <c r="C4" i="134" s="1"/>
  <c r="E45" i="83"/>
  <c r="E45" i="114" s="1"/>
  <c r="F9" i="47"/>
  <c r="G22" i="33"/>
  <c r="G24" i="33" s="1"/>
  <c r="E43" i="114"/>
  <c r="C15" i="47"/>
  <c r="G15" i="47" s="1"/>
  <c r="F15" i="47" s="1"/>
  <c r="A3" i="18"/>
  <c r="F56" i="48"/>
  <c r="F57" i="48" s="1"/>
  <c r="H10" i="54"/>
  <c r="H24" i="54" s="1"/>
  <c r="C28" i="54" s="1"/>
  <c r="G10" i="54"/>
  <c r="G24" i="54" s="1"/>
  <c r="D26" i="54" s="1"/>
  <c r="G25" i="42"/>
  <c r="E8" i="44"/>
  <c r="G8" i="44" s="1"/>
  <c r="D9" i="48"/>
  <c r="F9" i="48" s="1"/>
  <c r="C16" i="47"/>
  <c r="G16" i="47" s="1"/>
  <c r="F16" i="47" s="1"/>
  <c r="H19" i="162"/>
  <c r="H19" i="130" s="1"/>
  <c r="F13" i="119" s="1"/>
  <c r="F17" i="31"/>
  <c r="C33" i="31" s="1"/>
  <c r="C27" i="47"/>
  <c r="G27" i="47" s="1"/>
  <c r="F27" i="47" s="1"/>
  <c r="D15" i="96"/>
  <c r="C3" i="114" s="1"/>
  <c r="H27" i="42"/>
  <c r="G17" i="189"/>
  <c r="M46" i="90" s="1" a="1"/>
  <c r="M46" i="90" s="1"/>
  <c r="E21" i="53"/>
  <c r="K7" i="30"/>
  <c r="C8" i="124"/>
  <c r="L15" i="163"/>
  <c r="L15" i="131" s="1"/>
  <c r="J25" i="42"/>
  <c r="C21" i="116"/>
  <c r="H24" i="42"/>
  <c r="C7" i="133"/>
  <c r="B3" i="55"/>
  <c r="K29" i="136"/>
  <c r="K24" i="136" s="1"/>
  <c r="D24" i="136"/>
  <c r="E28" i="31"/>
  <c r="F36" i="128"/>
  <c r="F103" i="197" s="1"/>
  <c r="E36" i="128"/>
  <c r="F68" i="197" s="1"/>
  <c r="D2" i="22"/>
  <c r="D26" i="35"/>
  <c r="E23" i="35"/>
  <c r="D28" i="33"/>
  <c r="C19" i="122"/>
  <c r="D14" i="121" s="1"/>
  <c r="C24" i="136"/>
  <c r="D6" i="136"/>
  <c r="F23" i="28"/>
  <c r="C31" i="28" s="1"/>
  <c r="E7" i="136"/>
  <c r="E6" i="136" s="1"/>
  <c r="E32" i="136" s="1"/>
  <c r="C21" i="128"/>
  <c r="D43" i="197" s="1"/>
  <c r="D55" i="4"/>
  <c r="C38" i="116"/>
  <c r="C25" i="54"/>
  <c r="B57" i="4"/>
  <c r="F29" i="30"/>
  <c r="C31" i="30"/>
  <c r="J12" i="60"/>
  <c r="D21" i="60"/>
  <c r="D9" i="114"/>
  <c r="F9" i="83"/>
  <c r="F9" i="114" s="1"/>
  <c r="J19" i="60"/>
  <c r="F32" i="47"/>
  <c r="D22" i="48"/>
  <c r="F22" i="48" s="1"/>
  <c r="C23" i="47"/>
  <c r="G23" i="47" s="1"/>
  <c r="F23" i="47" s="1"/>
  <c r="F11" i="47"/>
  <c r="C29" i="47"/>
  <c r="G29" i="47" s="1"/>
  <c r="F29" i="47" s="1"/>
  <c r="C17" i="47"/>
  <c r="G17" i="47" s="1"/>
  <c r="E43" i="41"/>
  <c r="H23" i="41"/>
  <c r="J17" i="27" s="1"/>
  <c r="D8" i="31"/>
  <c r="G10" i="28"/>
  <c r="D57" i="114"/>
  <c r="F57" i="83"/>
  <c r="F57" i="114" s="1"/>
  <c r="D13" i="114"/>
  <c r="F13" i="83"/>
  <c r="F13" i="114" s="1"/>
  <c r="D45" i="114"/>
  <c r="D29" i="114"/>
  <c r="E39" i="114"/>
  <c r="E41" i="83"/>
  <c r="E41" i="114" s="1"/>
  <c r="D26" i="42"/>
  <c r="L9" i="46"/>
  <c r="C10" i="46" s="1"/>
  <c r="I10" i="46" s="1"/>
  <c r="J10" i="46" s="1"/>
  <c r="B10" i="46"/>
  <c r="K10" i="46" s="1"/>
  <c r="C6" i="122"/>
  <c r="C5" i="122" s="1"/>
  <c r="F36" i="47"/>
  <c r="H40" i="41"/>
  <c r="J8" i="49"/>
  <c r="J13" i="49"/>
  <c r="H17" i="49"/>
  <c r="E51" i="114"/>
  <c r="E53" i="83"/>
  <c r="E53" i="114" s="1"/>
  <c r="C39" i="47"/>
  <c r="G39" i="47" s="1"/>
  <c r="F39" i="47" s="1"/>
  <c r="C40" i="47"/>
  <c r="G40" i="47" s="1"/>
  <c r="F40" i="47" s="1"/>
  <c r="C38" i="47"/>
  <c r="G38" i="47" s="1"/>
  <c r="F38" i="47" s="1"/>
  <c r="G11" i="28"/>
  <c r="C32" i="28"/>
  <c r="D37" i="114"/>
  <c r="F37" i="83"/>
  <c r="F37" i="114" s="1"/>
  <c r="D25" i="114"/>
  <c r="D21" i="114"/>
  <c r="G13" i="133"/>
  <c r="F22" i="128"/>
  <c r="F95" i="197" s="1"/>
  <c r="K8" i="29"/>
  <c r="D49" i="114"/>
  <c r="F49" i="83"/>
  <c r="F49" i="114" s="1"/>
  <c r="D53" i="114"/>
  <c r="D17" i="114"/>
  <c r="D39" i="114"/>
  <c r="F39" i="83"/>
  <c r="F39" i="114" s="1"/>
  <c r="D41" i="83"/>
  <c r="F37" i="47"/>
  <c r="C6" i="124"/>
  <c r="N8" i="29"/>
  <c r="G20" i="28"/>
  <c r="G9" i="136" s="1"/>
  <c r="O9" i="29"/>
  <c r="O8" i="29" s="1"/>
  <c r="F13" i="28"/>
  <c r="G8" i="28"/>
  <c r="F7" i="136" s="1"/>
  <c r="D61" i="114"/>
  <c r="F61" i="83"/>
  <c r="F61" i="114" s="1"/>
  <c r="D33" i="114"/>
  <c r="F33" i="83"/>
  <c r="F33" i="114" s="1"/>
  <c r="C25" i="48"/>
  <c r="M8" i="46"/>
  <c r="D27" i="42"/>
  <c r="C26" i="116"/>
  <c r="F35" i="47"/>
  <c r="F12" i="47"/>
  <c r="C24" i="47"/>
  <c r="G24" i="47" s="1"/>
  <c r="F24" i="47" s="1"/>
  <c r="C30" i="47"/>
  <c r="G30" i="47" s="1"/>
  <c r="F30" i="47" s="1"/>
  <c r="C18" i="47"/>
  <c r="G18" i="47" s="1"/>
  <c r="F18" i="47" s="1"/>
  <c r="C19" i="128"/>
  <c r="D41" i="197" s="1"/>
  <c r="J16" i="27"/>
  <c r="C8" i="66"/>
  <c r="G5" i="23"/>
  <c r="G11" i="23" s="1"/>
  <c r="G19" i="23" s="1"/>
  <c r="G22" i="23" s="1"/>
  <c r="B15" i="96"/>
  <c r="C2" i="114" s="1"/>
  <c r="B3" i="84"/>
  <c r="I3" i="7"/>
  <c r="G4" i="13"/>
  <c r="B7" i="4"/>
  <c r="G4" i="19"/>
  <c r="F4" i="12"/>
  <c r="D4" i="9"/>
  <c r="D13" i="2"/>
  <c r="C8" i="133"/>
  <c r="M67" i="90" l="1" a="1"/>
  <c r="M67" i="90" s="1"/>
  <c r="M19" i="90" a="1"/>
  <c r="M19" i="90" s="1"/>
  <c r="M7" i="90" a="1"/>
  <c r="M7" i="90" s="1"/>
  <c r="M50" i="90" a="1"/>
  <c r="M50" i="90" s="1"/>
  <c r="M6" i="90" a="1"/>
  <c r="M6" i="90" s="1"/>
  <c r="C3" i="209"/>
  <c r="C3" i="211"/>
  <c r="C17" i="26"/>
  <c r="G35" i="26" s="1"/>
  <c r="G18" i="26" s="1"/>
  <c r="G17" i="26" s="1"/>
  <c r="M6" i="131"/>
  <c r="J15" i="155"/>
  <c r="D32" i="121" s="1"/>
  <c r="G51" i="195" s="1"/>
  <c r="M39" i="90" a="1"/>
  <c r="M39" i="90" s="1"/>
  <c r="M60" i="90" a="1"/>
  <c r="M60" i="90" s="1"/>
  <c r="M18" i="90" a="1"/>
  <c r="M18" i="90" s="1"/>
  <c r="M47" i="90" a="1"/>
  <c r="M47" i="90" s="1"/>
  <c r="C6" i="136"/>
  <c r="C32" i="136" s="1"/>
  <c r="J18" i="27"/>
  <c r="J20" i="27" s="1"/>
  <c r="J21" i="27" s="1"/>
  <c r="H2" i="178"/>
  <c r="G2" i="178"/>
  <c r="F89" i="197"/>
  <c r="F36" i="197"/>
  <c r="B4" i="161"/>
  <c r="A7" i="197"/>
  <c r="D33" i="197"/>
  <c r="D86" i="197"/>
  <c r="E7" i="128"/>
  <c r="F32" i="197" s="1"/>
  <c r="D32" i="197"/>
  <c r="D85" i="197"/>
  <c r="D57" i="4"/>
  <c r="I19" i="196"/>
  <c r="I21" i="196" s="1"/>
  <c r="C15" i="116"/>
  <c r="C28" i="30"/>
  <c r="B38" i="22"/>
  <c r="H38" i="22"/>
  <c r="I22" i="23"/>
  <c r="C13" i="116"/>
  <c r="C14" i="116" s="1"/>
  <c r="C30" i="28"/>
  <c r="G20" i="119"/>
  <c r="G27" i="119"/>
  <c r="G14" i="119"/>
  <c r="J17" i="49"/>
  <c r="J18" i="49" s="1"/>
  <c r="C33" i="116" s="1"/>
  <c r="C18" i="124"/>
  <c r="C13" i="119"/>
  <c r="G13" i="119"/>
  <c r="F7" i="128"/>
  <c r="F85" i="197" s="1"/>
  <c r="C7" i="96"/>
  <c r="G12" i="119"/>
  <c r="C12" i="119"/>
  <c r="E8" i="128"/>
  <c r="F33" i="197" s="1"/>
  <c r="C28" i="31"/>
  <c r="E8" i="31"/>
  <c r="F8" i="31" s="1"/>
  <c r="C5" i="124"/>
  <c r="F8" i="128"/>
  <c r="F86" i="197" s="1"/>
  <c r="H25" i="42"/>
  <c r="M48" i="90" s="1" a="1"/>
  <c r="M48" i="90" s="1"/>
  <c r="F45" i="83"/>
  <c r="F45" i="114" s="1"/>
  <c r="C11" i="128"/>
  <c r="D11" i="121"/>
  <c r="J24" i="33"/>
  <c r="C6" i="134" s="1"/>
  <c r="E43" i="128"/>
  <c r="F76" i="197" s="1"/>
  <c r="F43" i="128"/>
  <c r="F109" i="197" s="1"/>
  <c r="M15" i="163"/>
  <c r="M15" i="131" s="1"/>
  <c r="C58" i="48"/>
  <c r="K6" i="143"/>
  <c r="H18" i="49"/>
  <c r="K8" i="143"/>
  <c r="K7" i="143"/>
  <c r="C27" i="128"/>
  <c r="D49" i="197" s="1"/>
  <c r="F20" i="39"/>
  <c r="D42" i="39"/>
  <c r="E15" i="83"/>
  <c r="E17" i="83" s="1"/>
  <c r="B3" i="190"/>
  <c r="A3" i="187"/>
  <c r="C10" i="132"/>
  <c r="C9" i="164"/>
  <c r="D32" i="136"/>
  <c r="C35" i="128" s="1"/>
  <c r="C16" i="116"/>
  <c r="C17" i="116" s="1"/>
  <c r="F53" i="83"/>
  <c r="F53" i="114" s="1"/>
  <c r="E27" i="83"/>
  <c r="F27" i="83" s="1"/>
  <c r="F27" i="114" s="1"/>
  <c r="F9" i="136"/>
  <c r="F10" i="136"/>
  <c r="D12" i="48"/>
  <c r="F12" i="48" s="1"/>
  <c r="B58" i="4"/>
  <c r="C8" i="96" s="1"/>
  <c r="C56" i="4"/>
  <c r="E25" i="120" s="1"/>
  <c r="C52" i="4"/>
  <c r="E21" i="120" s="1"/>
  <c r="C53" i="4"/>
  <c r="E22" i="120" s="1"/>
  <c r="E52" i="4"/>
  <c r="E56" i="4"/>
  <c r="C54" i="4"/>
  <c r="E23" i="120" s="1"/>
  <c r="E54" i="4"/>
  <c r="D11" i="48"/>
  <c r="F11" i="48" s="1"/>
  <c r="C4" i="122"/>
  <c r="F17" i="47"/>
  <c r="F42" i="47" s="1"/>
  <c r="G42" i="47"/>
  <c r="E53" i="4"/>
  <c r="E55" i="4"/>
  <c r="G23" i="28"/>
  <c r="D10" i="48"/>
  <c r="F10" i="48" s="1"/>
  <c r="G13" i="28"/>
  <c r="F11" i="133"/>
  <c r="G11" i="133" s="1"/>
  <c r="E8" i="66"/>
  <c r="C13" i="66"/>
  <c r="A3" i="83"/>
  <c r="A5" i="66"/>
  <c r="A4" i="64"/>
  <c r="A4" i="63"/>
  <c r="A4" i="58"/>
  <c r="A4" i="56"/>
  <c r="A4" i="62"/>
  <c r="A3" i="54"/>
  <c r="A3" i="53"/>
  <c r="C3" i="50"/>
  <c r="C4" i="49"/>
  <c r="A32" i="48"/>
  <c r="A4" i="47"/>
  <c r="C5" i="43"/>
  <c r="B4" i="36"/>
  <c r="A4" i="34"/>
  <c r="C4" i="33"/>
  <c r="A5" i="32"/>
  <c r="A4" i="65"/>
  <c r="A4" i="61"/>
  <c r="C3" i="60"/>
  <c r="C5" i="45"/>
  <c r="B5" i="44"/>
  <c r="B4" i="189"/>
  <c r="A4" i="38"/>
  <c r="A4" i="59"/>
  <c r="A4" i="57"/>
  <c r="C3" i="52"/>
  <c r="C5" i="41"/>
  <c r="C4" i="42" s="1"/>
  <c r="A4" i="39"/>
  <c r="A3" i="30"/>
  <c r="C3" i="51"/>
  <c r="A4" i="48"/>
  <c r="C4" i="35"/>
  <c r="A4" i="46"/>
  <c r="A4" i="26"/>
  <c r="B5" i="5"/>
  <c r="C5" i="27"/>
  <c r="A5" i="31"/>
  <c r="A3" i="29"/>
  <c r="A4" i="28"/>
  <c r="E3" i="20"/>
  <c r="C4" i="10"/>
  <c r="B5" i="11"/>
  <c r="C3" i="23"/>
  <c r="O8" i="46"/>
  <c r="D9" i="46"/>
  <c r="M9" i="46" s="1"/>
  <c r="D41" i="114"/>
  <c r="F41" i="83"/>
  <c r="F41" i="114" s="1"/>
  <c r="E23" i="83"/>
  <c r="B11" i="46"/>
  <c r="K11" i="46" s="1"/>
  <c r="L10" i="46"/>
  <c r="C11" i="46" s="1"/>
  <c r="I11" i="46" s="1"/>
  <c r="J11" i="46" s="1"/>
  <c r="C12" i="133"/>
  <c r="D20" i="31"/>
  <c r="C55" i="4"/>
  <c r="E24" i="120" s="1"/>
  <c r="E16" i="31"/>
  <c r="E15" i="31"/>
  <c r="F17" i="26"/>
  <c r="M5" i="90" l="1" a="1"/>
  <c r="M5" i="90" s="1"/>
  <c r="M20" i="90" a="1"/>
  <c r="M20" i="90" s="1"/>
  <c r="G31" i="26"/>
  <c r="G38" i="26" s="1"/>
  <c r="F5" i="133"/>
  <c r="G5" i="133" s="1"/>
  <c r="D33" i="121"/>
  <c r="G52" i="195" s="1"/>
  <c r="M53" i="90" a="1"/>
  <c r="M53" i="90" s="1"/>
  <c r="F19" i="49"/>
  <c r="C42" i="41"/>
  <c r="C21" i="49"/>
  <c r="C25" i="116"/>
  <c r="C27" i="116" s="1"/>
  <c r="H3" i="178"/>
  <c r="D88" i="197"/>
  <c r="D35" i="197"/>
  <c r="D102" i="197"/>
  <c r="D67" i="197"/>
  <c r="C20" i="119"/>
  <c r="E31" i="39"/>
  <c r="E59" i="197" s="1"/>
  <c r="E15" i="114"/>
  <c r="E27" i="128"/>
  <c r="F49" i="197" s="1"/>
  <c r="F39" i="128"/>
  <c r="E39" i="128"/>
  <c r="K9" i="143"/>
  <c r="J22" i="27"/>
  <c r="J23" i="27" s="1"/>
  <c r="M4" i="90" s="1" a="1"/>
  <c r="M4" i="90" s="1"/>
  <c r="F12" i="133"/>
  <c r="G12" i="133" s="1"/>
  <c r="D4" i="121"/>
  <c r="D3" i="191" s="1"/>
  <c r="E3" i="191" s="1"/>
  <c r="F5" i="119"/>
  <c r="C5" i="119" s="1"/>
  <c r="J19" i="49"/>
  <c r="J29" i="33"/>
  <c r="C7" i="134" s="1"/>
  <c r="F15" i="83"/>
  <c r="F15" i="114" s="1"/>
  <c r="F11" i="128"/>
  <c r="F88" i="197" s="1"/>
  <c r="E11" i="128"/>
  <c r="F35" i="197" s="1"/>
  <c r="E27" i="114"/>
  <c r="E29" i="83"/>
  <c r="F29" i="83" s="1"/>
  <c r="F29" i="114" s="1"/>
  <c r="C19" i="186"/>
  <c r="C19" i="159" s="1"/>
  <c r="C8" i="164"/>
  <c r="C9" i="132"/>
  <c r="F6" i="136"/>
  <c r="F32" i="136" s="1"/>
  <c r="C17" i="133"/>
  <c r="C31" i="116"/>
  <c r="E44" i="47"/>
  <c r="C51" i="47"/>
  <c r="F14" i="133"/>
  <c r="G14" i="133" s="1"/>
  <c r="F15" i="31"/>
  <c r="E14" i="31"/>
  <c r="L11" i="46"/>
  <c r="C12" i="46" s="1"/>
  <c r="I12" i="46" s="1"/>
  <c r="J12" i="46" s="1"/>
  <c r="B12" i="46"/>
  <c r="K12" i="46" s="1"/>
  <c r="C57" i="4"/>
  <c r="E19" i="83"/>
  <c r="F16" i="31"/>
  <c r="F15" i="133"/>
  <c r="G15" i="133" s="1"/>
  <c r="E23" i="114"/>
  <c r="E25" i="83"/>
  <c r="F23" i="83"/>
  <c r="F23" i="114" s="1"/>
  <c r="F9" i="133"/>
  <c r="F23" i="26"/>
  <c r="I6" i="84" s="1"/>
  <c r="F18" i="26"/>
  <c r="F19" i="26" s="1"/>
  <c r="C6" i="84" s="1"/>
  <c r="D10" i="46"/>
  <c r="M10" i="46" s="1"/>
  <c r="O9" i="46"/>
  <c r="C12" i="124"/>
  <c r="C4" i="124" s="1"/>
  <c r="C31" i="31"/>
  <c r="D29" i="31"/>
  <c r="C35" i="28"/>
  <c r="E33" i="28"/>
  <c r="E13" i="66"/>
  <c r="C19" i="66"/>
  <c r="E57" i="4"/>
  <c r="E17" i="114"/>
  <c r="F17" i="83"/>
  <c r="F17" i="114" s="1"/>
  <c r="E18" i="26" l="1"/>
  <c r="E17" i="26" s="1"/>
  <c r="F7" i="133" s="1"/>
  <c r="M55" i="90" a="1"/>
  <c r="M55" i="90" s="1"/>
  <c r="G3" i="191"/>
  <c r="B17" i="4" s="1"/>
  <c r="A15" i="208" s="1"/>
  <c r="F3" i="191"/>
  <c r="H3" i="191"/>
  <c r="D19" i="128"/>
  <c r="D5" i="121"/>
  <c r="D13" i="121" s="1"/>
  <c r="F7" i="119"/>
  <c r="E5" i="128"/>
  <c r="C18" i="128"/>
  <c r="F16" i="119"/>
  <c r="F5" i="128"/>
  <c r="J30" i="33"/>
  <c r="C9" i="134" s="1"/>
  <c r="F31" i="39"/>
  <c r="F59" i="197" s="1"/>
  <c r="G5" i="119"/>
  <c r="E29" i="114"/>
  <c r="C7" i="164"/>
  <c r="C7" i="132" s="1"/>
  <c r="C8" i="132"/>
  <c r="K10" i="136"/>
  <c r="K9" i="136"/>
  <c r="K8" i="136"/>
  <c r="H6" i="136"/>
  <c r="H32" i="136" s="1"/>
  <c r="K11" i="136"/>
  <c r="G6" i="136"/>
  <c r="G32" i="136" s="1"/>
  <c r="K7" i="136"/>
  <c r="E19" i="66"/>
  <c r="C24" i="66"/>
  <c r="O10" i="46"/>
  <c r="D11" i="46"/>
  <c r="M11" i="46" s="1"/>
  <c r="F8" i="133"/>
  <c r="H9" i="133"/>
  <c r="H8" i="133" s="1"/>
  <c r="H17" i="133" s="1"/>
  <c r="G9" i="133"/>
  <c r="G8" i="133" s="1"/>
  <c r="C41" i="26"/>
  <c r="G39" i="26"/>
  <c r="E19" i="114"/>
  <c r="E21" i="83"/>
  <c r="F19" i="83"/>
  <c r="F19" i="114" s="1"/>
  <c r="E20" i="31"/>
  <c r="F14" i="31"/>
  <c r="F20" i="31" s="1"/>
  <c r="M8" i="90" s="1" a="1"/>
  <c r="M8" i="90" s="1"/>
  <c r="E26" i="27"/>
  <c r="C29" i="27"/>
  <c r="E25" i="114"/>
  <c r="F25" i="83"/>
  <c r="F25" i="114" s="1"/>
  <c r="B13" i="46"/>
  <c r="K13" i="46" s="1"/>
  <c r="L12" i="46"/>
  <c r="C13" i="46" s="1"/>
  <c r="I13" i="46" s="1"/>
  <c r="J13" i="46" s="1"/>
  <c r="E7" i="112"/>
  <c r="A7" i="112"/>
  <c r="C7" i="112"/>
  <c r="D7" i="112"/>
  <c r="B7" i="112"/>
  <c r="M3" i="90" l="1" a="1"/>
  <c r="M3" i="90" s="1"/>
  <c r="D93" i="197"/>
  <c r="D40" i="197"/>
  <c r="E19" i="128"/>
  <c r="F41" i="197" s="1"/>
  <c r="E41" i="197"/>
  <c r="C49" i="116"/>
  <c r="C25" i="66"/>
  <c r="B26" i="91"/>
  <c r="E4" i="6"/>
  <c r="C7" i="119"/>
  <c r="G7" i="119"/>
  <c r="J31" i="33"/>
  <c r="D16" i="121"/>
  <c r="G35" i="195" s="1"/>
  <c r="D35" i="128"/>
  <c r="K6" i="136"/>
  <c r="K32" i="136" s="1"/>
  <c r="F19" i="119" s="1"/>
  <c r="L13" i="46"/>
  <c r="C14" i="46" s="1"/>
  <c r="I14" i="46" s="1"/>
  <c r="J14" i="46" s="1"/>
  <c r="B14" i="46"/>
  <c r="K14" i="46" s="1"/>
  <c r="G7" i="133"/>
  <c r="G17" i="133" s="1"/>
  <c r="F17" i="133"/>
  <c r="D18" i="128" s="1"/>
  <c r="C12" i="134"/>
  <c r="C10" i="134"/>
  <c r="C8" i="84" s="1"/>
  <c r="E24" i="66"/>
  <c r="M73" i="90" s="1" a="1"/>
  <c r="M73" i="90" s="1"/>
  <c r="E21" i="114"/>
  <c r="F21" i="83"/>
  <c r="F21" i="114" s="1"/>
  <c r="O11" i="46"/>
  <c r="D12" i="46"/>
  <c r="M12" i="46" s="1"/>
  <c r="C10" i="84" l="1"/>
  <c r="D40" i="33"/>
  <c r="E93" i="197"/>
  <c r="E40" i="197"/>
  <c r="I27" i="197"/>
  <c r="E67" i="197"/>
  <c r="E102" i="197"/>
  <c r="D25" i="135"/>
  <c r="E25" i="135" s="1"/>
  <c r="F25" i="135" s="1"/>
  <c r="H25" i="135" s="1"/>
  <c r="E21" i="128" s="1"/>
  <c r="F43" i="197" s="1"/>
  <c r="D19" i="34"/>
  <c r="C15" i="134"/>
  <c r="F8" i="84"/>
  <c r="F10" i="84" s="1"/>
  <c r="G19" i="119"/>
  <c r="C19" i="119"/>
  <c r="J32" i="33"/>
  <c r="E33" i="39" s="1"/>
  <c r="C16" i="119"/>
  <c r="G16" i="119"/>
  <c r="C16" i="134"/>
  <c r="F35" i="128"/>
  <c r="F102" i="197" s="1"/>
  <c r="E35" i="128"/>
  <c r="F18" i="128"/>
  <c r="F93" i="197" s="1"/>
  <c r="E18" i="128"/>
  <c r="F40" i="197" s="1"/>
  <c r="L14" i="46"/>
  <c r="C15" i="46" s="1"/>
  <c r="I15" i="46" s="1"/>
  <c r="J15" i="46" s="1"/>
  <c r="B15" i="46"/>
  <c r="K15" i="46" s="1"/>
  <c r="O12" i="46"/>
  <c r="D13" i="46"/>
  <c r="M13" i="46" s="1"/>
  <c r="F20" i="128" l="1"/>
  <c r="F94" i="197" s="1"/>
  <c r="F17" i="119"/>
  <c r="G17" i="119" s="1"/>
  <c r="E20" i="128"/>
  <c r="F42" i="197" s="1"/>
  <c r="D33" i="128"/>
  <c r="E33" i="128" s="1"/>
  <c r="E99" i="197"/>
  <c r="F67" i="197"/>
  <c r="D21" i="128"/>
  <c r="E43" i="197" s="1"/>
  <c r="I8" i="84"/>
  <c r="E42" i="39"/>
  <c r="F38" i="33"/>
  <c r="F33" i="39"/>
  <c r="F99" i="197" s="1"/>
  <c r="J35" i="33"/>
  <c r="O13" i="46"/>
  <c r="D14" i="46"/>
  <c r="M14" i="46" s="1"/>
  <c r="L15" i="46"/>
  <c r="C16" i="46" s="1"/>
  <c r="I16" i="46" s="1"/>
  <c r="J16" i="46" s="1"/>
  <c r="B16" i="46"/>
  <c r="K16" i="46" s="1"/>
  <c r="D42" i="33" l="1"/>
  <c r="M10" i="90" a="1"/>
  <c r="M10" i="90" s="1"/>
  <c r="I10" i="84"/>
  <c r="M16" i="90" s="1" a="1"/>
  <c r="M16" i="90" s="1"/>
  <c r="F33" i="128"/>
  <c r="F16" i="128" s="1"/>
  <c r="C17" i="119"/>
  <c r="G37" i="39"/>
  <c r="B45" i="39"/>
  <c r="D43" i="39"/>
  <c r="F42" i="39"/>
  <c r="M15" i="90" s="1" a="1"/>
  <c r="M15" i="90" s="1"/>
  <c r="G18" i="119"/>
  <c r="C18" i="119"/>
  <c r="O14" i="46"/>
  <c r="D15" i="46"/>
  <c r="M15" i="46" s="1"/>
  <c r="B17" i="46"/>
  <c r="K17" i="46" s="1"/>
  <c r="L16" i="46"/>
  <c r="C17" i="46" s="1"/>
  <c r="I17" i="46" s="1"/>
  <c r="J17" i="46" s="1"/>
  <c r="D16" i="46" l="1"/>
  <c r="M16" i="46" s="1"/>
  <c r="O15" i="46"/>
  <c r="L17" i="46"/>
  <c r="C18" i="46" s="1"/>
  <c r="I18" i="46" s="1"/>
  <c r="J18" i="46" s="1"/>
  <c r="B18" i="46"/>
  <c r="K18" i="46" s="1"/>
  <c r="B9" i="112"/>
  <c r="C9" i="112"/>
  <c r="E9" i="112"/>
  <c r="D9" i="112"/>
  <c r="A9" i="112"/>
  <c r="B19" i="46" l="1"/>
  <c r="K19" i="46" s="1"/>
  <c r="L19" i="46" s="1"/>
  <c r="L18" i="46"/>
  <c r="C19" i="46" s="1"/>
  <c r="I19" i="46" s="1"/>
  <c r="J19" i="46" s="1"/>
  <c r="J20" i="46" s="1"/>
  <c r="O16" i="46"/>
  <c r="D17" i="46"/>
  <c r="M17" i="46" s="1"/>
  <c r="D18" i="46" l="1"/>
  <c r="M18" i="46" s="1"/>
  <c r="O17" i="46"/>
  <c r="O18" i="46" l="1"/>
  <c r="D19" i="46"/>
  <c r="M19" i="46" s="1"/>
  <c r="O19" i="46" s="1"/>
  <c r="O20" i="46" s="1"/>
  <c r="M52" i="90" s="1" a="1"/>
  <c r="M52" i="90" s="1"/>
  <c r="C37" i="128" l="1"/>
  <c r="E36" i="53"/>
  <c r="D104" i="197" l="1"/>
  <c r="D69" i="197"/>
  <c r="F37" i="128"/>
  <c r="F104" i="197" s="1"/>
  <c r="F118" i="197" s="1"/>
  <c r="C83" i="197" s="1"/>
  <c r="E37" i="128"/>
  <c r="F69" i="197" s="1"/>
  <c r="E34" i="128" l="1"/>
  <c r="F34" i="128"/>
  <c r="F47" i="128" s="1"/>
  <c r="D19" i="121" s="1"/>
  <c r="G38" i="195" s="1"/>
  <c r="H19" i="34" l="1"/>
  <c r="C38" i="53"/>
  <c r="B44" i="53"/>
  <c r="E31" i="53"/>
  <c r="J17" i="34" l="1"/>
  <c r="M11" i="90" s="1" a="1"/>
  <c r="M11" i="90" s="1"/>
  <c r="M59" i="90" a="1"/>
  <c r="M59" i="90" s="1"/>
  <c r="J19" i="34"/>
  <c r="D18" i="34"/>
  <c r="E25" i="128"/>
  <c r="F47" i="197" s="1"/>
  <c r="F82" i="197" s="1"/>
  <c r="C29" i="197" s="1"/>
  <c r="D119" i="197" s="1"/>
  <c r="C19" i="116" l="1"/>
  <c r="E16" i="128"/>
  <c r="E47" i="128" s="1"/>
  <c r="H82" i="197" s="1"/>
  <c r="G20" i="34"/>
  <c r="D23" i="34"/>
  <c r="D18" i="121" l="1"/>
  <c r="G37" i="195" s="1"/>
  <c r="F11" i="119"/>
  <c r="G11" i="119" s="1"/>
  <c r="D21" i="121" l="1"/>
  <c r="C11" i="119"/>
  <c r="D22" i="121" l="1"/>
  <c r="G41" i="195" s="1"/>
  <c r="G40" i="195"/>
  <c r="D23" i="121" l="1"/>
  <c r="G42" i="195" s="1"/>
  <c r="C17" i="38"/>
  <c r="D11" i="143"/>
  <c r="F11" i="143" s="1"/>
  <c r="D22" i="6"/>
  <c r="F17" i="38" l="1"/>
  <c r="L6" i="143" s="1"/>
  <c r="L7" i="143" s="1"/>
  <c r="L8" i="143" s="1"/>
  <c r="M8" i="143" s="1"/>
  <c r="C18" i="177"/>
  <c r="C18" i="150" s="1"/>
  <c r="M14" i="90" l="1" a="1"/>
  <c r="M14" i="90" s="1"/>
  <c r="C10" i="177"/>
  <c r="L9" i="143"/>
  <c r="L10" i="143" s="1"/>
  <c r="M10" i="143" s="1"/>
  <c r="M7" i="143"/>
  <c r="M9" i="143" l="1"/>
  <c r="L11" i="143"/>
  <c r="F26" i="119" s="1"/>
  <c r="M11" i="143" l="1"/>
  <c r="M12" i="143" s="1"/>
  <c r="G26" i="119" l="1"/>
  <c r="C15" i="156" l="1"/>
  <c r="C7" i="186" l="1"/>
  <c r="C7" i="159" l="1"/>
  <c r="F42" i="119" s="1"/>
  <c r="C14" i="186"/>
  <c r="G42" i="119" l="1"/>
  <c r="C42" i="119"/>
  <c r="C14" i="159"/>
  <c r="C6" i="187"/>
  <c r="C17" i="186"/>
  <c r="C15" i="186"/>
  <c r="C16" i="186"/>
  <c r="C6" i="160" l="1"/>
  <c r="C15" i="159"/>
  <c r="D37" i="121" s="1"/>
  <c r="D6" i="187"/>
  <c r="C20" i="186"/>
  <c r="C20" i="159" s="1"/>
  <c r="E15" i="186"/>
  <c r="F6" i="187"/>
  <c r="C16" i="159"/>
  <c r="D38" i="121" s="1"/>
  <c r="C17" i="159"/>
  <c r="H6" i="187"/>
  <c r="E16" i="186" l="1"/>
  <c r="G57" i="195"/>
  <c r="F15" i="186"/>
  <c r="G56" i="195"/>
  <c r="H10" i="187"/>
  <c r="H10" i="160" s="1"/>
  <c r="H14" i="187"/>
  <c r="H14" i="160" s="1"/>
  <c r="H18" i="187"/>
  <c r="H18" i="160" s="1"/>
  <c r="H22" i="187"/>
  <c r="H22" i="160" s="1"/>
  <c r="H11" i="187"/>
  <c r="H11" i="160" s="1"/>
  <c r="H15" i="187"/>
  <c r="H15" i="160" s="1"/>
  <c r="H19" i="187"/>
  <c r="H19" i="160" s="1"/>
  <c r="H9" i="187"/>
  <c r="H12" i="187"/>
  <c r="H12" i="160" s="1"/>
  <c r="H16" i="187"/>
  <c r="H16" i="160" s="1"/>
  <c r="H20" i="187"/>
  <c r="H20" i="160" s="1"/>
  <c r="H13" i="187"/>
  <c r="H13" i="160" s="1"/>
  <c r="H17" i="187"/>
  <c r="H17" i="160" s="1"/>
  <c r="H21" i="187"/>
  <c r="H21" i="160" s="1"/>
  <c r="D6" i="160"/>
  <c r="F6" i="160"/>
  <c r="H6" i="160"/>
  <c r="F43" i="119" s="1"/>
  <c r="H9" i="160" l="1"/>
  <c r="M44" i="90" a="1"/>
  <c r="M44" i="90" s="1"/>
  <c r="G43" i="119"/>
  <c r="C43" i="119"/>
  <c r="H23" i="187"/>
  <c r="H23" i="160" l="1"/>
  <c r="D4" i="151"/>
  <c r="D5" i="151"/>
  <c r="C53" i="178"/>
  <c r="D53" i="151" l="1"/>
  <c r="F34" i="119" s="1"/>
  <c r="G34" i="119" s="1"/>
  <c r="M35" i="90" a="1"/>
  <c r="M35" i="90" s="1"/>
  <c r="C10" i="150"/>
  <c r="C11" i="177"/>
  <c r="C12" i="177" s="1"/>
  <c r="C12" i="150" s="1"/>
  <c r="C34" i="119" l="1"/>
  <c r="C21" i="177"/>
  <c r="C21" i="150" s="1"/>
  <c r="D24" i="121" s="1"/>
  <c r="G43" i="195" s="1"/>
  <c r="C11" i="150"/>
  <c r="D25" i="121" l="1"/>
  <c r="G44" i="195" s="1"/>
  <c r="D26" i="121" l="1"/>
  <c r="H5" i="178" s="1"/>
  <c r="G45" i="195" l="1"/>
  <c r="H4" i="178"/>
  <c r="D23" i="6"/>
  <c r="D28" i="121"/>
  <c r="G47" i="195" s="1"/>
  <c r="D29" i="121" l="1"/>
  <c r="G48" i="195" s="1"/>
  <c r="D11" i="181" l="1"/>
  <c r="D11" i="154" s="1"/>
  <c r="M11" i="181" l="1"/>
  <c r="M11" i="154" s="1"/>
  <c r="N11" i="181" l="1"/>
  <c r="N13" i="181" s="1"/>
  <c r="N13" i="154" s="1"/>
  <c r="M12" i="181"/>
  <c r="M12" i="154" l="1"/>
  <c r="D30" i="121" s="1"/>
  <c r="G49" i="195" s="1"/>
  <c r="M38" i="90" a="1"/>
  <c r="M38" i="90" s="1"/>
  <c r="N11" i="154"/>
  <c r="D31" i="121" l="1"/>
  <c r="G50" i="195" s="1"/>
  <c r="D34" i="121" l="1"/>
  <c r="D36" i="121" s="1"/>
  <c r="G55" i="195" s="1"/>
  <c r="D15" i="48" l="1"/>
  <c r="F15" i="48" s="1"/>
  <c r="F25" i="48" s="1"/>
  <c r="G26" i="48" s="1"/>
  <c r="G53" i="195"/>
  <c r="D24" i="6"/>
  <c r="D25" i="48" l="1"/>
  <c r="M54" i="90" s="1" a="1"/>
  <c r="M54" i="90" s="1"/>
  <c r="C32" i="116"/>
  <c r="C27" i="48"/>
</calcChain>
</file>

<file path=xl/comments1.xml><?xml version="1.0" encoding="utf-8"?>
<comments xmlns="http://schemas.openxmlformats.org/spreadsheetml/2006/main">
  <authors>
    <author>白晨</author>
  </authors>
  <commentList>
    <comment ref="B49" authorId="0" shapeId="0">
      <text>
        <r>
          <rPr>
            <b/>
            <sz val="9"/>
            <color indexed="81"/>
            <rFont val="宋体"/>
            <family val="3"/>
            <charset val="134"/>
          </rPr>
          <t>Tips:</t>
        </r>
        <r>
          <rPr>
            <sz val="9"/>
            <color indexed="81"/>
            <rFont val="宋体"/>
            <family val="3"/>
            <charset val="134"/>
          </rPr>
          <t xml:space="preserve">
国税登录用户名</t>
        </r>
      </text>
    </comment>
    <comment ref="D49" authorId="0" shapeId="0">
      <text>
        <r>
          <rPr>
            <b/>
            <sz val="9"/>
            <color indexed="81"/>
            <rFont val="宋体"/>
            <family val="3"/>
            <charset val="134"/>
          </rPr>
          <t>Tips:</t>
        </r>
        <r>
          <rPr>
            <sz val="9"/>
            <color indexed="81"/>
            <rFont val="宋体"/>
            <family val="3"/>
            <charset val="134"/>
          </rPr>
          <t xml:space="preserve">
国税登录密码</t>
        </r>
      </text>
    </comment>
    <comment ref="B50" authorId="0" shapeId="0">
      <text>
        <r>
          <rPr>
            <b/>
            <sz val="9"/>
            <color indexed="81"/>
            <rFont val="宋体"/>
            <family val="3"/>
            <charset val="134"/>
          </rPr>
          <t>Tips:</t>
        </r>
        <r>
          <rPr>
            <sz val="9"/>
            <color indexed="81"/>
            <rFont val="宋体"/>
            <family val="3"/>
            <charset val="134"/>
          </rPr>
          <t xml:space="preserve">
地税登录用户名</t>
        </r>
      </text>
    </comment>
    <comment ref="D50" authorId="0" shapeId="0">
      <text>
        <r>
          <rPr>
            <b/>
            <sz val="9"/>
            <color indexed="81"/>
            <rFont val="宋体"/>
            <family val="3"/>
            <charset val="134"/>
          </rPr>
          <t>Tips:</t>
        </r>
        <r>
          <rPr>
            <sz val="9"/>
            <color indexed="81"/>
            <rFont val="宋体"/>
            <family val="3"/>
            <charset val="134"/>
          </rPr>
          <t xml:space="preserve">
地税登录密码</t>
        </r>
      </text>
    </comment>
  </commentList>
</comments>
</file>

<file path=xl/comments2.xml><?xml version="1.0" encoding="utf-8"?>
<comments xmlns="http://schemas.openxmlformats.org/spreadsheetml/2006/main">
  <authors>
    <author>zeyi chang</author>
  </authors>
  <commentList>
    <comment ref="C26" authorId="0" shapeId="0">
      <text>
        <r>
          <rPr>
            <b/>
            <sz val="9"/>
            <color indexed="81"/>
            <rFont val="宋体"/>
            <family val="3"/>
            <charset val="134"/>
          </rPr>
          <t>zeyi chang:</t>
        </r>
        <r>
          <rPr>
            <sz val="9"/>
            <color indexed="81"/>
            <rFont val="宋体"/>
            <family val="3"/>
            <charset val="134"/>
          </rPr>
          <t xml:space="preserve">
</t>
        </r>
      </text>
    </comment>
  </commentList>
</comments>
</file>

<file path=xl/sharedStrings.xml><?xml version="1.0" encoding="utf-8"?>
<sst xmlns="http://schemas.openxmlformats.org/spreadsheetml/2006/main" count="15097" uniqueCount="10297">
  <si>
    <t>审核提示：                                                                                                                                         1、核实租赁资产的存在、所有权和用途，确认租赁资产是与企业经营有关的租赁资产；
2、审查是否将属于融资租赁项目列入经营租金支出范围。
3、抽查重大租赁项目，追查合同及其他原始凭证，计提或付款记录，确认租金支出的真实性，计价的准确性，以及在成本、费用分配的恰当性。</t>
  </si>
  <si>
    <t>月可列支金额</t>
  </si>
  <si>
    <t>本期可列支金额</t>
  </si>
  <si>
    <t>租金调整额</t>
  </si>
  <si>
    <t>后期可列支金额</t>
  </si>
  <si>
    <t>以融资方式取得的固定资产</t>
  </si>
  <si>
    <t>（不允许扣除额）</t>
  </si>
  <si>
    <t xml:space="preserve"> 三、本期租金支出对应成本费用科目</t>
  </si>
  <si>
    <t>∧、＜、B、T、S、D3</t>
  </si>
  <si>
    <t>签　名</t>
  </si>
  <si>
    <t>借方发生额</t>
  </si>
  <si>
    <t>贷方发生额</t>
  </si>
  <si>
    <t>增值税</t>
  </si>
  <si>
    <t>审核报告事项说明</t>
  </si>
  <si>
    <t>收入与申报核对表!A1</t>
  </si>
  <si>
    <t>审核
结论</t>
  </si>
  <si>
    <t>年度</t>
  </si>
  <si>
    <t>账面利润总额</t>
  </si>
  <si>
    <t>纳税调整后所得额</t>
  </si>
  <si>
    <t>当年可弥补的所得额</t>
  </si>
  <si>
    <t>弥补亏损是否备案</t>
  </si>
  <si>
    <t>利润表</t>
  </si>
  <si>
    <t>弥补亏损明细表</t>
  </si>
  <si>
    <t>B、G、S、C、D4</t>
  </si>
  <si>
    <t>可确认</t>
  </si>
  <si>
    <t>类别</t>
  </si>
  <si>
    <t>账载扣除金额</t>
  </si>
  <si>
    <t>调整金额</t>
  </si>
  <si>
    <t>收入类</t>
  </si>
  <si>
    <t>营外收支!A1</t>
  </si>
  <si>
    <t>账面计入非损益类科目的政府补贴收入</t>
  </si>
  <si>
    <t>招待!D27</t>
  </si>
  <si>
    <t>事项说明!A52</t>
  </si>
  <si>
    <t>资产类</t>
  </si>
  <si>
    <t>应予资本化的固定资产支出</t>
  </si>
  <si>
    <t>应予资本化的无形资产支出</t>
  </si>
  <si>
    <t>财产损失</t>
  </si>
  <si>
    <t>国税函[2009]772号规定：企业以前年度（包括2008年以前）发生，按当时企业所得税有关规定符合资产损失确认条件的损失，在当年因为各种原因未能扣除的，不能结转在以后年度扣除；可以按照所得税法及征管法的有关规定，追补确认在该项资产损失发生的年度扣除，而不能改变该项资产损失发生的所属年度。经税务局批准后通过附表四调整。</t>
  </si>
  <si>
    <t>扣除类</t>
  </si>
  <si>
    <t>减值准备纳税调整表!A1</t>
  </si>
  <si>
    <t>凭证检查!J7</t>
  </si>
  <si>
    <t>在纳税调整明细表中单独列示</t>
  </si>
  <si>
    <t>以前年度应计未计费用</t>
  </si>
  <si>
    <t>房地产企业因预收款产生的招待费、广宣费调整差异</t>
  </si>
  <si>
    <t>国税函[2003]804号规定，大修理预提费用不能扣除。</t>
  </si>
  <si>
    <t>互相担保额度内的可以扣除。国税发[2009]31号、国税发[2009]88号、国税函[2007]1272号</t>
  </si>
  <si>
    <t>在福利费中列支的社会保障性缴款单位负担部分</t>
  </si>
  <si>
    <t>以前年度调增长期待摊费用本年可摊销部分</t>
  </si>
  <si>
    <t>增加或调整其他事项时请相应调整“纳税调整明细表”中E45、F45单元格公式</t>
  </si>
  <si>
    <t>∧、＜、B、T、G、S、D1、D2、D3、D10</t>
  </si>
  <si>
    <t>目录</t>
  </si>
  <si>
    <t xml:space="preserve">                       (适用查账征收非金融企业企业所得税汇算)</t>
  </si>
  <si>
    <t>基础资料
(综合类底稿）</t>
  </si>
  <si>
    <t>业务类工作底稿</t>
  </si>
  <si>
    <t>调整类</t>
  </si>
  <si>
    <t>损益类</t>
  </si>
  <si>
    <t>负债及权益类</t>
  </si>
  <si>
    <t>档案封面</t>
  </si>
  <si>
    <t>工资三项经费审核表</t>
  </si>
  <si>
    <t>报告封面</t>
  </si>
  <si>
    <t>档案索引</t>
  </si>
  <si>
    <t>银行存款余额调节表</t>
  </si>
  <si>
    <t>基本情况表</t>
  </si>
  <si>
    <t>固定资产累计折旧审核表</t>
  </si>
  <si>
    <t>主营业务毛利分析表</t>
  </si>
  <si>
    <t>折旧测算表</t>
  </si>
  <si>
    <t>实收资本资本公积盈余公积审核表</t>
  </si>
  <si>
    <t>签发单</t>
  </si>
  <si>
    <t>成本倒轧表</t>
  </si>
  <si>
    <t>三级复核</t>
  </si>
  <si>
    <t>社保住房公积金审核表</t>
  </si>
  <si>
    <t>存货计价测试表</t>
  </si>
  <si>
    <t>收入明细表</t>
  </si>
  <si>
    <t>社保明细工资人数审核表</t>
  </si>
  <si>
    <t>待摊费用预提费用审核表</t>
  </si>
  <si>
    <t>成本费用明细表</t>
  </si>
  <si>
    <t>管理当局声明</t>
  </si>
  <si>
    <t>广告费业务宣传费审核表</t>
  </si>
  <si>
    <t>税费缴纳测算审核表</t>
  </si>
  <si>
    <t>整体工作计划</t>
  </si>
  <si>
    <t>捐赠赞助支出审核表</t>
  </si>
  <si>
    <t>内控调查问卷</t>
  </si>
  <si>
    <t>境外所得税抵免明细表</t>
  </si>
  <si>
    <t>其他事项</t>
  </si>
  <si>
    <t>以公允价值计量调整表</t>
  </si>
  <si>
    <t>广告费纳税调整表</t>
  </si>
  <si>
    <t>通用工作记录</t>
  </si>
  <si>
    <t>审核标识说明书</t>
  </si>
  <si>
    <t>凭证检查底稿</t>
  </si>
  <si>
    <t>减值准备纳税调整表</t>
  </si>
  <si>
    <t>现金证明书</t>
  </si>
  <si>
    <t>股权投资所得明细表</t>
  </si>
  <si>
    <t>资产盘点表</t>
  </si>
  <si>
    <t>使用说明</t>
  </si>
  <si>
    <t>销售货物</t>
  </si>
  <si>
    <t>提供劳务</t>
  </si>
  <si>
    <t>让渡资产使用权</t>
  </si>
  <si>
    <t>建造合同</t>
  </si>
  <si>
    <t xml:space="preserve">1.审核约定事项是否实现；                     2.重要审核程序的制定与实施是否恰当；                                                                 3.重点审核领域的测试是否充分；                                                    4.重点审核依据是否充分、适当；                                                    </t>
  </si>
  <si>
    <t xml:space="preserve">     对下年度工作的建议和意见</t>
  </si>
  <si>
    <t>1、</t>
  </si>
  <si>
    <t>2、</t>
  </si>
  <si>
    <t>3、</t>
  </si>
  <si>
    <t>4、</t>
  </si>
  <si>
    <t>5、</t>
  </si>
  <si>
    <t xml:space="preserve">    依据《中华人民共和国经济合同法》等规定，经双方协商一致，签订本合同，以资共同遵守。</t>
  </si>
  <si>
    <t xml:space="preserve">    第一条、委托目的和内容</t>
  </si>
  <si>
    <t xml:space="preserve">    甲方委托乙方：</t>
  </si>
  <si>
    <t xml:space="preserve">    第二条、责任与义务</t>
  </si>
  <si>
    <t>金额单位:元（列至角分）</t>
  </si>
  <si>
    <t>资产种类</t>
  </si>
  <si>
    <t>期初金额</t>
  </si>
  <si>
    <t>期末金额</t>
  </si>
  <si>
    <t>纳税调整额
（纳税调减以“－”表示）</t>
  </si>
  <si>
    <t>账载金额
（公允价值）</t>
  </si>
  <si>
    <t>一、公允价值计量且其变动计入当期损益的金融资产</t>
  </si>
  <si>
    <t xml:space="preserve">    1.交易性金融资产</t>
  </si>
  <si>
    <t xml:space="preserve">    2.衍生金融工具</t>
  </si>
  <si>
    <t xml:space="preserve">    3.其他以公允价值计量的金融资产</t>
  </si>
  <si>
    <t>二、公允价值计量且其变动计入当期损益的金融负债</t>
  </si>
  <si>
    <t>1、纳税调整是针对会计利润的，当本年度的公允价值变动损益包含应纳入资本公积科目核算的变动损益时，简单将公允价值计量的相关资产或负债的期末期初余额变动差额作为纳税调整依据，可能导致第5列的计算公式不准确。</t>
  </si>
  <si>
    <t xml:space="preserve">    1.交易性金融负债</t>
  </si>
  <si>
    <t>2、主表第8行反应的是持有期间的变动损益，对外转让时结转的以前已确认的公允价值变动损益通过附表十一调整。</t>
  </si>
  <si>
    <t xml:space="preserve">    3.其他以公允价值计量的金融负债</t>
  </si>
  <si>
    <t>三、投资性房地产</t>
  </si>
  <si>
    <t>8、企业是否存在货物已发出，收款记人预收账款而未转作收入现象?</t>
  </si>
  <si>
    <t xml:space="preserve">1、是（ </t>
  </si>
  <si>
    <t>二、成本方面</t>
  </si>
  <si>
    <t>1、成本计算方法是否与上年度一致？</t>
  </si>
  <si>
    <t>2、企业成本结转方法是否正确？</t>
  </si>
  <si>
    <t>3、待摊是否按税法规定摊销？</t>
  </si>
  <si>
    <t>三、采购与存货方面</t>
  </si>
  <si>
    <t>1、采购的货物或生产的产品入库是否均有验收入库单？</t>
  </si>
  <si>
    <t xml:space="preserve">1、均有（     </t>
  </si>
  <si>
    <t>2、有的没有（</t>
  </si>
  <si>
    <t>2、货物出库是否均有领料单或提货单？</t>
  </si>
  <si>
    <t>3、存货发出的计价方法是否与上年一致？</t>
  </si>
  <si>
    <t>4、存货总账与实物库存明细账是否有不同的人管理和记录？</t>
  </si>
  <si>
    <t>1、是同一人管理（</t>
  </si>
  <si>
    <t xml:space="preserve">2、不是同一人管理（ </t>
  </si>
  <si>
    <t>5、期末是否对存货进行了实地盘点，并与存货明细账相核对？有无差错？</t>
  </si>
  <si>
    <t xml:space="preserve">1、进行了实地盘点( </t>
  </si>
  <si>
    <t>有差错（</t>
  </si>
  <si>
    <t>）无差错（</t>
  </si>
  <si>
    <t>2、未盘点（</t>
  </si>
  <si>
    <t>四、其他方面</t>
  </si>
  <si>
    <t>1、企业期初是否存在以前年度累计计提但尚未实际使用的福利费余额？</t>
  </si>
  <si>
    <t>1、有（</t>
  </si>
  <si>
    <t>）2、没有（</t>
  </si>
  <si>
    <t>2、本期期末，是否进行了财产清查？有无资产损失？如有，是否已办理资产损失税前扣除审批手续？</t>
  </si>
  <si>
    <t>1、进行了清查（</t>
  </si>
  <si>
    <t>(1)有财产损失（</t>
  </si>
  <si>
    <t>已审批（</t>
  </si>
  <si>
    <t>）未审批(</t>
  </si>
  <si>
    <t>(2)无财产损失（</t>
  </si>
  <si>
    <t>2、未进行清查（</t>
  </si>
  <si>
    <t>适用税种及附加</t>
  </si>
  <si>
    <t>计税依据</t>
  </si>
  <si>
    <t>适用税率或征收率</t>
  </si>
  <si>
    <t>应计提税金或附加</t>
  </si>
  <si>
    <t>账面数</t>
  </si>
  <si>
    <t>一、主营税金及附加</t>
  </si>
  <si>
    <t>20%税率收入</t>
  </si>
  <si>
    <t>20%税率应交文化事业附加收入</t>
  </si>
  <si>
    <t>10%税率应交文化事业附加收入</t>
  </si>
  <si>
    <t>5%税率收入</t>
  </si>
  <si>
    <t>5%税率应交文化事业附加收入</t>
  </si>
  <si>
    <t>3%税率收入</t>
  </si>
  <si>
    <t>教育附加</t>
  </si>
  <si>
    <t>本表的计税依据源自“收入与申报核对表”，如有差异请调整。</t>
  </si>
  <si>
    <t>审核提示：                                                                                                                                                     1、取得或编制主营业务税金及附加明细表，复核加计正确，并与报表数、总账数和明细账合计数核对相符。
2、根据审定的当期应纳营业税的主营业务收入，按规定的税率，分项计算复核本期应纳营业税税额。
3、根据审定的应税消费品销售额（或数量），按规定适用的税率，分项计算复核本期应纳消费税税额。
4、根据审定的应税资源税产品的课税数量，按规定适用的单位税额，计算复核本期应纳资源税税额。
5、检查城市维护建设税、教育费附加等项目的计算依据是否和本期应纳增值税、营业税、消费税合计数一致，并按规定适用的税率或费率计算复核本期应纳城建税、教育费附加税费额。
6、复核各项税费与应交税金、其他应交款等项目的勾稽关系，作交叉索引。</t>
  </si>
  <si>
    <t>文化事业附加</t>
  </si>
  <si>
    <t>一般纳税人</t>
  </si>
  <si>
    <t>小规模纳税人</t>
  </si>
  <si>
    <t>主营税金合计</t>
  </si>
  <si>
    <t>∧、＜、T、G、S、C、D2</t>
  </si>
  <si>
    <t xml:space="preserve">序号 </t>
  </si>
  <si>
    <t>税种</t>
  </si>
  <si>
    <t>账载本年应交</t>
  </si>
  <si>
    <t>审定本年应交</t>
  </si>
  <si>
    <t>本年已交</t>
  </si>
  <si>
    <t>期末应补</t>
  </si>
  <si>
    <t>差额调整</t>
  </si>
  <si>
    <t>教育附加费</t>
  </si>
  <si>
    <t>车船税</t>
  </si>
  <si>
    <t>残疾人保障金</t>
  </si>
  <si>
    <t>本  期  合  计</t>
  </si>
  <si>
    <t>税率</t>
  </si>
  <si>
    <t>应计缴税金</t>
  </si>
  <si>
    <t>印花税合计</t>
  </si>
  <si>
    <t>印花税-购销合同</t>
  </si>
  <si>
    <t>0.3‰</t>
  </si>
  <si>
    <t>印花税-建筑安装工程承包合同</t>
  </si>
  <si>
    <t>印花税-技术合同</t>
  </si>
  <si>
    <t>印花税-租赁合同</t>
  </si>
  <si>
    <t>1‰</t>
  </si>
  <si>
    <t>印花税-仓储合同</t>
  </si>
  <si>
    <t>印花税-保险合同</t>
  </si>
  <si>
    <t>印花税-运输合同</t>
  </si>
  <si>
    <t>0.5‰</t>
  </si>
  <si>
    <t>印花税-加工承揽</t>
  </si>
  <si>
    <t>印花税-勘察设计</t>
  </si>
  <si>
    <t>印花税-产权转让</t>
  </si>
  <si>
    <t>印花税-借款合同</t>
  </si>
  <si>
    <t>0.05‰</t>
  </si>
  <si>
    <t>印花税-帐簿、证照</t>
  </si>
  <si>
    <t>印花税-资金帐簿</t>
  </si>
  <si>
    <t>房产税合计</t>
  </si>
  <si>
    <t>房产税-租赁</t>
  </si>
  <si>
    <t>房产税-自有</t>
  </si>
  <si>
    <t>审计标识及说明</t>
  </si>
  <si>
    <t>审计结论</t>
  </si>
  <si>
    <t>各税缴纳情况审核表</t>
  </si>
  <si>
    <t>3-5-1</t>
  </si>
  <si>
    <t xml:space="preserve">   其他税费测算表</t>
  </si>
  <si>
    <t>3-5-2</t>
  </si>
  <si>
    <t>项  目</t>
  </si>
  <si>
    <t>其他业务支出</t>
  </si>
  <si>
    <t>未  审  数</t>
  </si>
  <si>
    <t>调  整  数</t>
  </si>
  <si>
    <t>审  定  数</t>
  </si>
  <si>
    <t>其他小计</t>
  </si>
  <si>
    <t>已用于弥补以前年度亏损(早于前5年）</t>
    <phoneticPr fontId="78" type="noConversion"/>
  </si>
  <si>
    <t>增值税</t>
    <phoneticPr fontId="51" type="noConversion"/>
  </si>
  <si>
    <t>消费税</t>
  </si>
  <si>
    <t>消费税</t>
    <phoneticPr fontId="51" type="noConversion"/>
  </si>
  <si>
    <t>资源税</t>
  </si>
  <si>
    <t>资源税</t>
    <phoneticPr fontId="51" type="noConversion"/>
  </si>
  <si>
    <t>契税</t>
  </si>
  <si>
    <t>契税</t>
    <phoneticPr fontId="51" type="noConversion"/>
  </si>
  <si>
    <t>土地增值税</t>
  </si>
  <si>
    <t>土地增值税</t>
    <phoneticPr fontId="51" type="noConversion"/>
  </si>
  <si>
    <t>城镇土地使用税</t>
    <phoneticPr fontId="51" type="noConversion"/>
  </si>
  <si>
    <t>其他税种</t>
  </si>
  <si>
    <t xml:space="preserve">        营业税金及附加</t>
  </si>
  <si>
    <t xml:space="preserve">        投资收益</t>
  </si>
  <si>
    <t>应纳税额计算</t>
  </si>
  <si>
    <t>委托
单位</t>
  </si>
  <si>
    <t>期间</t>
  </si>
  <si>
    <t>收入按应税税种、税率分类</t>
  </si>
  <si>
    <t>账载收入</t>
  </si>
  <si>
    <t>申报收入</t>
  </si>
  <si>
    <t>账载与申报收入差异</t>
  </si>
  <si>
    <t>审定数</t>
  </si>
  <si>
    <t>可扣除项目</t>
  </si>
  <si>
    <t>主营业务收入</t>
  </si>
  <si>
    <t>其他业务收入</t>
  </si>
  <si>
    <t>其他收入</t>
  </si>
  <si>
    <t>一般纳税人应税增值税收入</t>
  </si>
  <si>
    <t>地税申报数据</t>
  </si>
  <si>
    <t>小规模应税增值税(3%)收入</t>
  </si>
  <si>
    <t>免税收入</t>
  </si>
  <si>
    <t>税费缴纳测算</t>
  </si>
  <si>
    <t>应缴20%营业税收入</t>
  </si>
  <si>
    <t>应缴20%营业税且缴文化事业费收入</t>
  </si>
  <si>
    <t>应缴10%营业税且缴文化事业费收入</t>
  </si>
  <si>
    <t>应缴5%营业税收入</t>
  </si>
  <si>
    <t xml:space="preserve">  其中：房屋建筑物租金收入</t>
  </si>
  <si>
    <t>应缴5%营业税且缴文化事业费收入</t>
  </si>
  <si>
    <t>应缴3%营业税收入</t>
  </si>
  <si>
    <t>增值税勾稽关系检查</t>
  </si>
  <si>
    <t>营业税勾稽关系检查</t>
  </si>
  <si>
    <t>社保明细工资人数</t>
  </si>
  <si>
    <t>本年应补（退）的所得税额：</t>
    <phoneticPr fontId="51" type="noConversion"/>
  </si>
  <si>
    <t>同意纳税调整。</t>
    <phoneticPr fontId="51" type="noConversion"/>
  </si>
  <si>
    <t>应纳税所得额：</t>
    <phoneticPr fontId="51" type="noConversion"/>
  </si>
  <si>
    <t>纳税调整后所得：</t>
    <phoneticPr fontId="51" type="noConversion"/>
  </si>
  <si>
    <t xml:space="preserve">   （六）其他</t>
  </si>
  <si>
    <t xml:space="preserve">   （五）其他</t>
  </si>
  <si>
    <t xml:space="preserve">   （四）其他</t>
  </si>
  <si>
    <t>财务费用!A1</t>
  </si>
  <si>
    <t>报告书编号：</t>
  </si>
  <si>
    <t>业务类别：</t>
  </si>
  <si>
    <t>工 作 底 稿 档 案</t>
  </si>
  <si>
    <r>
      <t xml:space="preserve">             档案编号:   </t>
    </r>
    <r>
      <rPr>
        <u/>
        <sz val="12"/>
        <rFont val="宋体"/>
        <family val="3"/>
        <charset val="134"/>
      </rPr>
      <t xml:space="preserve">                                        </t>
    </r>
  </si>
  <si>
    <t xml:space="preserve">             客户名称:</t>
  </si>
  <si>
    <t xml:space="preserve">             所属年度:</t>
  </si>
  <si>
    <t xml:space="preserve">             负 责 人:</t>
  </si>
  <si>
    <r>
      <t xml:space="preserve">             报告日期:</t>
    </r>
    <r>
      <rPr>
        <u/>
        <sz val="12"/>
        <rFont val="宋体"/>
        <family val="3"/>
        <charset val="134"/>
      </rPr>
      <t xml:space="preserve">                                   </t>
    </r>
  </si>
  <si>
    <r>
      <t xml:space="preserve">                             (共</t>
    </r>
    <r>
      <rPr>
        <u/>
        <sz val="12"/>
        <rFont val="宋体"/>
        <family val="3"/>
        <charset val="134"/>
      </rPr>
      <t xml:space="preserve">     </t>
    </r>
    <r>
      <rPr>
        <sz val="12"/>
        <rFont val="宋体"/>
        <family val="3"/>
        <charset val="134"/>
      </rPr>
      <t>卷,第</t>
    </r>
    <r>
      <rPr>
        <u/>
        <sz val="12"/>
        <rFont val="宋体"/>
        <family val="3"/>
        <charset val="134"/>
      </rPr>
      <t xml:space="preserve">      卷</t>
    </r>
    <r>
      <rPr>
        <sz val="12"/>
        <rFont val="宋体"/>
        <family val="3"/>
        <charset val="134"/>
      </rPr>
      <t xml:space="preserve">) </t>
    </r>
  </si>
  <si>
    <r>
      <t>归档日期:</t>
    </r>
    <r>
      <rPr>
        <u/>
        <sz val="12"/>
        <rFont val="宋体"/>
        <family val="3"/>
        <charset val="134"/>
      </rPr>
      <t xml:space="preserve">             </t>
    </r>
  </si>
  <si>
    <t>业务档案目录（索引）</t>
  </si>
  <si>
    <t>委托单位名称：</t>
  </si>
  <si>
    <t>索引号</t>
  </si>
  <si>
    <t>项目名称</t>
  </si>
  <si>
    <t>页码</t>
  </si>
  <si>
    <t>一、综合类</t>
  </si>
  <si>
    <t>B、调减项目类</t>
  </si>
  <si>
    <t>1-1</t>
  </si>
  <si>
    <t>报告审核签发单</t>
  </si>
  <si>
    <t>1-2</t>
  </si>
  <si>
    <t>正式报告书及送审稿</t>
  </si>
  <si>
    <t>三、收入、成本、费用表</t>
  </si>
  <si>
    <t>1-3</t>
  </si>
  <si>
    <t>三级复核表</t>
  </si>
  <si>
    <t>3-1</t>
  </si>
  <si>
    <t>主营业务收支审核表</t>
  </si>
  <si>
    <t>1-4</t>
  </si>
  <si>
    <t>业务约定书</t>
  </si>
  <si>
    <t>3-2</t>
  </si>
  <si>
    <t>收入与纳税申报核对审核表</t>
  </si>
  <si>
    <t>1-5</t>
  </si>
  <si>
    <t>企业基本情况表</t>
  </si>
  <si>
    <t>3-3</t>
  </si>
  <si>
    <t xml:space="preserve">制造费用、生产成本审核表 </t>
  </si>
  <si>
    <t>1-6</t>
  </si>
  <si>
    <t>客户管理当局声明书</t>
  </si>
  <si>
    <t>3-4</t>
  </si>
  <si>
    <t>主营业务成本倒轧审核表</t>
  </si>
  <si>
    <t>1-7</t>
  </si>
  <si>
    <t>审核整体工作计划</t>
  </si>
  <si>
    <t>3-5</t>
  </si>
  <si>
    <t>主营业务税金附加审核表</t>
  </si>
  <si>
    <t>1-8</t>
  </si>
  <si>
    <t>企业内部控制制度调查问卷</t>
  </si>
  <si>
    <t>3-6</t>
  </si>
  <si>
    <t>其他业务收支审核表</t>
  </si>
  <si>
    <t>1-9</t>
  </si>
  <si>
    <t>审核调查问卷</t>
  </si>
  <si>
    <t>3-7</t>
  </si>
  <si>
    <t>营业费用审核表</t>
  </si>
  <si>
    <t>1-10</t>
  </si>
  <si>
    <t>重大问题请示报告</t>
  </si>
  <si>
    <t>3-8</t>
  </si>
  <si>
    <t>管理费用审核表</t>
  </si>
  <si>
    <t>1-11</t>
  </si>
  <si>
    <t>与客户交换意见记录</t>
  </si>
  <si>
    <t>3-9</t>
  </si>
  <si>
    <t>财务费用审核表</t>
  </si>
  <si>
    <t>1-12</t>
  </si>
  <si>
    <t>客户提供资料一览表</t>
  </si>
  <si>
    <t>3-10</t>
  </si>
  <si>
    <t>营业外收支审核表</t>
  </si>
  <si>
    <t>1-13</t>
  </si>
  <si>
    <t>审核标识说明表</t>
  </si>
  <si>
    <t>二、税前调整项目类</t>
  </si>
  <si>
    <t>四、资产、负债、所有者权益类</t>
  </si>
  <si>
    <t>A、调增项目类</t>
  </si>
  <si>
    <t>4-1</t>
  </si>
  <si>
    <t>货币资金审核表</t>
  </si>
  <si>
    <t>2A-1</t>
  </si>
  <si>
    <t>工资薪金、三项经费审核表</t>
  </si>
  <si>
    <t>4-2</t>
  </si>
  <si>
    <t>应收账款审核表</t>
  </si>
  <si>
    <t>2A-2</t>
  </si>
  <si>
    <t>业务招待费用审核表</t>
  </si>
  <si>
    <t>4-3</t>
  </si>
  <si>
    <t>预付账款审核表</t>
  </si>
  <si>
    <t>2A-3</t>
  </si>
  <si>
    <t>固定资产及累计折旧审核表</t>
  </si>
  <si>
    <t>4-4</t>
  </si>
  <si>
    <t>其他应收款审核表</t>
  </si>
  <si>
    <t>2A-4</t>
  </si>
  <si>
    <t>无形资产、长期待摊费用审核表</t>
  </si>
  <si>
    <t>4-5</t>
  </si>
  <si>
    <t>存货审核表</t>
  </si>
  <si>
    <t>2A-5</t>
  </si>
  <si>
    <t>4-6</t>
  </si>
  <si>
    <t>待摊费用、预提费用审核表</t>
  </si>
  <si>
    <t>2A-6</t>
  </si>
  <si>
    <t>广告费、业务宣传费支出审核表</t>
  </si>
  <si>
    <t>4-7</t>
  </si>
  <si>
    <t>应付账款审核表</t>
  </si>
  <si>
    <t>2A-7</t>
  </si>
  <si>
    <t>捐赠、赞助支出审核表</t>
  </si>
  <si>
    <t>4-8</t>
  </si>
  <si>
    <t>预收账款审核表</t>
  </si>
  <si>
    <t>2A-8</t>
  </si>
  <si>
    <t>利息支出审核表</t>
  </si>
  <si>
    <t>4-9</t>
  </si>
  <si>
    <t>其他应付款审核表</t>
  </si>
  <si>
    <t>2A-9</t>
  </si>
  <si>
    <t>租金支出审核表</t>
  </si>
  <si>
    <t>4-10</t>
  </si>
  <si>
    <t>实收资本、资本公积、盈余公积审核表</t>
  </si>
  <si>
    <t>2A-10</t>
  </si>
  <si>
    <t>弥补亏损审核表</t>
  </si>
  <si>
    <t>4-11</t>
  </si>
  <si>
    <t>未分配利润审核表</t>
  </si>
  <si>
    <t>2A-11</t>
  </si>
  <si>
    <t>其他事项审核表</t>
  </si>
  <si>
    <t>2A-12</t>
  </si>
  <si>
    <t>原始凭证检查底稿</t>
  </si>
  <si>
    <t>五、备查类</t>
  </si>
  <si>
    <t>基 本 情 况 表</t>
  </si>
  <si>
    <t>纳税人名称</t>
  </si>
  <si>
    <t>可来源于营业执照或地税纳税人基本信息核对表</t>
  </si>
  <si>
    <t>委托项目</t>
  </si>
  <si>
    <t>审核年度</t>
  </si>
  <si>
    <t>审核起始日</t>
  </si>
  <si>
    <t>01月01日</t>
  </si>
  <si>
    <t>审核年度止</t>
  </si>
  <si>
    <t>12月31日</t>
  </si>
  <si>
    <t>税款所属期间</t>
  </si>
  <si>
    <t>中介机构名称</t>
  </si>
  <si>
    <t>主任税务师</t>
  </si>
  <si>
    <t>相关链接：</t>
  </si>
  <si>
    <t>总审师</t>
  </si>
  <si>
    <t>资产负债!A1</t>
  </si>
  <si>
    <t>项目负责人</t>
  </si>
  <si>
    <t>企业情况表</t>
  </si>
  <si>
    <t>底稿编制人</t>
  </si>
  <si>
    <t>B29“会计制度”单元格 必填</t>
  </si>
  <si>
    <t>报告文号</t>
  </si>
  <si>
    <t>签约日期</t>
  </si>
  <si>
    <t>报告日期</t>
  </si>
  <si>
    <t>编制日期</t>
  </si>
  <si>
    <t>复核日期</t>
  </si>
  <si>
    <t>邮政编码</t>
  </si>
  <si>
    <t>联系电话</t>
  </si>
  <si>
    <t>传真</t>
  </si>
  <si>
    <t>0592-5881033</t>
  </si>
  <si>
    <t>Email</t>
  </si>
  <si>
    <t>是否需要各税审核表</t>
  </si>
  <si>
    <t>否</t>
  </si>
  <si>
    <t>根据B22单元格更改报告封面及报告正文。</t>
  </si>
  <si>
    <t>是否重分类往来款</t>
  </si>
  <si>
    <t>地税纳税人基本信息核对表，如未获取该表可按此规律：思明361004，湖里361009，不知道的填361000</t>
  </si>
  <si>
    <t>地税纳税人基本信息核对表或向被审核人索取</t>
  </si>
  <si>
    <t>企业负责人</t>
  </si>
  <si>
    <t>财务负责人</t>
  </si>
  <si>
    <t>联系人</t>
  </si>
  <si>
    <t>可等于财务负责人</t>
  </si>
  <si>
    <t>会计制度</t>
  </si>
  <si>
    <t>必填</t>
  </si>
  <si>
    <t>开户银行</t>
  </si>
  <si>
    <t>从原始凭证获取</t>
  </si>
  <si>
    <t>银行账号</t>
  </si>
  <si>
    <t>经济类型</t>
  </si>
  <si>
    <t>所属行业</t>
  </si>
  <si>
    <t>组织机构代码证</t>
  </si>
  <si>
    <t>企业登记日期</t>
  </si>
  <si>
    <t>经营范围</t>
  </si>
  <si>
    <t>经营期限</t>
  </si>
  <si>
    <t>税务登记证号</t>
  </si>
  <si>
    <t>可来源于税务登记证或地税纳税人基本信息核对表</t>
  </si>
  <si>
    <t>向纳税人索取</t>
  </si>
  <si>
    <t>投资者姓名</t>
  </si>
  <si>
    <t>注册资本</t>
  </si>
  <si>
    <t>所占比例</t>
  </si>
  <si>
    <t>实收资本</t>
  </si>
  <si>
    <t>占注册资本比例</t>
  </si>
  <si>
    <t>根据验资报告以及实收资本明细账填列，如股东有变更的以变更后的为准</t>
  </si>
  <si>
    <t>合   计</t>
  </si>
  <si>
    <t>前事务所名称</t>
  </si>
  <si>
    <t>根据上一年度的审核报告填列</t>
  </si>
  <si>
    <t>前事务所审核报告编号</t>
  </si>
  <si>
    <t>待办事项</t>
  </si>
  <si>
    <t>委托单位</t>
  </si>
  <si>
    <t>签名</t>
  </si>
  <si>
    <t>日期</t>
  </si>
  <si>
    <t>编制人</t>
  </si>
  <si>
    <t>会计期间</t>
  </si>
  <si>
    <t>复核人</t>
  </si>
  <si>
    <t>序号</t>
  </si>
  <si>
    <t>事项</t>
  </si>
  <si>
    <t>备注</t>
  </si>
  <si>
    <t>备注：</t>
  </si>
  <si>
    <t>审核时的待沟通事项、政策疑点、待补充提供资料等均可填列本表，以作备忘之用。</t>
  </si>
  <si>
    <t xml:space="preserve">               执业报告审核签发单</t>
  </si>
  <si>
    <t>收费金额</t>
  </si>
  <si>
    <t>业务类型</t>
  </si>
  <si>
    <t>经办人员</t>
  </si>
  <si>
    <t xml:space="preserve">项目经理  意见 </t>
  </si>
  <si>
    <t>总审师    意见</t>
  </si>
  <si>
    <t>所长签发</t>
  </si>
  <si>
    <t>报告</t>
  </si>
  <si>
    <t xml:space="preserve">  1、领取报告联系人：</t>
  </si>
  <si>
    <t>联系电话：</t>
  </si>
  <si>
    <t xml:space="preserve">  2、本报告共印     份，其中送委托单位     份，存档    份。</t>
  </si>
  <si>
    <t>无限期结转扣除项目审核表</t>
  </si>
  <si>
    <t>审核提示：                                                                                                                                 1、获取费用明细表，并与有关的明细账、报表、纳税申报表核对。
2、分析各月费用与销售收入比例及趋势是否合理，如有不正常的波动，应查明原因，作出正确处理。
3、审查是否把资本性支出项目作为收益性支出项目计入当期费用。
4、抽查重大的费用支出事项，审查其真实性。
5、审核费用的支出是否具有真实的合法凭证，否则，不得在税前扣除。
6、审核中涉及到进行纳税调整事项的费用项目时，反映在相关的纳税调整事项审核表中。                                           7、核对有关费用项目与累计折旧、应付工资、预提费用等项目的勾稽关系，作交叉索引。                                                       8、抽取资产负债表日前后（    ）天的（    ）张凭证，实施截止测试，对于重大跨期项目，应作必要调整。</t>
  </si>
  <si>
    <t>折旧</t>
  </si>
  <si>
    <t>租金</t>
  </si>
  <si>
    <t>9、如佣金服务全部或主要在国外提供，不扣缴所得税，但自2009年开始要扣缴5%的营业税。</t>
  </si>
  <si>
    <t>一、数据来源：会计科目“营业费用”相关明细账的本年借方累计发生额，也可根据科目余额表直接填列</t>
  </si>
  <si>
    <t>二、编表说明：1-16行为固定项目，不得更改位置或顺序，否则系统会出错！！！；17行为可选项，18-32行可填列除1-17行以外的其他项目的金额。</t>
  </si>
  <si>
    <t>三、如企业账务核算中存在“串户”现象的，其“串户”金额填列在“调整或重新分类数”栏目里，正数表示调增，负数表示调减。</t>
  </si>
  <si>
    <t>四、如填列相关数据后提示账载数据与报表不相符的，应查阅相关明细账，是否存在除结转“本年利润”外营业费用发生在贷方的现象；如有请调整相关明细的数据。如调整相关月份数据后，尚存在账载与报表不符的现象，应再查明具体原因，并注明在审核事项说明空白栏内。</t>
  </si>
  <si>
    <t>审核提示：                                                                                          1、获取费用明细表，并与有关的明细账、报表、纳税申报表核对。
2、分析各月费用与销售收入比例及趋势是否合理，如有不正常的波动，应查明原因，作出正确处理。
3、审查是否把资本性支出项目作为收益性支出项目计入当期费用。
4、抽查重大的费用支出事项，审查其真实性。
5、审核费用的支出是否具有真实的合法凭证，否则，不得在税前扣除。
6、审核中涉及到进行纳税调整事项的费用项目时，反映在相关的纳税调整事项审核表中。                                      7、核对有关费用项目与累计折旧、应付工资、预提费用等项目的勾稽关系，作交叉索引。                                            8、抽取资产负债表日前后（    ）天的（    ）张凭证，实施截止测试，对于重大跨期项目，应作必要调整。</t>
  </si>
  <si>
    <t>一、数据来源：会计科目“管理费用”相关明细账的本年借方累计发生额，也可根据科目余额表直接填列</t>
  </si>
  <si>
    <t>二、编表说明：1-16行为固定项目，不得更改位置或顺序，否则系统会出错！！！；17行为可选项，18-32可填列除1-17行以外的其他项目的金额。</t>
  </si>
  <si>
    <t>四、如填列相关数据后提示账载数据与报表不相符的，应查阅相关明细账，是否存在除结转“本年利润”外管理费用发生在贷方的现象；如有请调整相关明细的数据。如调整相关月份数据后，尚存在账载与报表不符的现象，应再查明具体原因，并注明在审核事项说明空白栏内。</t>
  </si>
  <si>
    <t>金融机构手续费</t>
  </si>
  <si>
    <t>利息支出</t>
  </si>
  <si>
    <t xml:space="preserve">    其中:向非金融企业借款的利息支出</t>
  </si>
  <si>
    <t>汇兑损失</t>
  </si>
  <si>
    <t>减:利息收入</t>
  </si>
  <si>
    <t>其他事项!A1</t>
  </si>
  <si>
    <t xml:space="preserve">      其中:国债利息收入</t>
  </si>
  <si>
    <t xml:space="preserve">   汇兑收益</t>
  </si>
  <si>
    <t>审核提示：                                                                                                          1、获取或编制财务费用明细表，复核加计正确，与报表数、总账数及明细账合计数核对是否相符。
2、将本期财务费用各明细项目作比较分析，必要时比较本期各月份财务费用，如有重大波动和异常情况应追查原因。
3、结合长、短期借款及其他计息债务，对利息支出作总体分析性复核。
4、审查利息支出明细账，确认利息收支的真实性及正确性。审查各项借款期末应计利息有无预计入账。注意审查现金折扣的会计处理是否正确。
5、审查汇兑损失明细账，检查汇兑损益计算方法是否正确，核对所用汇率是否正确，前后期是否一致。
6、审查"财务费用--其他"明细账，注意检查大额金融机构手续费的真实性与正确性。</t>
  </si>
  <si>
    <t>7、现金折扣在实际发生时作为财务费用扣除。对企业发生的现金折扣，如果销售方能提供以下资料，应允许在税前扣除：
（1）注明了折扣标准和折扣率的销售合同或协议；
（2）有根据合同或协议开具的折扣结算单据；
（3）有银行支付凭证，确保收、付双方在账面上明确反映。
   关联企业间的现金折扣应关注是否有利用转移定价避税嫌疑。
8、审核付息之债务项目的真实性，对本年内增加的借款，应检查借款合同、协议；确认利息项目是否可以税前扣除，应特别关注列支利息的债务是否与本企业正常的经营活动有关，通过查阅借款合同协议，确认是否属于股东个人借款。</t>
  </si>
  <si>
    <r>
      <t>审核提示：
1、审核营业外支出项目中捐赠支出，包括：公益救济性捐赠支出、非公益性捐赠支出，和非广告性的赞助支出。
2、审核各捐赠项目的捐赠书或捐赠协议，审查接受捐赠的对象和捐赠的用途，确认捐赠支出是否能税前扣除及税前扣除的比例、标准和具体金额是否符合税法的有关规定。
       税法所指的公益性捐赠支出是：企业通过公益性社会团体或者县级以上人民政府及其部门，用于《中华人民共和国公益事业捐赠法》规定的公益事业的捐赠。
       公益性社会团体须以对应年度的认定名单为准。（民发[2009]100号、财税[2009]85号、闽财税〔2009〕59号、闽财税〔2009〕103号、闽财税〔2010〕32号、闽财税〔2010〕34号、财税[2010]37号、财税[2010]97号、财税[2010]69号、厦财税[2010]10号）
3、审查企业公益性捐赠是否在规定的限额扣除内扣除，计算允许扣除的捐赠支出的依据是《企业所得税年度纳税申报表》主表的第13行“利润总额”，但如果企业存在有以前年度的查补事项，查补的应纳税所得额，不得作为计算公益、救济性捐赠税前扣除的基数。（财税[2009]124号）
4、审核是否将自产的货物捐赠，是否按视同销售进行税务处理。
5、捐赠方在向公益性社会团体捐赠时，应当提供注明捐赠非货币性资产公允价值的证明，如果不能提供上述证明，公益性社会团体不得向其</t>
    </r>
    <r>
      <rPr>
        <sz val="10"/>
        <color indexed="10"/>
        <rFont val="宋体"/>
        <family val="3"/>
        <charset val="134"/>
      </rPr>
      <t>开具公益性捐赠票据或者《非税收入一般缴款书》收据联</t>
    </r>
    <r>
      <rPr>
        <sz val="10"/>
        <rFont val="宋体"/>
        <family val="3"/>
        <charset val="134"/>
      </rPr>
      <t>。（财税[2009]124号、财综[2010]112号）</t>
    </r>
  </si>
  <si>
    <t>捐赠支出账载金额</t>
  </si>
  <si>
    <t>营业外支出</t>
  </si>
  <si>
    <t>利润总额</t>
  </si>
  <si>
    <t>应纳税调增</t>
  </si>
  <si>
    <t>∧、＜、T、G、S、D3</t>
  </si>
  <si>
    <t>备注：1、可全额列支的捐赠支出为对汶川地震、玉树地震、2008年奥运会、2010年世博会的捐赠支出。</t>
  </si>
  <si>
    <t xml:space="preserve">      2、“无应纳税所得额企业”，不得扣除税法规定限制比例扣除的捐赠支出，因第1点列明的允许全额扣除捐赠而导致的亏损，可在以后5年内弥补。</t>
  </si>
  <si>
    <t>五、油气勘探投资</t>
  </si>
  <si>
    <t>六、油气开发投资</t>
  </si>
  <si>
    <t>审核数</t>
  </si>
  <si>
    <t>D8</t>
  </si>
  <si>
    <t>与企业所得税纳税申报表附表八核对一致</t>
  </si>
  <si>
    <t>E</t>
  </si>
  <si>
    <t>已进行纳税调整</t>
  </si>
  <si>
    <t>D9</t>
  </si>
  <si>
    <t>与企业所得税纳税申报表附表九核对一致</t>
  </si>
  <si>
    <t>*</t>
  </si>
  <si>
    <t>D10</t>
  </si>
  <si>
    <t>与企业所得税纳税申报表附表十核对一致</t>
  </si>
  <si>
    <t>D11</t>
  </si>
  <si>
    <t>与企业所得税纳税申报表附表十一核对一致</t>
  </si>
  <si>
    <t>说明：本表附于每份工作底稿中，便于查看。</t>
  </si>
  <si>
    <t>现  金  证  明  书</t>
  </si>
  <si>
    <r>
      <t>单位名称：</t>
    </r>
    <r>
      <rPr>
        <u/>
        <sz val="16"/>
        <rFont val="宋体"/>
        <family val="3"/>
        <charset val="134"/>
      </rPr>
      <t xml:space="preserve">                      </t>
    </r>
  </si>
  <si>
    <t>人民币（大写）</t>
  </si>
  <si>
    <t>（RMB</t>
  </si>
  <si>
    <r>
      <t xml:space="preserve">             </t>
    </r>
    <r>
      <rPr>
        <sz val="14"/>
        <rFont val="宋体"/>
        <family val="3"/>
        <charset val="134"/>
      </rPr>
      <t>）</t>
    </r>
  </si>
  <si>
    <t>港  币（大写）</t>
  </si>
  <si>
    <t xml:space="preserve">（HKD </t>
  </si>
  <si>
    <t>美  元（大写）</t>
  </si>
  <si>
    <t>（USD</t>
  </si>
  <si>
    <r>
      <t xml:space="preserve">              </t>
    </r>
    <r>
      <rPr>
        <sz val="14"/>
        <rFont val="宋体"/>
        <family val="3"/>
        <charset val="134"/>
      </rPr>
      <t>）</t>
    </r>
  </si>
  <si>
    <t>监管现金人员为：</t>
  </si>
  <si>
    <r>
      <t xml:space="preserve"> </t>
    </r>
    <r>
      <rPr>
        <u/>
        <sz val="14"/>
        <rFont val="宋体"/>
        <family val="3"/>
        <charset val="134"/>
      </rPr>
      <t xml:space="preserve">                            </t>
    </r>
  </si>
  <si>
    <r>
      <t>证明者：</t>
    </r>
    <r>
      <rPr>
        <u/>
        <sz val="14"/>
        <rFont val="宋体"/>
        <family val="3"/>
        <charset val="134"/>
      </rPr>
      <t xml:space="preserve">             </t>
    </r>
  </si>
  <si>
    <r>
      <t>总经理：</t>
    </r>
    <r>
      <rPr>
        <u/>
        <sz val="14"/>
        <rFont val="宋体"/>
        <family val="3"/>
        <charset val="134"/>
      </rPr>
      <t xml:space="preserve">             </t>
    </r>
  </si>
  <si>
    <r>
      <t>监管人：</t>
    </r>
    <r>
      <rPr>
        <u/>
        <sz val="14"/>
        <rFont val="宋体"/>
        <family val="3"/>
        <charset val="134"/>
      </rPr>
      <t xml:space="preserve">             </t>
    </r>
  </si>
  <si>
    <t>资产盘点明细表</t>
  </si>
  <si>
    <t>资 产 名 称</t>
  </si>
  <si>
    <t>型号规格</t>
  </si>
  <si>
    <t>计量单位</t>
  </si>
  <si>
    <t>数 量</t>
  </si>
  <si>
    <t>单 价</t>
  </si>
  <si>
    <t>金 额</t>
  </si>
  <si>
    <t>备 注</t>
  </si>
  <si>
    <t>通用工作记录表</t>
  </si>
  <si>
    <t xml:space="preserve">                                                                    </t>
  </si>
  <si>
    <t>单位名称：</t>
  </si>
  <si>
    <t>会计期间：</t>
  </si>
  <si>
    <t>审核项目：</t>
  </si>
  <si>
    <t>审核日期：</t>
  </si>
  <si>
    <t xml:space="preserve">审核意见：                                                        </t>
  </si>
  <si>
    <t>审核人员：</t>
  </si>
  <si>
    <t>可以确认</t>
  </si>
  <si>
    <t>复核人员:</t>
  </si>
  <si>
    <r>
      <t>原始凭证检查底稿（</t>
    </r>
    <r>
      <rPr>
        <b/>
        <u/>
        <sz val="18"/>
        <rFont val="楷体_GB2312"/>
        <family val="3"/>
        <charset val="134"/>
      </rPr>
      <t xml:space="preserve">       </t>
    </r>
    <r>
      <rPr>
        <b/>
        <sz val="18"/>
        <rFont val="楷体_GB2312"/>
        <family val="3"/>
        <charset val="134"/>
      </rPr>
      <t>）</t>
    </r>
  </si>
  <si>
    <t>月</t>
  </si>
  <si>
    <t>记账凭证编号</t>
  </si>
  <si>
    <t>会计分录</t>
  </si>
  <si>
    <t>调整事项</t>
  </si>
  <si>
    <t>调整类别编码</t>
  </si>
  <si>
    <t>调整类别</t>
  </si>
  <si>
    <t>会计科目</t>
  </si>
  <si>
    <t>明细科目</t>
  </si>
  <si>
    <t>金额</t>
  </si>
  <si>
    <t>其他事项!B18</t>
  </si>
  <si>
    <t>工资福利!A1</t>
  </si>
  <si>
    <t>招待!A1</t>
  </si>
  <si>
    <t>固资折旧!A1</t>
  </si>
  <si>
    <t>纳税调整明细表!E45</t>
  </si>
  <si>
    <t>事项说明!B55</t>
  </si>
  <si>
    <t>注意：如有原会计核算的福利费、招待费、广告费等费用审核调整为其他费用列支或者直接不予列支的，应相应调整相关费用的实际列支金额，以免重复调增。</t>
  </si>
  <si>
    <t>未取得合法有效票据的支出</t>
  </si>
  <si>
    <t>与取得收入无关的支出</t>
  </si>
  <si>
    <t>非本公司费用</t>
  </si>
  <si>
    <t>应并入业务招待费的费用</t>
  </si>
  <si>
    <t>产权不属于公司的汽车费用</t>
  </si>
  <si>
    <t>不属于应付福利费开支范围的支出</t>
  </si>
  <si>
    <t>税收滞纳金</t>
  </si>
  <si>
    <t>大额购物未附清单</t>
  </si>
  <si>
    <t>不允许直接在损益中列支的当年福利费</t>
  </si>
  <si>
    <t>审核结论</t>
  </si>
  <si>
    <t xml:space="preserve">     1、国税发[2008]80号规定企业取得的发票没有开具支付人全称的，</t>
  </si>
  <si>
    <t xml:space="preserve">        不得税前扣除、抵扣进项税额、申请退税。</t>
  </si>
  <si>
    <t xml:space="preserve">     2、财政部门监制的行政事业性收费收据只能开具行政事业性收费项目</t>
  </si>
  <si>
    <t xml:space="preserve">        不得开具经营性货物或劳务。</t>
  </si>
  <si>
    <t xml:space="preserve">     3、《中国人民解放军通用收费票据》只能作为解放军内部结算使用，</t>
  </si>
  <si>
    <t xml:space="preserve">        不得作为服务业发票使用。如解放军对外从事餐饮、住宿、租赁等业务，</t>
  </si>
  <si>
    <t>本工作表不够填列时，请取消24-206行之间的隐藏。</t>
  </si>
  <si>
    <t xml:space="preserve">        必须开具地税局监制的服务业发票。国税发[2000]61号、</t>
  </si>
  <si>
    <t xml:space="preserve">        国税函[2000]466号、后财字[1999]81号。</t>
  </si>
  <si>
    <t xml:space="preserve">        自2005年起。企业承租解放军的房屋从事生产经营的，租赁费的扣除凭</t>
  </si>
  <si>
    <t xml:space="preserve">        《中国人民解放军通用收费收据》和《军队房地产租赁许可证》</t>
  </si>
  <si>
    <t xml:space="preserve">        税前扣除。后营字[2005]1285号（总局参与发文）</t>
  </si>
  <si>
    <t xml:space="preserve">     4、自2008年1月1日起，企业通过银行支付的各项费用，应当取得</t>
  </si>
  <si>
    <t xml:space="preserve">        《银行代收费业务专用发票》。国税发[2007]108号、</t>
  </si>
  <si>
    <t xml:space="preserve">        国税发[2008]54号、国税函[2008]634号。</t>
  </si>
  <si>
    <t xml:space="preserve">     5、自2008年8月1日起，报关代理业务必须开具地税局监制的</t>
  </si>
  <si>
    <t xml:space="preserve">        《报关代理业专用发票》。国税函[2008]417号。</t>
  </si>
  <si>
    <t xml:space="preserve">     6、企便函[2009]33号文规定，
        （1）为特殊工种人员购买的人身安全保险费可以扣除
        （2）为高温作业人员购买的工伤保险可以扣除
        （3）在出差过程中按次购买航空意外伤害保险可以扣除，非按次购买的不可扣除。</t>
  </si>
  <si>
    <t>一、适用范围</t>
  </si>
  <si>
    <t xml:space="preserve">    本电子工作底仅适用于查账征收非金融企业的有限公司企业所得税汇算，不适用金融企业、核定征收企业、清算期间的企业所得税汇算以及个人独资企业、合伙企业的个人所得税汇算审核。</t>
  </si>
  <si>
    <t xml:space="preserve">    若企业所得税申报表或相关政策变化，则本工作底稿应作相关调整方可使用。</t>
  </si>
  <si>
    <t>二、底色说明</t>
  </si>
  <si>
    <t xml:space="preserve">    白底区域的单元格需根据企业资料分析填列</t>
  </si>
  <si>
    <t xml:space="preserve">    茶色区域的单元格为可选项，点击单元格后会出现下拉列表，可在列表上选择已定义好的数据项</t>
  </si>
  <si>
    <t xml:space="preserve">    灰色区域的单元格为已定义好公式，一般情况下不允许修改数据，否则会造成系统数据错乱！</t>
  </si>
  <si>
    <t xml:space="preserve">    深黄区域的单元格为预先定义好数据或公式，一般不需修改，但也可能变化</t>
  </si>
  <si>
    <t xml:space="preserve">    浅蓝区域的单元格为来源于工作底稿的数据</t>
  </si>
  <si>
    <t xml:space="preserve">    玫瑰红区域的单元格为可通过外部文件粘贴得到数据</t>
  </si>
  <si>
    <t xml:space="preserve">    浅绿区域的单元格为表格固定格式，如表头，表体栏目名称等</t>
  </si>
  <si>
    <t>三、其他说明</t>
  </si>
  <si>
    <t xml:space="preserve">    1、填表顺序最好先从“基本情况”工作表填起，而后利润表、损益类底稿、凭证抽查、调整类底稿，各相关底稿填列后审核报告基本自动生成。</t>
  </si>
  <si>
    <t xml:space="preserve">    2、审核常用的工作底稿本报告都有，一些不常使用的会计报表项目本电子底稿未预先编制，请复制“通用审核表”适当修改后使用。资产负债表及利润表上没有超链接的即为不常用的电子底稿。</t>
  </si>
  <si>
    <t xml:space="preserve">    3、本表的工作表名称一般情况下不可改动，否则会造成链接失效。</t>
  </si>
  <si>
    <t xml:space="preserve">               资  产  负  债  表</t>
  </si>
  <si>
    <t>单位：元</t>
  </si>
  <si>
    <t>资      产</t>
  </si>
  <si>
    <t xml:space="preserve"> 行次</t>
  </si>
  <si>
    <t>期初数</t>
  </si>
  <si>
    <t>期末数</t>
  </si>
  <si>
    <t>流动资产：</t>
  </si>
  <si>
    <t>流动负债：</t>
  </si>
  <si>
    <t xml:space="preserve">  货币资金</t>
  </si>
  <si>
    <t xml:space="preserve">   短期借款</t>
  </si>
  <si>
    <t xml:space="preserve">  短期投资</t>
  </si>
  <si>
    <t>资产折旧纳税调整表</t>
  </si>
  <si>
    <t xml:space="preserve">  应收票据</t>
  </si>
  <si>
    <t xml:space="preserve">   应付帐款</t>
  </si>
  <si>
    <t xml:space="preserve">   预收帐款</t>
  </si>
  <si>
    <t xml:space="preserve">  应收帐款</t>
  </si>
  <si>
    <t xml:space="preserve">  预付账款</t>
  </si>
  <si>
    <t xml:space="preserve">  其他应收款</t>
  </si>
  <si>
    <t xml:space="preserve">   应付利润</t>
  </si>
  <si>
    <t xml:space="preserve">  存货</t>
  </si>
  <si>
    <t xml:space="preserve">  其他流动资产</t>
  </si>
  <si>
    <t xml:space="preserve"> 流动资产合计</t>
  </si>
  <si>
    <t xml:space="preserve">   其他流动负债</t>
  </si>
  <si>
    <t xml:space="preserve">  长期股权投资</t>
  </si>
  <si>
    <t>流动负债合计</t>
  </si>
  <si>
    <t xml:space="preserve">   长期借款</t>
  </si>
  <si>
    <t xml:space="preserve">  固定资产原价</t>
  </si>
  <si>
    <t xml:space="preserve">  减：累计折旧</t>
  </si>
  <si>
    <t xml:space="preserve">   资本公积</t>
  </si>
  <si>
    <t xml:space="preserve">   盈余公积</t>
  </si>
  <si>
    <t xml:space="preserve">  无形资产</t>
  </si>
  <si>
    <t xml:space="preserve">  长期待摊费用</t>
  </si>
  <si>
    <t>未分利润!C8</t>
  </si>
  <si>
    <t>勾稽关系检查</t>
  </si>
  <si>
    <t>利润及利润分配表</t>
  </si>
  <si>
    <t>单位：人民币元</t>
  </si>
  <si>
    <t xml:space="preserve">                 项             目</t>
  </si>
  <si>
    <t>行次</t>
  </si>
  <si>
    <t>项               目</t>
  </si>
  <si>
    <t>六、净利润</t>
  </si>
  <si>
    <t>申报主表</t>
  </si>
  <si>
    <t>加：年初未分配利润</t>
  </si>
  <si>
    <t>报告正文</t>
  </si>
  <si>
    <t>未分利润!C13</t>
  </si>
  <si>
    <t xml:space="preserve">        资产减值损失</t>
  </si>
  <si>
    <t>纳税申报数据</t>
  </si>
  <si>
    <t>一般纳税人增值税申报表信息</t>
  </si>
  <si>
    <t>小规模申报表信息</t>
  </si>
  <si>
    <t>企业所得税申报信息</t>
  </si>
  <si>
    <t>项     目</t>
  </si>
  <si>
    <t>增值税申报表栏次</t>
  </si>
  <si>
    <t>本期累计</t>
  </si>
  <si>
    <t>月份</t>
  </si>
  <si>
    <t>4%/2税率</t>
  </si>
  <si>
    <t>3%税率</t>
  </si>
  <si>
    <t>销售额</t>
  </si>
  <si>
    <t>应纳税额</t>
  </si>
  <si>
    <t>项目</t>
  </si>
  <si>
    <t>（一）按适用税率征税货物及劳务销售额</t>
  </si>
  <si>
    <t>1月</t>
  </si>
  <si>
    <t>8、实际已缴所得税额</t>
  </si>
  <si>
    <t>收入与申报核对表</t>
  </si>
  <si>
    <t>（二）按简易征收办法征税货物销售额</t>
  </si>
  <si>
    <t>2月</t>
  </si>
  <si>
    <t>9、应补（退）的所得税额</t>
  </si>
  <si>
    <t>主营税金审核表</t>
  </si>
  <si>
    <t>（三）免、抵、退办法出口货物销售额</t>
  </si>
  <si>
    <t>3月</t>
  </si>
  <si>
    <t>企业各税审核汇总表</t>
  </si>
  <si>
    <t>（四）免税货物及劳务销售额</t>
  </si>
  <si>
    <t>4月</t>
  </si>
  <si>
    <t>其他业务利润审核表</t>
  </si>
  <si>
    <t>收入合计</t>
  </si>
  <si>
    <t>5月</t>
  </si>
  <si>
    <t>本年合计</t>
  </si>
  <si>
    <t>税费</t>
  </si>
  <si>
    <t>税款计算</t>
  </si>
  <si>
    <t>6月</t>
  </si>
  <si>
    <t>简易征收办法计算的应纳税额</t>
  </si>
  <si>
    <t>7月</t>
  </si>
  <si>
    <t>本表为税费审核表中已交税费的数据来源，并最终生成各税审核汇总表。</t>
  </si>
  <si>
    <t>按简易征收办法计算的纳税检查应补缴税额</t>
  </si>
  <si>
    <t>8月</t>
  </si>
  <si>
    <t>如存在本年补缴以前年度税款，则应将各税费审核表中的应纳税额与已纳税额做相应的扣减。</t>
  </si>
  <si>
    <t>应纳税额减征额</t>
  </si>
  <si>
    <t>9月</t>
  </si>
  <si>
    <t>应纳税额合计</t>
  </si>
  <si>
    <t>10月</t>
  </si>
  <si>
    <t xml:space="preserve">   其中：销售材料应纳税额</t>
  </si>
  <si>
    <t>11月</t>
  </si>
  <si>
    <t>分
析</t>
  </si>
  <si>
    <t>增值税税负</t>
  </si>
  <si>
    <t>12月</t>
  </si>
  <si>
    <t>其中：各月材料销售</t>
  </si>
  <si>
    <t>合计</t>
  </si>
  <si>
    <r>
      <t>附件</t>
    </r>
    <r>
      <rPr>
        <b/>
        <sz val="10"/>
        <rFont val="Arial Narrow"/>
        <family val="2"/>
      </rPr>
      <t>4:</t>
    </r>
  </si>
  <si>
    <t>金额单位：元</t>
  </si>
  <si>
    <t>项      目</t>
  </si>
  <si>
    <t>行 次</t>
  </si>
  <si>
    <t>期初未交额</t>
  </si>
  <si>
    <t>已纳税额</t>
  </si>
  <si>
    <t>期末应补（退）税额</t>
  </si>
  <si>
    <t>城市维护建设税</t>
  </si>
  <si>
    <t>应补（退）税额</t>
  </si>
  <si>
    <t>税费缴纳测试审核表</t>
  </si>
  <si>
    <t>主营税金及附加审核表</t>
  </si>
  <si>
    <t>收费金额</t>
    <phoneticPr fontId="51" type="noConversion"/>
  </si>
  <si>
    <t>注册地址</t>
    <phoneticPr fontId="51" type="noConversion"/>
  </si>
  <si>
    <t>经营地址</t>
    <phoneticPr fontId="51" type="noConversion"/>
  </si>
  <si>
    <t>投资总额</t>
    <phoneticPr fontId="51" type="noConversion"/>
  </si>
  <si>
    <t>企业类型代码对照表</t>
  </si>
  <si>
    <t>行业类型代码表</t>
  </si>
  <si>
    <t>A</t>
  </si>
  <si>
    <t>D</t>
  </si>
  <si>
    <t>F</t>
  </si>
  <si>
    <t>H</t>
  </si>
  <si>
    <t>I</t>
  </si>
  <si>
    <t>J</t>
  </si>
  <si>
    <t>K</t>
  </si>
  <si>
    <t>L</t>
  </si>
  <si>
    <t>M</t>
  </si>
  <si>
    <t>N</t>
  </si>
  <si>
    <t>O</t>
  </si>
  <si>
    <t>P</t>
  </si>
  <si>
    <t>Q</t>
  </si>
  <si>
    <t>R</t>
  </si>
  <si>
    <t>100-内资企业</t>
  </si>
  <si>
    <t>110-国有企业</t>
  </si>
  <si>
    <t>120-集体企业</t>
  </si>
  <si>
    <t>130-股份合作企业</t>
  </si>
  <si>
    <t>140-联营企业</t>
  </si>
  <si>
    <t>141-国有联营企业</t>
  </si>
  <si>
    <t>142-集体联营企业</t>
  </si>
  <si>
    <t>143-国有与集体联营企业</t>
  </si>
  <si>
    <t>149-其他联营企业</t>
  </si>
  <si>
    <t>150-有限责任公司</t>
  </si>
  <si>
    <t>151-国有独资公司</t>
  </si>
  <si>
    <t>159-其他有限责任公司</t>
  </si>
  <si>
    <t>160-股份有限公司</t>
  </si>
  <si>
    <t>170-私营企业</t>
  </si>
  <si>
    <t>171-私营独资企业</t>
  </si>
  <si>
    <t>172-私营合伙企业</t>
  </si>
  <si>
    <t>173-私营有限责任公司</t>
  </si>
  <si>
    <t>174-私营股份有限公司</t>
  </si>
  <si>
    <t>175-个人独资及合伙企业</t>
  </si>
  <si>
    <t>190-其他内资企业</t>
  </si>
  <si>
    <t>200-港、澳、台商投资企业</t>
  </si>
  <si>
    <t>210-（港澳台商）合资经营企业</t>
  </si>
  <si>
    <t>220-（港澳台商）合作经营企业</t>
  </si>
  <si>
    <t>230-（港澳台商）独资经营公司</t>
  </si>
  <si>
    <t>240-（港澳台商）投资股份有限公司</t>
  </si>
  <si>
    <t>250-（港澳台商）企业</t>
  </si>
  <si>
    <t>251-（港澳台商）外企常驻代表机构</t>
  </si>
  <si>
    <t>252-（港澳台商）提供劳务承包工程作业企业</t>
  </si>
  <si>
    <t>253-（港澳台商）缴纳预提所得税的企业</t>
  </si>
  <si>
    <t>254-（港澳台商）国际运输企业</t>
  </si>
  <si>
    <t>259-其他港澳台商企业</t>
  </si>
  <si>
    <t>300-外商投资企业</t>
  </si>
  <si>
    <t>310-中外合资经营企业</t>
  </si>
  <si>
    <t>320-中外合作经营企业</t>
  </si>
  <si>
    <t>330-外商投资企业和外国企业</t>
  </si>
  <si>
    <t>340-外商投资股份有限公司</t>
  </si>
  <si>
    <t>350-外国企业</t>
  </si>
  <si>
    <t>351-外国企业常驻代表机构</t>
  </si>
  <si>
    <t>352-提供劳务、承包工程作业企业</t>
  </si>
  <si>
    <t>353-缴纳预提所得税的企业</t>
  </si>
  <si>
    <t>354-国际运输企业</t>
  </si>
  <si>
    <t>359-其他外国企业</t>
  </si>
  <si>
    <t>400-个体经营</t>
  </si>
  <si>
    <t>410-个体工商户</t>
  </si>
  <si>
    <t>411-内资个体</t>
  </si>
  <si>
    <t>412-港澳台个体</t>
  </si>
  <si>
    <t>413-外资个体</t>
  </si>
  <si>
    <t>420-个人合伙</t>
  </si>
  <si>
    <t>421-内资合伙</t>
  </si>
  <si>
    <t>422-港澳台合伙</t>
  </si>
  <si>
    <t>423-外资合伙</t>
  </si>
  <si>
    <t>430-个人</t>
  </si>
  <si>
    <t>431-内资个人</t>
  </si>
  <si>
    <t>432-港澳台个人</t>
  </si>
  <si>
    <t>433-外资个人</t>
  </si>
  <si>
    <t>500-非企业单位</t>
  </si>
  <si>
    <t>510-事业单位</t>
  </si>
  <si>
    <t>520-民办非企业单位</t>
  </si>
  <si>
    <t>521-民办非企业单位（法人）</t>
  </si>
  <si>
    <t>522-民办非企业单位（合伙）</t>
  </si>
  <si>
    <t>523-民办非企业单位（个人）</t>
  </si>
  <si>
    <t>530-国家机关</t>
  </si>
  <si>
    <t>540-政党机关</t>
  </si>
  <si>
    <t>550-社会团体</t>
  </si>
  <si>
    <t>560-基层群众自治组织</t>
  </si>
  <si>
    <t>A-农、林、牧、渔业</t>
  </si>
  <si>
    <t>B-采矿业</t>
  </si>
  <si>
    <t>C-制造业</t>
  </si>
  <si>
    <t>D-电力、热力、燃气及水生产和供应业</t>
  </si>
  <si>
    <t>E-建筑业</t>
  </si>
  <si>
    <t>F-批发和零售业</t>
  </si>
  <si>
    <t>G-交通运输、仓储和邮政业</t>
  </si>
  <si>
    <t>H-住宿和餐饮业</t>
  </si>
  <si>
    <t>I-信息传输、软件和信息技术服务业</t>
  </si>
  <si>
    <t>J-金融业</t>
  </si>
  <si>
    <t>K-房地产业</t>
  </si>
  <si>
    <t>L-租赁和商务服务业</t>
  </si>
  <si>
    <t>M-科学研究和技术服务业</t>
  </si>
  <si>
    <t>N-水利、环境和公共设施管理业</t>
  </si>
  <si>
    <t>O-居民服务、修理和其他服务业</t>
  </si>
  <si>
    <t>P-教育</t>
  </si>
  <si>
    <t>Q-卫生和社会工作</t>
  </si>
  <si>
    <t>R-文化、体育和娱乐业</t>
  </si>
  <si>
    <t>S-公共管理、社会保障和社会组织</t>
  </si>
  <si>
    <t>T-国际组织</t>
  </si>
  <si>
    <t>是否享受及享受税收优惠类型</t>
  </si>
  <si>
    <t>对享受税收优惠情况进行简要描述并填报减免企业应纳税所得额。</t>
  </si>
  <si>
    <t>是否发生日常经营业务以外的法律结构或经济结构重大改变的交易，如债务重组、股权收购等</t>
  </si>
  <si>
    <t>对债务重组、股权收购等事项进行简要描述并填报相应事项的损益金额。</t>
  </si>
  <si>
    <t>是否发生资产损失</t>
  </si>
  <si>
    <t>对资产损失情况进行简要描述并填报资产损失金额。</t>
  </si>
  <si>
    <t>是否取得不征税收入</t>
  </si>
  <si>
    <t>对取得不征税收入情况进行简要描述并填报不征税收入金额。</t>
  </si>
  <si>
    <t>对需要披露的其他事项进行简要描述并填报相应金额。</t>
  </si>
  <si>
    <t xml:space="preserve">项目   </t>
  </si>
  <si>
    <t>是/否</t>
  </si>
  <si>
    <t>简要描述</t>
  </si>
  <si>
    <t>金额（单位：元）</t>
  </si>
  <si>
    <t xml:space="preserve">备注     </t>
  </si>
  <si>
    <t xml:space="preserve">一、数据来源：预提费用、待摊费用科目的明细账或科目余额表                                                                                                           二、对待摊费用本年贷方发生额，应审阅明细账，弄清摊销的规律，如发现异常的应在“审核说明栏”说明异常的原因，以及是否存在调整事项。对待摊费用本年借方发生额，审核原始凭证时应关注是否取得相关发票？                                                                                                                            三、填列预提费用本年贷方发生额时，审核原始凭证时应关注是否取得相关发票？                                                                    </t>
  </si>
  <si>
    <t>备注：
1、一般情况下，借款利息、水费、电费、租金、物业费、特许权使用费可以按照当期实际发生数税前扣除，但以后年度实际支付金额与玉体金额存在差异时，必须进行纳税调整。
2、煤炭企业计提的安全生产费和育林基金均不允许在税前扣除，以前年度的余额比照福利费、职工教育经费、坏账准备的余额处理。
3、国税函[2003]804号规定，大修理预提费用不能扣除。</t>
  </si>
  <si>
    <t>本期发生数</t>
  </si>
  <si>
    <t>本期转出数</t>
  </si>
  <si>
    <t>期末未审数</t>
  </si>
  <si>
    <t>固定资产与折旧</t>
  </si>
  <si>
    <t>重分类金额</t>
  </si>
  <si>
    <t xml:space="preserve">审核提示：                                                                                                                                   1、获取应付账款明细表并与明细账、总账相核对。
2、审查明细账内容，选择金额较大、长期挂账、异常的明细账户余额，抽查其原始凭证，必要时进行函证，以确认其合理性和准确性。
3、对大额应付款项抽查合同、订货单、验收单、购货发票、客户对账单等有关附件及凭证，核对应付金额是否正确。
4、对于长期挂账的应付款项，审核是否产生呆账收益，对3年以上无法付出的应付帐款是否已按税法规定调增应纳税所得额。
5、审核对应账户，确认是否存在以货物或劳务等方式抵债，而未计收入的问题。                                              
6、对于长期未转销的预收货款，应特别关注其是否存在不作或未及时作收入处理的情况。
</t>
  </si>
  <si>
    <t>审核提示：                                                                                                                  
1、获取预收账款明细表并与明细账、总账相核对。
2、审查明细账内容，选择金额较大、长期挂账、异常的明细账户余额，抽查其原始凭证，必要时进行函证，以确认其合理性和准确性。
3、对大额预收款项抽查合同、订货单、验收单、购货发票、客户对账单等有关附件及凭证，核对预收金额是否正确。
4、对于长期挂账的预收款项，审核是否产生呆账收益，对3年以上无法付出的预收帐款是否已按税法规定调增应纳税所得额。
5、审核对应账户，确认是否存在以货物或劳务等方式抵债，而未计收入的问题。</t>
  </si>
  <si>
    <t xml:space="preserve">调整数 </t>
  </si>
  <si>
    <t>资本公积</t>
  </si>
  <si>
    <t>资本溢价（股本溢价）</t>
  </si>
  <si>
    <t>审核提示：                                                                                                                                       1、获取合同、章程、协议、董事会决议、验资报告等文件，检查实收资本真实性、正确性；
2、结合利息的审计，审查注册资本是否及时足额投入、若未按规定投入或中途抽资，则注册资本未投足的部分的贷款利息不得列支。如发生应注明，并在“利息支出审核表”进行纳税调整。
3、审查实收资本是否足额申报印花税。                                                                                                                            4、对本期增加的资本公积金应审查其形成来源、内容，确认各项目涉税事项是否符合税法的有关规定，并相应做出税务处理。</t>
  </si>
  <si>
    <t>其他资本公积</t>
  </si>
  <si>
    <t>境外应纳税所得额</t>
  </si>
  <si>
    <t>境外所得应纳税额</t>
  </si>
  <si>
    <t>境外所得可抵免税额</t>
  </si>
  <si>
    <t>审核提示：                                                                                                                                                                                                       1、要注意该审核表与各项成本费用的折旧明细的勾稽核对。
2、审核企业固定资产的折旧方法、折旧年限是否符合税法的规定。
3、对具有房产及车辆的企业应关注审核房产使用税和车船使用税应税项目是否申报。
4、对符合税法规定条件可以采取加速折旧的固定资产，如果在会计记账时未按加速折旧处理，则仍按直线法计算折旧，不予调减。
5、资产评估增值的纳税调整，如果采用据实逐年调整的方法可通过附表九调整；如果采用综合调整的方法可在附表三第40行调整。</t>
  </si>
  <si>
    <t>备注：本表数字取自“折旧测算”工作表。</t>
  </si>
  <si>
    <t xml:space="preserve"> 三、本期计提折旧对应成本费用科目</t>
  </si>
  <si>
    <t>对应科目</t>
  </si>
  <si>
    <t>成本类科目</t>
  </si>
  <si>
    <t>营业费用</t>
  </si>
  <si>
    <t>其他科目</t>
  </si>
  <si>
    <t>∧、＜、B、T、G、S、D3、D9</t>
  </si>
  <si>
    <t>资产折旧验算表（直线法）</t>
  </si>
  <si>
    <t>年折旧率</t>
  </si>
  <si>
    <t>资产原值</t>
  </si>
  <si>
    <t>固定资产期末余额</t>
  </si>
  <si>
    <t>税收折旧计算基数</t>
  </si>
  <si>
    <t>本期会计已提折旧额</t>
  </si>
  <si>
    <t xml:space="preserve">税法规定允许扣除的折旧额 </t>
  </si>
  <si>
    <t>纳税调整数</t>
  </si>
  <si>
    <t>购置日期</t>
  </si>
  <si>
    <t>本期平均数</t>
  </si>
  <si>
    <t>减少日期</t>
  </si>
  <si>
    <t>本期减少的平均数</t>
  </si>
  <si>
    <t>甲</t>
  </si>
  <si>
    <t>丙</t>
  </si>
  <si>
    <t>n</t>
  </si>
  <si>
    <t>3=2*(12-n)/12</t>
  </si>
  <si>
    <t>m</t>
  </si>
  <si>
    <t>5=4*(12-m)/12</t>
  </si>
  <si>
    <t>6=1+2-4</t>
  </si>
  <si>
    <t>7=1+3-5</t>
  </si>
  <si>
    <t>10=8-9</t>
  </si>
  <si>
    <t>固定资产及折旧审核表</t>
  </si>
  <si>
    <t>提示：本表用于验算采用直线法计提折旧的客户。采用其他折旧方法的应另附验算记录。</t>
  </si>
  <si>
    <t>审核时应关注企业折旧率是否结算准确。</t>
  </si>
  <si>
    <t>日　期</t>
  </si>
  <si>
    <t>资产原始成本</t>
  </si>
  <si>
    <t xml:space="preserve">资产账面
期初余额 </t>
  </si>
  <si>
    <t>本期账面增加</t>
  </si>
  <si>
    <t>会计摊销期限</t>
  </si>
  <si>
    <t>本期账面减少</t>
  </si>
  <si>
    <t xml:space="preserve">资产账面
期末余额 </t>
  </si>
  <si>
    <t>税法规定</t>
  </si>
  <si>
    <t>纳税调增额</t>
  </si>
  <si>
    <t>起摊日期</t>
  </si>
  <si>
    <t>账面原值</t>
  </si>
  <si>
    <t>调整额</t>
  </si>
  <si>
    <t>本期摊销</t>
  </si>
  <si>
    <t>本期转出</t>
  </si>
  <si>
    <t>摊销期限</t>
  </si>
  <si>
    <t>摊销额</t>
  </si>
  <si>
    <t>一、长期待摊费用</t>
  </si>
  <si>
    <t>注：同类资产购置日期不同的需另起一行分别填列</t>
  </si>
  <si>
    <t>审核提示：                                                                                                                                                                                                                                                1、审核各项资产的摊销年限是否符合合同、协议和税法有关规定的年限，复核摊销金额计算是否正确，是否与上年一致。
2、涉及到无形资产的转让时要审查转让所有权还是使用权，对于转让了所有权的无形资产，不应当再计摊销；
3、审核无形资产是否存在因有效期、受益期提前结束而需转销的情况。
4、企业自行研制开发无形资产，凡在发生时已作为研究开发费直接扣除的，该项无形资产使用时，不得再分期摊销。
5、企业取得的土地使用权，在购建固定资产前，应作为无形资产管理，并在不短于合同规定的使用期间内平均摊销。
6、企业购买计算机硬件所附带的软件，未单独计价的，应并入计算机硬件作为固定资产管理；单独计价的软件，应作为无形资产管理。 
7、外购商誉的摊销费用不得税前扣除。</t>
  </si>
  <si>
    <t>二、无形资产</t>
  </si>
  <si>
    <t>8、企业确定的无形资产摊销的范围不同于税法规定，形成无形资产摊销的纳税调整：
（1）新会计准则规定，使用寿命不确定的无形资产不应摊销。
（2）税法规定，除商誉外，企业按照规定计算的无形资产摊销费用，准予扣除。与生产经营无关的无形资产除外。</t>
  </si>
  <si>
    <t>9、企业自开始生产经营的年度，为开始计算企业损益的年度。企业从事生产经营之前进行筹办活动期间发生筹办费用支出，不得计算为当期的亏损。
10、税法规定，无形资产只能按照直线法计算的摊销，准予扣除。
11、新企业所得税法中开（筹）办费未明确列作长期待摊费用，企业可以在开始经营之日的当年一次性扣除，也可以按照新企业所得税法有关长期待摊费用的处理（次月起，不低</t>
  </si>
  <si>
    <t>审核提示：                                                                                                                                        1、获取或编制其他业务收支明细表：
1.1 复核加计正确，并与报表数、总账数和明细账合计数核对相符；
1.2 注意其他业务收入是否有相应的业务支出数；
1.3 检查是否存在技术转让等免税收益，必要时调减应纳税所得额。
2、与上期其他业务利润比较，如有重大波动，了解波动原因，分析其合理性。
3、检查其他业务收入内容是否真实、合法，收入实现原则及会计处理是否符合制度规定，择要抽查原始凭证。
4、检查其他业务支出，包括相关的成本、税金、费用，检查内容是否真实，计算是否正确，配比是否恰当，择要抽查原始凭证。
5、对异常的其他业务收支项目，应追查入账依据及有关法律性文件是否充分。
6、抽查资产负债表日前后（    ）天的（    ）张记账凭证，实施截止测试，追踪到发票、收据，确定其截止期划分是否恰当，对于重大跨期项目作必要的调整。</t>
  </si>
  <si>
    <t>其他业务利润</t>
  </si>
  <si>
    <t>调整或重新分类数</t>
  </si>
  <si>
    <t>工资薪金支出</t>
  </si>
  <si>
    <t>职工福利费支出</t>
  </si>
  <si>
    <t>职工教育经费支出</t>
  </si>
  <si>
    <t>工会经费支出</t>
  </si>
  <si>
    <t>业务招待费支出</t>
  </si>
  <si>
    <t>广告费和业务宣传费支出</t>
  </si>
  <si>
    <t>捐赠支出</t>
  </si>
  <si>
    <t>罚金、罚款和被没收财物的损失</t>
  </si>
  <si>
    <t>社保公积审核表</t>
  </si>
  <si>
    <t>招待费审核表</t>
  </si>
  <si>
    <t>赞助支出</t>
  </si>
  <si>
    <t>捐赠支出审核表</t>
  </si>
  <si>
    <t>各类基本社会保障性缴款</t>
  </si>
  <si>
    <t>补充养老险、补充医疗保险</t>
  </si>
  <si>
    <t>纳税调整项目明细表</t>
  </si>
  <si>
    <t>借款单位</t>
  </si>
  <si>
    <t>借款金额</t>
  </si>
  <si>
    <t>借款                       期限</t>
  </si>
  <si>
    <t>利率</t>
  </si>
  <si>
    <t>银行同期利率</t>
  </si>
  <si>
    <t>实际列支                        利息金额</t>
  </si>
  <si>
    <t>允许扣                           除金额</t>
  </si>
  <si>
    <t>超标准列                 支金额</t>
  </si>
  <si>
    <t>纳税调整明细表!C34</t>
  </si>
  <si>
    <t>实收公积审核表</t>
  </si>
  <si>
    <t>金额单位:元(列至角分)</t>
  </si>
  <si>
    <t>准备金类别</t>
  </si>
  <si>
    <t>本期转回额</t>
  </si>
  <si>
    <t>本期计提额</t>
  </si>
  <si>
    <t>坏（呆）账准备</t>
  </si>
  <si>
    <t>*其中：消耗性生物资产减值准备</t>
  </si>
  <si>
    <t>*持有至到期投资减值准备</t>
  </si>
  <si>
    <t>*可供出售金融资产减值</t>
  </si>
  <si>
    <t>其他事项!B17</t>
  </si>
  <si>
    <t>#短期投资跌价准备</t>
  </si>
  <si>
    <t>长期股权投资减值准备</t>
  </si>
  <si>
    <t>纳税调整明细表!G56</t>
  </si>
  <si>
    <t>*投资性房地产减值准备</t>
  </si>
  <si>
    <t>固定资产减值准备</t>
  </si>
  <si>
    <t>1、已确认并转销的应收款项以后又收回的，相关金额以负数表示，填入第2列（本期转回额）</t>
  </si>
  <si>
    <t>在建工程（工程物资）减值准备</t>
  </si>
  <si>
    <t>*生产性生物资产减值准备</t>
  </si>
  <si>
    <t>无形资产减值准备</t>
  </si>
  <si>
    <t>商誉减值准备</t>
  </si>
  <si>
    <t>贷款损失准备</t>
  </si>
  <si>
    <t>矿区权益减值</t>
  </si>
  <si>
    <t>被投资企业</t>
  </si>
  <si>
    <t>投资成本</t>
  </si>
  <si>
    <t>主
营
业
务
收
入</t>
  </si>
  <si>
    <t>成本费用明细表!A1</t>
  </si>
  <si>
    <t xml:space="preserve">    自填，必录。</t>
  </si>
  <si>
    <t xml:space="preserve">    填写对应代码：</t>
  </si>
  <si>
    <t xml:space="preserve">    1-保留意见</t>
  </si>
  <si>
    <t xml:space="preserve">    2-否定意见</t>
  </si>
  <si>
    <t xml:space="preserve">    3-无保留意见</t>
  </si>
  <si>
    <t xml:space="preserve">    4-无法表明意见</t>
  </si>
  <si>
    <t>审核提示：                                                                                                                                          1、审核付息之债务项目的真实性，对本年内增加的借款，应检查借款合同、协议；确认利息项目是否可以税前扣除，应特别关注列支利息的债务是否与本企业正常的经营活动有关，通过查阅借款合同协议，确认是否属于股东个人借款。
2、对重大的利息支出项目，抽查会计凭证，检查利息计算表，确认利息支出的真实性、准确性。
3、将企业计算利息支出的利率与一般商业贷款利率进行比较分析，确认利息支出是否可税前扣除，应特别关注关联公司之间融资利率、 非金融机构贷款利率；
4、检查利息的税务处理是否正确：如属于筹建期间利息支出是否计入开办费、属于固定资产借款，其利息支出是否进行必要的资本化；
5、房地产开发业务的企业为开发房地产而借入资金，在完工之前发生的利息，应计入有关房地产的开发成本。
6、审查注册资本是否及时足额投入、若未按规定投入或中途抽资，则相当于注册资本未投足的部分的贷款利息不得列支。
7、企业从其关联方接受的债权性投资与权益性投资的比例超过规定标准而发生的利息支出，不得在计算应纳税所得额时扣除，接受关联方债权性投资与其权益性投资的比例，金融企业为5∶1，其他企业为2∶1。</t>
  </si>
  <si>
    <t>本期合计</t>
  </si>
  <si>
    <t xml:space="preserve"> 三、本年利息支出对应成本费用科目</t>
  </si>
  <si>
    <t>财务费用</t>
  </si>
  <si>
    <t>8、本表填列资本化及费用化的各项利息支出。费用化利息支出的调整事项在附表三第29行调整，资本化的利息支出在附表三第42-50行调整。
9、借款合同印花税仅限于非金融机构向金融机构借款时征收，其余企业间借款合同无需缴纳印花税。</t>
  </si>
  <si>
    <t>编制说明：                                                                                                                                  1、本表“实际列支利息金额”栏次的合计数应与财务费用审核表中的利息支出数相一致。                                                                            2、本表“超标准列支金额”栏次的合计数与企业所得税纳税申报审核表中纳税调整明细表第34行“中介机构审核数”相一致。</t>
  </si>
  <si>
    <t>办公场所</t>
  </si>
  <si>
    <t>以经营租赁             方式取得的               固定资产</t>
  </si>
  <si>
    <t>本期租金实际支出数</t>
  </si>
  <si>
    <t>纳税调整明细表!G45</t>
  </si>
  <si>
    <t>受益期限</t>
  </si>
  <si>
    <t>本期账面已列支金额</t>
  </si>
  <si>
    <t>审核提示：                                                                                                一、收入                                                                                                                  1、将各类收入的账载金额与申报表进行核对，检查是否有漏记、漏申报行为；
2、审核验证是否准确划分不同税目之间收入金额，是否准确划分应税收入、不征税收入、减免税收入；
3、根据税法和会计制度在确认收益时间的差异，审查收入确认的时间是否正确；
4、 审查视同销售货物行为是否按销售进行处理；
5、审查企业从购货方取得的价外费用是否按规定入账；
6、审查销售退回、销售折扣与折让业务是否合理，相关手续是否符合规定，确认销售退回、销售折扣与折让的计算和税务处理是否正确；执行新会计准则的企业在日后期间的退货是否同税法规定一致，冲减退货年度收入；
7、通过截止性测试检查是否存在将当年收入转入下年入账的情况；
8、结合成本费用、存货、往来等账户的审核，审查是否存在将收入，计入往来、存货、资本公积、盈余公积账户的现象；                                                                                  9、以前年度应计未计收入不作为有关费用的审核基数；逾期未返还买方的包装物押金应按规定确认收入。</t>
  </si>
  <si>
    <r>
      <t>10</t>
    </r>
    <r>
      <rPr>
        <sz val="10"/>
        <rFont val="宋体"/>
        <family val="3"/>
        <charset val="134"/>
      </rPr>
      <t>月</t>
    </r>
  </si>
  <si>
    <r>
      <t>11</t>
    </r>
    <r>
      <rPr>
        <sz val="10"/>
        <rFont val="宋体"/>
        <family val="3"/>
        <charset val="134"/>
      </rPr>
      <t>月</t>
    </r>
  </si>
  <si>
    <r>
      <t>12</t>
    </r>
    <r>
      <rPr>
        <sz val="10"/>
        <rFont val="宋体"/>
        <family val="3"/>
        <charset val="134"/>
      </rPr>
      <t>月</t>
    </r>
  </si>
  <si>
    <t>未审核</t>
  </si>
  <si>
    <t>调整数</t>
  </si>
  <si>
    <t>主
营
业
务
成
本</t>
  </si>
  <si>
    <r>
      <t>1</t>
    </r>
    <r>
      <rPr>
        <sz val="10"/>
        <rFont val="宋体"/>
        <family val="3"/>
        <charset val="134"/>
      </rPr>
      <t>月</t>
    </r>
  </si>
  <si>
    <r>
      <t>2</t>
    </r>
    <r>
      <rPr>
        <sz val="10"/>
        <rFont val="宋体"/>
        <family val="3"/>
        <charset val="134"/>
      </rPr>
      <t>月</t>
    </r>
  </si>
  <si>
    <r>
      <t>3</t>
    </r>
    <r>
      <rPr>
        <sz val="10"/>
        <rFont val="宋体"/>
        <family val="3"/>
        <charset val="134"/>
      </rPr>
      <t>月</t>
    </r>
  </si>
  <si>
    <r>
      <t>4</t>
    </r>
    <r>
      <rPr>
        <sz val="10"/>
        <rFont val="宋体"/>
        <family val="3"/>
        <charset val="134"/>
      </rPr>
      <t>月</t>
    </r>
  </si>
  <si>
    <r>
      <t>5</t>
    </r>
    <r>
      <rPr>
        <sz val="10"/>
        <rFont val="宋体"/>
        <family val="3"/>
        <charset val="134"/>
      </rPr>
      <t>月</t>
    </r>
  </si>
  <si>
    <t>审核提示：                                                                1、获取预付明细表与总账及明细账核对一致。
2、审查明细账内容，选择金额较大、长期挂账、异常的明细账户余额，抽查其原始凭证，必要时进行函证或实质性测试，以确认其合理性和准确性。
3、抽查对应账户，确认账务处理是否正确，若存在非同一客户往来科目的对冲或对应存货类、费用类科目，应进一步与相关账户核对，并核查有关的资料凭证，分析相关项目的合理性和准确性。</t>
  </si>
  <si>
    <t>一、空白处数据来源于预付账款科目余额表，如企业会计报表所列项目已进行过重分类的，则本表数据来源于预付账款和应付账款所有明细科目余额为借方的项目</t>
  </si>
  <si>
    <t>一、空白处数据来源于其他应收款科目余额表，如企业会计报表所列项目已进行过重分类的，则本表数据来源于其他应收款和其他应付款所有明细科目余额为借方的项目</t>
  </si>
  <si>
    <t>二、审核应重点关注以下事项</t>
  </si>
  <si>
    <t>1、是否存在因债权人原因确实无法支付的应付款项</t>
  </si>
  <si>
    <t>2、是否存在接受捐赠暂挂在本科目</t>
  </si>
  <si>
    <t>3、是否存在收到的保险赔款挂在本科目</t>
  </si>
  <si>
    <t>4、是否存在收到的政府补贴收入挂在本科目的现象</t>
  </si>
  <si>
    <t>5、是否存在收到的其他款项应确认为收入但挂在本科目的现象</t>
  </si>
  <si>
    <t>库存商品</t>
  </si>
  <si>
    <t>低值易耗品</t>
  </si>
  <si>
    <t>数据来源：存货类别科目的明细账或科目余额表</t>
  </si>
  <si>
    <t>商品进销差价</t>
  </si>
  <si>
    <t>存货跌价准备</t>
  </si>
  <si>
    <t>项目内容</t>
  </si>
  <si>
    <t>原始金额</t>
  </si>
  <si>
    <t>年初余额</t>
  </si>
  <si>
    <t>本年借方</t>
  </si>
  <si>
    <t>本年贷方</t>
  </si>
  <si>
    <t>年末余额</t>
  </si>
  <si>
    <t>待摊费用</t>
  </si>
  <si>
    <t>(7)=(1)+(2)-(3)-(4)</t>
    <phoneticPr fontId="51" type="noConversion"/>
  </si>
  <si>
    <t>(12)=(7)+(8)+(9)</t>
    <phoneticPr fontId="51" type="noConversion"/>
  </si>
  <si>
    <t>(18)=(12)+(13)-(14)-(15)</t>
    <phoneticPr fontId="51" type="noConversion"/>
  </si>
  <si>
    <t>(33)=(18)+(19)+(20)-(21)-(22)+(25)+(29)</t>
    <phoneticPr fontId="51" type="noConversion"/>
  </si>
  <si>
    <t>合并分立企业转入可弥补亏损额</t>
    <phoneticPr fontId="51" type="noConversion"/>
  </si>
  <si>
    <r>
      <t xml:space="preserve">    乙方： 1、严格依据有关法律、法规和行业规定执行业务；2、应于</t>
    </r>
    <r>
      <rPr>
        <u/>
        <sz val="10.5"/>
        <rFont val="宋体"/>
        <family val="3"/>
        <charset val="134"/>
      </rPr>
      <t>　　　　　　　　　</t>
    </r>
    <r>
      <rPr>
        <sz val="10.5"/>
        <rFont val="宋体"/>
        <family val="3"/>
        <charset val="134"/>
      </rPr>
      <t>前完成委托业务并出具报告；3、对在业务执行过程中获悉的商业秘密保密。</t>
    </r>
  </si>
  <si>
    <t xml:space="preserve">    第三条、业务收费</t>
  </si>
  <si>
    <t xml:space="preserve">    3、因业务需要的差旅费等费用，由甲方另行全额支付，不计入上述费用。</t>
  </si>
  <si>
    <t xml:space="preserve">    第四条、违约责任</t>
  </si>
  <si>
    <t xml:space="preserve">    1、由于双方变更计划，或甲方未及时提供所需全部资料（或工作条件）而造成乙方返工、窝工或修改报告，乙方可合理延期或拒绝完成委托业务，甲方应根据乙方实际消耗的工作量另行支付相应费用；</t>
  </si>
  <si>
    <r>
      <t xml:space="preserve">    2、如因甲方原因导致本项目中途停止，已支付的</t>
    </r>
    <r>
      <rPr>
        <u/>
        <sz val="10.5"/>
        <rFont val="宋体"/>
        <family val="3"/>
        <charset val="134"/>
      </rPr>
      <t xml:space="preserve">       </t>
    </r>
    <r>
      <rPr>
        <sz val="10.5"/>
        <rFont val="宋体"/>
        <family val="3"/>
        <charset val="134"/>
      </rPr>
      <t>％业务费用不予退还，并按已完成的工作量补收，同时加收按原定收费额的10％违约补偿金。</t>
    </r>
  </si>
  <si>
    <t xml:space="preserve">    3、除因甲方原因以外，乙方未在合同规定期限内完成委托业务，甲方可以拒绝支付服务费；</t>
  </si>
  <si>
    <t xml:space="preserve">    4、任何一方违反上述条款，应负责赔偿由此而给对方造成的合理损失。</t>
  </si>
  <si>
    <t xml:space="preserve">    第五条、争议的解决方式</t>
  </si>
  <si>
    <t xml:space="preserve">    本合同执行过程中如发生争议，双方应及时友好协商解决。经协商不能达成一致时，合同任何一方可向仲裁机构申请仲裁，或直接向人民法院提诉讼。</t>
  </si>
  <si>
    <t xml:space="preserve">    第六条、本合同自双方法人代表或其授权代表签字盖章之日起生效，一式两份，双方各执一份，具有同等法律效力。</t>
  </si>
  <si>
    <r>
      <t xml:space="preserve">    第七条、特别事项说明：</t>
    </r>
    <r>
      <rPr>
        <u/>
        <sz val="10.5"/>
        <rFont val="宋体"/>
        <family val="3"/>
        <charset val="134"/>
      </rPr>
      <t xml:space="preserve">                                                      </t>
    </r>
  </si>
  <si>
    <t xml:space="preserve"> </t>
  </si>
  <si>
    <t xml:space="preserve">    甲方代表：                             乙方代表：</t>
  </si>
  <si>
    <t xml:space="preserve">                                  </t>
  </si>
  <si>
    <t xml:space="preserve"> 索引号:</t>
  </si>
  <si>
    <t xml:space="preserve">    本公</t>
  </si>
  <si>
    <t>司委托贵所对</t>
  </si>
  <si>
    <t>为了明确责任和对贵所工作的支持和充分合作,我们特此声明如下：</t>
  </si>
  <si>
    <t xml:space="preserve">    1、本公司依照《企业会计准则》和有关财务会计制度的规定进行会计核算和编制会</t>
  </si>
  <si>
    <t>计报表，公允地反映本公司的财务状况和经营成果。本公司对会计报表、会计记录和所</t>
  </si>
  <si>
    <t>提供的有关资料的真实性、合法性和完整性承担责任。</t>
  </si>
  <si>
    <t xml:space="preserve">    2、本公司已向贵所提供所有的财务及会计记录、股东会及董事会会议记录、重大交</t>
  </si>
  <si>
    <t>易合同、关联交易清单以及其他有关的资料。本公司所有交易事项皆已入账，所有交易</t>
  </si>
  <si>
    <t>事项的相关资料均已在账簿中充分反映，不存在会计报表与账簿及有关凭证间的差错。</t>
  </si>
  <si>
    <t xml:space="preserve">    3、本公司确信：（1）没有任何未在账上体现的资产和收益及未披露的或有收益；</t>
  </si>
  <si>
    <t>（2）报表和账簿中反映的所有负债完全属实，没有无需支付的债务；（3）没有任何重大</t>
  </si>
  <si>
    <t>未预计或未披露的可能诉讼、背书、承兑、保证等或有损失；（4）没有任何违反国家法律、</t>
  </si>
  <si>
    <t>法规或合同的规定而需要调整或披露的事项；（5）没有发现管理人员或其他员工舞弊的</t>
  </si>
  <si>
    <t>事情；</t>
  </si>
  <si>
    <t>（6）没有接到主管机关、税务部门等要求调整或改进会计报表的通知。</t>
  </si>
  <si>
    <t xml:space="preserve">    4、贵所仅受托对本公司已提供给贵所注册税务师审核的会计资料的应税事项进行审</t>
  </si>
  <si>
    <r>
      <t>核，但不包含个人所得税、</t>
    </r>
    <r>
      <rPr>
        <u/>
        <sz val="12"/>
        <rFont val="宋体"/>
        <family val="3"/>
        <charset val="134"/>
      </rPr>
      <t xml:space="preserve">                                          </t>
    </r>
    <r>
      <rPr>
        <sz val="12"/>
        <rFont val="宋体"/>
        <family val="3"/>
        <charset val="134"/>
      </rPr>
      <t>等。本公司</t>
    </r>
  </si>
  <si>
    <t>本次所提供会计资料以外的所有应税事项由本公司负责。本公司对注册税务师在审核过</t>
  </si>
  <si>
    <t>程中提出的所有调整事项均予确认。</t>
  </si>
  <si>
    <t xml:space="preserve">    5、本公司同意将本声明书作为本公司与贵所签定的《业务约定书》的组成部分。</t>
  </si>
  <si>
    <t xml:space="preserve">委托单位负责人(签章)：  </t>
  </si>
  <si>
    <t xml:space="preserve">声明单位(公章)：   </t>
  </si>
  <si>
    <t>财务部门负责人(签章)：</t>
  </si>
  <si>
    <t>索引号:</t>
  </si>
  <si>
    <t>日  期</t>
  </si>
  <si>
    <t>一、审核项目</t>
  </si>
  <si>
    <t>二、审核目标</t>
  </si>
  <si>
    <t>三、计划审核日期</t>
  </si>
  <si>
    <t>约定工作日开始日</t>
  </si>
  <si>
    <t>外勤工作日自</t>
  </si>
  <si>
    <t>至</t>
  </si>
  <si>
    <t>共计</t>
  </si>
  <si>
    <t>日</t>
  </si>
  <si>
    <t>人次</t>
  </si>
  <si>
    <t>编写报告自</t>
  </si>
  <si>
    <t>审核截止日期</t>
  </si>
  <si>
    <t>四、审核小组组成及人员分工：</t>
  </si>
  <si>
    <t>姓名</t>
  </si>
  <si>
    <t>职务或资格</t>
  </si>
  <si>
    <t>分工</t>
  </si>
  <si>
    <t xml:space="preserve">备注 </t>
  </si>
  <si>
    <t>项目经理</t>
  </si>
  <si>
    <t>底稿审核人</t>
  </si>
  <si>
    <t>审核助理</t>
  </si>
  <si>
    <t>主任税务师意见：</t>
  </si>
  <si>
    <t>项        目</t>
  </si>
  <si>
    <t>是否建立</t>
  </si>
  <si>
    <t>执行情况</t>
  </si>
  <si>
    <t>是</t>
  </si>
  <si>
    <t>不适用</t>
  </si>
  <si>
    <t>很好</t>
  </si>
  <si>
    <t>一般</t>
  </si>
  <si>
    <t>不好</t>
  </si>
  <si>
    <t>1、会计核算制度</t>
  </si>
  <si>
    <t>2、成本核算制度</t>
  </si>
  <si>
    <t>3、财务管理制度</t>
  </si>
  <si>
    <t>4、现金管理制度</t>
  </si>
  <si>
    <t>5、支票管理制度</t>
  </si>
  <si>
    <t>6、费用开支标准及审批制度</t>
  </si>
  <si>
    <t>7、发票管理制度</t>
  </si>
  <si>
    <t>8、产品销售及劳务提供制度</t>
  </si>
  <si>
    <t>9、存货采购、收发、保管制度</t>
  </si>
  <si>
    <t>10、固定资产管理制度</t>
  </si>
  <si>
    <t>11、内部审计制度</t>
  </si>
  <si>
    <t>12、</t>
  </si>
  <si>
    <t>13、</t>
  </si>
  <si>
    <t>14、</t>
  </si>
  <si>
    <t>15、其他事项调查</t>
  </si>
  <si>
    <t>调查结果</t>
  </si>
  <si>
    <t xml:space="preserve">   （1）本期是否经批准实行工效挂钩</t>
  </si>
  <si>
    <t xml:space="preserve">   （2）本期是否存在以利补亏</t>
  </si>
  <si>
    <t xml:space="preserve">   （3）本期是否接受税务机关的税收检查</t>
  </si>
  <si>
    <t xml:space="preserve">   （4）本期是否受到税务等部门行政处罚</t>
  </si>
  <si>
    <t xml:space="preserve">   （5）本期是否存在重大税收政策调整</t>
  </si>
  <si>
    <t xml:space="preserve">   （6）本期是否提取各项减值准备</t>
  </si>
  <si>
    <t>编制说明：企业除上述列举项目外，还有未包括进去的制度，应在空白行列示。</t>
  </si>
  <si>
    <t>企业所得税汇算清缴审核调查问卷</t>
  </si>
  <si>
    <t>调查内容</t>
  </si>
  <si>
    <t>委托单位回答</t>
  </si>
  <si>
    <t>一、有关产品、商品、劳务销售方面</t>
  </si>
  <si>
    <t>1、产品（商品）销售和提供应税劳务是否按税法规定全部记入收入账户？</t>
  </si>
  <si>
    <t>1、全部是（</t>
  </si>
  <si>
    <t>）</t>
  </si>
  <si>
    <t>2、有的不是（</t>
  </si>
  <si>
    <t>2、企业是否存在分期收款发出商品的销售方式？</t>
  </si>
  <si>
    <t xml:space="preserve">1、是   （ </t>
  </si>
  <si>
    <t xml:space="preserve">2、否（ </t>
  </si>
  <si>
    <t>3、企业是否存在提供劳务收入？</t>
  </si>
  <si>
    <t>1、是（</t>
  </si>
  <si>
    <t>2、否（</t>
  </si>
  <si>
    <t>4、企业是否存在非货币性资产交换，以及将产品、商品或劳务用于捐赠、赞助、集资、广告、样品、职工福利（所有权转移）和利润分配等方面，而未做销售处理的？</t>
  </si>
  <si>
    <t xml:space="preserve">1、有（ </t>
  </si>
  <si>
    <t>2、无（</t>
  </si>
  <si>
    <t xml:space="preserve">已按规定进行会计处理（ </t>
  </si>
  <si>
    <t>未按规定进行会计处理（</t>
  </si>
  <si>
    <t>5、企业是否存在向购货方收取的价外费用未记入收入账户？</t>
  </si>
  <si>
    <t>6、企业是否存在收取的企业资产溢余收入、逾期未退包装物没收的押金、确实无法偿付的应付款项、企业已作坏账损失处理后又收回的应收账款、债务重组收入、补贴收入、教育费附加返还款、违约金收入未按规定记入收入账户？</t>
  </si>
  <si>
    <t>7、年终库存商品收发明细账，是否与销售明细帐，存货总账相核对，有无差错？</t>
  </si>
  <si>
    <t xml:space="preserve">1、进行了核对（  </t>
  </si>
  <si>
    <t>）有差错（</t>
  </si>
  <si>
    <t xml:space="preserve">  无差错（</t>
  </si>
  <si>
    <t xml:space="preserve">2、未核对（ </t>
  </si>
  <si>
    <t xml:space="preserve">  其中：接受捐赠收入</t>
  </si>
  <si>
    <t>盈余公积</t>
  </si>
  <si>
    <t>本期新增资本及资本公积是否缴纳印花税</t>
  </si>
  <si>
    <t>如未申报缴纳印花税应补缴：</t>
  </si>
  <si>
    <t>项 目</t>
  </si>
  <si>
    <t>一、净利润</t>
  </si>
  <si>
    <t xml:space="preserve">  加：期初未分配利润</t>
  </si>
  <si>
    <t xml:space="preserve">      盈余公积补亏</t>
  </si>
  <si>
    <t xml:space="preserve">      以前年度损益调整</t>
  </si>
  <si>
    <t>二、可供分配利润</t>
  </si>
  <si>
    <t xml:space="preserve">  减：提取法定盈余公积金</t>
  </si>
  <si>
    <t xml:space="preserve">      提取法定公益金</t>
  </si>
  <si>
    <t>三、可供股东分配的利润</t>
  </si>
  <si>
    <t xml:space="preserve">  减：提取任意盈余公积金</t>
  </si>
  <si>
    <t xml:space="preserve">      应付股利</t>
  </si>
  <si>
    <t>四、未分配利润</t>
  </si>
  <si>
    <t>按
月
份
分
析</t>
  </si>
  <si>
    <t>全年</t>
  </si>
  <si>
    <t>大类</t>
  </si>
  <si>
    <t>按
类
别
分
析</t>
  </si>
  <si>
    <t>小类</t>
  </si>
  <si>
    <t>审核说明</t>
  </si>
  <si>
    <t xml:space="preserve"> 直接生产成本</t>
  </si>
  <si>
    <t xml:space="preserve">    直接材料</t>
  </si>
  <si>
    <t>工资福利审核表</t>
  </si>
  <si>
    <t xml:space="preserve">    直接人工</t>
  </si>
  <si>
    <t xml:space="preserve">    制造费用</t>
  </si>
  <si>
    <t xml:space="preserve"> 间接生产成本</t>
  </si>
  <si>
    <t xml:space="preserve">    间接材料</t>
  </si>
  <si>
    <t>成本倒轧审核表</t>
  </si>
  <si>
    <t xml:space="preserve">    间接人工</t>
  </si>
  <si>
    <t xml:space="preserve"> 工资</t>
  </si>
  <si>
    <t xml:space="preserve"> 职工福利费</t>
  </si>
  <si>
    <t xml:space="preserve"> 职工教育经费</t>
  </si>
  <si>
    <t xml:space="preserve"> 业务招待费</t>
  </si>
  <si>
    <t xml:space="preserve"> 租赁费</t>
  </si>
  <si>
    <t xml:space="preserve"> 水电费</t>
  </si>
  <si>
    <t xml:space="preserve"> 差旅费</t>
  </si>
  <si>
    <t xml:space="preserve"> 办公费</t>
  </si>
  <si>
    <t xml:space="preserve"> 通讯费</t>
  </si>
  <si>
    <t xml:space="preserve"> 折旧费</t>
  </si>
  <si>
    <t xml:space="preserve"> 车辆费</t>
  </si>
  <si>
    <t xml:space="preserve"> 劳动保护费</t>
  </si>
  <si>
    <t xml:space="preserve"> 修理费</t>
  </si>
  <si>
    <t xml:space="preserve"> 机物料消耗</t>
  </si>
  <si>
    <t xml:space="preserve"> 低值易耗品摊销</t>
  </si>
  <si>
    <t xml:space="preserve"> 运输费</t>
  </si>
  <si>
    <t xml:space="preserve"> 其他</t>
  </si>
  <si>
    <t>∧、＜、B、G、S</t>
  </si>
  <si>
    <t>存货项目</t>
  </si>
  <si>
    <t>未审数</t>
  </si>
  <si>
    <t>计算说明</t>
  </si>
  <si>
    <t>期初原材料余额</t>
  </si>
  <si>
    <t>(1)</t>
  </si>
  <si>
    <t xml:space="preserve">  加：本期购货净额</t>
  </si>
  <si>
    <t>(2)</t>
  </si>
  <si>
    <t xml:space="preserve">  减：期末原材料余额</t>
  </si>
  <si>
    <t>(3)</t>
  </si>
  <si>
    <t xml:space="preserve">  减：其他原材料发出额</t>
  </si>
  <si>
    <t>(4)</t>
  </si>
  <si>
    <t>(5)</t>
  </si>
  <si>
    <t>(6)</t>
  </si>
  <si>
    <t>直接材料成本</t>
  </si>
  <si>
    <t xml:space="preserve">  加：直接人工成本</t>
  </si>
  <si>
    <t>(8)</t>
  </si>
  <si>
    <t xml:space="preserve">  加：制造费用</t>
  </si>
  <si>
    <t>(9)</t>
  </si>
  <si>
    <t>(10)</t>
  </si>
  <si>
    <t>(11)</t>
  </si>
  <si>
    <t>产品生产成本</t>
  </si>
  <si>
    <t xml:space="preserve">  加：在产品期初余额</t>
  </si>
  <si>
    <t>(13)</t>
  </si>
  <si>
    <t xml:space="preserve">  减：在产品期末余额</t>
  </si>
  <si>
    <t>(14)</t>
  </si>
  <si>
    <t xml:space="preserve">  减：其他在产品发出额</t>
  </si>
  <si>
    <t>(15)</t>
  </si>
  <si>
    <t>(16)</t>
  </si>
  <si>
    <t>(17)</t>
  </si>
  <si>
    <t>存货商品成本</t>
  </si>
  <si>
    <t xml:space="preserve">  加：库存商品期初余额</t>
  </si>
  <si>
    <t>(19)</t>
  </si>
  <si>
    <t xml:space="preserve">  加：本期进销库存商品净额</t>
  </si>
  <si>
    <t>(20)</t>
  </si>
  <si>
    <t xml:space="preserve">  减：库存商品期末余额</t>
  </si>
  <si>
    <t>(21)</t>
  </si>
  <si>
    <t xml:space="preserve">  减：其他库存商品发出额</t>
  </si>
  <si>
    <t>(22)</t>
  </si>
  <si>
    <t>(23)</t>
  </si>
  <si>
    <t>(24)</t>
  </si>
  <si>
    <t>加：不得免征和抵扣进项</t>
  </si>
  <si>
    <t>(25)</t>
  </si>
  <si>
    <t>(26)</t>
  </si>
  <si>
    <t>(27)</t>
  </si>
  <si>
    <t>(28)</t>
  </si>
  <si>
    <t>加：领用包装物直接进入产成
    品成本</t>
  </si>
  <si>
    <t>(29)</t>
  </si>
  <si>
    <t>(30)</t>
  </si>
  <si>
    <t>(31)</t>
  </si>
  <si>
    <t>(32)</t>
  </si>
  <si>
    <t>主营业务成本</t>
  </si>
  <si>
    <t>∧、＜、B、T、G、S、C、D2</t>
  </si>
  <si>
    <t xml:space="preserve">  </t>
  </si>
  <si>
    <r>
      <t>存货计价测试表(加权平均)_</t>
    </r>
    <r>
      <rPr>
        <b/>
        <sz val="18"/>
        <color indexed="10"/>
        <rFont val="楷体_GB2312"/>
        <family val="3"/>
        <charset val="134"/>
      </rPr>
      <t>此处填入存货名称</t>
    </r>
    <r>
      <rPr>
        <b/>
        <sz val="18"/>
        <rFont val="楷体_GB2312"/>
        <family val="3"/>
        <charset val="134"/>
      </rPr>
      <t>_</t>
    </r>
  </si>
  <si>
    <t>月 份</t>
  </si>
  <si>
    <t>期初应结存余额</t>
  </si>
  <si>
    <t>本期减少应转出金额</t>
  </si>
  <si>
    <t>期末应结存余额</t>
  </si>
  <si>
    <t>期末实际账面余额</t>
  </si>
  <si>
    <t>差异</t>
  </si>
  <si>
    <t>数量</t>
  </si>
  <si>
    <t>单价</t>
  </si>
  <si>
    <t>—</t>
  </si>
  <si>
    <t>审核提示：                                                                                                                            1、抽查业务招待费明细账重大的项目，审核是否提供证明真实性的有效凭证或资料，审查其是否与企业的业务有关。                                                                                                              2、审查是否将业务招待费性质的项目，列入其他费用账以逃避列支限额限制。                                                                                   3、纳税人发生的业务招待费，不得采取预提的方法。                                                                                                                4、业务招待费按销售（营业）收入（企业所得税纳税申报表-收入明细表第1行）的比例限额扣除 ，验证业务招待费列支限额计算的准确性，即：招待费用的60%,不超过全年销售（营业）收入5‰。
5、对从事股权投资业务的企业（包括集团公司总部、创业投资企业等），其从被投资企业所分配的股息、红利以及股权转让收入，可以按规定的比例计算业务招待费扣除限额。对只从事管理，未进行股权投资业务的集团公司总部则不得作为计算基数。国税函[2010]79号。房地产企业的预收款已发生纳税义务缴纳税款的，一般认为可以参与计算业务招待费扣除限额，在附表三第40行填列。
6、企业在筹建期间发生的业务招待费，属于开办费的一部分，无比例限制，于开始生产经营的当期一次性扣除。企业在清算期间发生的业务招待费，不受比例限制，在计算清算所得时，全额扣除。
7、应关注对特定个人的单笔礼品赠送金额超过5000元的，是否涉及非法贿赂、回扣。</t>
  </si>
  <si>
    <t>允许扣除金额</t>
  </si>
  <si>
    <t>纳税调增金额</t>
  </si>
  <si>
    <t>房地产企业已缴纳税款的预收款净额</t>
  </si>
  <si>
    <t>房地产企业因预收款产生的调整差异</t>
  </si>
  <si>
    <t>∧、＜、T、S、D3</t>
  </si>
  <si>
    <t>编制说明：                                                                                                                                            1、营业收入指审核后主营业务收入扣除销售折扣与折让净额与其他业务收入、视同销售收入之和。                                                                   2、本表业务招待费实际列支数应与相关费用审核表中的列支数相一致。                                                                                      3、本表超标准列支额应与企业所得税纳税申报审核表中的纳税调整明细表第31行中介机构审核数相一致。</t>
  </si>
  <si>
    <t>资产类别</t>
  </si>
  <si>
    <t>期初余额</t>
  </si>
  <si>
    <t>本期增加</t>
  </si>
  <si>
    <t>本期减少</t>
  </si>
  <si>
    <t>期末余额</t>
  </si>
  <si>
    <t>计税基础</t>
  </si>
  <si>
    <t>一、固定资产原值</t>
  </si>
  <si>
    <t>房屋建筑</t>
  </si>
  <si>
    <t>机械设备</t>
  </si>
  <si>
    <t>折旧验算表</t>
  </si>
  <si>
    <t>工器家具</t>
  </si>
  <si>
    <t>运输工具</t>
  </si>
  <si>
    <t>电子设备</t>
  </si>
  <si>
    <t>在建工程审核表</t>
  </si>
  <si>
    <t>二、累计折旧合计</t>
  </si>
  <si>
    <t>本期税收允许计提的折旧</t>
  </si>
  <si>
    <t>起</t>
    <phoneticPr fontId="51" type="noConversion"/>
  </si>
  <si>
    <t>止</t>
    <phoneticPr fontId="51" type="noConversion"/>
  </si>
  <si>
    <t>附列资料</t>
  </si>
  <si>
    <t>以前年度多缴的所得税额在本年抵减额</t>
  </si>
  <si>
    <t>营业税</t>
  </si>
  <si>
    <t>城建税</t>
  </si>
  <si>
    <t>教育费附加</t>
  </si>
  <si>
    <t>地方教育附加</t>
  </si>
  <si>
    <t>文化事业建设费</t>
  </si>
  <si>
    <t>企业所得税</t>
  </si>
  <si>
    <t>个人所得税</t>
  </si>
  <si>
    <t>房产税</t>
  </si>
  <si>
    <t>土地使用税</t>
  </si>
  <si>
    <t>印花税</t>
  </si>
  <si>
    <t>小计</t>
  </si>
  <si>
    <t>备
注</t>
  </si>
  <si>
    <t>签  名</t>
  </si>
  <si>
    <t>工资薪金总额</t>
  </si>
  <si>
    <t>职工福利费</t>
  </si>
  <si>
    <t>职工教育经费</t>
  </si>
  <si>
    <t>职工工会经费</t>
  </si>
  <si>
    <t>生产成本</t>
  </si>
  <si>
    <t>资产负债表</t>
  </si>
  <si>
    <t>制造费用</t>
  </si>
  <si>
    <t>销售（营业）费用</t>
  </si>
  <si>
    <t>纳税调整明细表</t>
  </si>
  <si>
    <t>管理费用</t>
  </si>
  <si>
    <t>在建工程</t>
  </si>
  <si>
    <t>其他事项!D32</t>
  </si>
  <si>
    <t>其他</t>
  </si>
  <si>
    <t>制造费用、生产成本审核表</t>
  </si>
  <si>
    <t>未审金额小计</t>
  </si>
  <si>
    <t>凭证检查!A1</t>
  </si>
  <si>
    <t>审核提示：                                                                                                                               1、将工资总额与各项成本费用的工资费用进行核对。
2、实行据实扣除工资政策， 工资薪金是计算福利费等三项经费的基础，因此应当审核工资薪金的内容是否正确，是否包括税法规定不作为工资薪金支出的项目。
3、了解企业机构设置和人员配备情况，了解企业有无基建人员和福利人员，如有，审核“应付福利费”和“在建工程”借方是否有工资支出，是否将应计入“在建工程”或“应付福利费”的工资计入成本和费用；
4、审核工资薪金中是否存在为雇员支付的人个所得税；                       
5、企业发生的下列支出，不作为工资薪金支出；
（1）雇员向纳税人投资而分配的股息性所得；
（2）根据国家或省级政府的规定为雇员支付的社会保障性缴款；
（3）从已提取职工福利基金中支付的各项福利支出（包括职工生活困难补助、探亲路费等）；
（4）各项劳动保护支出；
（5）雇员调动工作的旅费和安家费；
（6）雇员离退休、退职待遇的各项支出；
（7）独生子女补贴；
（8）纳税人负担的住房公积金；
（9）国家税务总局认定的其他不属于工资薪金支出的项目。
6、审查企业本年度发生的职工福利费、工会经费、职工教育费是否符合税法规定的标准，即分别按工资总额的14%、2%、2.5%以内据实扣除，超过部分除职工教育经费准予在以后纳税年度结转扣除外，不得税前列支。
7、审查提取工会经费的企业是否成立工会组织，是否取得《工会经费拨款专用收据》否则不得税前列支。</t>
  </si>
  <si>
    <t>税收金额</t>
  </si>
  <si>
    <t>本期纳税调增额</t>
  </si>
  <si>
    <t>本期结转至以后年度扣除额</t>
  </si>
  <si>
    <t>以前年度累计结转额</t>
  </si>
  <si>
    <t>本期实际扣除以前年度结转额</t>
  </si>
  <si>
    <t>本期纳税调减额</t>
  </si>
  <si>
    <t>累计结转以后年度扣除额</t>
  </si>
  <si>
    <t>调整科目</t>
  </si>
  <si>
    <t>调整原因</t>
  </si>
  <si>
    <t>纳税调整增加额
（减少额以负数表示）</t>
  </si>
  <si>
    <t>工资</t>
  </si>
  <si>
    <t>未实际发放的工资</t>
  </si>
  <si>
    <t>超过个人所得税申报金额的员工工资</t>
  </si>
  <si>
    <t>福利费</t>
  </si>
  <si>
    <t>本期实际发生但未先冲减以前计提福利费金额</t>
  </si>
  <si>
    <t>本期计提但未实际发生的福利费</t>
  </si>
  <si>
    <t>福利费发生额大于工资的14%的部分</t>
  </si>
  <si>
    <t>本期计提但未实际发生的职教经费</t>
  </si>
  <si>
    <t>工会经费</t>
  </si>
  <si>
    <t>工会经费发生额大于工资的2%的部分</t>
  </si>
  <si>
    <t>未取得工会经费发票金额</t>
  </si>
  <si>
    <t>8、企业支付的职工内部退养一次性生活补贴以及解除劳动合同一次性补偿支出（包括买断工龄支出）可以在税前扣除。各种补偿性支出数额较大，一次性摊销对当年企业所得税收入影响较大的，可以在以后年度均匀摊销。但不允许作为计算三项经费税前扣除数的基数。国税函[2001]918号</t>
  </si>
  <si>
    <t>本期计提但未实际发生的工会经费</t>
  </si>
  <si>
    <t>审核标识及说明</t>
  </si>
  <si>
    <t>∧、＜、B、T、G、S、D3</t>
  </si>
  <si>
    <t>9、离退休人员再次被聘用，不能与用人单位订立劳动合同，因此返聘已退休人员的费用不能作为工资、薪金支出在税前列支，而应作为劳务报酬凭合法有效的票据在税前列支。
10、企业支付给实习生的费用，应按照国税函[2009]3号文规定执行。即企业按照股东大会、董事会、薪酬委员会或相关管理机构制订的工资、薪金制度规定，实际发放给员工的工资、薪金可以税前扣除。</t>
  </si>
  <si>
    <t>11、财税[2008]1号文规定，软件企业发生的职工培训费用，能准确划分的，可以按照发生额据实扣除。否则，按比例扣除。国税函[2009]202号</t>
  </si>
  <si>
    <t>12、财税[2010]65号文规定，经认定的技术先进型服务企业发生的职工教育经费支出，不超过工资薪金总额8%的部分，准予在计算应纳税所得额时扣除；超过部分，准予在以后纳税年度结转扣除。
13、财建[2006]317号规定，职工教育经费要保证经费专项用于职工特别是一线职工的教育和培训：
（1）为保障企业职工的学习权利和提高他们的基本技能，职工教育培训经费的60%以上应用于企业一线职工的教育和培训。
（2）企业职工参加社会上的学历教育以及个人为取得学位而参加的在职教育，所需费用应由个人承担，不能挤占企业的职工教育培训经费。
（3）对于企业高层管理人员的境外培训和考察，其一次性单项支出较高的费用应从其他管理费用中支出，避免挤占日常的职工教育培训经费开支。
（4）“企业组织的职工外送培训的经费支出”应包括相应的交通费和住宿费等，但不包括旅游费用。
（5）除“职工岗位自学成才奖励费用”外，应凭据报销，不得发放现金。</t>
  </si>
  <si>
    <t>14、据国家税务总局公告2010年第24号规定，自2010年7月1日起，凭工会组织开具的《工会经费收入专用收据》作为认定拨缴工会经费的凭证，原《工会经费拨缴款专用收据》停止使用。但，据闽工[2010]125号文，省国地税对在福建省内凭《工会经费收入专用收据》及《工会专用结算凭证（行政拨交工会经费缴款书）》（即银行结算“六联单”）列支的工会经费在不超过限额的范围内有条件允许税前列支。</t>
  </si>
  <si>
    <t>业务招待费审核表</t>
  </si>
  <si>
    <t>签字</t>
  </si>
  <si>
    <t>未审金额</t>
  </si>
  <si>
    <t>营业费用实际列支额</t>
  </si>
  <si>
    <t>纳税调整明细表!C31</t>
  </si>
  <si>
    <t>管理费用实际列支额</t>
  </si>
  <si>
    <t>凭证检查</t>
  </si>
  <si>
    <t>制造费用实际列支额</t>
  </si>
  <si>
    <t>生产成本实际列支额</t>
  </si>
  <si>
    <t>研发支出实际列支额</t>
  </si>
  <si>
    <t>在建工程实际列支额</t>
  </si>
  <si>
    <t>在其他成本、费用中列支额</t>
  </si>
  <si>
    <t>实际发生额合计</t>
  </si>
  <si>
    <t>收入明细表!D17</t>
  </si>
  <si>
    <r>
      <t>实际发生额合计的</t>
    </r>
    <r>
      <rPr>
        <sz val="10"/>
        <rFont val="Times New Roman"/>
        <family val="1"/>
      </rPr>
      <t>60%</t>
    </r>
  </si>
  <si>
    <t>其他事项!E10</t>
  </si>
  <si>
    <t>广宣!J32</t>
  </si>
  <si>
    <t>审核提示：                                                                                                                  1、审查营业外支出是否涉及下列不可在税前列支项目：
（1）违法经营的罚款和被没收财物的损失；
（2）各种税收的滞纳金、罚金和罚款；
（3）自然灾害或者意外事故损失的有赔偿部分；
（4）用于中国境内公益、救济性质以外的捐赠；
（5）各项非广告性赞助支出；
（6）与取得生产经营无关的其他各项支出；
（7）为被担保人承担归还贷款担保本息；
（8）计提的固定资产减值准备，无形资产减值准备、在建工程减值准备。　 　                                                    2、抽查重大的营业外支出项目，审查其真实性，审查有无将营业外支出、资本支出混淆的情况，审查是否可以在税前列支。
3、审查各项财产损失是否已经主管税务机关认定。
4、对捐赠的支出，要关注是否涉及将自产、委托加工、购买的货物赠送他人须做视同销售处理的情况。
5、审核中涉及到进行纳税调整事项，反映在相关的纳税调整事项审核表中。</t>
  </si>
  <si>
    <t>企业所得税弥补亏损明细表</t>
  </si>
  <si>
    <t>前四年度</t>
  </si>
  <si>
    <t>前三年度</t>
  </si>
  <si>
    <t>前二年度</t>
  </si>
  <si>
    <t>前一年度</t>
  </si>
  <si>
    <t>本年</t>
  </si>
  <si>
    <t>9、对重大的利息支出项目，抽查会计凭证，检查利息计算表，确认利息支出的真实性、准确性。
10、将企业计算利息支出的利率与一般商业贷款利率进行比较分析，确认利息支出是否可税前扣除，应特别关注关联公司之间融资利率、 非金融机构贷款利率；
11、检查利息的税务处理是否正确：如属于筹建期间利息支出是否计入开办费、属于固定资产借款，其利息支出是否进行必要的资本化；
12、房地产开发业务的企业为开发房地产而借入资金，在完工之前发生的利息，应计入有关房地产的开发成本。
13、审查注册资本是否及时足额投入、若未按规定投入或中途抽资，则相当于注册资本未投足的部分的贷款利息不得列支。
14、企业从其关联方接受的债权性投资与权益性投资的比例超过规定标准而发生的利息支出，不得在计算应纳税所得额时扣除，接受关联方债权性投资与其权益性投资的比例，金融企业为5∶1，其他企业为2∶1。</t>
  </si>
  <si>
    <t>15、本表填列资本化及费用化的各项利息支出。费用化利息支出的调整事项在附表三第29行调整，资本化的利息支出在附表三第42-50行调整。
16、借款合同印花税仅限于非金融机构向金融机构借款时征收，其余企业间借款合同无需缴纳印花税。</t>
  </si>
  <si>
    <t>一、数据来源：会计科目“财务费用”相关明细账的本年借方累计发生额，也可根据科目余额表直接填列</t>
  </si>
  <si>
    <t>二、编表说明：1-15行为固定项目，不得更改位置或顺序，否则系统会出错！！！；</t>
  </si>
  <si>
    <t>四、如填列相关数据后提示账载数据与报表不相符的，应查阅相关明细账，是否存在除结转“本年利润”外管理费用发生在贷方的现象（特别是利息收入）；如有请调整相关明细的数据。如调整相关月份数据后，尚存在账载与报表不符的现象，应再查明具体原因，并注明在审核事项说明空白栏内。</t>
  </si>
  <si>
    <t>其他中含（1）不需支付的应付款</t>
  </si>
  <si>
    <t xml:space="preserve">    （2）保险赔款</t>
  </si>
  <si>
    <t>捐赠</t>
  </si>
  <si>
    <t xml:space="preserve">     (3)其他</t>
  </si>
  <si>
    <t>营业外收入合计</t>
  </si>
  <si>
    <t>否</t>
    <phoneticPr fontId="51" type="noConversion"/>
  </si>
  <si>
    <t>0</t>
    <phoneticPr fontId="51" type="noConversion"/>
  </si>
  <si>
    <t>营业外支出合计</t>
  </si>
  <si>
    <t>审核
标识及
说明</t>
  </si>
  <si>
    <t>∧、＜、T、G、S、D1、C、D2</t>
  </si>
  <si>
    <t>1、固定资产、无形资产因减值、非货币交换取得等原因导致账面价值与计税基础存在差异的，导致处置时的会计确认损益与税收确认损益存在差异，通过附表三第42行调整。</t>
  </si>
  <si>
    <t>2、国税发[2009]88号42条规定，下列股权和债权不得确认为在企业所得税税前扣除的损失：
   （1）企业发生非经营活动的债权（其他应收款）；
   （2）国家规定可以从事贷款业务以外的企业因资金直接拆借而发生的损失；
3、财税[2008]1号规定，软件生产企业实行增值税即征即退政策所退还的税款，由企业用于研究开发软件产品和扩大再生产，不作为企业所得税应税收入，不予征收企业所得税。
4、财税[2008]38号规定，自2008年1月1日起，核力发电企业取得的增值税退税款，专项用于还本付息，不征收企业所得税。</t>
  </si>
  <si>
    <t>项         目</t>
  </si>
  <si>
    <t>现金证明书金额</t>
  </si>
  <si>
    <t>现金</t>
  </si>
  <si>
    <t>人民币现金</t>
  </si>
  <si>
    <t>港币现金</t>
  </si>
  <si>
    <t>美元现金</t>
  </si>
  <si>
    <t>现金小计</t>
  </si>
  <si>
    <t>银行存款</t>
  </si>
  <si>
    <t>对账单余额</t>
  </si>
  <si>
    <t>是否附调节表,且调整正确</t>
  </si>
  <si>
    <t>现金证明</t>
  </si>
  <si>
    <t>审核提示：                                                                                                                                1、审核货币资金日记帐，并与总账、明细账核对确认余额是否相符。
2、获取截止日库存现金盘点表。
3、获取截止日银行存款对账单及决算日银行存款调节表，进行计算分析复核，必要时对大额银行存款账户函证年末余额。
4、将货币资金的收支与有关的收入、费用、资产项目的金额勾稽核对，对重大的收支业务，抽查相关凭证。
5、必要时进行货币资金收支的截止性测试，以确定是否存在跨期事项。                                                                                        6、货币资金分币种填列，外币应说明折算汇率。                                                                                                        7、银行存款帐面数与银行存款对帐单不相符的，应编制银行存款余额调节表；对于重大的未达帐项应单独列示，并逐项检查重大未达帐项的性质和原因。</t>
  </si>
  <si>
    <t>银行存款小计</t>
  </si>
  <si>
    <t>其他资金</t>
  </si>
  <si>
    <t>其他货币资金小计</t>
  </si>
  <si>
    <t>空白处数据来源：                                                                                                                                            1、现金总账、银行存款总账或科目余额表                                                                                                                                   2、现金证明书                                                                                                     3、12月份银行对账单</t>
  </si>
  <si>
    <t>货币资金合计</t>
  </si>
  <si>
    <t>∧、＜、T、G、S</t>
  </si>
  <si>
    <t>截止日期：</t>
  </si>
  <si>
    <t>金额单位：人民币元</t>
  </si>
  <si>
    <t>银行存款日记账余额：</t>
  </si>
  <si>
    <t>银行对账单余额：</t>
  </si>
  <si>
    <t xml:space="preserve">加：银行已收企业未收    </t>
  </si>
  <si>
    <t> 加：企业已收银行未收</t>
  </si>
  <si>
    <t>（1）</t>
  </si>
  <si>
    <t xml:space="preserve">    差异说明：</t>
  </si>
  <si>
    <t>（2）</t>
  </si>
  <si>
    <t>（3）</t>
  </si>
  <si>
    <t>（4）</t>
  </si>
  <si>
    <t xml:space="preserve">减：银行已付企业未付      </t>
  </si>
  <si>
    <t> 减：企业已付银行未付</t>
  </si>
  <si>
    <t xml:space="preserve"> 调节后余额：            </t>
  </si>
  <si>
    <t>调节后余额：</t>
  </si>
  <si>
    <t xml:space="preserve">       </t>
  </si>
  <si>
    <t xml:space="preserve">                                </t>
  </si>
  <si>
    <t xml:space="preserve">                      会计主管：               出纳：</t>
  </si>
  <si>
    <t xml:space="preserve">                           </t>
  </si>
  <si>
    <t>∧、＜、B、T、G、S</t>
  </si>
  <si>
    <t>坏账准备</t>
  </si>
  <si>
    <t>期末借方余额</t>
  </si>
  <si>
    <t>期末贷方余额</t>
  </si>
  <si>
    <t>其中1年以上</t>
  </si>
  <si>
    <t xml:space="preserve">重分类金额 </t>
  </si>
  <si>
    <t>合  计</t>
  </si>
  <si>
    <t>审核提示：                                                                1、获取应收明细表与总账及明细账核对一致。
2、审查明细账内容，选择金额较大、长期挂账、异常的明细账户余额，抽查其原始凭证，必要时进行函证或实质性测试，以确认其合理性和准确性。
3、抽查对应账户，确认账务处理是否正确，若存在非同一客户往来科目的对冲或对应存货类、费用类科目，应进一步与相关账户核对，并核查有关的资料凭证，分析相关项目的合理性和准确性。</t>
  </si>
  <si>
    <t>一、空白处数据来源于应收账款科目余额表，如企业会计报表所列项目已进行过重分类的，则本表数据来源于应收账款和预收账款所有明细科目余额为借方的项目</t>
  </si>
  <si>
    <t>二、审核应重点关注账龄超过1年以上的贷方余额，是否存在未按规定确认收入的现象</t>
  </si>
  <si>
    <t>其中3年以上</t>
  </si>
  <si>
    <t>1-12月份个人所得税申报明细表</t>
    <phoneticPr fontId="51" type="noConversion"/>
  </si>
  <si>
    <t>复核意见</t>
  </si>
  <si>
    <t>处理情况</t>
  </si>
  <si>
    <t xml:space="preserve">1.预定审核程序完成是否适当；                                    2.审核证据是否充分适当；                   3.审核工作底稿的填写是否完整；                4.审核工作底稿的记录、审核标识是否清晰；                       5.审核工作底稿的勾稽关系是否清晰；                      6.审核工作底稿的归类整理是否适当；                7.审核结论是否明确。           </t>
  </si>
  <si>
    <t>总审师意见</t>
  </si>
  <si>
    <t xml:space="preserve">1.重要审核程序的制定执行是否已经实现审核目标;                    2.审核项目的审核证据是否充分、适当；                                                                     3.各审核项目之间的衔接是否充分合理，是否存在重要漏审项目；                                                     4.项目负责人对业务经理人员的监督指导项目是否恰当；              </t>
  </si>
  <si>
    <t>主任税务师意见</t>
  </si>
  <si>
    <t>无限期结转扣除项目情况表</t>
  </si>
  <si>
    <t>项目  情况</t>
  </si>
  <si>
    <t>本年结转以后年度扣除额</t>
  </si>
  <si>
    <t>本年抵扣以前年度结转额</t>
  </si>
  <si>
    <t>创业投资额抵扣应纳税所得额</t>
  </si>
  <si>
    <t>跨年度确认所得情况表</t>
  </si>
  <si>
    <t>发生年度</t>
  </si>
  <si>
    <t>发生金额</t>
  </si>
  <si>
    <t>确认所得</t>
  </si>
  <si>
    <t>纳税人名称：</t>
    <phoneticPr fontId="51" type="noConversion"/>
  </si>
  <si>
    <t>纳税人代码：</t>
    <phoneticPr fontId="51" type="noConversion"/>
  </si>
  <si>
    <t>年度：</t>
    <phoneticPr fontId="51" type="noConversion"/>
  </si>
  <si>
    <t>广告费和业务宣传费</t>
    <phoneticPr fontId="51" type="noConversion"/>
  </si>
  <si>
    <t>合计</t>
    <phoneticPr fontId="51" type="noConversion"/>
  </si>
  <si>
    <t>债务重组所得</t>
    <phoneticPr fontId="51" type="noConversion"/>
  </si>
  <si>
    <t>向非居民企业投资转让所得</t>
    <phoneticPr fontId="51" type="noConversion"/>
  </si>
  <si>
    <t>搬迁收入</t>
    <phoneticPr fontId="51" type="noConversion"/>
  </si>
  <si>
    <t>租金收入</t>
    <phoneticPr fontId="51" type="noConversion"/>
  </si>
  <si>
    <t>2A-13</t>
  </si>
  <si>
    <t>2A-14</t>
  </si>
  <si>
    <t>无限期结转审核表</t>
    <phoneticPr fontId="51" type="noConversion"/>
  </si>
  <si>
    <t>跨年度确认所得审核表</t>
    <phoneticPr fontId="51" type="noConversion"/>
  </si>
  <si>
    <t>索引号</t>
    <phoneticPr fontId="51" type="noConversion"/>
  </si>
  <si>
    <t>编制人</t>
    <phoneticPr fontId="51" type="noConversion"/>
  </si>
  <si>
    <t>复核人</t>
    <phoneticPr fontId="51" type="noConversion"/>
  </si>
  <si>
    <t>日期</t>
    <phoneticPr fontId="51" type="noConversion"/>
  </si>
  <si>
    <t>合计</t>
    <phoneticPr fontId="51" type="noConversion"/>
  </si>
  <si>
    <t>备注</t>
    <phoneticPr fontId="51" type="noConversion"/>
  </si>
  <si>
    <t xml:space="preserve">  3、报告签收人声明： 本人负责该项业务收费的收取。若三个月后未能全额收费，则本人同意从本人奖金及工资中扣除。</t>
  </si>
  <si>
    <t xml:space="preserve">  4、报告签收人：</t>
  </si>
  <si>
    <t>日期：</t>
  </si>
  <si>
    <t>执业人员：</t>
  </si>
  <si>
    <t>复核人员</t>
  </si>
  <si>
    <t>复核要点</t>
  </si>
  <si>
    <t>复核与否</t>
  </si>
  <si>
    <t>于3年）规定处理，但一经选定，不得改变。企业在新企业所得税法实施以前年度的未摊销完的开办费，也可按照上述规定处理。</t>
  </si>
  <si>
    <t>各类社会保障性缴款和住房公积金审核表</t>
  </si>
  <si>
    <t>调增金额</t>
  </si>
  <si>
    <t>调减金额</t>
  </si>
  <si>
    <t>（一）各类基本社会保障性缴款</t>
  </si>
  <si>
    <t>其中：基本养老保险</t>
  </si>
  <si>
    <t>纳税调整明细表!C35</t>
  </si>
  <si>
    <t xml:space="preserve">      失业保险</t>
  </si>
  <si>
    <t xml:space="preserve">      基本医疗保险</t>
  </si>
  <si>
    <t xml:space="preserve">      基本生育保险</t>
  </si>
  <si>
    <t xml:space="preserve">      工伤保险</t>
  </si>
  <si>
    <t>（二）补充养老保险、补充医疗保险</t>
  </si>
  <si>
    <t xml:space="preserve">      补充养老保险</t>
  </si>
  <si>
    <t xml:space="preserve">      补充医疗保险</t>
  </si>
  <si>
    <t>（三）住房公积金</t>
  </si>
  <si>
    <t xml:space="preserve"> 三、本期各类社会保障性缴款和住房公积金对应成本费用科目</t>
  </si>
  <si>
    <t xml:space="preserve">     1、各类社会保障性缴款</t>
  </si>
  <si>
    <r>
      <t xml:space="preserve">     2</t>
    </r>
    <r>
      <rPr>
        <sz val="10"/>
        <rFont val="宋体"/>
        <family val="3"/>
        <charset val="134"/>
      </rPr>
      <t>、住房公积金</t>
    </r>
  </si>
  <si>
    <t>社保明细和工资人数审核表</t>
  </si>
  <si>
    <t>社保</t>
  </si>
  <si>
    <t>住房公积金</t>
  </si>
  <si>
    <t>工资人数</t>
  </si>
  <si>
    <t>单位</t>
  </si>
  <si>
    <t>个人</t>
  </si>
  <si>
    <t>工资福利</t>
  </si>
  <si>
    <t>税收优惠明细表</t>
  </si>
  <si>
    <t>纳税调整明细表!A1</t>
  </si>
  <si>
    <t>补充养老</t>
  </si>
  <si>
    <t>补充医疗</t>
  </si>
  <si>
    <t>广告发布者名称</t>
  </si>
  <si>
    <t>支出额</t>
  </si>
  <si>
    <t>审核调整额</t>
  </si>
  <si>
    <t>审核确认额</t>
  </si>
  <si>
    <t>广告费</t>
  </si>
  <si>
    <t>广告费纳税调整表!A1</t>
  </si>
  <si>
    <t>业务宣传费</t>
  </si>
  <si>
    <t>招待!J20</t>
  </si>
  <si>
    <t>审核提示：                                                                                        1、抽查广告费金额较大的项目，追查支出原始凭证及货币资金帐簿和会计记录，分析支出的项目内容、用途、数量和金额，审核其是否与企业的业务有关。
2、审核企业列支的广告费支出是否符合税法规定，并验证税前扣除金额计算的准确性。
3、检查本表与营业费用或其他费用中业务宣传费明细项目的勾稽；
4、抽查业务宣传费较大的项目，分析支出的项目内容、用途、数量和金额，审核其是否与企业的业务有关。
5、按营业收入的15%确定广告费及业务宣传费用的扣除额及结转到下年数。                                                        6、对化妆品制造、医药制造和饮料制造（不含酒类制造，下同）企业发生的广告费和业务宣传费支出，不超过当年销售（营业）收入30%的部分，准予扣除；超过部分，准予在以后纳税年度结转扣除。</t>
  </si>
  <si>
    <t xml:space="preserve"> 三、本期广告费、业务宣传费对应成本费用科目</t>
  </si>
  <si>
    <t>7、烟草企业的烟草广告费和业务宣传费支出（公益广告除外），一律不得在计算应纳税所得额时扣除。（粮食类白酒可以扣除）财税[2009]72号</t>
  </si>
  <si>
    <t>本期审核后营业收入</t>
  </si>
  <si>
    <t>8、对于店堂广告的载体，如果符合固定资产的标准，应分年将其折旧确认为广告费和业务宣传费的组成部分。</t>
  </si>
  <si>
    <t>扣除审核</t>
  </si>
  <si>
    <t>可扣除比例</t>
  </si>
  <si>
    <t>允许扣除限额</t>
  </si>
  <si>
    <t>编制说明：                                                                                                                                1、本表“账面数合计”应与营业费用审核表中的广告费、业务宣传费支出数相一致。                                                                                      2、本表“本期审核后营业收入”是指主营业务收入、其他业务收入审核表中的审核数之和。                                                                          3、本表“超标准列支额”可无限期向以后纳税年度结转；超标准列支额应与企业所得税纳税申报审核表中的纳税调整明细表第31行中介机构审核数相一致。</t>
  </si>
  <si>
    <t>以前年度结转可扣除金额</t>
  </si>
  <si>
    <t>本期扣除以前年度结转金额</t>
  </si>
  <si>
    <t>累计结转以后年度扣除金额</t>
  </si>
  <si>
    <t>∧、＜、B、T、S、D3、D8</t>
  </si>
  <si>
    <t>凭证号</t>
  </si>
  <si>
    <t>票据开具单位</t>
  </si>
  <si>
    <t>非公益性捐赠、非广告性赞助
支出金额</t>
  </si>
  <si>
    <t>可全额列支的捐赠支出</t>
  </si>
  <si>
    <t>票据开具单位是否符合条件
（注A）</t>
  </si>
  <si>
    <t>票据是否符合条件
（注：B）</t>
  </si>
  <si>
    <t>捐赠用途</t>
  </si>
  <si>
    <t>用途是否符合条件
（注C）</t>
  </si>
  <si>
    <t>捐赠金额
（限额扣除）</t>
  </si>
  <si>
    <t>符合条件的捐赠支出金额</t>
  </si>
  <si>
    <t>纳税调整明细表!C33</t>
  </si>
  <si>
    <t>营外收支审核表</t>
  </si>
  <si>
    <t>纳税调整额</t>
  </si>
  <si>
    <t>3、往来账户</t>
  </si>
  <si>
    <t>（1）是否真实记载债权债务事项？</t>
  </si>
  <si>
    <t>1、无隐瞒（</t>
  </si>
  <si>
    <t>）2、有不实在（</t>
  </si>
  <si>
    <t>（2）是否隐瞒亏损或盈利？</t>
  </si>
  <si>
    <t>（3）有无隐瞒成本和收入（包括返利收入）情况？</t>
  </si>
  <si>
    <t>4、营业外支出中，在计算应纳税所得额时有无税法不允许扣除的项目?</t>
  </si>
  <si>
    <t>5、有无税收优惠事项？是否办理了审批手续？</t>
  </si>
  <si>
    <t xml:space="preserve">2、无（ </t>
  </si>
  <si>
    <t>审核过程中重大问题请示报告</t>
  </si>
  <si>
    <t>委托单位名称</t>
  </si>
  <si>
    <t>执行的会计制度</t>
  </si>
  <si>
    <t>承办部门</t>
  </si>
  <si>
    <t>提请决定的主要问题及初步处理意见：</t>
  </si>
  <si>
    <t>部门经理意见：</t>
  </si>
  <si>
    <t>事项说明</t>
  </si>
  <si>
    <t xml:space="preserve">请填列保留意见等。 </t>
  </si>
  <si>
    <t>公司（所）领导意见：</t>
  </si>
  <si>
    <t>审 核 组 参 加 人 员</t>
  </si>
  <si>
    <t>委 托 方 参 加 人 员</t>
  </si>
  <si>
    <t>项目经理：</t>
  </si>
  <si>
    <t>其他人员：</t>
  </si>
  <si>
    <t>姓名：</t>
  </si>
  <si>
    <t>职务：</t>
  </si>
  <si>
    <t>审核中发现的问题及处理意见：</t>
  </si>
  <si>
    <t>与委托单位交换后的处理结果:</t>
  </si>
  <si>
    <t>事项说明!A28</t>
  </si>
  <si>
    <t>签名：</t>
  </si>
  <si>
    <t>索引号：</t>
  </si>
  <si>
    <t>资料类别</t>
  </si>
  <si>
    <t>资料名称</t>
  </si>
  <si>
    <t>准备情况</t>
  </si>
  <si>
    <t>（√）</t>
  </si>
  <si>
    <t>（×）</t>
  </si>
  <si>
    <t>企业情况</t>
  </si>
  <si>
    <t>营业执照</t>
  </si>
  <si>
    <t>税务登记证</t>
  </si>
  <si>
    <t>章程</t>
  </si>
  <si>
    <t>最近的验资报告、审计报告、税审报告</t>
  </si>
  <si>
    <t>关联企业名单</t>
  </si>
  <si>
    <t>税收申报（或提供国地报税密码）</t>
  </si>
  <si>
    <t>地税电子申报明细情况表（当年度、次年1月份）</t>
  </si>
  <si>
    <t>分税种入库情况统计表(当年1月－次年1月）</t>
  </si>
  <si>
    <t>1-12月份社保实缴明细表</t>
  </si>
  <si>
    <t>12月份增值税申报表主表（增值税一般纳税人）</t>
  </si>
  <si>
    <t>12月份生产企业免抵退税总申报表</t>
  </si>
  <si>
    <t>企业所得税申报表、电子缴税税单（含次年申报缴纳）</t>
  </si>
  <si>
    <t>购销合同印花税定率征收核定表</t>
  </si>
  <si>
    <t>产权证明</t>
  </si>
  <si>
    <t>年末固定资产盘点表（提供购置日期、折旧年限）</t>
  </si>
  <si>
    <t>年末存货盘点表</t>
  </si>
  <si>
    <t>年末银行对账单</t>
  </si>
  <si>
    <t>房屋、土地等产权证件</t>
  </si>
  <si>
    <t>汽车行驶证</t>
  </si>
  <si>
    <t>开办费原始入账资料</t>
  </si>
  <si>
    <t>银行借款合同</t>
  </si>
  <si>
    <t>房租合同</t>
  </si>
  <si>
    <t>承包经营合同</t>
  </si>
  <si>
    <t>其他重要经济合同</t>
  </si>
  <si>
    <t>长期股权投资：被投资方营业执照、章程、验资报告、当年度会计报表（或审计报告）</t>
  </si>
  <si>
    <t>财务软件</t>
  </si>
  <si>
    <t>年度会计报表</t>
  </si>
  <si>
    <t>全年累计科目发生额及余额表（1级至末级）</t>
  </si>
  <si>
    <t>辅助核算科目发生额及余额表</t>
  </si>
  <si>
    <t>应付及预收账款账龄分析（含预付及应收贷方余额明细）</t>
  </si>
  <si>
    <t>预提费用、应付工资次年冲销情况证明</t>
  </si>
  <si>
    <t>其他补充</t>
  </si>
  <si>
    <t>标识</t>
  </si>
  <si>
    <t>含义</t>
  </si>
  <si>
    <t>∧</t>
  </si>
  <si>
    <t>纵加核对相符</t>
  </si>
  <si>
    <t>D1</t>
  </si>
  <si>
    <t>与企业所得税纳税申报表附表一核对一致</t>
  </si>
  <si>
    <t>＜</t>
  </si>
  <si>
    <t>横加核对相符</t>
  </si>
  <si>
    <t>D2</t>
  </si>
  <si>
    <t>与企业所得税纳税申报表附表二核对一致</t>
  </si>
  <si>
    <t>B</t>
  </si>
  <si>
    <t>与上年结转数一致</t>
  </si>
  <si>
    <t>D3</t>
  </si>
  <si>
    <t>与企业所得税纳税申报表附表三核对一致</t>
  </si>
  <si>
    <t>T</t>
  </si>
  <si>
    <t>与原始凭证核对一致</t>
  </si>
  <si>
    <t>D4</t>
  </si>
  <si>
    <t>与企业所得税纳税申报表附表四核对一致</t>
  </si>
  <si>
    <t>G</t>
  </si>
  <si>
    <t>与总分类账核对一致</t>
  </si>
  <si>
    <t>D5</t>
  </si>
  <si>
    <t>与企业所得税纳税申报表附表五核对一致</t>
  </si>
  <si>
    <t>S</t>
  </si>
  <si>
    <t>与明细分类账核对一致</t>
  </si>
  <si>
    <t>D6</t>
  </si>
  <si>
    <t>与企业所得税纳税申报表附表六核对一致</t>
  </si>
  <si>
    <t>C</t>
  </si>
  <si>
    <t>与企业所得税纳税申报表核对一致</t>
  </si>
  <si>
    <t>D7</t>
  </si>
  <si>
    <t>与企业所得税纳税申报表附表七核对一致</t>
  </si>
  <si>
    <t>AP</t>
  </si>
  <si>
    <t>纳税调整后所得</t>
  </si>
  <si>
    <t>应纳所得税额</t>
  </si>
  <si>
    <t>减：减免所得税额</t>
  </si>
  <si>
    <t>纳税人识别号</t>
  </si>
  <si>
    <t>投资总额</t>
  </si>
  <si>
    <t>投资比例</t>
  </si>
  <si>
    <t>项          目</t>
  </si>
  <si>
    <t>账载金额</t>
  </si>
  <si>
    <t>固资折旧</t>
  </si>
  <si>
    <t>无形资产摊销</t>
  </si>
  <si>
    <t>中华人民共和国企业所得税年度纳税申报表（A类）</t>
  </si>
  <si>
    <t>金额单位：元（列至角分）</t>
  </si>
  <si>
    <t>利润总额计算</t>
  </si>
  <si>
    <t>差额调整</t>
    <phoneticPr fontId="51" type="noConversion"/>
  </si>
  <si>
    <t>5、国税函[2008]828号文规定，企业将资产移送他人的下列情况，因资产所有权属已发生改变而不属于内部处置资产，应按规定视同销售确定收入，一是用于市场推广或销售；二是用于交际应酬；三是用于职工奖励或福利；四是用于股息分配；五是用于对外捐赠；六是其他改变资产所有权属的用途
   企业发生前述规定情形时，属于企业自制的资产，应按企业同类资产同期对外销售价格确定销售收入；属于外购的资产，可按购入时的价格确定销售收入。
   国税函[2010]148号规定，企业处置外购资产按购入时的价格确定销售收入，是指企业处置该项资产不是以销售为目的，而是具有替代职工福利等费用支出性质，且购买后一般在一个纳税年度内处置。</t>
  </si>
  <si>
    <t>6、国税函[2008]828号规定，境内资产转移至境外，即使所有权属未发生改变，应视同销售处理。会计上一般不做销售处理，应该进行相应纳税调整。</t>
  </si>
  <si>
    <t xml:space="preserve">转换器取数 </t>
    <phoneticPr fontId="51" type="noConversion"/>
  </si>
  <si>
    <t>个税申报工资额</t>
    <phoneticPr fontId="51" type="noConversion"/>
  </si>
  <si>
    <t>二、成本                                                                                                              1、获取或编制主营业务成本汇总明细表，复核加计是否正确，并与报表数、总账数和明细账合计数核对是否相符。
2、复核主营业务成本汇总明细表的正确性，与库存商品等账项的结转额核对一致，并编制生产成本与销售成本倒轧表。
3、检查主营业务成本的内容和计算方法是否符合有关规定，前后期是否一致，并作出记录。
4、对主营业务成本进行分析性复核，检查本期内各月间及前后期同一产品的单位成本是否有异常波动，注意是否存在调节成本的现象。
5、抽查（   ）月主营业务成本结转明细清单，比较计入主营业务成本的商品品种、规格、数量和主营业务收入的口径是否一致，是否符合配比原则。
6、检查主营业务成本中重大调整事项（如销售退回）的会计处理是否正确；是否存在残次品、边角料等其他收入直接冲减成本的现象。
7、在采用计划成本、定额成本或标准成本核算的条件下，应检查商品成本差异的计算、分配和会计处理是否正确。</t>
  </si>
  <si>
    <r>
      <t>6</t>
    </r>
    <r>
      <rPr>
        <sz val="10"/>
        <rFont val="宋体"/>
        <family val="3"/>
        <charset val="134"/>
      </rPr>
      <t>月</t>
    </r>
  </si>
  <si>
    <r>
      <t>7</t>
    </r>
    <r>
      <rPr>
        <sz val="10"/>
        <rFont val="宋体"/>
        <family val="3"/>
        <charset val="134"/>
      </rPr>
      <t>月</t>
    </r>
  </si>
  <si>
    <r>
      <t>8</t>
    </r>
    <r>
      <rPr>
        <sz val="10"/>
        <rFont val="宋体"/>
        <family val="3"/>
        <charset val="134"/>
      </rPr>
      <t>月</t>
    </r>
  </si>
  <si>
    <r>
      <t>9</t>
    </r>
    <r>
      <rPr>
        <sz val="10"/>
        <rFont val="宋体"/>
        <family val="3"/>
        <charset val="134"/>
      </rPr>
      <t>月</t>
    </r>
  </si>
  <si>
    <t>∧、＜、T、G、S、C、D1、D2</t>
  </si>
  <si>
    <t>1、残疾人返还的营业税和增值税应该作为征税收入征税。财税[2008]151号。</t>
  </si>
  <si>
    <t>2、实行《企业会计准则》企业对交易结果不能可靠估计的劳务收入，采用成本回收法确认的，与税法坚持使用完工百分比法确认的收入产生差异的，需要进行纳税调整。</t>
  </si>
  <si>
    <t>3、对当年开工次年完工但持续时间不足12个月的劳务收入，会计采取完工百分比法确认收入的，税法规定以权责发生制在最终完工时确认收入，在附表三第5行进行纳税调整。</t>
  </si>
  <si>
    <t>4、租赁期限跨年度且租金提前一次性支付的租金收入，未按国税函[2010]79号文选择在租赁期内分次计入相关会计年度收入，与会计核算产生的差异在附表三第5行进行纳税调整。（建筑业及租赁业营业税于收款时缴纳）</t>
  </si>
  <si>
    <t xml:space="preserve">审核提示：                                                                                                                                         1、获取预提费用明细表，复核其加计的正确性，并与明细账、总账的余额核对相符。                                                                                            2、对发生额较大的项目，应检查其合同、协议、原始单据并判断其合理性。                                                                                    3、抽查大额预提费用及转销的记账凭证和相关文件资料，审查预提费用是否存在异常，并查明原因，作出正确处理。
4、验证待摊费用的摊销期限及各期摊销费用的计算是否正确、合理。（   ）审核标识及说明：
5、审查有无利用预提费用账户调节利润情况，特别关注长期挂账的预提费用，查明原因并做调整。 
</t>
  </si>
  <si>
    <t>预提费用</t>
  </si>
  <si>
    <t xml:space="preserve">    甲方：1、甲方应建立健全内部控制制度，保护资产的安全，并保证其提供的全部资料的真实性、完整性和合法性；2、按约定时间提供业务所需全部资料，包括财务会计资料及其他相关资料；3、协助乙方查看业务现场，并提供其他必要的协助；4、按约定条件及时足额支付业务费用；5、按委托目的正确使用业务报告。6、请甲方加强对报告的管理，避免无关人员取得报告封面的业务报备号，进而查询客户信息。</t>
    <phoneticPr fontId="51" type="noConversion"/>
  </si>
  <si>
    <t>注册地址</t>
  </si>
  <si>
    <t>主管税务机关</t>
  </si>
  <si>
    <t>租赁和商务服务业</t>
  </si>
  <si>
    <t>其他有限责任公司</t>
  </si>
  <si>
    <t>证件号码</t>
  </si>
  <si>
    <t>招待</t>
  </si>
  <si>
    <t>折旧测算</t>
  </si>
  <si>
    <t>无形长摊</t>
  </si>
  <si>
    <t>广宣</t>
  </si>
  <si>
    <t>利息</t>
  </si>
  <si>
    <t>主营收支</t>
  </si>
  <si>
    <t>毛利分析</t>
  </si>
  <si>
    <t>制造费用、生产成本</t>
  </si>
  <si>
    <t>成本倒轧</t>
  </si>
  <si>
    <t>存货计价测试</t>
  </si>
  <si>
    <t>其他业务</t>
  </si>
  <si>
    <t>营外收支</t>
  </si>
  <si>
    <t>货币资金</t>
  </si>
  <si>
    <t>应收</t>
  </si>
  <si>
    <t>预付</t>
  </si>
  <si>
    <t>其他应收</t>
  </si>
  <si>
    <t>存货</t>
  </si>
  <si>
    <t>待摊预提</t>
  </si>
  <si>
    <t>应付</t>
  </si>
  <si>
    <t>预收</t>
  </si>
  <si>
    <t>其他应付</t>
  </si>
  <si>
    <t>实收公积</t>
  </si>
  <si>
    <t>未分利润</t>
  </si>
  <si>
    <t>科目名称</t>
  </si>
  <si>
    <t>175</t>
  </si>
  <si>
    <t>204</t>
  </si>
  <si>
    <t>231</t>
  </si>
  <si>
    <t>科目编码</t>
  </si>
  <si>
    <t>期初借方</t>
  </si>
  <si>
    <t>期初贷方</t>
  </si>
  <si>
    <t>本期发生借方</t>
  </si>
  <si>
    <t>本期发生贷方</t>
  </si>
  <si>
    <t>期末借方</t>
  </si>
  <si>
    <t>期末贷方</t>
  </si>
  <si>
    <t>一级科目所在行</t>
    <phoneticPr fontId="51" type="noConversion"/>
  </si>
  <si>
    <t/>
  </si>
  <si>
    <t>纳税人(委托人)税务登记号</t>
  </si>
  <si>
    <t xml:space="preserve">自填，必录 </t>
  </si>
  <si>
    <t>纳税人(委托人)名称</t>
  </si>
  <si>
    <t>系统生成，必录</t>
  </si>
  <si>
    <t>自填，必录，例如2011</t>
  </si>
  <si>
    <t xml:space="preserve">    自填，必录。
    填写对应代码：
    1-保留意见
    2-否定意见
    3-无保留意见
    4-无法表明意见</t>
  </si>
  <si>
    <t>签名注册税务师1身份证号</t>
  </si>
  <si>
    <t>签名注册税务师1姓名</t>
  </si>
  <si>
    <t>签名注册税务师2身份证号</t>
  </si>
  <si>
    <t xml:space="preserve">自填      </t>
  </si>
  <si>
    <t>签名注册税务师2姓名</t>
  </si>
  <si>
    <t>系统生成</t>
  </si>
  <si>
    <t>事务所基本信息</t>
  </si>
  <si>
    <t>事务所税务登记号</t>
  </si>
  <si>
    <t>事务所名称</t>
  </si>
  <si>
    <t>事务所所长姓名</t>
  </si>
  <si>
    <t>陈元庆</t>
  </si>
  <si>
    <t>事务所执业证书号</t>
  </si>
  <si>
    <t>16023</t>
  </si>
  <si>
    <t>事务所电话号码</t>
  </si>
  <si>
    <t>事务所传真号码</t>
  </si>
  <si>
    <t>事务所通信地址</t>
  </si>
  <si>
    <t>事务所电子邮件地址</t>
  </si>
  <si>
    <t>事务所网站地址</t>
  </si>
  <si>
    <t>一、企业所得税汇算清缴纳税申报的审核过程及主要实施情况</t>
  </si>
  <si>
    <t xml:space="preserve">备注      </t>
  </si>
  <si>
    <t xml:space="preserve">  （一）贵单位与企业所得税有关的内部控制及其有效性。 </t>
  </si>
  <si>
    <t>自填，必录</t>
  </si>
  <si>
    <t xml:space="preserve">  （二）贵单位与企业所得税有关的各项内部证据和外部证据的相关性和可靠性。 </t>
  </si>
  <si>
    <t xml:space="preserve">   （三）对贵单位提供的会计资料及纳税资料等进行审核、验证、计算和进行职业推断的情况。 </t>
  </si>
  <si>
    <t>（一）经审核可以确认的应纳所得税额</t>
  </si>
  <si>
    <t>本项由系统自动取数，不需填</t>
  </si>
  <si>
    <t>（二）对保留意见审核事项的说明</t>
  </si>
  <si>
    <t xml:space="preserve">   1.不能确认该审核事项应纳所得税额的理据和原因。 </t>
  </si>
  <si>
    <t xml:space="preserve">   2.纳税调整的初步意见或解决方案。 </t>
  </si>
  <si>
    <t xml:space="preserve">  
对事项的审核情况</t>
  </si>
  <si>
    <t>自填，必录。
描述存在违反税收法律法规或有关规定的情形，并阐述经与委托人就该事项磋商不能达成一致、出具否定意见的理据。</t>
  </si>
  <si>
    <t xml:space="preserve">    我们已收集、识别、评价与企业所得税汇算清缴纳税申报相关的会计资料和纳税资料等可靠的内部证据及外部证据。具体包括：企业会计资料及会计处理、财务状况及财务报表、纳税资料及税务处理、有关文件及证明材料等。</t>
    <phoneticPr fontId="51" type="noConversion"/>
  </si>
  <si>
    <t xml:space="preserve">  
  对事项的审核情况</t>
  </si>
  <si>
    <t>自填，必录。
详细说明该审核事项对确认应纳所得税额可能产生的重大影响，并阐述对该事项无法表明意见的理据。</t>
  </si>
  <si>
    <t>企业基本情况和企业所得税汇算清缴纳税申报审核事项说明</t>
  </si>
  <si>
    <t>一、企业基本情况</t>
  </si>
  <si>
    <t xml:space="preserve">   1．成立日期</t>
  </si>
  <si>
    <t>自填，必录，例“2011-01-01”</t>
  </si>
  <si>
    <t xml:space="preserve">   2．注册地址</t>
  </si>
  <si>
    <t xml:space="preserve">      经营地址</t>
  </si>
  <si>
    <t xml:space="preserve">   3．法人代表</t>
  </si>
  <si>
    <t xml:space="preserve">   6．企业类型</t>
  </si>
  <si>
    <t>自填，必录。填写代码。
代码对照表附于本表下方。</t>
  </si>
  <si>
    <t xml:space="preserve">   7．经营范围</t>
  </si>
  <si>
    <t xml:space="preserve">   8. 行业门类</t>
  </si>
  <si>
    <t xml:space="preserve">   9．其他</t>
  </si>
  <si>
    <t>二、主要会计政策</t>
  </si>
  <si>
    <t xml:space="preserve">   1.执行的会计准则（制度）及有关规定</t>
  </si>
  <si>
    <t>自填，必录。
填写企业适用的《企业会计准则》（或《小企业会计准则》或《××会计制度》）</t>
  </si>
  <si>
    <t xml:space="preserve">   2.会计年度起始时间</t>
  </si>
  <si>
    <t xml:space="preserve">   会计年度截止时间</t>
  </si>
  <si>
    <t>自填，必录。
例如“2011-01-01”；
“2011-12-31”</t>
  </si>
  <si>
    <t xml:space="preserve">   3.会计核算方法</t>
  </si>
  <si>
    <t>自填，必录。
填写企业在会计核算中按照法律、行政法规或者国家统一的会计制度等规定采用或者选择的、适合于本企业的具体会计处理或会计估计方法（如发出存货成本的计量、长期股权投资的后续计量、固定资产及其折旧、无形资产及其摊销、收入的确认等）。</t>
  </si>
  <si>
    <t xml:space="preserve">   4、账龄三年以上的应收账款、应付账款、其他应收款、其他应付款、预收账款、预付账款等科目说明：</t>
  </si>
  <si>
    <t>该项内容在“(二)附表-科目说明”填写。</t>
  </si>
  <si>
    <t xml:space="preserve">   5、其他</t>
  </si>
  <si>
    <t>三、审核事项说明</t>
  </si>
  <si>
    <t>该项内容在“(二)附表-纳税调整额的审核”填写</t>
  </si>
  <si>
    <t>四、其他事项说明</t>
  </si>
  <si>
    <t xml:space="preserve">   以下内容不是填表区域，仅供对照。</t>
  </si>
  <si>
    <t>内资企业</t>
  </si>
  <si>
    <t>农、林、牧、渔业</t>
  </si>
  <si>
    <t>国有企业</t>
  </si>
  <si>
    <t>采矿业</t>
  </si>
  <si>
    <t>集体企业</t>
  </si>
  <si>
    <t>制造业</t>
  </si>
  <si>
    <t>股份合作企业</t>
  </si>
  <si>
    <t>电力、热力、燃气及水生产和供应业</t>
  </si>
  <si>
    <t>联营企业</t>
  </si>
  <si>
    <t>建筑业</t>
  </si>
  <si>
    <t>国有联营企业</t>
  </si>
  <si>
    <t>批发和零售业</t>
  </si>
  <si>
    <t>集体联营企业</t>
  </si>
  <si>
    <t>交通运输、仓储和邮政业</t>
  </si>
  <si>
    <t>国有与集体联营企业</t>
  </si>
  <si>
    <t>住宿和餐饮业</t>
  </si>
  <si>
    <t>其他联营企业</t>
  </si>
  <si>
    <t>信息传输、软件和信息技术服务业</t>
  </si>
  <si>
    <t>有限责任公司</t>
  </si>
  <si>
    <t>金融业</t>
  </si>
  <si>
    <t>国有独资公司</t>
  </si>
  <si>
    <t>房地产业</t>
  </si>
  <si>
    <t>股份有限公司</t>
  </si>
  <si>
    <t>科学研究和技术服务业</t>
  </si>
  <si>
    <t>私营企业</t>
  </si>
  <si>
    <t>水利、环境和公共设施管理业</t>
  </si>
  <si>
    <t>私营独资企业</t>
  </si>
  <si>
    <t>居民服务、修理和其他服务业</t>
  </si>
  <si>
    <t>私营合伙企业</t>
  </si>
  <si>
    <t>教育</t>
  </si>
  <si>
    <t>私营有限责任公司</t>
  </si>
  <si>
    <t>卫生和社会工作</t>
  </si>
  <si>
    <t>私营股份有限公司</t>
  </si>
  <si>
    <t>文化、体育和娱乐业</t>
  </si>
  <si>
    <t>个人独资及合伙企业</t>
  </si>
  <si>
    <t>公共管理、社会保障和社会组织</t>
  </si>
  <si>
    <t>其他内资企业</t>
  </si>
  <si>
    <t>国际组织</t>
  </si>
  <si>
    <t>港、澳、台商投资企业</t>
  </si>
  <si>
    <t>（港澳台商）合资经营企业</t>
  </si>
  <si>
    <t>（港澳台商）合作经营企业</t>
  </si>
  <si>
    <t>（港澳台商）独资经营公司</t>
  </si>
  <si>
    <t>（港澳台商）投资股份有限公司</t>
  </si>
  <si>
    <t>（港澳台商）企业</t>
  </si>
  <si>
    <t>（港澳台商）外企常驻代表机构</t>
  </si>
  <si>
    <t>（港澳台商）提供劳务承包工程作业企业</t>
  </si>
  <si>
    <t>（港澳台商）缴纳预提所得税的企业</t>
  </si>
  <si>
    <t>（港澳台商）国际运输企业</t>
  </si>
  <si>
    <t>其他港澳台商企业</t>
  </si>
  <si>
    <t>外商投资企业</t>
  </si>
  <si>
    <t>中外合资经营企业</t>
  </si>
  <si>
    <t>中外合作经营企业</t>
  </si>
  <si>
    <t>外商投资企业和外国企业</t>
  </si>
  <si>
    <t>外商投资股份有限公司</t>
  </si>
  <si>
    <t>外国企业</t>
  </si>
  <si>
    <t>外国企业常驻代表机构</t>
  </si>
  <si>
    <t>提供劳务、承包工程作业企业</t>
  </si>
  <si>
    <t>缴纳预提所得税的企业</t>
  </si>
  <si>
    <t>国际运输企业</t>
  </si>
  <si>
    <t>其他外国企业</t>
  </si>
  <si>
    <t>个体经营</t>
  </si>
  <si>
    <t>个体工商户</t>
  </si>
  <si>
    <t>内资个体</t>
  </si>
  <si>
    <t>港澳台个体</t>
  </si>
  <si>
    <t>外资个体</t>
  </si>
  <si>
    <t>个人合伙</t>
  </si>
  <si>
    <t>内资合伙</t>
  </si>
  <si>
    <t>港澳台合伙</t>
  </si>
  <si>
    <t>外资合伙</t>
  </si>
  <si>
    <t>内资个人</t>
  </si>
  <si>
    <t>港澳台个人</t>
  </si>
  <si>
    <t>外资个人</t>
  </si>
  <si>
    <t>非企业单位</t>
  </si>
  <si>
    <t>事业单位</t>
  </si>
  <si>
    <t>民办非企业单位</t>
  </si>
  <si>
    <t>民办非企业单位（法人）</t>
  </si>
  <si>
    <t>民办非企业单位（合伙）</t>
  </si>
  <si>
    <t>民办非企业单位（个人）</t>
  </si>
  <si>
    <t>国家机关</t>
  </si>
  <si>
    <t>政党机关</t>
  </si>
  <si>
    <t>社会团体</t>
  </si>
  <si>
    <t>基层群众自治组织</t>
  </si>
  <si>
    <t>企业基本情况和企业所得税汇算清缴纳税申报审核事项说明（科目说明）</t>
  </si>
  <si>
    <t>填报说明：   
1、本表用于填报账龄三年以上（含三年）且在此期间无任何发生额的往来款（应收账款、应付账款、其他应收款、其他应付款、预收账款、预付账款）的期末余额情况。   
2、“一级科目”填报“应收账款”、“应付账款”、“其他应收款”、“其他应付款”、“预收账款”及“预付账款”等科目名称。  
3、“明细科目”填报具体的往来单位或个人名称。   
4、本表填报项目不限，请按顺序填写，不得跳空行填写。</t>
  </si>
  <si>
    <t xml:space="preserve">   4、账龄三年以上的应收账款、应付账款、其他应收款、其他应付款、预收账款、预付账款等科目说明： </t>
  </si>
  <si>
    <t xml:space="preserve">一级科目 </t>
  </si>
  <si>
    <t xml:space="preserve">期末余额 </t>
  </si>
  <si>
    <t>企业基本情况和企业所得税汇算清缴纳税申报审核事项说明（纳税调整额的审核）</t>
  </si>
  <si>
    <t xml:space="preserve">   审核事项说明：纳税调整增加、减少额的审核（单位：元）</t>
  </si>
  <si>
    <t xml:space="preserve">项目  </t>
  </si>
  <si>
    <t xml:space="preserve">账载金额 </t>
  </si>
  <si>
    <t xml:space="preserve">税收金额 </t>
  </si>
  <si>
    <t>调整原因说明</t>
  </si>
  <si>
    <t xml:space="preserve">行次 </t>
  </si>
  <si>
    <t xml:space="preserve">项目 </t>
  </si>
  <si>
    <t xml:space="preserve">表间关系  </t>
  </si>
  <si>
    <t>一般企业收入明细表</t>
  </si>
  <si>
    <t>表间关系</t>
  </si>
  <si>
    <t xml:space="preserve">表间关系 </t>
  </si>
  <si>
    <t xml:space="preserve">*  </t>
  </si>
  <si>
    <t xml:space="preserve">*   </t>
  </si>
  <si>
    <t>本年度实际弥补的以前年度亏损额</t>
  </si>
  <si>
    <t>可结转以后年度弥补的亏损额</t>
  </si>
  <si>
    <t xml:space="preserve">表间关系   </t>
  </si>
  <si>
    <t>金    额</t>
  </si>
  <si>
    <t>弥补境外以前年度亏损</t>
  </si>
  <si>
    <t xml:space="preserve">*    </t>
  </si>
  <si>
    <t>01</t>
  </si>
  <si>
    <t>02</t>
  </si>
  <si>
    <t>004</t>
  </si>
  <si>
    <t>阿富汗伊斯兰国</t>
  </si>
  <si>
    <t>008</t>
  </si>
  <si>
    <t>阿尔巴尼亚共和国</t>
  </si>
  <si>
    <t>010</t>
  </si>
  <si>
    <t>南极洲</t>
  </si>
  <si>
    <t>012</t>
  </si>
  <si>
    <t>阿尔及利亚民主人民共和国</t>
  </si>
  <si>
    <t>016</t>
  </si>
  <si>
    <t>美属萨摩亚</t>
  </si>
  <si>
    <t>020</t>
  </si>
  <si>
    <t>安道尔公国</t>
  </si>
  <si>
    <t>024</t>
  </si>
  <si>
    <t>安哥拉共和国</t>
  </si>
  <si>
    <t>028</t>
  </si>
  <si>
    <t>安提瓜和巴布达</t>
  </si>
  <si>
    <t>031</t>
  </si>
  <si>
    <t>阿塞拜疆共和国</t>
  </si>
  <si>
    <t>032</t>
  </si>
  <si>
    <t>阿根廷共和国</t>
  </si>
  <si>
    <t>036</t>
  </si>
  <si>
    <t>澳大利亚联邦</t>
  </si>
  <si>
    <t>040</t>
  </si>
  <si>
    <t>奥地利共和国</t>
  </si>
  <si>
    <t>044</t>
  </si>
  <si>
    <t>巴哈马联邦</t>
  </si>
  <si>
    <t>048</t>
  </si>
  <si>
    <t>巴林国</t>
  </si>
  <si>
    <t>050</t>
  </si>
  <si>
    <t>孟加拉人民共和国</t>
  </si>
  <si>
    <t>051</t>
  </si>
  <si>
    <t>亚美尼亚共和国</t>
  </si>
  <si>
    <t>052</t>
  </si>
  <si>
    <t>巴巴多斯</t>
  </si>
  <si>
    <t>056</t>
  </si>
  <si>
    <t>比利时王国</t>
  </si>
  <si>
    <t>060</t>
  </si>
  <si>
    <t>百慕大群岛</t>
  </si>
  <si>
    <t>064</t>
  </si>
  <si>
    <t>不丹王国</t>
  </si>
  <si>
    <t>068</t>
  </si>
  <si>
    <t>玻利维亚共和国</t>
  </si>
  <si>
    <t>070</t>
  </si>
  <si>
    <t>波斯尼亚和黑塞哥维那共和国</t>
  </si>
  <si>
    <t>072</t>
  </si>
  <si>
    <t>博茨瓦纳共和国</t>
  </si>
  <si>
    <t>074</t>
  </si>
  <si>
    <t>布维岛</t>
  </si>
  <si>
    <t>076</t>
  </si>
  <si>
    <t>巴西联邦共和国</t>
  </si>
  <si>
    <t>084</t>
  </si>
  <si>
    <t>伯利兹</t>
  </si>
  <si>
    <t>086</t>
  </si>
  <si>
    <t>英属印度洋领土</t>
  </si>
  <si>
    <t>090</t>
  </si>
  <si>
    <t>所罗门群岛</t>
  </si>
  <si>
    <t>092</t>
  </si>
  <si>
    <t>英属维尔京群岛</t>
  </si>
  <si>
    <t>096</t>
  </si>
  <si>
    <t>文莱达鲁萨兰国</t>
  </si>
  <si>
    <t>100</t>
  </si>
  <si>
    <t>保加利亚共和国</t>
  </si>
  <si>
    <t>104</t>
  </si>
  <si>
    <t>缅甸联邦</t>
  </si>
  <si>
    <t>108</t>
  </si>
  <si>
    <t>布隆迪共和国</t>
  </si>
  <si>
    <t>112</t>
  </si>
  <si>
    <t>白俄罗斯共和国</t>
  </si>
  <si>
    <t>116</t>
  </si>
  <si>
    <t>柬埔寨王国</t>
  </si>
  <si>
    <t>120</t>
  </si>
  <si>
    <t>喀麦隆共和国</t>
  </si>
  <si>
    <t>124</t>
  </si>
  <si>
    <t>加拿大</t>
  </si>
  <si>
    <t>132</t>
  </si>
  <si>
    <t>佛得角共和国</t>
  </si>
  <si>
    <t>136</t>
  </si>
  <si>
    <t>开曼群岛</t>
  </si>
  <si>
    <t>140</t>
  </si>
  <si>
    <t>中非共和国</t>
  </si>
  <si>
    <t>144</t>
  </si>
  <si>
    <t>斯里兰卡民主社会主义共和国</t>
  </si>
  <si>
    <t>148</t>
  </si>
  <si>
    <t>乍得共和国</t>
  </si>
  <si>
    <t>152</t>
  </si>
  <si>
    <t>智利共和国</t>
  </si>
  <si>
    <t>156</t>
  </si>
  <si>
    <t>中华人民共和国</t>
  </si>
  <si>
    <t>158</t>
  </si>
  <si>
    <t>中国台湾</t>
  </si>
  <si>
    <t>162</t>
  </si>
  <si>
    <t>圣诞岛</t>
  </si>
  <si>
    <t>166</t>
  </si>
  <si>
    <t>科科斯(基林群岛</t>
  </si>
  <si>
    <t>170</t>
  </si>
  <si>
    <t>哥伦比亚共和国</t>
  </si>
  <si>
    <t>174</t>
  </si>
  <si>
    <t>科摩罗伊斯兰联邦共和国</t>
  </si>
  <si>
    <t>马约特</t>
  </si>
  <si>
    <t>180</t>
  </si>
  <si>
    <t>184</t>
  </si>
  <si>
    <t>库克群岛</t>
  </si>
  <si>
    <t>188</t>
  </si>
  <si>
    <t>哥斯达黎加共和国</t>
  </si>
  <si>
    <t>191</t>
  </si>
  <si>
    <t>克罗地亚共和国</t>
  </si>
  <si>
    <t>192</t>
  </si>
  <si>
    <t>古巴共和国</t>
  </si>
  <si>
    <t>196</t>
  </si>
  <si>
    <t>塞浦路斯共和国</t>
  </si>
  <si>
    <t>203</t>
  </si>
  <si>
    <t>捷克共和国</t>
  </si>
  <si>
    <t>贝宁共和国</t>
  </si>
  <si>
    <t>208</t>
  </si>
  <si>
    <t>丹麦王国</t>
  </si>
  <si>
    <t>212</t>
  </si>
  <si>
    <t>多米尼克联邦</t>
  </si>
  <si>
    <t>214</t>
  </si>
  <si>
    <t>多米尼加共和国</t>
  </si>
  <si>
    <t>218</t>
  </si>
  <si>
    <t>厄瓜多尔共和国</t>
  </si>
  <si>
    <t>222</t>
  </si>
  <si>
    <t>萨尔瓦多共和国</t>
  </si>
  <si>
    <t>226</t>
  </si>
  <si>
    <t>赤道几内亚共和国</t>
  </si>
  <si>
    <t>埃塞俄比亚</t>
  </si>
  <si>
    <t>232</t>
  </si>
  <si>
    <t>厄立特里亚国</t>
  </si>
  <si>
    <t>233</t>
  </si>
  <si>
    <t>爱沙尼亚共和国</t>
  </si>
  <si>
    <t>234</t>
  </si>
  <si>
    <t>法罗群岛</t>
  </si>
  <si>
    <t>238</t>
  </si>
  <si>
    <t>马尔维纳斯群岛(福克兰群岛)</t>
  </si>
  <si>
    <t>239</t>
  </si>
  <si>
    <t>南乔治亚岛和南桑德韦奇岛</t>
  </si>
  <si>
    <t>242</t>
  </si>
  <si>
    <t>斐济共和国</t>
  </si>
  <si>
    <t>246</t>
  </si>
  <si>
    <t>芬兰共和国</t>
  </si>
  <si>
    <t>250</t>
  </si>
  <si>
    <t>法兰西共和国</t>
  </si>
  <si>
    <t>254</t>
  </si>
  <si>
    <t>法属圭亚那</t>
  </si>
  <si>
    <t>258</t>
  </si>
  <si>
    <t>法属波利尼西亚</t>
  </si>
  <si>
    <t>260</t>
  </si>
  <si>
    <t>法属南部领土</t>
  </si>
  <si>
    <t>262</t>
  </si>
  <si>
    <t>吉布提共和国</t>
  </si>
  <si>
    <t>266</t>
  </si>
  <si>
    <t>加蓬共和国</t>
  </si>
  <si>
    <t>268</t>
  </si>
  <si>
    <t>格鲁吉亚共和国</t>
  </si>
  <si>
    <t>270</t>
  </si>
  <si>
    <t>冈比亚共和国</t>
  </si>
  <si>
    <t>276</t>
  </si>
  <si>
    <t>德意志联邦共和国</t>
  </si>
  <si>
    <t>288</t>
  </si>
  <si>
    <t>加纳共和国</t>
  </si>
  <si>
    <t>292</t>
  </si>
  <si>
    <t>直布罗陀</t>
  </si>
  <si>
    <t>296</t>
  </si>
  <si>
    <t>基里巴斯共和国</t>
  </si>
  <si>
    <t>300</t>
  </si>
  <si>
    <t>希腊共和国</t>
  </si>
  <si>
    <t>304</t>
  </si>
  <si>
    <t>格陵兰</t>
  </si>
  <si>
    <t>308</t>
  </si>
  <si>
    <t>格林纳达</t>
  </si>
  <si>
    <t>312</t>
  </si>
  <si>
    <t>瓜德罗普</t>
  </si>
  <si>
    <t>316</t>
  </si>
  <si>
    <t>关岛</t>
  </si>
  <si>
    <t>320</t>
  </si>
  <si>
    <t>危地马拉共和国</t>
  </si>
  <si>
    <t>324</t>
  </si>
  <si>
    <t>几内亚共和国</t>
  </si>
  <si>
    <t>328</t>
  </si>
  <si>
    <t>圭亚那合作共和国</t>
  </si>
  <si>
    <t>332</t>
  </si>
  <si>
    <t>海地共和国</t>
  </si>
  <si>
    <t>334</t>
  </si>
  <si>
    <t>赫德岛和麦克唐纳岛</t>
  </si>
  <si>
    <t>336</t>
  </si>
  <si>
    <t>梵蒂冈城国</t>
  </si>
  <si>
    <t>340</t>
  </si>
  <si>
    <t>洪都拉斯共和国</t>
  </si>
  <si>
    <t>344</t>
  </si>
  <si>
    <t>香港</t>
  </si>
  <si>
    <t>348</t>
  </si>
  <si>
    <t>匈牙利共和国</t>
  </si>
  <si>
    <t>352</t>
  </si>
  <si>
    <t>冰岛共和国</t>
  </si>
  <si>
    <t>356</t>
  </si>
  <si>
    <t>印度共和国</t>
  </si>
  <si>
    <t>360</t>
  </si>
  <si>
    <t>印度尼西亚共和国</t>
  </si>
  <si>
    <t>364</t>
  </si>
  <si>
    <t>伊朗伊斯兰共和国</t>
  </si>
  <si>
    <t>368</t>
  </si>
  <si>
    <t>伊拉克共和国</t>
  </si>
  <si>
    <t>372</t>
  </si>
  <si>
    <t>爱尔兰</t>
  </si>
  <si>
    <t>374</t>
  </si>
  <si>
    <t>巴勒斯坦国</t>
  </si>
  <si>
    <t>376</t>
  </si>
  <si>
    <t>以色列国</t>
  </si>
  <si>
    <t>380</t>
  </si>
  <si>
    <t>意大利共和国</t>
  </si>
  <si>
    <t>384</t>
  </si>
  <si>
    <t>科特迪瓦共和国</t>
  </si>
  <si>
    <t>388</t>
  </si>
  <si>
    <t>牙买加</t>
  </si>
  <si>
    <t>392</t>
  </si>
  <si>
    <t>日本国</t>
  </si>
  <si>
    <t>398</t>
  </si>
  <si>
    <t>哈萨克斯坦共和国</t>
  </si>
  <si>
    <t>400</t>
  </si>
  <si>
    <t>约旦哈希姆王国</t>
  </si>
  <si>
    <t>404</t>
  </si>
  <si>
    <t>肯尼亚共和国</t>
  </si>
  <si>
    <t>408</t>
  </si>
  <si>
    <t>朝鲜民主主义人民共和国</t>
  </si>
  <si>
    <t>410</t>
  </si>
  <si>
    <t>大韩民国</t>
  </si>
  <si>
    <t>414</t>
  </si>
  <si>
    <t>科威特国</t>
  </si>
  <si>
    <t>417</t>
  </si>
  <si>
    <t>吉尔吉斯共和国</t>
  </si>
  <si>
    <t>418</t>
  </si>
  <si>
    <t>老挝人民民主共和国</t>
  </si>
  <si>
    <t>422</t>
  </si>
  <si>
    <t>黎巴嫩共和国</t>
  </si>
  <si>
    <t>426</t>
  </si>
  <si>
    <t>莱索托王国</t>
  </si>
  <si>
    <t>428</t>
  </si>
  <si>
    <t>拉脱维亚共和国</t>
  </si>
  <si>
    <t>430</t>
  </si>
  <si>
    <t>利比里亚共和国</t>
  </si>
  <si>
    <t>434</t>
  </si>
  <si>
    <t>阿拉伯利比亚人民社会主义民众国</t>
  </si>
  <si>
    <t>438</t>
  </si>
  <si>
    <t>列支敦士登公国</t>
  </si>
  <si>
    <t>440</t>
  </si>
  <si>
    <t>立陶宛共和国</t>
  </si>
  <si>
    <t>442</t>
  </si>
  <si>
    <t>卢森堡大公国</t>
  </si>
  <si>
    <t>446</t>
  </si>
  <si>
    <t>澳门</t>
  </si>
  <si>
    <t>450</t>
  </si>
  <si>
    <t>马达加斯加共和国</t>
  </si>
  <si>
    <t>454</t>
  </si>
  <si>
    <t>马拉维共和国</t>
  </si>
  <si>
    <t>458</t>
  </si>
  <si>
    <t>马来西亚</t>
  </si>
  <si>
    <t>462</t>
  </si>
  <si>
    <t>马尔代夫共和国</t>
  </si>
  <si>
    <t>466</t>
  </si>
  <si>
    <t>马里共和国</t>
  </si>
  <si>
    <t>470</t>
  </si>
  <si>
    <t>马耳他共和国</t>
  </si>
  <si>
    <t>474</t>
  </si>
  <si>
    <t>马提尼克</t>
  </si>
  <si>
    <t>478</t>
  </si>
  <si>
    <t>毛里塔尼亚伊斯兰共和国</t>
  </si>
  <si>
    <t>480</t>
  </si>
  <si>
    <t>毛里求斯共和国</t>
  </si>
  <si>
    <t>484</t>
  </si>
  <si>
    <t>墨西哥合众国</t>
  </si>
  <si>
    <t>492</t>
  </si>
  <si>
    <t>摩纳哥公国</t>
  </si>
  <si>
    <t>496</t>
  </si>
  <si>
    <t>蒙古国</t>
  </si>
  <si>
    <t>498</t>
  </si>
  <si>
    <t>摩尔多瓦共和国</t>
  </si>
  <si>
    <t>500</t>
  </si>
  <si>
    <t>蒙特塞拉特</t>
  </si>
  <si>
    <t>504</t>
  </si>
  <si>
    <t>摩洛哥王国</t>
  </si>
  <si>
    <t>508</t>
  </si>
  <si>
    <t>莫桑比克共和国</t>
  </si>
  <si>
    <t>512</t>
  </si>
  <si>
    <t>阿曼苏丹国</t>
  </si>
  <si>
    <t>516</t>
  </si>
  <si>
    <t>纳米比亚共和国</t>
  </si>
  <si>
    <t>520</t>
  </si>
  <si>
    <t>瑙鲁共和国</t>
  </si>
  <si>
    <t>524</t>
  </si>
  <si>
    <t>尼泊尔王国</t>
  </si>
  <si>
    <t>528</t>
  </si>
  <si>
    <t>荷兰王国</t>
  </si>
  <si>
    <t>530</t>
  </si>
  <si>
    <t>荷属安的列斯</t>
  </si>
  <si>
    <t>533</t>
  </si>
  <si>
    <t>阿鲁巴</t>
  </si>
  <si>
    <t>540</t>
  </si>
  <si>
    <t>新喀里多尼亚</t>
  </si>
  <si>
    <t>548</t>
  </si>
  <si>
    <t>瓦努阿图共和国</t>
  </si>
  <si>
    <t>554</t>
  </si>
  <si>
    <t>新西兰</t>
  </si>
  <si>
    <t>558</t>
  </si>
  <si>
    <t>尼加拉瓜共和国</t>
  </si>
  <si>
    <t>562</t>
  </si>
  <si>
    <t>尼日尔共和国</t>
  </si>
  <si>
    <t>566</t>
  </si>
  <si>
    <t>尼日利亚联邦共和国</t>
  </si>
  <si>
    <t>570</t>
  </si>
  <si>
    <t>纽埃</t>
  </si>
  <si>
    <t>574</t>
  </si>
  <si>
    <t>诺福克岛</t>
  </si>
  <si>
    <t>578</t>
  </si>
  <si>
    <t>挪威王国</t>
  </si>
  <si>
    <t>580</t>
  </si>
  <si>
    <t>北马里亚纳自由联邦</t>
  </si>
  <si>
    <t>581</t>
  </si>
  <si>
    <t>美属太平洋各群岛</t>
  </si>
  <si>
    <t>583</t>
  </si>
  <si>
    <t>密克罗尼西亚联邦</t>
  </si>
  <si>
    <t>584</t>
  </si>
  <si>
    <t>马绍尔群岛共和国</t>
  </si>
  <si>
    <t>585</t>
  </si>
  <si>
    <t>贝劳共和国</t>
  </si>
  <si>
    <t>586</t>
  </si>
  <si>
    <t>巴基斯坦伊斯兰共和国</t>
  </si>
  <si>
    <t>591</t>
  </si>
  <si>
    <t>巴拿马共和国</t>
  </si>
  <si>
    <t>598</t>
  </si>
  <si>
    <t>巴布亚新几内亚独立国</t>
  </si>
  <si>
    <t>600</t>
  </si>
  <si>
    <t>巴拉圭共和国</t>
  </si>
  <si>
    <t>604</t>
  </si>
  <si>
    <t>秘鲁共和国</t>
  </si>
  <si>
    <t>608</t>
  </si>
  <si>
    <t>菲律宾共和国</t>
  </si>
  <si>
    <t>612</t>
  </si>
  <si>
    <t>皮特凯恩群岛</t>
  </si>
  <si>
    <t>616</t>
  </si>
  <si>
    <t>波兰共和国</t>
  </si>
  <si>
    <t>620</t>
  </si>
  <si>
    <t>葡萄牙共和国</t>
  </si>
  <si>
    <t>624</t>
  </si>
  <si>
    <t>几内亚比绍共和国</t>
  </si>
  <si>
    <t>626</t>
  </si>
  <si>
    <t>东帝汶</t>
  </si>
  <si>
    <t>630</t>
  </si>
  <si>
    <t>波多黎各自由联邦</t>
  </si>
  <si>
    <t>634</t>
  </si>
  <si>
    <t>卡塔尔国</t>
  </si>
  <si>
    <t>638</t>
  </si>
  <si>
    <t>留尼汪</t>
  </si>
  <si>
    <t>642</t>
  </si>
  <si>
    <t>罗马尼亚</t>
  </si>
  <si>
    <t>643</t>
  </si>
  <si>
    <t>俄罗斯联邦</t>
  </si>
  <si>
    <t>646</t>
  </si>
  <si>
    <t>卢旺达共和国</t>
  </si>
  <si>
    <t>654</t>
  </si>
  <si>
    <t>圣赫勒拿</t>
  </si>
  <si>
    <t>659</t>
  </si>
  <si>
    <t>圣基茨和尼维斯联邦</t>
  </si>
  <si>
    <t>660</t>
  </si>
  <si>
    <t>安圭拉</t>
  </si>
  <si>
    <t>662</t>
  </si>
  <si>
    <t>圣卢西亚</t>
  </si>
  <si>
    <t>666</t>
  </si>
  <si>
    <t>圣皮埃尔和密克隆</t>
  </si>
  <si>
    <t>670</t>
  </si>
  <si>
    <t>圣文森特和格林纳丁斯</t>
  </si>
  <si>
    <t>674</t>
  </si>
  <si>
    <t>圣马力诺共和国</t>
  </si>
  <si>
    <t>678</t>
  </si>
  <si>
    <t>圣多美和普林西比民主共和国</t>
  </si>
  <si>
    <t>682</t>
  </si>
  <si>
    <t>沙特阿拉伯王国</t>
  </si>
  <si>
    <t>686</t>
  </si>
  <si>
    <t>塞内加尔共和国</t>
  </si>
  <si>
    <t>690</t>
  </si>
  <si>
    <t>塞舌尔共和国</t>
  </si>
  <si>
    <t>694</t>
  </si>
  <si>
    <t>塞拉利昂共和国</t>
  </si>
  <si>
    <t>702</t>
  </si>
  <si>
    <t>新加坡共和国</t>
  </si>
  <si>
    <t>703</t>
  </si>
  <si>
    <t>斯洛伐克共和国</t>
  </si>
  <si>
    <t>704</t>
  </si>
  <si>
    <t>越南社会主义共和国</t>
  </si>
  <si>
    <t>705</t>
  </si>
  <si>
    <t>斯洛文尼亚共和国</t>
  </si>
  <si>
    <t>706</t>
  </si>
  <si>
    <t>索马里共和国</t>
  </si>
  <si>
    <t>710</t>
  </si>
  <si>
    <t>南非共和国</t>
  </si>
  <si>
    <t>716</t>
  </si>
  <si>
    <t>津巴布韦共和国</t>
  </si>
  <si>
    <t>724</t>
  </si>
  <si>
    <t>西班牙</t>
  </si>
  <si>
    <t>732</t>
  </si>
  <si>
    <t>西撒哈拉</t>
  </si>
  <si>
    <t>736</t>
  </si>
  <si>
    <t>苏丹共和国</t>
  </si>
  <si>
    <t>740</t>
  </si>
  <si>
    <t>苏里南共和国</t>
  </si>
  <si>
    <t>744</t>
  </si>
  <si>
    <t>斯瓦尔巴群岛</t>
  </si>
  <si>
    <t>748</t>
  </si>
  <si>
    <t>斯威士兰王国</t>
  </si>
  <si>
    <t>752</t>
  </si>
  <si>
    <t>瑞典王国</t>
  </si>
  <si>
    <t>756</t>
  </si>
  <si>
    <t>瑞士王国</t>
  </si>
  <si>
    <t>760</t>
  </si>
  <si>
    <t>阿拉伯叙利亚共和国</t>
  </si>
  <si>
    <t>762</t>
  </si>
  <si>
    <t>塔吉克斯坦共和国</t>
  </si>
  <si>
    <t>764</t>
  </si>
  <si>
    <t>泰王国</t>
  </si>
  <si>
    <t>768</t>
  </si>
  <si>
    <t>多可共和国</t>
  </si>
  <si>
    <t>772</t>
  </si>
  <si>
    <t>托克劳</t>
  </si>
  <si>
    <t>776</t>
  </si>
  <si>
    <t>汤加王国</t>
  </si>
  <si>
    <t>780</t>
  </si>
  <si>
    <t>特立尼达和多巴哥共和国</t>
  </si>
  <si>
    <t>784</t>
  </si>
  <si>
    <t>阿拉伯联合酋长国</t>
  </si>
  <si>
    <t>788</t>
  </si>
  <si>
    <t>突尼斯共和国</t>
  </si>
  <si>
    <t>792</t>
  </si>
  <si>
    <t>土耳其共和国</t>
  </si>
  <si>
    <t>795</t>
  </si>
  <si>
    <t>土库曼斯坦</t>
  </si>
  <si>
    <t>796</t>
  </si>
  <si>
    <t>特克斯和凯科斯群岛</t>
  </si>
  <si>
    <t>798</t>
  </si>
  <si>
    <t>图瓦卢</t>
  </si>
  <si>
    <t>800</t>
  </si>
  <si>
    <t>乌干达共和国</t>
  </si>
  <si>
    <t>804</t>
  </si>
  <si>
    <t>乌克兰</t>
  </si>
  <si>
    <t>807</t>
  </si>
  <si>
    <t>马其顿共和国</t>
  </si>
  <si>
    <t>818</t>
  </si>
  <si>
    <t>阿拉伯埃及共和国</t>
  </si>
  <si>
    <t>826</t>
  </si>
  <si>
    <t>大不列颠及北爱尔兰联合王国</t>
  </si>
  <si>
    <t>834</t>
  </si>
  <si>
    <t>坦桑尼亚联合共和国</t>
  </si>
  <si>
    <t>840</t>
  </si>
  <si>
    <t>美利坚合众国</t>
  </si>
  <si>
    <t>850</t>
  </si>
  <si>
    <t>美属维尔京群岛</t>
  </si>
  <si>
    <t>854</t>
  </si>
  <si>
    <t>布基纳法索</t>
  </si>
  <si>
    <t>858</t>
  </si>
  <si>
    <t>乌拉圭东岸共和国</t>
  </si>
  <si>
    <t>860</t>
  </si>
  <si>
    <t>乌兹别克斯坦共和国</t>
  </si>
  <si>
    <t>862</t>
  </si>
  <si>
    <t>委内瑞拉共和国</t>
  </si>
  <si>
    <t>876</t>
  </si>
  <si>
    <t>瓦利斯和富图纳群岛</t>
  </si>
  <si>
    <t>882</t>
  </si>
  <si>
    <t>西萨摩亚独立国</t>
  </si>
  <si>
    <t>887</t>
  </si>
  <si>
    <t>也门共和国</t>
  </si>
  <si>
    <t>891</t>
  </si>
  <si>
    <t>南斯拉夫联盟共和国</t>
  </si>
  <si>
    <t>894</t>
  </si>
  <si>
    <t>赞比亚共和国</t>
  </si>
  <si>
    <t>7（5-6）</t>
  </si>
  <si>
    <t xml:space="preserve">账载金额  </t>
  </si>
  <si>
    <t>填报说明：
1、本表用于填报无限期结转扣除项目的本年度结转扣除额、抵扣以前年度结转额及累计结转以后年度扣除额等有关情况；    
2、本表填报项目不限，请按顺序填写，不得跳空行填写。</t>
  </si>
  <si>
    <t xml:space="preserve">金额单位：元（列至角分）    </t>
  </si>
  <si>
    <t xml:space="preserve">项   目  </t>
  </si>
  <si>
    <t>累计结转以后年度扣除额 </t>
  </si>
  <si>
    <t>填报说明：
1、本表用于填报债务重组所得、向非居民企业投资转让所得、搬迁收入、租金收入等按规定跨年度确认所得的各项目发生时间及金额，以及确认所得时间及金额等情况；     
2、本表填报项目不限，请按顺序填写，不得跳空行填写。如无跨年度所得项目的，不需填写。</t>
  </si>
  <si>
    <t xml:space="preserve">金额单位：元（列至角分）   </t>
  </si>
  <si>
    <t>项   目 </t>
  </si>
  <si>
    <t>发生金额 </t>
  </si>
  <si>
    <t xml:space="preserve">备注       </t>
  </si>
  <si>
    <t xml:space="preserve">年度 </t>
  </si>
  <si>
    <t xml:space="preserve">金额 </t>
  </si>
  <si>
    <t>企业各税（费）审核汇总表</t>
  </si>
  <si>
    <t>税款所属期始：</t>
  </si>
  <si>
    <t>（自填，必录。例如2011-01-01）</t>
  </si>
  <si>
    <t>税款所属期止：</t>
  </si>
  <si>
    <t>（自填，必录。例如2011-12-31）</t>
  </si>
  <si>
    <t xml:space="preserve">行次  </t>
  </si>
  <si>
    <t>调整后金额</t>
  </si>
  <si>
    <t xml:space="preserve">调整原因说明 </t>
  </si>
  <si>
    <t>城镇土地使用税</t>
  </si>
  <si>
    <t>说明：本表“调整金额”栏，调增填正数，调减填负数。“调整后金额”=“账载金额”+“调整金额”</t>
  </si>
  <si>
    <t>社会保险费明细表</t>
  </si>
  <si>
    <t>人数情况（12月份数）</t>
  </si>
  <si>
    <t>社保费缴交情况（年汇总数）</t>
  </si>
  <si>
    <t xml:space="preserve">备注        </t>
  </si>
  <si>
    <t>在职人数</t>
  </si>
  <si>
    <t>参保人数</t>
  </si>
  <si>
    <t>未参保人数</t>
  </si>
  <si>
    <t>期初未缴数</t>
  </si>
  <si>
    <t>本期应缴数</t>
  </si>
  <si>
    <t>本期已缴数</t>
  </si>
  <si>
    <t>期末未缴数</t>
  </si>
  <si>
    <t>填表说明:                                                                                                                                                                                                           1、人数情况：反映12月份的人数情况，其中在职人数为12月份的用工人数；参保人数为费款所属期12月份的参保缴费人数；未参保人数为12月职工中应参保而未参保的人数；                                                                                               2、社保费缴交情况：反映全年缴交社保费的情况，包括单位缴纳及为个人代缴的社保费；
3、未参保人数不为0的，要求企业提供说明，写明差异的原因。</t>
  </si>
  <si>
    <t>工作表名称</t>
    <phoneticPr fontId="51" type="noConversion"/>
  </si>
  <si>
    <t>底稿检查</t>
    <phoneticPr fontId="51" type="noConversion"/>
  </si>
  <si>
    <t>相差</t>
    <phoneticPr fontId="51" type="noConversion"/>
  </si>
  <si>
    <t>元</t>
    <phoneticPr fontId="51" type="noConversion"/>
  </si>
  <si>
    <t>点击超链接后：</t>
    <phoneticPr fontId="51" type="noConversion"/>
  </si>
  <si>
    <t>手动检查</t>
    <phoneticPr fontId="51" type="noConversion"/>
  </si>
  <si>
    <t>原材料</t>
    <phoneticPr fontId="51" type="noConversion"/>
  </si>
  <si>
    <t>包装物</t>
    <phoneticPr fontId="51" type="noConversion"/>
  </si>
  <si>
    <t>产成品</t>
    <phoneticPr fontId="51" type="noConversion"/>
  </si>
  <si>
    <t>生产成本</t>
    <phoneticPr fontId="51" type="noConversion"/>
  </si>
  <si>
    <t>制造费用</t>
    <phoneticPr fontId="51" type="noConversion"/>
  </si>
  <si>
    <t>工程施工</t>
    <phoneticPr fontId="51" type="noConversion"/>
  </si>
  <si>
    <t>委托加工物质</t>
    <phoneticPr fontId="51" type="noConversion"/>
  </si>
  <si>
    <t>材料成本差异</t>
    <phoneticPr fontId="51" type="noConversion"/>
  </si>
  <si>
    <t>材料采购</t>
    <phoneticPr fontId="51" type="noConversion"/>
  </si>
  <si>
    <t>在途物质</t>
    <phoneticPr fontId="51" type="noConversion"/>
  </si>
  <si>
    <t>发出商品</t>
    <phoneticPr fontId="51" type="noConversion"/>
  </si>
  <si>
    <t>一级科目长度</t>
    <phoneticPr fontId="51" type="noConversion"/>
  </si>
  <si>
    <t>起始行</t>
    <phoneticPr fontId="51" type="noConversion"/>
  </si>
  <si>
    <t>结束行</t>
    <phoneticPr fontId="51" type="noConversion"/>
  </si>
  <si>
    <t>600条记录操作
时间约为8秒
记录越少速度越快</t>
    <phoneticPr fontId="51" type="noConversion"/>
  </si>
  <si>
    <t>根据需要填写</t>
    <phoneticPr fontId="51" type="noConversion"/>
  </si>
  <si>
    <t>600条记录操作
时间约为2秒
记录越少速度越快</t>
    <phoneticPr fontId="51" type="noConversion"/>
  </si>
  <si>
    <t>辅助功能不常用：</t>
    <phoneticPr fontId="51" type="noConversion"/>
  </si>
  <si>
    <t>R4单元格请勿操作</t>
    <phoneticPr fontId="51" type="noConversion"/>
  </si>
  <si>
    <t> </t>
    <phoneticPr fontId="51" type="noConversion"/>
  </si>
  <si>
    <t>140条记录操作时间约为1至2秒。</t>
    <phoneticPr fontId="51" type="noConversion"/>
  </si>
  <si>
    <t>【自动填写底稿】功能包括填写：货币资金、往来款、管理费用、营业费用、实收资本</t>
    <phoneticPr fontId="51" type="noConversion"/>
  </si>
  <si>
    <t>收入与申报核对表</t>
    <phoneticPr fontId="51" type="noConversion"/>
  </si>
  <si>
    <t>主营税金</t>
    <phoneticPr fontId="51" type="noConversion"/>
  </si>
  <si>
    <t>税费缴纳测算</t>
    <phoneticPr fontId="51" type="noConversion"/>
  </si>
  <si>
    <t>小企业会计准则</t>
  </si>
  <si>
    <t>请勿随意删除、添加行列。
系统只会读取A至H列的余额表数据。</t>
    <phoneticPr fontId="51" type="noConversion"/>
  </si>
  <si>
    <t>企业所得税汇总纳税分支机构所得税分配表十二</t>
  </si>
  <si>
    <t>企业所得税汇总纳税分支机构所得税分配表</t>
  </si>
  <si>
    <t>ZS900</t>
  </si>
  <si>
    <t xml:space="preserve">总机构情况                                                         </t>
  </si>
  <si>
    <t xml:space="preserve">备注         </t>
  </si>
  <si>
    <t>总机构纳税人代码</t>
  </si>
  <si>
    <t>总机构名称</t>
  </si>
  <si>
    <t>总机构分摊所得税额</t>
  </si>
  <si>
    <t xml:space="preserve"> 总机构财政集中分配所得税额</t>
  </si>
  <si>
    <t>分支机构分摊所得税额</t>
  </si>
  <si>
    <t xml:space="preserve">
a、分支机构请逐行填写。若分支机构较多的，可在“合计”行的上方区域自行插入新增行进行填写。注意保持“合计”行的完整性，请勿随意删改。
b、请留意本表、表间勾稽审核关系。
</t>
  </si>
  <si>
    <t>分支机构情况</t>
  </si>
  <si>
    <t>分支机构纳税人代码</t>
  </si>
  <si>
    <t>分支机构名称</t>
  </si>
  <si>
    <t>三项因素</t>
  </si>
  <si>
    <t>分配比例
（%）</t>
  </si>
  <si>
    <t>分配税额</t>
  </si>
  <si>
    <t>收入额</t>
  </si>
  <si>
    <t>工资额</t>
  </si>
  <si>
    <t>资产额</t>
  </si>
  <si>
    <t>合计
（收入+工资+资产）</t>
  </si>
  <si>
    <t xml:space="preserve">合计 </t>
  </si>
  <si>
    <t xml:space="preserve">填表说明： 
1、本表适用于在中国境内跨省、自治区、直辖市设立不具有法人资格的营业机构，并实行“统一计算、分级管理、就地预缴、汇总 
清算、财政调节”汇总纳税办法的居民企业填报。 
2、年度终了之日起五个月内，由实行汇总纳税的总机构、有独立生产经营部门的总机构及分支机构分别随同《中华人民共和国企业所得税年度纳税申报表（A类）》、《分支机构企业所得税申报表（A类）》报送。  
3、“应纳所得税额”填写分配期计算的应纳所得税额。 
4、“总机构分摊所得税额”：填写总机构统一计算的企业当期应纳所得税额的25%。 
5、“总机构财政集中分配所得税额”：填写总机构统一计算的企业当期应纳所得税额的25%。 
6、“分支机构分摊所得税额”：填写本所属期总机构根据税务机关确定的分摊方法计算，由各分支机构进行分摊的所得税额。 
7、“收入额”：填写基期年度各分支机构的经营收入额。 
8、“工资额”：填写基期年度各分支机构的工资额。 
9、“资产额”：填写基期年度各分支机构的资产额，不包括无形资产。 
10、“分配比例”：填写经企业总机构所在地主管税务机关审批确认的各分支机构分配比例。（填写范例：例如78.65%则填写为“78.65”） 
11、“分配税额”：填写本所属期根据税务机关确定的分摊方法计算，分配给各分支机构缴纳的所得税额。 </t>
  </si>
  <si>
    <t>分支机构企业所得税申报表（A类）</t>
  </si>
  <si>
    <t xml:space="preserve">    根据《国家税务总局关于明确跨地区经营企业所得税汇总纳税分支机构年度纳税申报有关事项的公告》（2013年第44号）规定，跨地区经营汇总纳税企业的分支机构，在进行2013年度及以后年度纳税申报时，暂用本表格式进行年度纳税申报。</t>
  </si>
  <si>
    <t xml:space="preserve">                                               金额单位:   人民币元(列至角分)</t>
  </si>
  <si>
    <t xml:space="preserve">行次   </t>
  </si>
  <si>
    <t>项       目</t>
  </si>
  <si>
    <t xml:space="preserve">金额  </t>
  </si>
  <si>
    <t>一、按照实际利润额预缴</t>
  </si>
  <si>
    <t>本表第1行至第27行不填。</t>
  </si>
  <si>
    <t>营业收入</t>
  </si>
  <si>
    <t xml:space="preserve">—— </t>
  </si>
  <si>
    <t>营业成本</t>
  </si>
  <si>
    <t>加：特定业务计算的应纳税所得额</t>
  </si>
  <si>
    <t>减：不征税收入</t>
  </si>
  <si>
    <t xml:space="preserve">    免税收入</t>
  </si>
  <si>
    <t xml:space="preserve">    弥补以前年度亏损</t>
  </si>
  <si>
    <t>实际利润额（4行+5行-6行-7行-8行）</t>
  </si>
  <si>
    <t>税率(25%)</t>
  </si>
  <si>
    <t xml:space="preserve">应纳所得税额 </t>
  </si>
  <si>
    <t>减：实际已预缴所得税额</t>
  </si>
  <si>
    <t>减：特定业务预缴（征）所得税额</t>
  </si>
  <si>
    <t>应补（退）所得税额（11行-12行-13行-14行）</t>
  </si>
  <si>
    <t>减：以前年度多缴在本期抵缴所得税额</t>
  </si>
  <si>
    <t>本期实际应补（退）所得税额</t>
  </si>
  <si>
    <t>二、按照上一纳税年度应纳税所得额平均额预缴</t>
  </si>
  <si>
    <t>上一纳税年度应纳税所得额</t>
  </si>
  <si>
    <t>本月（季）应纳税所得额（19行×1/4或1/12）</t>
  </si>
  <si>
    <t>本月（季）应纳所得税额（20行×21行）</t>
  </si>
  <si>
    <t>三、按照税务机关确定的其他方法预缴</t>
  </si>
  <si>
    <t>本月（季）确定预缴的所得税额</t>
  </si>
  <si>
    <t>总分机构纳税人</t>
  </si>
  <si>
    <t>总机构</t>
  </si>
  <si>
    <t>总机构应分摊所得税额（15行或22行或24行×总机构应分摊预缴比例）</t>
  </si>
  <si>
    <t xml:space="preserve">财政集中分配所得税额 </t>
  </si>
  <si>
    <t>分支机构应分摊所得税额(15行或22行或24行×分支机构应分摊比例）</t>
  </si>
  <si>
    <t xml:space="preserve">自填        </t>
  </si>
  <si>
    <t xml:space="preserve">其中：总机构独立生产经营部门应分摊所得税额 </t>
  </si>
  <si>
    <t>不填</t>
  </si>
  <si>
    <t xml:space="preserve">     总机构已撤销分支机构应分摊所得税额</t>
  </si>
  <si>
    <t>分支机构</t>
  </si>
  <si>
    <t>分配比例</t>
  </si>
  <si>
    <t>分配所得税额</t>
  </si>
  <si>
    <t>填写说明：1、本报告模板中，凡是用蓝色显示字段为必录项。
         2、涉及“金额”或“年度”的，要求只能填写数字。
         3、涉及日期的，请按“YYYY-MM-DD”规范格式填写，例如“2011-01-01”
         4、纳税人（委托人）为跨地区经营汇总纳税企业（分支机构）的，不需填写《中华人民共和国企业所得税年度纳税申报表（A类）》主表及11张子表，须填写子表12《分支机构所得税分配表》和《分支机构企业所得税申报表（A类）》。</t>
  </si>
  <si>
    <t>是</t>
    <phoneticPr fontId="51" type="noConversion"/>
  </si>
  <si>
    <t>表单名称</t>
  </si>
  <si>
    <t>选择是否填报</t>
  </si>
  <si>
    <t xml:space="preserve">企业基础信息表 </t>
  </si>
  <si>
    <t>A100000</t>
  </si>
  <si>
    <t xml:space="preserve">中华人民共和国企业所得税年度纳税申报表（A类） </t>
  </si>
  <si>
    <t xml:space="preserve">    一般企业收入明细表</t>
  </si>
  <si>
    <t>A101020</t>
  </si>
  <si>
    <t xml:space="preserve">    金融企业收入明细表</t>
  </si>
  <si>
    <t>A102010</t>
  </si>
  <si>
    <t xml:space="preserve">    一般企业成本支出明细表</t>
  </si>
  <si>
    <t>A102020</t>
  </si>
  <si>
    <t xml:space="preserve">    金融企业支出明细表</t>
  </si>
  <si>
    <t>A103000</t>
  </si>
  <si>
    <t xml:space="preserve">    事业单位、民间非营利组织收入、支出明细表</t>
  </si>
  <si>
    <t>A104000</t>
  </si>
  <si>
    <t xml:space="preserve">    期间费用明细表</t>
  </si>
  <si>
    <t>A105000</t>
  </si>
  <si>
    <t xml:space="preserve">    纳税调整项目明细表</t>
  </si>
  <si>
    <t>A105010</t>
  </si>
  <si>
    <t xml:space="preserve">        视同销售和房地产开发企业特定业务纳税调整明细表</t>
  </si>
  <si>
    <t>A105020</t>
  </si>
  <si>
    <t xml:space="preserve">        未按权责发生制确认收入纳税调整明细表</t>
  </si>
  <si>
    <t>A105030</t>
  </si>
  <si>
    <t xml:space="preserve">        投资收益纳税调整明细表</t>
  </si>
  <si>
    <t>A105040</t>
  </si>
  <si>
    <t xml:space="preserve">        专项用途财政性资金纳税调整明细表</t>
  </si>
  <si>
    <t>A105050</t>
  </si>
  <si>
    <t xml:space="preserve">        职工薪酬纳税调整明细表</t>
  </si>
  <si>
    <t>A105060</t>
  </si>
  <si>
    <t xml:space="preserve">        广告费和业务宣传费跨年度纳税调整明细表</t>
  </si>
  <si>
    <t>A105070</t>
  </si>
  <si>
    <t xml:space="preserve">        捐赠支出纳税调整明细表</t>
  </si>
  <si>
    <t>A105080</t>
  </si>
  <si>
    <t xml:space="preserve">        资产折旧、摊销情况及纳税调整明细表</t>
  </si>
  <si>
    <t>A105081</t>
  </si>
  <si>
    <t xml:space="preserve">            固定资产加速折旧、扣除明细表</t>
  </si>
  <si>
    <t>A105090</t>
  </si>
  <si>
    <t xml:space="preserve">        资产损失税前扣除及纳税调整明细表</t>
  </si>
  <si>
    <t>A105091</t>
  </si>
  <si>
    <t xml:space="preserve">            资产损失（专项申报）税前扣除及纳税调整明细表</t>
  </si>
  <si>
    <t>A105100</t>
  </si>
  <si>
    <t xml:space="preserve">        企业重组纳税调整明细表</t>
  </si>
  <si>
    <t>A105110</t>
  </si>
  <si>
    <t xml:space="preserve">        政策性搬迁纳税调整明细表</t>
  </si>
  <si>
    <t>A105120</t>
  </si>
  <si>
    <t xml:space="preserve">        特殊行业准备金纳税调整明细表</t>
  </si>
  <si>
    <t>A106000</t>
  </si>
  <si>
    <t xml:space="preserve">    企业所得税弥补亏损明细表</t>
  </si>
  <si>
    <t>A107010</t>
  </si>
  <si>
    <t xml:space="preserve">    免税、减计收入及加计扣除优惠明细表</t>
  </si>
  <si>
    <t>A107011</t>
  </si>
  <si>
    <t xml:space="preserve">        符合条件的居民企业之间的股息、红利等权益性投资收益优惠明细表</t>
  </si>
  <si>
    <t>A107012</t>
  </si>
  <si>
    <t xml:space="preserve">        综合利用资源生产产品取得的收入优惠明细表</t>
  </si>
  <si>
    <t>A107013</t>
  </si>
  <si>
    <t xml:space="preserve">        金融、保险等机构取得的涉农利息、保费收入优惠明细表</t>
  </si>
  <si>
    <t>A107014</t>
  </si>
  <si>
    <t xml:space="preserve">        研发费用加计扣除优惠明细表</t>
  </si>
  <si>
    <t>A107020</t>
  </si>
  <si>
    <t xml:space="preserve">    所得减免优惠明细表</t>
  </si>
  <si>
    <t>A107030</t>
  </si>
  <si>
    <t xml:space="preserve">    抵扣应纳税所得额明细表</t>
  </si>
  <si>
    <t>A107040</t>
  </si>
  <si>
    <t xml:space="preserve">    减免所得税优惠明细表</t>
  </si>
  <si>
    <t>A107041</t>
  </si>
  <si>
    <t xml:space="preserve">        高新技术企业优惠情况及明细表</t>
  </si>
  <si>
    <t>A107042</t>
  </si>
  <si>
    <t xml:space="preserve">        软件、集成电路企业优惠情况及明细表</t>
  </si>
  <si>
    <t>A107050</t>
  </si>
  <si>
    <t xml:space="preserve">    税额抵免优惠明细表</t>
  </si>
  <si>
    <t>A108000</t>
  </si>
  <si>
    <t xml:space="preserve">    境外所得税收抵免明细表</t>
  </si>
  <si>
    <t>A108010</t>
  </si>
  <si>
    <t xml:space="preserve">        境外所得纳税调整后所得明细表</t>
  </si>
  <si>
    <t>A108020</t>
  </si>
  <si>
    <t xml:space="preserve">        境外分支机构弥补亏损明细表</t>
  </si>
  <si>
    <t>A108030</t>
  </si>
  <si>
    <t xml:space="preserve">        跨年度结转抵免境外所得税明细表</t>
  </si>
  <si>
    <t>A109000</t>
  </si>
  <si>
    <t xml:space="preserve">    跨地区经营汇总纳税企业年度分摊企业所得税明细表</t>
  </si>
  <si>
    <t>A109010</t>
  </si>
  <si>
    <t xml:space="preserve">        企业所得税汇总纳税分支机构所得税分配表</t>
  </si>
  <si>
    <t>说明：企业应当根据实际情况选择需要填表的表单。</t>
  </si>
  <si>
    <t>A000000</t>
  </si>
  <si>
    <t>企业基础信息表</t>
  </si>
  <si>
    <t>申报状态</t>
  </si>
  <si>
    <t>正常申报</t>
  </si>
  <si>
    <t>100基本信息</t>
  </si>
  <si>
    <t>101汇总纳税企业</t>
  </si>
  <si>
    <t>102注册资本（万元）</t>
  </si>
  <si>
    <t>106境外中资控股居民企业</t>
  </si>
  <si>
    <t>103所属行业明细代码</t>
  </si>
  <si>
    <t xml:space="preserve">104从业人数 </t>
  </si>
  <si>
    <t>108存在境外关联交易</t>
  </si>
  <si>
    <t>105资产总额（万元）</t>
  </si>
  <si>
    <t>109上市公司</t>
  </si>
  <si>
    <t>200主要会计政策和估计</t>
  </si>
  <si>
    <t xml:space="preserve">201适用的会计准则
或会计制度 </t>
  </si>
  <si>
    <t>202会计档案的存放地</t>
  </si>
  <si>
    <t>203会计核算软件</t>
  </si>
  <si>
    <t xml:space="preserve">204记账本位币   </t>
  </si>
  <si>
    <t>人民币</t>
  </si>
  <si>
    <t xml:space="preserve">205会计政策和估计是否发生变化  </t>
  </si>
  <si>
    <t>206固定资产折旧方法</t>
  </si>
  <si>
    <t>207存货成本计价方法</t>
  </si>
  <si>
    <t>208坏账损失核算方法</t>
  </si>
  <si>
    <t>209所得税计算方法</t>
  </si>
  <si>
    <t>应付税款法</t>
  </si>
  <si>
    <t>300企业主要股东及对外投资情况</t>
  </si>
  <si>
    <t>301企业主要股东（前5位）</t>
  </si>
  <si>
    <t>股东名称</t>
  </si>
  <si>
    <t>证件种类</t>
  </si>
  <si>
    <t>经济性质</t>
  </si>
  <si>
    <t>国籍（注册地址）</t>
  </si>
  <si>
    <t>身份证</t>
  </si>
  <si>
    <t>302对外投资（前5位）</t>
  </si>
  <si>
    <t>被投资者名称</t>
  </si>
  <si>
    <t>投资金额</t>
  </si>
  <si>
    <t>国家代码</t>
  </si>
  <si>
    <t>0111</t>
  </si>
  <si>
    <t>稻谷种植</t>
  </si>
  <si>
    <t>0112</t>
  </si>
  <si>
    <t>小麦种植</t>
  </si>
  <si>
    <t>0113</t>
  </si>
  <si>
    <t>玉米种植</t>
  </si>
  <si>
    <t>0119</t>
  </si>
  <si>
    <t>其他谷物种植</t>
  </si>
  <si>
    <t>0121</t>
  </si>
  <si>
    <t>豆类种植</t>
  </si>
  <si>
    <t>0122</t>
  </si>
  <si>
    <t>油料种植</t>
  </si>
  <si>
    <t>0123</t>
  </si>
  <si>
    <t>薯类种植</t>
  </si>
  <si>
    <t>0131</t>
  </si>
  <si>
    <t>棉花种植</t>
  </si>
  <si>
    <t>0132</t>
  </si>
  <si>
    <t>麻类种植</t>
  </si>
  <si>
    <t>0133</t>
  </si>
  <si>
    <t>糖料种植</t>
  </si>
  <si>
    <t>0134</t>
  </si>
  <si>
    <t>烟草种植</t>
  </si>
  <si>
    <t>0141</t>
  </si>
  <si>
    <t>蔬菜种植</t>
  </si>
  <si>
    <t>0142</t>
  </si>
  <si>
    <t>食用菌种植</t>
  </si>
  <si>
    <t>0143</t>
  </si>
  <si>
    <t>花卉种植</t>
  </si>
  <si>
    <t>0149</t>
  </si>
  <si>
    <t>其他园艺作物种植</t>
  </si>
  <si>
    <t>0151</t>
  </si>
  <si>
    <t>仁果类和核果类水果种植</t>
  </si>
  <si>
    <t>0152</t>
  </si>
  <si>
    <t>葡萄种植</t>
  </si>
  <si>
    <t>0153</t>
  </si>
  <si>
    <t>柑橘类种植</t>
  </si>
  <si>
    <t>0154</t>
  </si>
  <si>
    <t>香蕉等亚热带水果种植</t>
  </si>
  <si>
    <t>0159</t>
  </si>
  <si>
    <t>其他水果种植</t>
  </si>
  <si>
    <t>0161</t>
  </si>
  <si>
    <t>坚果种植</t>
  </si>
  <si>
    <t>0162</t>
  </si>
  <si>
    <t>含油果种植</t>
  </si>
  <si>
    <t>0163</t>
  </si>
  <si>
    <t>香料作物种植</t>
  </si>
  <si>
    <t>0169</t>
  </si>
  <si>
    <t>茶及其他饮料作物种植</t>
  </si>
  <si>
    <t>0170</t>
  </si>
  <si>
    <t>中药材种植</t>
  </si>
  <si>
    <t>0190</t>
  </si>
  <si>
    <t>其他农业</t>
  </si>
  <si>
    <t>0211</t>
  </si>
  <si>
    <t>林木育种</t>
  </si>
  <si>
    <t>0212</t>
  </si>
  <si>
    <t>林木育苗</t>
  </si>
  <si>
    <t>0220</t>
  </si>
  <si>
    <t>造林和更新</t>
  </si>
  <si>
    <t>0230</t>
  </si>
  <si>
    <t>森林经营和管护</t>
  </si>
  <si>
    <t>0241</t>
  </si>
  <si>
    <t>木材采运</t>
  </si>
  <si>
    <t>0242</t>
  </si>
  <si>
    <t>竹材采运</t>
  </si>
  <si>
    <t>0251</t>
  </si>
  <si>
    <t>木竹材林产品采集</t>
  </si>
  <si>
    <t>0252</t>
  </si>
  <si>
    <t>非木竹材林产品采集</t>
  </si>
  <si>
    <t>0311</t>
  </si>
  <si>
    <t>牛的饲养</t>
  </si>
  <si>
    <t>0312</t>
  </si>
  <si>
    <t>马的饲养</t>
  </si>
  <si>
    <t>0313</t>
  </si>
  <si>
    <t>猪的饲养</t>
  </si>
  <si>
    <t>0314</t>
  </si>
  <si>
    <t>羊的饲养</t>
  </si>
  <si>
    <t>0315</t>
  </si>
  <si>
    <t>骆驼饲养</t>
  </si>
  <si>
    <t>0319</t>
  </si>
  <si>
    <t>其他牲畜饲养</t>
  </si>
  <si>
    <t>0321</t>
  </si>
  <si>
    <t>鸡的饲养</t>
  </si>
  <si>
    <t>0322</t>
  </si>
  <si>
    <t>鸭的饲养</t>
  </si>
  <si>
    <t>0323</t>
  </si>
  <si>
    <t>鹅的饲养</t>
  </si>
  <si>
    <t>0329</t>
  </si>
  <si>
    <t>其他家禽饲养</t>
  </si>
  <si>
    <t>0330</t>
  </si>
  <si>
    <t>狩猎和捕捉动物</t>
  </si>
  <si>
    <t>0390</t>
  </si>
  <si>
    <t>其他畜牧业</t>
  </si>
  <si>
    <t>0411</t>
  </si>
  <si>
    <t>海水养殖</t>
  </si>
  <si>
    <t>0412</t>
  </si>
  <si>
    <t>内陆养殖</t>
  </si>
  <si>
    <t>0421</t>
  </si>
  <si>
    <t>海水捕捞</t>
  </si>
  <si>
    <t>0422</t>
  </si>
  <si>
    <t>内陆捕捞</t>
  </si>
  <si>
    <t>178</t>
  </si>
  <si>
    <t>刚果（布）</t>
  </si>
  <si>
    <t>0511</t>
  </si>
  <si>
    <t>农业机械服务</t>
  </si>
  <si>
    <t>刚果（金）</t>
  </si>
  <si>
    <t>0512</t>
  </si>
  <si>
    <t>灌溉服务</t>
  </si>
  <si>
    <t>0513</t>
  </si>
  <si>
    <t>农产品初加工服务</t>
  </si>
  <si>
    <t>0519</t>
  </si>
  <si>
    <t>其他农业服务</t>
  </si>
  <si>
    <t>0521</t>
  </si>
  <si>
    <t>林业有害生物防治服务</t>
  </si>
  <si>
    <t>0522</t>
  </si>
  <si>
    <t>森林防火服务</t>
  </si>
  <si>
    <t>0523</t>
  </si>
  <si>
    <t>林产品初级加工服务</t>
  </si>
  <si>
    <t>0529</t>
  </si>
  <si>
    <t>其他林业服务</t>
  </si>
  <si>
    <t>0530</t>
  </si>
  <si>
    <t>畜牧服务业</t>
  </si>
  <si>
    <t>0540</t>
  </si>
  <si>
    <t>渔业服务业</t>
  </si>
  <si>
    <t>0610</t>
  </si>
  <si>
    <t>烟煤和无烟煤开采洗选</t>
  </si>
  <si>
    <t>0620</t>
  </si>
  <si>
    <t>褐煤开采洗选</t>
  </si>
  <si>
    <t>0690</t>
  </si>
  <si>
    <t>其他煤炭采选</t>
  </si>
  <si>
    <t>0710</t>
  </si>
  <si>
    <t>石油开采</t>
  </si>
  <si>
    <t>0720</t>
  </si>
  <si>
    <t>天然气开采</t>
  </si>
  <si>
    <t>0810</t>
  </si>
  <si>
    <t>铁矿采选</t>
  </si>
  <si>
    <t>0820</t>
  </si>
  <si>
    <t>锰矿、铬矿采选</t>
  </si>
  <si>
    <t>0890</t>
  </si>
  <si>
    <t>其他黑色金属矿采选</t>
  </si>
  <si>
    <t>0911</t>
  </si>
  <si>
    <t>铜矿采选</t>
  </si>
  <si>
    <t>0912</t>
  </si>
  <si>
    <t>铅锌矿采选</t>
  </si>
  <si>
    <t>0913</t>
  </si>
  <si>
    <t>镍钴矿采选</t>
  </si>
  <si>
    <t>0914</t>
  </si>
  <si>
    <t>锡矿采选</t>
  </si>
  <si>
    <t>0915</t>
  </si>
  <si>
    <t>锑矿采选</t>
  </si>
  <si>
    <t>248</t>
  </si>
  <si>
    <t>奥兰群岛</t>
  </si>
  <si>
    <t>0916</t>
  </si>
  <si>
    <t>铝矿采选</t>
  </si>
  <si>
    <t>0917</t>
  </si>
  <si>
    <t>镁矿采选</t>
  </si>
  <si>
    <t>0919</t>
  </si>
  <si>
    <t>其他常用有色金属矿采选</t>
  </si>
  <si>
    <t>0921</t>
  </si>
  <si>
    <t>金矿采选</t>
  </si>
  <si>
    <t>0922</t>
  </si>
  <si>
    <t>银矿采选</t>
  </si>
  <si>
    <t>0929</t>
  </si>
  <si>
    <t>其他贵金属矿采选</t>
  </si>
  <si>
    <t>0931</t>
  </si>
  <si>
    <t>钨钼矿采选</t>
  </si>
  <si>
    <t>0932</t>
  </si>
  <si>
    <t>稀土金属矿采选</t>
  </si>
  <si>
    <t>0933</t>
  </si>
  <si>
    <t>放射性金属矿采选</t>
  </si>
  <si>
    <t>275</t>
  </si>
  <si>
    <t>巴勒斯坦</t>
  </si>
  <si>
    <t>0939</t>
  </si>
  <si>
    <t>其他稀有金属矿采选</t>
  </si>
  <si>
    <t>1011</t>
  </si>
  <si>
    <t>石灰石、石膏开采</t>
  </si>
  <si>
    <t>1012</t>
  </si>
  <si>
    <t>建筑装饰用石开采</t>
  </si>
  <si>
    <t>1013</t>
  </si>
  <si>
    <t>耐火土石开采</t>
  </si>
  <si>
    <t>1019</t>
  </si>
  <si>
    <t>粘土及其他土砂石开采</t>
  </si>
  <si>
    <t>1020</t>
  </si>
  <si>
    <t>化学矿开采</t>
  </si>
  <si>
    <t>1030</t>
  </si>
  <si>
    <t>采盐</t>
  </si>
  <si>
    <t>1091</t>
  </si>
  <si>
    <t>石棉、云母矿采选</t>
  </si>
  <si>
    <t>1092</t>
  </si>
  <si>
    <t>石墨、滑石采选</t>
  </si>
  <si>
    <t>1093</t>
  </si>
  <si>
    <t>宝石、玉石采选</t>
  </si>
  <si>
    <t>1099</t>
  </si>
  <si>
    <t>其他未列明非金属矿采选</t>
  </si>
  <si>
    <t>1110</t>
  </si>
  <si>
    <t>煤炭开采和洗选辅助活动</t>
  </si>
  <si>
    <t>1120</t>
  </si>
  <si>
    <t>石油和天然气开采辅助活动</t>
  </si>
  <si>
    <t>1190</t>
  </si>
  <si>
    <t>其他开采辅助活动</t>
  </si>
  <si>
    <t>1200</t>
  </si>
  <si>
    <t>其他采矿业</t>
  </si>
  <si>
    <t>1310</t>
  </si>
  <si>
    <t>谷物磨制</t>
  </si>
  <si>
    <t>1320</t>
  </si>
  <si>
    <t>饲料加工</t>
  </si>
  <si>
    <t>1331</t>
  </si>
  <si>
    <t>食用植物油加工</t>
  </si>
  <si>
    <t>1332</t>
  </si>
  <si>
    <t>非食用植物油加工</t>
  </si>
  <si>
    <t>1340</t>
  </si>
  <si>
    <t>制糖业</t>
  </si>
  <si>
    <t>1351</t>
  </si>
  <si>
    <t>牲畜屠宰</t>
  </si>
  <si>
    <t>1352</t>
  </si>
  <si>
    <t>禽类屠宰</t>
  </si>
  <si>
    <t>1353</t>
  </si>
  <si>
    <t>肉制品及副产品加工</t>
  </si>
  <si>
    <t>1361</t>
  </si>
  <si>
    <t>水产品冷冻加工</t>
  </si>
  <si>
    <t>1362</t>
  </si>
  <si>
    <t>鱼糜制品及水产品干腌制加工</t>
  </si>
  <si>
    <t>1363</t>
  </si>
  <si>
    <t>水产饲料制造</t>
  </si>
  <si>
    <t>1364</t>
  </si>
  <si>
    <t>鱼油提取及制品制造</t>
  </si>
  <si>
    <t>1369</t>
  </si>
  <si>
    <t>其他水产品加工</t>
  </si>
  <si>
    <t>1371</t>
  </si>
  <si>
    <t>蔬菜加工</t>
  </si>
  <si>
    <t>1372</t>
  </si>
  <si>
    <t>水果和坚果加工</t>
  </si>
  <si>
    <t>1391</t>
  </si>
  <si>
    <t>淀粉及淀粉制品制造</t>
  </si>
  <si>
    <t>1392</t>
  </si>
  <si>
    <t>豆制品制造</t>
  </si>
  <si>
    <t>1393</t>
  </si>
  <si>
    <t>蛋品加工</t>
  </si>
  <si>
    <t>1399</t>
  </si>
  <si>
    <t>其他未列明农副食品加工</t>
  </si>
  <si>
    <t>1411</t>
  </si>
  <si>
    <t>糕点、面包制造</t>
  </si>
  <si>
    <t>1419</t>
  </si>
  <si>
    <t>饼干及其他焙烤食品制造</t>
  </si>
  <si>
    <t>1421</t>
  </si>
  <si>
    <t>糖果、巧克力制造</t>
  </si>
  <si>
    <t>1422</t>
  </si>
  <si>
    <t>蜜饯制作</t>
  </si>
  <si>
    <t>1431</t>
  </si>
  <si>
    <t>米、面制品制造</t>
  </si>
  <si>
    <t>1432</t>
  </si>
  <si>
    <t>速冻食品制造</t>
  </si>
  <si>
    <t>1439</t>
  </si>
  <si>
    <t>方便面及其他方便食品制造</t>
  </si>
  <si>
    <t>1440</t>
  </si>
  <si>
    <t>乳制品制造</t>
  </si>
  <si>
    <t>1451</t>
  </si>
  <si>
    <t>肉、禽类罐头制造</t>
  </si>
  <si>
    <t>1452</t>
  </si>
  <si>
    <t>水产品罐头制造</t>
  </si>
  <si>
    <t>1453</t>
  </si>
  <si>
    <t>蔬菜、水果罐头制造</t>
  </si>
  <si>
    <t>1459</t>
  </si>
  <si>
    <t>其他罐头食品制造</t>
  </si>
  <si>
    <t>1461</t>
  </si>
  <si>
    <t>味精制造</t>
  </si>
  <si>
    <t>1462</t>
  </si>
  <si>
    <t>酱油、食醋及类似制品制造</t>
  </si>
  <si>
    <t>1469</t>
  </si>
  <si>
    <t>其他调味品、发酵制品制造</t>
  </si>
  <si>
    <t>1491</t>
  </si>
  <si>
    <t>营养食品制造</t>
  </si>
  <si>
    <t>1492</t>
  </si>
  <si>
    <t>保健食品制造</t>
  </si>
  <si>
    <t>1493</t>
  </si>
  <si>
    <t>冷冻饮品及食用冰制造</t>
  </si>
  <si>
    <t>1494</t>
  </si>
  <si>
    <t>盐加工</t>
  </si>
  <si>
    <t>1495</t>
  </si>
  <si>
    <t>食品及饲料添加剂制造</t>
  </si>
  <si>
    <t>1499</t>
  </si>
  <si>
    <t>其他未列明食品制造</t>
  </si>
  <si>
    <t>1511</t>
  </si>
  <si>
    <t>酒精制造</t>
  </si>
  <si>
    <t>1512</t>
  </si>
  <si>
    <t>白酒制造</t>
  </si>
  <si>
    <t>1513</t>
  </si>
  <si>
    <t>啤酒制造</t>
  </si>
  <si>
    <t>1514</t>
  </si>
  <si>
    <t>黄酒制造</t>
  </si>
  <si>
    <t>1515</t>
  </si>
  <si>
    <t>葡萄酒制造</t>
  </si>
  <si>
    <t>1519</t>
  </si>
  <si>
    <t>其他酒制造</t>
  </si>
  <si>
    <t>499</t>
  </si>
  <si>
    <t>黑山</t>
  </si>
  <si>
    <t>1521</t>
  </si>
  <si>
    <t>碳酸饮料制造</t>
  </si>
  <si>
    <t>1522</t>
  </si>
  <si>
    <t>瓶（罐）装饮用水制造</t>
  </si>
  <si>
    <t>1523</t>
  </si>
  <si>
    <t>果菜汁及果菜汁饮料制造</t>
  </si>
  <si>
    <t>1524</t>
  </si>
  <si>
    <t>含乳饮料和植物蛋白饮料制造</t>
  </si>
  <si>
    <t>1525</t>
  </si>
  <si>
    <t>固体饮料制造</t>
  </si>
  <si>
    <t>1529</t>
  </si>
  <si>
    <t>茶饮料及其他饮料制造</t>
  </si>
  <si>
    <t>1530</t>
  </si>
  <si>
    <t>精制茶加工</t>
  </si>
  <si>
    <t>1610</t>
  </si>
  <si>
    <t>烟叶复烤</t>
  </si>
  <si>
    <t>1620</t>
  </si>
  <si>
    <t>卷烟制造</t>
  </si>
  <si>
    <t>1690</t>
  </si>
  <si>
    <t>其他烟草制品制造</t>
  </si>
  <si>
    <t>1711</t>
  </si>
  <si>
    <t>棉纺纱加工</t>
  </si>
  <si>
    <t>535</t>
  </si>
  <si>
    <t>荷兰加勒比区</t>
  </si>
  <si>
    <t>1712</t>
  </si>
  <si>
    <t>棉织造加工</t>
  </si>
  <si>
    <t>1713</t>
  </si>
  <si>
    <t>棉印染精加工</t>
  </si>
  <si>
    <t>1721</t>
  </si>
  <si>
    <t>毛条和毛纱线加工</t>
  </si>
  <si>
    <t>1722</t>
  </si>
  <si>
    <t>毛织造加工</t>
  </si>
  <si>
    <t>1723</t>
  </si>
  <si>
    <t>毛染整精加工</t>
  </si>
  <si>
    <t>1731</t>
  </si>
  <si>
    <t>麻纤维纺前加工和纺纱</t>
  </si>
  <si>
    <t>1732</t>
  </si>
  <si>
    <t>麻织造加工</t>
  </si>
  <si>
    <t>1733</t>
  </si>
  <si>
    <t>麻染整精加工</t>
  </si>
  <si>
    <t>1741</t>
  </si>
  <si>
    <t>缫丝加工</t>
  </si>
  <si>
    <t>1742</t>
  </si>
  <si>
    <t>绢纺和丝织加工</t>
  </si>
  <si>
    <t>1743</t>
  </si>
  <si>
    <t>丝印染精加工</t>
  </si>
  <si>
    <t>1751</t>
  </si>
  <si>
    <t>化纤织造加工</t>
  </si>
  <si>
    <t>1752</t>
  </si>
  <si>
    <t>化纤织物染整精加工</t>
  </si>
  <si>
    <t>1761</t>
  </si>
  <si>
    <t>针织或钩针编织物织造</t>
  </si>
  <si>
    <t>1762</t>
  </si>
  <si>
    <t>针织或钩针编织物印染精加工</t>
  </si>
  <si>
    <t>1763</t>
  </si>
  <si>
    <t>针织或钩针编织品制造</t>
  </si>
  <si>
    <t>1771</t>
  </si>
  <si>
    <t>床上用品制造</t>
  </si>
  <si>
    <t>1772</t>
  </si>
  <si>
    <t>毛巾类制品制造</t>
  </si>
  <si>
    <t>1773</t>
  </si>
  <si>
    <t>窗帘、布艺类产品制造</t>
  </si>
  <si>
    <t>1779</t>
  </si>
  <si>
    <t>其他家用纺织制成品制造</t>
  </si>
  <si>
    <t>1781</t>
  </si>
  <si>
    <t>非织造布制造</t>
  </si>
  <si>
    <t>1782</t>
  </si>
  <si>
    <t>绳、索、缆制造</t>
  </si>
  <si>
    <t>1783</t>
  </si>
  <si>
    <t>纺织带和帘子布制造</t>
  </si>
  <si>
    <t>1784</t>
  </si>
  <si>
    <t>篷、帆布制造</t>
  </si>
  <si>
    <t>1789</t>
  </si>
  <si>
    <t>其他非家用纺织制成品制造</t>
  </si>
  <si>
    <t>1810</t>
  </si>
  <si>
    <t>机织服装制造</t>
  </si>
  <si>
    <t>1820</t>
  </si>
  <si>
    <t>针织或钩针编织服装制造</t>
  </si>
  <si>
    <t>1830</t>
  </si>
  <si>
    <t>服饰制造</t>
  </si>
  <si>
    <t>1910</t>
  </si>
  <si>
    <t>皮革鞣制加工</t>
  </si>
  <si>
    <t>1921</t>
  </si>
  <si>
    <t>皮革服装制造</t>
  </si>
  <si>
    <t>1922</t>
  </si>
  <si>
    <t>皮箱、包（袋）制造</t>
  </si>
  <si>
    <t>1923</t>
  </si>
  <si>
    <t>皮手套及皮装饰制品制造</t>
  </si>
  <si>
    <t>652</t>
  </si>
  <si>
    <t>圣巴泰勒米岛</t>
  </si>
  <si>
    <t>1929</t>
  </si>
  <si>
    <t>其他皮革制品制造</t>
  </si>
  <si>
    <t>1931</t>
  </si>
  <si>
    <t>毛皮鞣制加工</t>
  </si>
  <si>
    <t>1932</t>
  </si>
  <si>
    <t>毛皮服装加工</t>
  </si>
  <si>
    <t>1939</t>
  </si>
  <si>
    <t>其他毛皮制品加工</t>
  </si>
  <si>
    <t>1941</t>
  </si>
  <si>
    <t>羽毛（绒）加工</t>
  </si>
  <si>
    <t>663</t>
  </si>
  <si>
    <t>1942</t>
  </si>
  <si>
    <t>羽毛（绒）制品加工</t>
  </si>
  <si>
    <t>1951</t>
  </si>
  <si>
    <t>纺织面料鞋制造</t>
  </si>
  <si>
    <t>1952</t>
  </si>
  <si>
    <t>皮鞋制造</t>
  </si>
  <si>
    <t>1953</t>
  </si>
  <si>
    <t>塑料鞋制造</t>
  </si>
  <si>
    <t>1954</t>
  </si>
  <si>
    <t>橡胶鞋制造</t>
  </si>
  <si>
    <t>1959</t>
  </si>
  <si>
    <t>其他制鞋业</t>
  </si>
  <si>
    <t>2011</t>
  </si>
  <si>
    <t>锯材加工</t>
  </si>
  <si>
    <t>688</t>
  </si>
  <si>
    <t>塞尔维亚</t>
  </si>
  <si>
    <t>2012</t>
  </si>
  <si>
    <t>木片加工</t>
  </si>
  <si>
    <t>2013</t>
  </si>
  <si>
    <t>单板加工</t>
  </si>
  <si>
    <t>2019</t>
  </si>
  <si>
    <t>其他木材加工</t>
  </si>
  <si>
    <t>2021</t>
  </si>
  <si>
    <t>胶合板制造</t>
  </si>
  <si>
    <t>2022</t>
  </si>
  <si>
    <t>纤维板制造</t>
  </si>
  <si>
    <t>2023</t>
  </si>
  <si>
    <t>刨花板制造</t>
  </si>
  <si>
    <t>2029</t>
  </si>
  <si>
    <t>其他人造板制造</t>
  </si>
  <si>
    <t>2031</t>
  </si>
  <si>
    <t>建筑用木料及木材组件加工</t>
  </si>
  <si>
    <t>2032</t>
  </si>
  <si>
    <t>木门窗、楼梯制造</t>
  </si>
  <si>
    <t>2033</t>
  </si>
  <si>
    <t>地板制造</t>
  </si>
  <si>
    <t>2034</t>
  </si>
  <si>
    <t>木制容器制造</t>
  </si>
  <si>
    <t>728</t>
  </si>
  <si>
    <t>南苏丹</t>
  </si>
  <si>
    <t>2039</t>
  </si>
  <si>
    <t>软木制品及其他木制品制造</t>
  </si>
  <si>
    <t>729</t>
  </si>
  <si>
    <t>苏丹</t>
  </si>
  <si>
    <t>2041</t>
  </si>
  <si>
    <t>竹制品制造</t>
  </si>
  <si>
    <t>2042</t>
  </si>
  <si>
    <t>藤制品制造</t>
  </si>
  <si>
    <t>2043</t>
  </si>
  <si>
    <t>棕制品制造</t>
  </si>
  <si>
    <t>2049</t>
  </si>
  <si>
    <t>草及其他制品制造</t>
  </si>
  <si>
    <t>2110</t>
  </si>
  <si>
    <t>木质家具制造</t>
  </si>
  <si>
    <t>2120</t>
  </si>
  <si>
    <t>竹、藤家具制造</t>
  </si>
  <si>
    <t>2130</t>
  </si>
  <si>
    <t>金属家具制造</t>
  </si>
  <si>
    <t>2140</t>
  </si>
  <si>
    <t>塑料家具制造</t>
  </si>
  <si>
    <t>2190</t>
  </si>
  <si>
    <t>其他家具制造</t>
  </si>
  <si>
    <t>2211</t>
  </si>
  <si>
    <t>木竹浆制造</t>
  </si>
  <si>
    <t>2212</t>
  </si>
  <si>
    <t>非木竹浆制造</t>
  </si>
  <si>
    <t>2221</t>
  </si>
  <si>
    <t>机制纸及纸板制造</t>
  </si>
  <si>
    <t>2222</t>
  </si>
  <si>
    <t>手工纸制造</t>
  </si>
  <si>
    <t>2223</t>
  </si>
  <si>
    <t>加工纸制造</t>
  </si>
  <si>
    <t>2231</t>
  </si>
  <si>
    <t>纸和纸板容器制造</t>
  </si>
  <si>
    <t>2239</t>
  </si>
  <si>
    <t>其他纸制品制造</t>
  </si>
  <si>
    <t>2311</t>
  </si>
  <si>
    <t>书、报刊印刷</t>
  </si>
  <si>
    <t>2312</t>
  </si>
  <si>
    <t>本册印制</t>
  </si>
  <si>
    <t>2319</t>
  </si>
  <si>
    <t>包装装潢及其他印刷</t>
  </si>
  <si>
    <t>2320</t>
  </si>
  <si>
    <t>装订及印刷相关服务</t>
  </si>
  <si>
    <t>2330</t>
  </si>
  <si>
    <t>记录媒介复制</t>
  </si>
  <si>
    <t>2411</t>
  </si>
  <si>
    <t>文具制造</t>
  </si>
  <si>
    <t>2412</t>
  </si>
  <si>
    <t>笔的制造</t>
  </si>
  <si>
    <t>2413</t>
  </si>
  <si>
    <t>教学用模型及教具制造</t>
  </si>
  <si>
    <t>2414</t>
  </si>
  <si>
    <t>墨水、墨汁制造</t>
  </si>
  <si>
    <t>2419</t>
  </si>
  <si>
    <t>其他文教办公用品制造</t>
  </si>
  <si>
    <t>831</t>
  </si>
  <si>
    <t>根西岛</t>
  </si>
  <si>
    <t>2421</t>
  </si>
  <si>
    <t>中乐器制造</t>
  </si>
  <si>
    <t>832</t>
  </si>
  <si>
    <t>泽西岛</t>
  </si>
  <si>
    <t>2422</t>
  </si>
  <si>
    <t>西乐器制造</t>
  </si>
  <si>
    <t>833</t>
  </si>
  <si>
    <t>马恩岛</t>
  </si>
  <si>
    <t>2423</t>
  </si>
  <si>
    <t>电子乐器制造</t>
  </si>
  <si>
    <t>2429</t>
  </si>
  <si>
    <t>其他乐器及零件制造</t>
  </si>
  <si>
    <t>2431</t>
  </si>
  <si>
    <t>雕塑工艺品制造</t>
  </si>
  <si>
    <t>2432</t>
  </si>
  <si>
    <t>金属工艺品制造</t>
  </si>
  <si>
    <t>2433</t>
  </si>
  <si>
    <t>漆器工艺品制造</t>
  </si>
  <si>
    <t>2434</t>
  </si>
  <si>
    <t>花画工艺品制造</t>
  </si>
  <si>
    <t>2435</t>
  </si>
  <si>
    <t>天然植物纤维编织工艺品制造</t>
  </si>
  <si>
    <t>2436</t>
  </si>
  <si>
    <t>抽纱刺绣工艺品制造</t>
  </si>
  <si>
    <t>2437</t>
  </si>
  <si>
    <t>地毯、挂毯制造</t>
  </si>
  <si>
    <t>2438</t>
  </si>
  <si>
    <t>珠宝首饰及有关物品制造</t>
  </si>
  <si>
    <t>2439</t>
  </si>
  <si>
    <t>其他工艺美术品制造</t>
  </si>
  <si>
    <t>2441</t>
  </si>
  <si>
    <t>球类制造</t>
  </si>
  <si>
    <t>2442</t>
  </si>
  <si>
    <t>体育器材及配件制造</t>
  </si>
  <si>
    <t>2443</t>
  </si>
  <si>
    <t>训练健身器材制造</t>
  </si>
  <si>
    <t>2444</t>
  </si>
  <si>
    <t>运动防护用具制造</t>
  </si>
  <si>
    <t>2449</t>
  </si>
  <si>
    <t>其他体育用品制造</t>
  </si>
  <si>
    <t>2450</t>
  </si>
  <si>
    <t>玩具制造</t>
  </si>
  <si>
    <t>2461</t>
  </si>
  <si>
    <t>露天游乐场所游乐设备制造</t>
  </si>
  <si>
    <t>2462</t>
  </si>
  <si>
    <t>游艺用品及室内游艺器材制造</t>
  </si>
  <si>
    <t>2469</t>
  </si>
  <si>
    <t>其他娱乐用品制造</t>
  </si>
  <si>
    <t>2511</t>
  </si>
  <si>
    <t>原油加工及石油制品制造</t>
  </si>
  <si>
    <t>2512</t>
  </si>
  <si>
    <t>人造原油制造</t>
  </si>
  <si>
    <t>2520</t>
  </si>
  <si>
    <t>炼焦</t>
  </si>
  <si>
    <t>2530</t>
  </si>
  <si>
    <t>核燃料加工</t>
  </si>
  <si>
    <t>2611</t>
  </si>
  <si>
    <t>无机酸制造</t>
  </si>
  <si>
    <t>2612</t>
  </si>
  <si>
    <t>无机碱制造</t>
  </si>
  <si>
    <t>2613</t>
  </si>
  <si>
    <t>无机盐制造</t>
  </si>
  <si>
    <t>2614</t>
  </si>
  <si>
    <t>有机化学原料制造</t>
  </si>
  <si>
    <t>2619</t>
  </si>
  <si>
    <t>其他基础化学原料制造</t>
  </si>
  <si>
    <t>2621</t>
  </si>
  <si>
    <t>氮肥制造</t>
  </si>
  <si>
    <t>2622</t>
  </si>
  <si>
    <t>磷肥制造</t>
  </si>
  <si>
    <t>2623</t>
  </si>
  <si>
    <t>钾肥制造</t>
  </si>
  <si>
    <t>2624</t>
  </si>
  <si>
    <t>复混肥料制造</t>
  </si>
  <si>
    <t>2625</t>
  </si>
  <si>
    <t>有机肥料及微生物肥料制造</t>
  </si>
  <si>
    <t>2629</t>
  </si>
  <si>
    <t>其他肥料制造</t>
  </si>
  <si>
    <t>2631</t>
  </si>
  <si>
    <t>化学农药制造</t>
  </si>
  <si>
    <t>2632</t>
  </si>
  <si>
    <t>生物化学农药及微生物农药制造</t>
  </si>
  <si>
    <t>2641</t>
  </si>
  <si>
    <t>涂料制造</t>
  </si>
  <si>
    <t>2642</t>
  </si>
  <si>
    <t>油墨及类似产品制造</t>
  </si>
  <si>
    <t>2643</t>
  </si>
  <si>
    <t>颜料制造</t>
  </si>
  <si>
    <t>2644</t>
  </si>
  <si>
    <t>染料制造</t>
  </si>
  <si>
    <t>2645</t>
  </si>
  <si>
    <t>密封用填料及类似品制造</t>
  </si>
  <si>
    <t>2651</t>
  </si>
  <si>
    <t>初级形态塑料及合成树脂制造</t>
  </si>
  <si>
    <t>2652</t>
  </si>
  <si>
    <t>合成橡胶制造</t>
  </si>
  <si>
    <t>2653</t>
  </si>
  <si>
    <t>合成纤维单（聚合）体制造</t>
  </si>
  <si>
    <t>2659</t>
  </si>
  <si>
    <t>其他合成材料制造</t>
  </si>
  <si>
    <t>2661</t>
  </si>
  <si>
    <t>化学试剂和助剂制造</t>
  </si>
  <si>
    <t>2662</t>
  </si>
  <si>
    <t>专项化学用品制造</t>
  </si>
  <si>
    <t>2663</t>
  </si>
  <si>
    <t>林产化学产品制造</t>
  </si>
  <si>
    <t>2664</t>
  </si>
  <si>
    <t>信息化学品制造</t>
  </si>
  <si>
    <t>2665</t>
  </si>
  <si>
    <t>环境污染处理专用药剂材料制造</t>
  </si>
  <si>
    <t>2666</t>
  </si>
  <si>
    <t>动物胶制造</t>
  </si>
  <si>
    <t>2669</t>
  </si>
  <si>
    <t>其他专用化学产品制造</t>
  </si>
  <si>
    <t>2671</t>
  </si>
  <si>
    <t>炸药及火工产品制造</t>
  </si>
  <si>
    <t>2672</t>
  </si>
  <si>
    <t>焰火、鞭炮产品制造</t>
  </si>
  <si>
    <t>2681</t>
  </si>
  <si>
    <t>肥皂及合成洗涤剂制造</t>
  </si>
  <si>
    <t>2682</t>
  </si>
  <si>
    <t>化妆品制造</t>
  </si>
  <si>
    <t>2683</t>
  </si>
  <si>
    <t>口腔清洁用品制造</t>
  </si>
  <si>
    <t>2684</t>
  </si>
  <si>
    <t>香料、香精制造</t>
  </si>
  <si>
    <t>2689</t>
  </si>
  <si>
    <t>其他日用化学产品制造</t>
  </si>
  <si>
    <t>2710</t>
  </si>
  <si>
    <t>化学药品原料药制造</t>
  </si>
  <si>
    <t>2720</t>
  </si>
  <si>
    <t>化学药品制剂制造</t>
  </si>
  <si>
    <t>2730</t>
  </si>
  <si>
    <t>中药饮片加工</t>
  </si>
  <si>
    <t>2740</t>
  </si>
  <si>
    <t>中成药生产</t>
  </si>
  <si>
    <t>2750</t>
  </si>
  <si>
    <t>兽用药品制造</t>
  </si>
  <si>
    <t>2760</t>
  </si>
  <si>
    <t>生物药品制造</t>
  </si>
  <si>
    <t>2770</t>
  </si>
  <si>
    <t>卫生材料及医药用品制造</t>
  </si>
  <si>
    <t>2811</t>
  </si>
  <si>
    <t>化纤浆粕制造</t>
  </si>
  <si>
    <t>2812</t>
  </si>
  <si>
    <t>人造纤维（纤维素纤维）制造</t>
  </si>
  <si>
    <t>2821</t>
  </si>
  <si>
    <t>锦纶纤维制造</t>
  </si>
  <si>
    <t>2822</t>
  </si>
  <si>
    <t>涤纶纤维制造</t>
  </si>
  <si>
    <t>2823</t>
  </si>
  <si>
    <t>腈纶纤维制造</t>
  </si>
  <si>
    <t>2824</t>
  </si>
  <si>
    <t>维纶纤维制造</t>
  </si>
  <si>
    <t>2825</t>
  </si>
  <si>
    <t>丙纶纤维制造</t>
  </si>
  <si>
    <t>2826</t>
  </si>
  <si>
    <t>氨纶纤维制造</t>
  </si>
  <si>
    <t>2829</t>
  </si>
  <si>
    <t>其他合成纤维制造</t>
  </si>
  <si>
    <t>2911</t>
  </si>
  <si>
    <t>轮胎制造</t>
  </si>
  <si>
    <t>2912</t>
  </si>
  <si>
    <t>橡胶板、管、带制造</t>
  </si>
  <si>
    <t>2913</t>
  </si>
  <si>
    <t>橡胶零件制造</t>
  </si>
  <si>
    <t>2914</t>
  </si>
  <si>
    <t>再生橡胶制造</t>
  </si>
  <si>
    <t>2915</t>
  </si>
  <si>
    <t>日用及医用橡胶制品制造</t>
  </si>
  <si>
    <t>2919</t>
  </si>
  <si>
    <t>其他橡胶制品制造</t>
  </si>
  <si>
    <t>2921</t>
  </si>
  <si>
    <t>塑料薄膜制造</t>
  </si>
  <si>
    <t>2922</t>
  </si>
  <si>
    <t>塑料板、管、型材制造</t>
  </si>
  <si>
    <t>2923</t>
  </si>
  <si>
    <t>塑料丝、绳及编织品制造</t>
  </si>
  <si>
    <t>2924</t>
  </si>
  <si>
    <t>泡沫塑料制造</t>
  </si>
  <si>
    <t>2925</t>
  </si>
  <si>
    <t>塑料人造革、合成革制造</t>
  </si>
  <si>
    <t>2926</t>
  </si>
  <si>
    <t>塑料包装箱及容器制造</t>
  </si>
  <si>
    <t>2927</t>
  </si>
  <si>
    <t>日用塑料制品制造</t>
  </si>
  <si>
    <t>2928</t>
  </si>
  <si>
    <t>塑料零件制造</t>
  </si>
  <si>
    <t>2929</t>
  </si>
  <si>
    <t>其他塑料制品制造</t>
  </si>
  <si>
    <t>3011</t>
  </si>
  <si>
    <t>水泥制造</t>
  </si>
  <si>
    <t>3012</t>
  </si>
  <si>
    <t>石灰和石膏制造</t>
  </si>
  <si>
    <t>3021</t>
  </si>
  <si>
    <t>水泥制品制造</t>
  </si>
  <si>
    <t>3022</t>
  </si>
  <si>
    <t>砼结构构件制造</t>
  </si>
  <si>
    <t>3023</t>
  </si>
  <si>
    <t>石棉水泥制品制造</t>
  </si>
  <si>
    <t>3024</t>
  </si>
  <si>
    <t>轻质建筑材料制造</t>
  </si>
  <si>
    <t>3029</t>
  </si>
  <si>
    <t>其他水泥类似制品制造</t>
  </si>
  <si>
    <t>3031</t>
  </si>
  <si>
    <t>粘土砖瓦及建筑砌块制造</t>
  </si>
  <si>
    <t>3032</t>
  </si>
  <si>
    <t>建筑陶瓷制品制造</t>
  </si>
  <si>
    <t>3033</t>
  </si>
  <si>
    <t>建筑用石加工</t>
  </si>
  <si>
    <t>3034</t>
  </si>
  <si>
    <t>防水建筑材料制造</t>
  </si>
  <si>
    <t>3035</t>
  </si>
  <si>
    <t>隔热和隔音材料制造</t>
  </si>
  <si>
    <t>3039</t>
  </si>
  <si>
    <t>其他建筑材料制造</t>
  </si>
  <si>
    <t>3041</t>
  </si>
  <si>
    <t>平板玻璃制造</t>
  </si>
  <si>
    <t>3049</t>
  </si>
  <si>
    <t>其他玻璃制造</t>
  </si>
  <si>
    <t>3051</t>
  </si>
  <si>
    <t>技术玻璃制品制造</t>
  </si>
  <si>
    <t>3052</t>
  </si>
  <si>
    <t>光学玻璃制造</t>
  </si>
  <si>
    <t>3053</t>
  </si>
  <si>
    <t>玻璃仪器制造</t>
  </si>
  <si>
    <t>3054</t>
  </si>
  <si>
    <t>日用玻璃制品制造</t>
  </si>
  <si>
    <t>3055</t>
  </si>
  <si>
    <t>玻璃包装容器制造</t>
  </si>
  <si>
    <t>3056</t>
  </si>
  <si>
    <t>玻璃保温容器制造</t>
  </si>
  <si>
    <t>3057</t>
  </si>
  <si>
    <t>制镜及类似品加工</t>
  </si>
  <si>
    <t>3059</t>
  </si>
  <si>
    <t>其他玻璃制品制造</t>
  </si>
  <si>
    <t>3061</t>
  </si>
  <si>
    <t>玻璃纤维及制品制造</t>
  </si>
  <si>
    <t>3062</t>
  </si>
  <si>
    <t>玻璃纤维增强塑料制品制造</t>
  </si>
  <si>
    <t>3071</t>
  </si>
  <si>
    <t>卫生陶瓷制品制造</t>
  </si>
  <si>
    <t>3072</t>
  </si>
  <si>
    <t>特种陶瓷制品制造</t>
  </si>
  <si>
    <t>3073</t>
  </si>
  <si>
    <t>日用陶瓷制品制造</t>
  </si>
  <si>
    <t>3079</t>
  </si>
  <si>
    <t>园林、陈设艺术及其他陶瓷制品制造</t>
  </si>
  <si>
    <t>3081</t>
  </si>
  <si>
    <t>石棉制品制造</t>
  </si>
  <si>
    <t>3082</t>
  </si>
  <si>
    <t>云母制品制造</t>
  </si>
  <si>
    <t>3089</t>
  </si>
  <si>
    <t>耐火陶瓷制品及其他耐火材料制造</t>
  </si>
  <si>
    <t>3091</t>
  </si>
  <si>
    <t>石墨及碳素制品制造</t>
  </si>
  <si>
    <t>3099</t>
  </si>
  <si>
    <t>其他非金属矿物制品制造</t>
  </si>
  <si>
    <t>3110</t>
  </si>
  <si>
    <t>炼铁</t>
  </si>
  <si>
    <t>3120</t>
  </si>
  <si>
    <t>炼钢</t>
  </si>
  <si>
    <t>3130</t>
  </si>
  <si>
    <t>黑色金属铸造</t>
  </si>
  <si>
    <t>3140</t>
  </si>
  <si>
    <t>钢压延加工</t>
  </si>
  <si>
    <t>3150</t>
  </si>
  <si>
    <t>铁合金冶炼</t>
  </si>
  <si>
    <t>3211</t>
  </si>
  <si>
    <t>铜冶炼</t>
  </si>
  <si>
    <t>3212</t>
  </si>
  <si>
    <t>铅锌冶炼</t>
  </si>
  <si>
    <t>3213</t>
  </si>
  <si>
    <t>镍钴冶炼</t>
  </si>
  <si>
    <t>3214</t>
  </si>
  <si>
    <t>锡冶炼</t>
  </si>
  <si>
    <t>3215</t>
  </si>
  <si>
    <t>锑冶炼</t>
  </si>
  <si>
    <t>3216</t>
  </si>
  <si>
    <t>铝冶炼</t>
  </si>
  <si>
    <t>3217</t>
  </si>
  <si>
    <t>镁冶炼</t>
  </si>
  <si>
    <t>3219</t>
  </si>
  <si>
    <t>其他常用有色金属冶炼</t>
  </si>
  <si>
    <t>3221</t>
  </si>
  <si>
    <t>金冶炼</t>
  </si>
  <si>
    <t>3222</t>
  </si>
  <si>
    <t>银冶炼</t>
  </si>
  <si>
    <t>3229</t>
  </si>
  <si>
    <t>其他贵金属冶炼</t>
  </si>
  <si>
    <t>3231</t>
  </si>
  <si>
    <t>钨钼冶炼</t>
  </si>
  <si>
    <t>3232</t>
  </si>
  <si>
    <t>稀土金属冶炼</t>
  </si>
  <si>
    <t>3239</t>
  </si>
  <si>
    <t>其他稀有金属冶炼</t>
  </si>
  <si>
    <t>3240</t>
  </si>
  <si>
    <t>有色金属合金制造</t>
  </si>
  <si>
    <t>3250</t>
  </si>
  <si>
    <t>有色金属铸造</t>
  </si>
  <si>
    <t>3261</t>
  </si>
  <si>
    <t>铜压延加工</t>
  </si>
  <si>
    <t>3262</t>
  </si>
  <si>
    <t>铝压延加工</t>
  </si>
  <si>
    <t>3263</t>
  </si>
  <si>
    <t>贵金属压延加工</t>
  </si>
  <si>
    <t>3264</t>
  </si>
  <si>
    <t>稀有稀土金属压延加工</t>
  </si>
  <si>
    <t>3269</t>
  </si>
  <si>
    <t>其他有色金属压延加工</t>
  </si>
  <si>
    <t>3311</t>
  </si>
  <si>
    <t>金属结构制造</t>
  </si>
  <si>
    <t>3312</t>
  </si>
  <si>
    <t>金属门窗制造</t>
  </si>
  <si>
    <t>3321</t>
  </si>
  <si>
    <t>切削工具制造</t>
  </si>
  <si>
    <t>3322</t>
  </si>
  <si>
    <t>手工具制造</t>
  </si>
  <si>
    <t>3323</t>
  </si>
  <si>
    <t>农用及园林用金属工具制造</t>
  </si>
  <si>
    <t>3324</t>
  </si>
  <si>
    <t>刀剪及类似日用金属工具制造</t>
  </si>
  <si>
    <t>3329</t>
  </si>
  <si>
    <t>其他金属工具制造</t>
  </si>
  <si>
    <t>3331</t>
  </si>
  <si>
    <t>集装箱制造</t>
  </si>
  <si>
    <t>3332</t>
  </si>
  <si>
    <t>金属压力容器制造</t>
  </si>
  <si>
    <t>3333</t>
  </si>
  <si>
    <t>金属包装容器制造</t>
  </si>
  <si>
    <t>3340</t>
  </si>
  <si>
    <t>金属丝绳及其制品制造</t>
  </si>
  <si>
    <t>3351</t>
  </si>
  <si>
    <t>建筑、家具用金属配件制造</t>
  </si>
  <si>
    <t>3352</t>
  </si>
  <si>
    <t>建筑装饰及水暖管道零件制造</t>
  </si>
  <si>
    <t>3353</t>
  </si>
  <si>
    <t>安全、消防用金属制品制造</t>
  </si>
  <si>
    <t>3359</t>
  </si>
  <si>
    <t>其他建筑、安全用金属制品制造</t>
  </si>
  <si>
    <t>3360</t>
  </si>
  <si>
    <t>金属表面处理及热处理加工</t>
  </si>
  <si>
    <t>3371</t>
  </si>
  <si>
    <t>生产专用搪瓷制品制造</t>
  </si>
  <si>
    <t>3372</t>
  </si>
  <si>
    <t>建筑装饰搪瓷制品制造</t>
  </si>
  <si>
    <t>3373</t>
  </si>
  <si>
    <t>搪瓷卫生洁具制造</t>
  </si>
  <si>
    <t>3379</t>
  </si>
  <si>
    <t>搪瓷日用品及其他搪瓷制品制造</t>
  </si>
  <si>
    <t>3381</t>
  </si>
  <si>
    <t>金属制厨房用器具制造</t>
  </si>
  <si>
    <t>3382</t>
  </si>
  <si>
    <t>金属制餐具和器皿制造</t>
  </si>
  <si>
    <t>3383</t>
  </si>
  <si>
    <t>金属制卫生器具制造</t>
  </si>
  <si>
    <t>3389</t>
  </si>
  <si>
    <t>其他金属制日用品制造</t>
  </si>
  <si>
    <t>3391</t>
  </si>
  <si>
    <t>锻件及粉末冶金制品制造</t>
  </si>
  <si>
    <t>3392</t>
  </si>
  <si>
    <t>交通及公共管理用金属标牌制造</t>
  </si>
  <si>
    <t>3399</t>
  </si>
  <si>
    <t>其他未列明金属制品制造</t>
  </si>
  <si>
    <t>3411</t>
  </si>
  <si>
    <t>锅炉及辅助设备制造</t>
  </si>
  <si>
    <t>3412</t>
  </si>
  <si>
    <t>内燃机及配件制造</t>
  </si>
  <si>
    <t>3413</t>
  </si>
  <si>
    <t>汽轮机及辅机制造</t>
  </si>
  <si>
    <t>3414</t>
  </si>
  <si>
    <t>水轮机及辅机制造</t>
  </si>
  <si>
    <t>3415</t>
  </si>
  <si>
    <t>风能原动设备制造</t>
  </si>
  <si>
    <t>3419</t>
  </si>
  <si>
    <t>其他原动设备制造</t>
  </si>
  <si>
    <t>3421</t>
  </si>
  <si>
    <t>金属切削机床制造</t>
  </si>
  <si>
    <t>3422</t>
  </si>
  <si>
    <t>金属成形机床制造</t>
  </si>
  <si>
    <t>3423</t>
  </si>
  <si>
    <t>铸造机械制造</t>
  </si>
  <si>
    <t>3424</t>
  </si>
  <si>
    <t>金属切割及焊接设备制造</t>
  </si>
  <si>
    <t>3425</t>
  </si>
  <si>
    <t>机床附件制造</t>
  </si>
  <si>
    <t>3429</t>
  </si>
  <si>
    <t>其他金属加工机械制造</t>
  </si>
  <si>
    <t>3431</t>
  </si>
  <si>
    <t>轻小型起重设备制造</t>
  </si>
  <si>
    <t>3432</t>
  </si>
  <si>
    <t>起重机制造</t>
  </si>
  <si>
    <t>3433</t>
  </si>
  <si>
    <t>生产专用车辆制造</t>
  </si>
  <si>
    <t>3434</t>
  </si>
  <si>
    <t>连续搬运设备制造</t>
  </si>
  <si>
    <t>3435</t>
  </si>
  <si>
    <t>电梯、自动扶梯及升降机制造</t>
  </si>
  <si>
    <t>3439</t>
  </si>
  <si>
    <t>其他物料搬运设备制造</t>
  </si>
  <si>
    <t>3441</t>
  </si>
  <si>
    <t>泵及真空设备制造</t>
  </si>
  <si>
    <t>3442</t>
  </si>
  <si>
    <t>气体压缩机械制造</t>
  </si>
  <si>
    <t>3443</t>
  </si>
  <si>
    <t>阀门和旋塞制造</t>
  </si>
  <si>
    <t>3444</t>
  </si>
  <si>
    <t>液压和气压动力机械及元件制造</t>
  </si>
  <si>
    <t>3451</t>
  </si>
  <si>
    <t>轴承制造</t>
  </si>
  <si>
    <t>3452</t>
  </si>
  <si>
    <t>齿轮及齿轮减、变速箱制造</t>
  </si>
  <si>
    <t>3459</t>
  </si>
  <si>
    <t>其他传动部件制造</t>
  </si>
  <si>
    <t>3461</t>
  </si>
  <si>
    <t>烘炉、熔炉及电炉制造</t>
  </si>
  <si>
    <t>3462</t>
  </si>
  <si>
    <t>风机、风扇制造</t>
  </si>
  <si>
    <t>3463</t>
  </si>
  <si>
    <t>气体、液体分离及纯净设备制造</t>
  </si>
  <si>
    <t>3464</t>
  </si>
  <si>
    <t>制冷、空调设备制造</t>
  </si>
  <si>
    <t>3465</t>
  </si>
  <si>
    <t>风动和电动工具制造</t>
  </si>
  <si>
    <t>3466</t>
  </si>
  <si>
    <t>喷枪及类似器具制造</t>
  </si>
  <si>
    <t>3467</t>
  </si>
  <si>
    <t>衡器制造</t>
  </si>
  <si>
    <t>3468</t>
  </si>
  <si>
    <t>包装专用设备制造</t>
  </si>
  <si>
    <t>3471</t>
  </si>
  <si>
    <t>电影机械制造</t>
  </si>
  <si>
    <t>3472</t>
  </si>
  <si>
    <t>幻灯及投影设备制造</t>
  </si>
  <si>
    <t>3473</t>
  </si>
  <si>
    <t>照相机及器材制造</t>
  </si>
  <si>
    <t>3474</t>
  </si>
  <si>
    <t>复印和胶印设备制造</t>
  </si>
  <si>
    <t>3475</t>
  </si>
  <si>
    <t>计算器及货币专用设备制造</t>
  </si>
  <si>
    <t>3479</t>
  </si>
  <si>
    <t>其他文化、办公用机械制造</t>
  </si>
  <si>
    <t>3481</t>
  </si>
  <si>
    <t>金属密封件制造</t>
  </si>
  <si>
    <t>3482</t>
  </si>
  <si>
    <t>紧固件制造</t>
  </si>
  <si>
    <t>3483</t>
  </si>
  <si>
    <t>弹簧制造</t>
  </si>
  <si>
    <t>3484</t>
  </si>
  <si>
    <t>机械零部件加工</t>
  </si>
  <si>
    <t>3489</t>
  </si>
  <si>
    <t>其他通用零部件制造</t>
  </si>
  <si>
    <t>3490</t>
  </si>
  <si>
    <t>其他通用设备制造业</t>
  </si>
  <si>
    <t>3511</t>
  </si>
  <si>
    <t>矿山机械制造</t>
  </si>
  <si>
    <t>3512</t>
  </si>
  <si>
    <t>石油钻采专用设备制造</t>
  </si>
  <si>
    <t>3513</t>
  </si>
  <si>
    <t>建筑工程用机械制造</t>
  </si>
  <si>
    <t>3514</t>
  </si>
  <si>
    <t>海洋工程专用设备制造</t>
  </si>
  <si>
    <t>3515</t>
  </si>
  <si>
    <t>建筑材料生产专用机械制造</t>
  </si>
  <si>
    <t>3516</t>
  </si>
  <si>
    <t>冶金专用设备制造</t>
  </si>
  <si>
    <t>3521</t>
  </si>
  <si>
    <t>炼油、化工生产专用设备制造</t>
  </si>
  <si>
    <t>3522</t>
  </si>
  <si>
    <t>橡胶加工专用设备制造</t>
  </si>
  <si>
    <t>3523</t>
  </si>
  <si>
    <t>塑料加工专用设备制造</t>
  </si>
  <si>
    <t>3524</t>
  </si>
  <si>
    <t>木材加工机械制造</t>
  </si>
  <si>
    <t>3525</t>
  </si>
  <si>
    <t>模具制造</t>
  </si>
  <si>
    <t>3529</t>
  </si>
  <si>
    <t>其他非金属加工专用设备制造</t>
  </si>
  <si>
    <t>3531</t>
  </si>
  <si>
    <t>食品、酒、饮料及茶生产专用设备制造</t>
  </si>
  <si>
    <t>3532</t>
  </si>
  <si>
    <t>农副食品加工专用设备制造</t>
  </si>
  <si>
    <t>3533</t>
  </si>
  <si>
    <t>烟草生产专用设备制造</t>
  </si>
  <si>
    <t>3534</t>
  </si>
  <si>
    <t>饲料生产专用设备制造</t>
  </si>
  <si>
    <t>3541</t>
  </si>
  <si>
    <t>制浆和造纸专用设备制造</t>
  </si>
  <si>
    <t>3542</t>
  </si>
  <si>
    <t>印刷专用设备制造</t>
  </si>
  <si>
    <t>3543</t>
  </si>
  <si>
    <t>日用化工专用设备制造</t>
  </si>
  <si>
    <t>3544</t>
  </si>
  <si>
    <t>制药专用设备制造</t>
  </si>
  <si>
    <t>3545</t>
  </si>
  <si>
    <t>照明器具生产专用设备制造</t>
  </si>
  <si>
    <t>3546</t>
  </si>
  <si>
    <t>玻璃、陶瓷和搪瓷制品生产专用设备制造</t>
  </si>
  <si>
    <t>3549</t>
  </si>
  <si>
    <t>其他日用品生产专用设备制造</t>
  </si>
  <si>
    <t>3551</t>
  </si>
  <si>
    <t>纺织专用设备制造</t>
  </si>
  <si>
    <t>3552</t>
  </si>
  <si>
    <t>皮革、毛皮及其制品加工专用设备制造</t>
  </si>
  <si>
    <t>3553</t>
  </si>
  <si>
    <t>缝制机械制造</t>
  </si>
  <si>
    <t>3554</t>
  </si>
  <si>
    <t>洗涤机械制造</t>
  </si>
  <si>
    <t>3561</t>
  </si>
  <si>
    <t>电工机械专用设备制造</t>
  </si>
  <si>
    <t>3562</t>
  </si>
  <si>
    <t>电子工业专用设备制造</t>
  </si>
  <si>
    <t>3571</t>
  </si>
  <si>
    <t>拖拉机制造</t>
  </si>
  <si>
    <t>3572</t>
  </si>
  <si>
    <t>机械化农业及园艺机具制造</t>
  </si>
  <si>
    <t>3573</t>
  </si>
  <si>
    <t>营林及木竹采伐机械制造</t>
  </si>
  <si>
    <t>3574</t>
  </si>
  <si>
    <t>畜牧机械制造</t>
  </si>
  <si>
    <t>3575</t>
  </si>
  <si>
    <t>渔业机械制造</t>
  </si>
  <si>
    <t>3576</t>
  </si>
  <si>
    <t>农林牧渔机械配件制造</t>
  </si>
  <si>
    <t>3577</t>
  </si>
  <si>
    <t>棉花加工机械制造</t>
  </si>
  <si>
    <t>3579</t>
  </si>
  <si>
    <t>其他农、林、牧、渔业机械制造</t>
  </si>
  <si>
    <t>3581</t>
  </si>
  <si>
    <t>医疗诊断、监护及治疗设备制造</t>
  </si>
  <si>
    <t>3582</t>
  </si>
  <si>
    <t>口腔科用设备及器具制造</t>
  </si>
  <si>
    <t>3583</t>
  </si>
  <si>
    <t>医疗实验室及医用消毒设备和器具制造</t>
  </si>
  <si>
    <t>3584</t>
  </si>
  <si>
    <t>医疗、外科及兽医用器械制造</t>
  </si>
  <si>
    <t>3585</t>
  </si>
  <si>
    <t>机械治疗及病房护理设备制造</t>
  </si>
  <si>
    <t>3586</t>
  </si>
  <si>
    <t>假肢、人工器官及植（介）入器械制造</t>
  </si>
  <si>
    <t>3589</t>
  </si>
  <si>
    <t>其他医疗设备及器械制造</t>
  </si>
  <si>
    <t>3591</t>
  </si>
  <si>
    <t>环境保护专用设备制造</t>
  </si>
  <si>
    <t>3592</t>
  </si>
  <si>
    <t>地质勘查专用设备制造</t>
  </si>
  <si>
    <t>3593</t>
  </si>
  <si>
    <t>邮政专用机械及器材制造</t>
  </si>
  <si>
    <t>3594</t>
  </si>
  <si>
    <t>商业、饮食、服务专用设备制造</t>
  </si>
  <si>
    <t>3595</t>
  </si>
  <si>
    <t>社会公共安全设备及器材制造</t>
  </si>
  <si>
    <t>3596</t>
  </si>
  <si>
    <t>交通安全、管制及类似专用设备制造</t>
  </si>
  <si>
    <t>3597</t>
  </si>
  <si>
    <t>水资源专用机械制造</t>
  </si>
  <si>
    <t>3599</t>
  </si>
  <si>
    <t>其他专用设备制造</t>
  </si>
  <si>
    <t>3610</t>
  </si>
  <si>
    <t>汽车整车制造</t>
  </si>
  <si>
    <t>3620</t>
  </si>
  <si>
    <t>改装汽车制造</t>
  </si>
  <si>
    <t>3630</t>
  </si>
  <si>
    <t>低速载货汽车制造</t>
  </si>
  <si>
    <t>3640</t>
  </si>
  <si>
    <t>电车制造</t>
  </si>
  <si>
    <t>3650</t>
  </si>
  <si>
    <t>汽车车身、挂车制造</t>
  </si>
  <si>
    <t>3660</t>
  </si>
  <si>
    <t>汽车零部件及配件制造</t>
  </si>
  <si>
    <t>3711</t>
  </si>
  <si>
    <t>铁路机车车辆及动车组制造</t>
  </si>
  <si>
    <t>3712</t>
  </si>
  <si>
    <t>窄轨机车车辆制造</t>
  </si>
  <si>
    <t>3713</t>
  </si>
  <si>
    <t>铁路机车车辆配件制造</t>
  </si>
  <si>
    <t>3714</t>
  </si>
  <si>
    <t>铁路专用设备及器材、配件制造</t>
  </si>
  <si>
    <t>3719</t>
  </si>
  <si>
    <t>其他铁路运输设备制造</t>
  </si>
  <si>
    <t>3720</t>
  </si>
  <si>
    <t>城市轨道交通设备制造</t>
  </si>
  <si>
    <t>3731</t>
  </si>
  <si>
    <t>金属船舶制造</t>
  </si>
  <si>
    <t>3732</t>
  </si>
  <si>
    <t>非金属船舶制造</t>
  </si>
  <si>
    <t>3733</t>
  </si>
  <si>
    <t>娱乐船和运动船制造</t>
  </si>
  <si>
    <t>3734</t>
  </si>
  <si>
    <t>船用配套设备制造</t>
  </si>
  <si>
    <t>3735</t>
  </si>
  <si>
    <t>船舶改装与拆除</t>
  </si>
  <si>
    <t>3739</t>
  </si>
  <si>
    <t>航标器材及其他相关装置制造</t>
  </si>
  <si>
    <t>3741</t>
  </si>
  <si>
    <t>飞机制造</t>
  </si>
  <si>
    <t>3742</t>
  </si>
  <si>
    <t>航天器制造</t>
  </si>
  <si>
    <t>3743</t>
  </si>
  <si>
    <t>航空、航天相关设备制造</t>
  </si>
  <si>
    <t>3749</t>
  </si>
  <si>
    <t>其他航空航天器制造</t>
  </si>
  <si>
    <t>3751</t>
  </si>
  <si>
    <t>摩托车整车制造</t>
  </si>
  <si>
    <t>3752</t>
  </si>
  <si>
    <t>摩托车零部件及配件制造</t>
  </si>
  <si>
    <t>3761</t>
  </si>
  <si>
    <t>脚踏自行车及残疾人座车制造</t>
  </si>
  <si>
    <t>3762</t>
  </si>
  <si>
    <t>助动自行车制造</t>
  </si>
  <si>
    <t>3770</t>
  </si>
  <si>
    <t>非公路休闲车及零配件制造</t>
  </si>
  <si>
    <t>3791</t>
  </si>
  <si>
    <t>潜水及水下救捞装备制造</t>
  </si>
  <si>
    <t>3799</t>
  </si>
  <si>
    <t>其他未列明运输设备制造</t>
  </si>
  <si>
    <t>3811</t>
  </si>
  <si>
    <t>发电机及发电机组制造</t>
  </si>
  <si>
    <t>3812</t>
  </si>
  <si>
    <t>电动机制造</t>
  </si>
  <si>
    <t>3819</t>
  </si>
  <si>
    <t>微电机及其他电机制造</t>
  </si>
  <si>
    <t>3821</t>
  </si>
  <si>
    <t>变压器、整流器和电感器制造</t>
  </si>
  <si>
    <t>3822</t>
  </si>
  <si>
    <t>电容器及其配套设备制造</t>
  </si>
  <si>
    <t>3823</t>
  </si>
  <si>
    <t>配电开关控制设备制造</t>
  </si>
  <si>
    <t>3824</t>
  </si>
  <si>
    <t>电力电子元器件制造</t>
  </si>
  <si>
    <t>3825</t>
  </si>
  <si>
    <t>光伏设备及元器件制造</t>
  </si>
  <si>
    <t>3829</t>
  </si>
  <si>
    <t>其他输配电及控制设备制造</t>
  </si>
  <si>
    <t>3831</t>
  </si>
  <si>
    <t>电线、电缆制造</t>
  </si>
  <si>
    <t>3832</t>
  </si>
  <si>
    <t>光纤、光缆制造</t>
  </si>
  <si>
    <t>3833</t>
  </si>
  <si>
    <t>绝缘制品制造</t>
  </si>
  <si>
    <t>3839</t>
  </si>
  <si>
    <t>其他电工器材制造</t>
  </si>
  <si>
    <t>3841</t>
  </si>
  <si>
    <t>锂离子电池制造</t>
  </si>
  <si>
    <t>3842</t>
  </si>
  <si>
    <t>镍氢电池制造</t>
  </si>
  <si>
    <t>3849</t>
  </si>
  <si>
    <t>其他电池制造</t>
  </si>
  <si>
    <t>3851</t>
  </si>
  <si>
    <t>家用制冷电器具制造</t>
  </si>
  <si>
    <t>3852</t>
  </si>
  <si>
    <t>家用空气调节器制造</t>
  </si>
  <si>
    <t>3853</t>
  </si>
  <si>
    <t>家用通风电器具制造</t>
  </si>
  <si>
    <t>3854</t>
  </si>
  <si>
    <t>家用厨房电器具制造</t>
  </si>
  <si>
    <t>3855</t>
  </si>
  <si>
    <t>家用清洁卫生电器具制造</t>
  </si>
  <si>
    <t>3856</t>
  </si>
  <si>
    <t>家用美容、保健电器具制造</t>
  </si>
  <si>
    <t>3857</t>
  </si>
  <si>
    <t>家用电力器具专用配件制造</t>
  </si>
  <si>
    <t>3859</t>
  </si>
  <si>
    <t>其他家用电力器具制造</t>
  </si>
  <si>
    <t>3861</t>
  </si>
  <si>
    <t>燃气、太阳能及类似能源家用器具制造</t>
  </si>
  <si>
    <t>3869</t>
  </si>
  <si>
    <t>其他非电力家用器具制造</t>
  </si>
  <si>
    <t>3871</t>
  </si>
  <si>
    <t>电光源制造</t>
  </si>
  <si>
    <t>3872</t>
  </si>
  <si>
    <t>照明灯具制造</t>
  </si>
  <si>
    <t>3879</t>
  </si>
  <si>
    <t>灯用电器附件及其他照明器具制造</t>
  </si>
  <si>
    <t>3891</t>
  </si>
  <si>
    <t>电气信号设备装置制造</t>
  </si>
  <si>
    <t>3899</t>
  </si>
  <si>
    <t>其他未列明电气机械及器材制造</t>
  </si>
  <si>
    <t>3911</t>
  </si>
  <si>
    <t>计算机整机制造</t>
  </si>
  <si>
    <t>3912</t>
  </si>
  <si>
    <t>计算机零部件制造</t>
  </si>
  <si>
    <t>3913</t>
  </si>
  <si>
    <t>计算机外围设备制造</t>
  </si>
  <si>
    <t>3919</t>
  </si>
  <si>
    <t>其他计算机制造</t>
  </si>
  <si>
    <t>3921</t>
  </si>
  <si>
    <t>通信系统设备制造</t>
  </si>
  <si>
    <t>3922</t>
  </si>
  <si>
    <t>通信终端设备制造</t>
  </si>
  <si>
    <t>3931</t>
  </si>
  <si>
    <t>广播电视节目制作及发射设备制造</t>
  </si>
  <si>
    <t>3932</t>
  </si>
  <si>
    <t>广播电视接收设备及器材制造</t>
  </si>
  <si>
    <t>3939</t>
  </si>
  <si>
    <t>应用电视设备及其他广播电视设备制造</t>
  </si>
  <si>
    <t>3940</t>
  </si>
  <si>
    <t>雷达及配套设备制造</t>
  </si>
  <si>
    <t>3951</t>
  </si>
  <si>
    <t>电视机制造</t>
  </si>
  <si>
    <t>3952</t>
  </si>
  <si>
    <t>音响设备制造</t>
  </si>
  <si>
    <t>3953</t>
  </si>
  <si>
    <t>影视录放设备制造</t>
  </si>
  <si>
    <t>3961</t>
  </si>
  <si>
    <t>电子真空器件制造</t>
  </si>
  <si>
    <t>3962</t>
  </si>
  <si>
    <t>半导体分立器件制造</t>
  </si>
  <si>
    <t>3963</t>
  </si>
  <si>
    <t>集成电路制造</t>
  </si>
  <si>
    <t>3969</t>
  </si>
  <si>
    <t>光电子器件及其他电子器件制造</t>
  </si>
  <si>
    <t>3971</t>
  </si>
  <si>
    <t>电子元件及组件制造</t>
  </si>
  <si>
    <t>3972</t>
  </si>
  <si>
    <t>印制电路板制造</t>
  </si>
  <si>
    <t>3990</t>
  </si>
  <si>
    <t>其他电子设备制造</t>
  </si>
  <si>
    <t>4011</t>
  </si>
  <si>
    <t>工业自动控制系统装置制造</t>
  </si>
  <si>
    <t>4012</t>
  </si>
  <si>
    <t>电工仪器仪表制造</t>
  </si>
  <si>
    <t>4013</t>
  </si>
  <si>
    <t>绘图、计算及测量仪器制造</t>
  </si>
  <si>
    <t>4014</t>
  </si>
  <si>
    <t>实验分析仪器制造</t>
  </si>
  <si>
    <t>4015</t>
  </si>
  <si>
    <t>试验机制造</t>
  </si>
  <si>
    <t>4019</t>
  </si>
  <si>
    <t>供应用仪表及其他通用仪器制造</t>
  </si>
  <si>
    <t>4021</t>
  </si>
  <si>
    <t>环境监测专用仪器仪表制造</t>
  </si>
  <si>
    <t>4022</t>
  </si>
  <si>
    <t>运输设备及生产用计数仪表制造</t>
  </si>
  <si>
    <t>4023</t>
  </si>
  <si>
    <t>导航、气象及海洋专用仪器制造</t>
  </si>
  <si>
    <t>4024</t>
  </si>
  <si>
    <t>农林牧渔专用仪器仪表制造</t>
  </si>
  <si>
    <t>4025</t>
  </si>
  <si>
    <t>地质勘探和地震专用仪器制造</t>
  </si>
  <si>
    <t>4026</t>
  </si>
  <si>
    <t>教学专用仪器制造</t>
  </si>
  <si>
    <t>4027</t>
  </si>
  <si>
    <t>核子及核辐射测量仪器制造</t>
  </si>
  <si>
    <t>4028</t>
  </si>
  <si>
    <t>电子测量仪器制造</t>
  </si>
  <si>
    <t>4029</t>
  </si>
  <si>
    <t>其他专用仪器制造</t>
  </si>
  <si>
    <t>4030</t>
  </si>
  <si>
    <t>钟表与计时仪器制造</t>
  </si>
  <si>
    <t>4041</t>
  </si>
  <si>
    <t>光学仪器制造</t>
  </si>
  <si>
    <t>4042</t>
  </si>
  <si>
    <t>眼镜制造</t>
  </si>
  <si>
    <t>4090</t>
  </si>
  <si>
    <t>其他仪器仪表制造业</t>
  </si>
  <si>
    <t>4111</t>
  </si>
  <si>
    <t>鬃毛加工、制刷及清扫工具制造</t>
  </si>
  <si>
    <t>4119</t>
  </si>
  <si>
    <t>其他日用杂品制造</t>
  </si>
  <si>
    <t>4120</t>
  </si>
  <si>
    <t>煤制品制造</t>
  </si>
  <si>
    <t>4130</t>
  </si>
  <si>
    <t>核辐射加工</t>
  </si>
  <si>
    <t>4190</t>
  </si>
  <si>
    <t>其他未列明制造业</t>
  </si>
  <si>
    <t>4210</t>
  </si>
  <si>
    <t>金属废料和碎屑加工处理</t>
  </si>
  <si>
    <t>4220</t>
  </si>
  <si>
    <t>非金属废料和碎屑加工处理</t>
  </si>
  <si>
    <t>4310</t>
  </si>
  <si>
    <t>金属制品修理</t>
  </si>
  <si>
    <t>4320</t>
  </si>
  <si>
    <t>通用设备修理</t>
  </si>
  <si>
    <t>4330</t>
  </si>
  <si>
    <t>专用设备修理</t>
  </si>
  <si>
    <t>4341</t>
  </si>
  <si>
    <t>铁路运输设备修理</t>
  </si>
  <si>
    <t>4342</t>
  </si>
  <si>
    <t>船舶修理</t>
  </si>
  <si>
    <t>4343</t>
  </si>
  <si>
    <t>航空航天器修理</t>
  </si>
  <si>
    <t>4349</t>
  </si>
  <si>
    <t>其他运输设备修理</t>
  </si>
  <si>
    <t>4350</t>
  </si>
  <si>
    <t>电气设备修理</t>
  </si>
  <si>
    <t>4360</t>
  </si>
  <si>
    <t>仪器仪表修理</t>
  </si>
  <si>
    <t>4390</t>
  </si>
  <si>
    <t>其他机械和设备修理业</t>
  </si>
  <si>
    <t>4411</t>
  </si>
  <si>
    <t>火力发电</t>
  </si>
  <si>
    <t>4412</t>
  </si>
  <si>
    <t>水力发电</t>
  </si>
  <si>
    <t>4413</t>
  </si>
  <si>
    <t>核力发电</t>
  </si>
  <si>
    <t>4414</t>
  </si>
  <si>
    <t>风力发电</t>
  </si>
  <si>
    <t>4415</t>
  </si>
  <si>
    <t>太阳能发电</t>
  </si>
  <si>
    <t>4419</t>
  </si>
  <si>
    <t>其他电力生产</t>
  </si>
  <si>
    <t>4420</t>
  </si>
  <si>
    <t>电力供应</t>
  </si>
  <si>
    <t>4430</t>
  </si>
  <si>
    <t>热力生产和供应</t>
  </si>
  <si>
    <t>4500</t>
  </si>
  <si>
    <t>燃气生产和供应业</t>
  </si>
  <si>
    <t>4610</t>
  </si>
  <si>
    <t>自来水生产和供应</t>
  </si>
  <si>
    <t>4620</t>
  </si>
  <si>
    <t>污水处理及其再生利用</t>
  </si>
  <si>
    <t>4690</t>
  </si>
  <si>
    <t>其他水的处理、利用与分配</t>
  </si>
  <si>
    <t>4700</t>
  </si>
  <si>
    <t>房屋建筑业</t>
  </si>
  <si>
    <t>4811</t>
  </si>
  <si>
    <t>铁路工程建筑</t>
  </si>
  <si>
    <t>4812</t>
  </si>
  <si>
    <t>公路工程建筑</t>
  </si>
  <si>
    <t>4813</t>
  </si>
  <si>
    <t>市政道路工程建筑</t>
  </si>
  <si>
    <t>4819</t>
  </si>
  <si>
    <t>其他道路、隧道和桥梁工程建筑</t>
  </si>
  <si>
    <t>4821</t>
  </si>
  <si>
    <t>水源及供水设施工程建筑</t>
  </si>
  <si>
    <t>4822</t>
  </si>
  <si>
    <t>河湖治理及防洪设施工程建筑</t>
  </si>
  <si>
    <t>4823</t>
  </si>
  <si>
    <t>港口及航运设施工程建筑</t>
  </si>
  <si>
    <t>4830</t>
  </si>
  <si>
    <t>海洋工程建筑</t>
  </si>
  <si>
    <t>4840</t>
  </si>
  <si>
    <t>工矿工程建筑</t>
  </si>
  <si>
    <t>4851</t>
  </si>
  <si>
    <t>架线及设备工程建筑</t>
  </si>
  <si>
    <t>4852</t>
  </si>
  <si>
    <t>管道工程建筑</t>
  </si>
  <si>
    <t>4890</t>
  </si>
  <si>
    <t>其他土木工程建筑</t>
  </si>
  <si>
    <t>4910</t>
  </si>
  <si>
    <t>电气安装</t>
  </si>
  <si>
    <t>4920</t>
  </si>
  <si>
    <t>管道和设备安装</t>
  </si>
  <si>
    <t>4990</t>
  </si>
  <si>
    <t>其他建筑安装业</t>
  </si>
  <si>
    <t>5010</t>
  </si>
  <si>
    <t>建筑装饰业</t>
  </si>
  <si>
    <t>5021</t>
  </si>
  <si>
    <t>建筑物拆除活动</t>
  </si>
  <si>
    <t>5029</t>
  </si>
  <si>
    <t>其他工程准备活动</t>
  </si>
  <si>
    <t>5030</t>
  </si>
  <si>
    <t>提供施工设备服务</t>
  </si>
  <si>
    <t>5090</t>
  </si>
  <si>
    <t>其他未列明建筑业</t>
  </si>
  <si>
    <t>5111</t>
  </si>
  <si>
    <t>谷物、豆及薯类批发</t>
  </si>
  <si>
    <t>5112</t>
  </si>
  <si>
    <t>种子批发</t>
  </si>
  <si>
    <t>5113</t>
  </si>
  <si>
    <t>饲料批发</t>
  </si>
  <si>
    <t>5114</t>
  </si>
  <si>
    <t>棉、麻批发</t>
  </si>
  <si>
    <t>5115</t>
  </si>
  <si>
    <t>林业产品批发</t>
  </si>
  <si>
    <t>5116</t>
  </si>
  <si>
    <t>牲畜批发</t>
  </si>
  <si>
    <t>5119</t>
  </si>
  <si>
    <t>其他农牧产品批发</t>
  </si>
  <si>
    <t>5121</t>
  </si>
  <si>
    <t>米、面制品及食用油批发</t>
  </si>
  <si>
    <t>5122</t>
  </si>
  <si>
    <t>糕点、糖果及糖批发</t>
  </si>
  <si>
    <t>5123</t>
  </si>
  <si>
    <t>果品、蔬菜批发</t>
  </si>
  <si>
    <t>5124</t>
  </si>
  <si>
    <t>肉、禽、蛋、奶及水产品批发</t>
  </si>
  <si>
    <t>5125</t>
  </si>
  <si>
    <t>盐及调味品批发</t>
  </si>
  <si>
    <t>5126</t>
  </si>
  <si>
    <t>营养和保健品批发</t>
  </si>
  <si>
    <t>5127</t>
  </si>
  <si>
    <t>酒、饮料及茶叶批发</t>
  </si>
  <si>
    <t>5128</t>
  </si>
  <si>
    <t>烟草制品批发</t>
  </si>
  <si>
    <t>5129</t>
  </si>
  <si>
    <t>其他食品批发</t>
  </si>
  <si>
    <t>5131</t>
  </si>
  <si>
    <t>纺织品、针织品及原料批发</t>
  </si>
  <si>
    <t>5132</t>
  </si>
  <si>
    <t>服装批发</t>
  </si>
  <si>
    <t>5133</t>
  </si>
  <si>
    <t>鞋帽批发</t>
  </si>
  <si>
    <t>5134</t>
  </si>
  <si>
    <t>化妆品及卫生用品批发</t>
  </si>
  <si>
    <t>5135</t>
  </si>
  <si>
    <t>厨房、卫生间用具及日用杂货批发</t>
  </si>
  <si>
    <t>5136</t>
  </si>
  <si>
    <t>灯具、装饰物品批发</t>
  </si>
  <si>
    <t>5137</t>
  </si>
  <si>
    <t>家用电器批发</t>
  </si>
  <si>
    <t>5139</t>
  </si>
  <si>
    <t>其他家庭用品批发</t>
  </si>
  <si>
    <t>5141</t>
  </si>
  <si>
    <t>文具用品批发</t>
  </si>
  <si>
    <t>5142</t>
  </si>
  <si>
    <t>体育用品及器材批发</t>
  </si>
  <si>
    <t>5143</t>
  </si>
  <si>
    <t>图书批发</t>
  </si>
  <si>
    <t>5144</t>
  </si>
  <si>
    <t>报刊批发</t>
  </si>
  <si>
    <t>5145</t>
  </si>
  <si>
    <t>音像制品及电子出版物批发</t>
  </si>
  <si>
    <t>5146</t>
  </si>
  <si>
    <t>首饰、工艺品及收藏品批发</t>
  </si>
  <si>
    <t>5149</t>
  </si>
  <si>
    <t>其他文化用品批发</t>
  </si>
  <si>
    <t>5151</t>
  </si>
  <si>
    <t>西药批发</t>
  </si>
  <si>
    <t>5152</t>
  </si>
  <si>
    <t>中药批发</t>
  </si>
  <si>
    <t>5153</t>
  </si>
  <si>
    <t>医疗用品及器材批发</t>
  </si>
  <si>
    <t>5161</t>
  </si>
  <si>
    <t>煤炭及制品批发</t>
  </si>
  <si>
    <t>5162</t>
  </si>
  <si>
    <t>石油及制品批发</t>
  </si>
  <si>
    <t>5163</t>
  </si>
  <si>
    <t>非金属矿及制品批发</t>
  </si>
  <si>
    <t>5164</t>
  </si>
  <si>
    <t>金属及金属矿批发</t>
  </si>
  <si>
    <t>5165</t>
  </si>
  <si>
    <t>建材批发</t>
  </si>
  <si>
    <t>5166</t>
  </si>
  <si>
    <t>化肥批发</t>
  </si>
  <si>
    <t>5167</t>
  </si>
  <si>
    <t>农药批发</t>
  </si>
  <si>
    <t>5168</t>
  </si>
  <si>
    <t>农用薄膜批发</t>
  </si>
  <si>
    <t>5169</t>
  </si>
  <si>
    <t>其他化工产品批发</t>
  </si>
  <si>
    <t>5171</t>
  </si>
  <si>
    <t>农业机械批发</t>
  </si>
  <si>
    <t>5172</t>
  </si>
  <si>
    <t>汽车批发</t>
  </si>
  <si>
    <t>5173</t>
  </si>
  <si>
    <t>汽车零配件批发</t>
  </si>
  <si>
    <t>5174</t>
  </si>
  <si>
    <t>摩托车及零配件批发</t>
  </si>
  <si>
    <t>5175</t>
  </si>
  <si>
    <t>五金产品批发</t>
  </si>
  <si>
    <t>5176</t>
  </si>
  <si>
    <t>电气设备批发</t>
  </si>
  <si>
    <t>5177</t>
  </si>
  <si>
    <t>计算机、软件及辅助设备批发</t>
  </si>
  <si>
    <t>5178</t>
  </si>
  <si>
    <t>通讯及广播电视设备批发</t>
  </si>
  <si>
    <t>5179</t>
  </si>
  <si>
    <t>其他机械设备及电子产品批发</t>
  </si>
  <si>
    <t>5181</t>
  </si>
  <si>
    <t>贸易代理</t>
  </si>
  <si>
    <t>5182</t>
  </si>
  <si>
    <t>拍卖</t>
  </si>
  <si>
    <t>5189</t>
  </si>
  <si>
    <t>其他贸易经纪与代理</t>
  </si>
  <si>
    <t>5191</t>
  </si>
  <si>
    <t>再生物资回收与批发</t>
  </si>
  <si>
    <t>5199</t>
  </si>
  <si>
    <t>其他未列明批发业</t>
  </si>
  <si>
    <t>5211</t>
  </si>
  <si>
    <t>百货零售</t>
  </si>
  <si>
    <t>5212</t>
  </si>
  <si>
    <t>超级市场零售</t>
  </si>
  <si>
    <t>5219</t>
  </si>
  <si>
    <t>其他综合零售</t>
  </si>
  <si>
    <t>5221</t>
  </si>
  <si>
    <t>粮油零售</t>
  </si>
  <si>
    <t>5222</t>
  </si>
  <si>
    <t>糕点、面包零售</t>
  </si>
  <si>
    <t>5223</t>
  </si>
  <si>
    <t>果品、蔬菜零售</t>
  </si>
  <si>
    <t>5224</t>
  </si>
  <si>
    <t>肉、禽、蛋、奶及水产品零售</t>
  </si>
  <si>
    <t>5225</t>
  </si>
  <si>
    <t>营养和保健品零售</t>
  </si>
  <si>
    <t>5226</t>
  </si>
  <si>
    <t>酒、饮料及茶叶零售</t>
  </si>
  <si>
    <t>5227</t>
  </si>
  <si>
    <t>烟草制品零售</t>
  </si>
  <si>
    <t>5229</t>
  </si>
  <si>
    <t>其他食品零售</t>
  </si>
  <si>
    <t>5231</t>
  </si>
  <si>
    <t>纺织品及针织品零售</t>
  </si>
  <si>
    <t>5232</t>
  </si>
  <si>
    <t>服装零售</t>
  </si>
  <si>
    <t>5233</t>
  </si>
  <si>
    <t>鞋帽零售</t>
  </si>
  <si>
    <t>5234</t>
  </si>
  <si>
    <t>化妆品及卫生用品零售</t>
  </si>
  <si>
    <t>5235</t>
  </si>
  <si>
    <t>钟表、眼镜零售</t>
  </si>
  <si>
    <t>5236</t>
  </si>
  <si>
    <t>箱、包零售</t>
  </si>
  <si>
    <t>5237</t>
  </si>
  <si>
    <t>厨房用具及日用杂品零售</t>
  </si>
  <si>
    <t>5238</t>
  </si>
  <si>
    <t>自行车零售</t>
  </si>
  <si>
    <t>5239</t>
  </si>
  <si>
    <t>其他日用品零售</t>
  </si>
  <si>
    <t>5241</t>
  </si>
  <si>
    <t>文具用品零售</t>
  </si>
  <si>
    <t>5242</t>
  </si>
  <si>
    <t>体育用品及器材零售</t>
  </si>
  <si>
    <t>5243</t>
  </si>
  <si>
    <t>图书、报刊零售</t>
  </si>
  <si>
    <t>5244</t>
  </si>
  <si>
    <t>音像制品及电子出版物零售</t>
  </si>
  <si>
    <t>5245</t>
  </si>
  <si>
    <t>珠宝首饰零售</t>
  </si>
  <si>
    <t>5246</t>
  </si>
  <si>
    <t>工艺美术品及收藏品零售</t>
  </si>
  <si>
    <t>5247</t>
  </si>
  <si>
    <t>乐器零售</t>
  </si>
  <si>
    <t>5248</t>
  </si>
  <si>
    <t>照相器材零售</t>
  </si>
  <si>
    <t>5249</t>
  </si>
  <si>
    <t>其他文化用品零售</t>
  </si>
  <si>
    <t>5251</t>
  </si>
  <si>
    <t>药品零售</t>
  </si>
  <si>
    <t>5252</t>
  </si>
  <si>
    <t>医疗用品及器材零售</t>
  </si>
  <si>
    <t>5261</t>
  </si>
  <si>
    <t>汽车零售</t>
  </si>
  <si>
    <t>5262</t>
  </si>
  <si>
    <t>汽车零配件零售</t>
  </si>
  <si>
    <t>5263</t>
  </si>
  <si>
    <t>摩托车及零配件零售</t>
  </si>
  <si>
    <t>5264</t>
  </si>
  <si>
    <t>机动车燃料零售</t>
  </si>
  <si>
    <t>5271</t>
  </si>
  <si>
    <t>家用视听设备零售</t>
  </si>
  <si>
    <t>5272</t>
  </si>
  <si>
    <t>日用家电设备零售</t>
  </si>
  <si>
    <t>5273</t>
  </si>
  <si>
    <t>计算机、软件及辅助设备零售</t>
  </si>
  <si>
    <t>5274</t>
  </si>
  <si>
    <t>通信设备零售</t>
  </si>
  <si>
    <t>5279</t>
  </si>
  <si>
    <t>其他电子产品零售</t>
  </si>
  <si>
    <t>5281</t>
  </si>
  <si>
    <t>五金零售</t>
  </si>
  <si>
    <t>5282</t>
  </si>
  <si>
    <t>灯具零售</t>
  </si>
  <si>
    <t>5283</t>
  </si>
  <si>
    <t>家具零售</t>
  </si>
  <si>
    <t>5284</t>
  </si>
  <si>
    <t>涂料零售</t>
  </si>
  <si>
    <t>5285</t>
  </si>
  <si>
    <t>卫生洁具零售</t>
  </si>
  <si>
    <t>5286</t>
  </si>
  <si>
    <t>木质装饰材料零售</t>
  </si>
  <si>
    <t>5287</t>
  </si>
  <si>
    <t>陶瓷、石材装饰材料零售</t>
  </si>
  <si>
    <t>5289</t>
  </si>
  <si>
    <t>其他室内装饰材料零售</t>
  </si>
  <si>
    <t>5291</t>
  </si>
  <si>
    <t>货摊食品零售</t>
  </si>
  <si>
    <t>5292</t>
  </si>
  <si>
    <t>货摊纺织、服装及鞋零售</t>
  </si>
  <si>
    <t>5293</t>
  </si>
  <si>
    <t>货摊日用品零售</t>
  </si>
  <si>
    <t>5294</t>
  </si>
  <si>
    <t>互联网零售</t>
  </si>
  <si>
    <t>5295</t>
  </si>
  <si>
    <t>邮购及电视、电话零售</t>
  </si>
  <si>
    <t>5296</t>
  </si>
  <si>
    <t>旧货零售</t>
  </si>
  <si>
    <t>5297</t>
  </si>
  <si>
    <t>生活用燃料零售</t>
  </si>
  <si>
    <t>5299</t>
  </si>
  <si>
    <t>其他未列明零售业</t>
  </si>
  <si>
    <t>5310</t>
  </si>
  <si>
    <t>铁路旅客运输</t>
  </si>
  <si>
    <t>5320</t>
  </si>
  <si>
    <t>铁路货物运输</t>
  </si>
  <si>
    <t>5331</t>
  </si>
  <si>
    <t>客运火车站</t>
  </si>
  <si>
    <t>5332</t>
  </si>
  <si>
    <t>货运火车站</t>
  </si>
  <si>
    <t>5339</t>
  </si>
  <si>
    <t>其他铁路运输辅助活动</t>
  </si>
  <si>
    <t>5411</t>
  </si>
  <si>
    <t>公共电汽车客运</t>
  </si>
  <si>
    <t>5412</t>
  </si>
  <si>
    <t>城市轨道交通</t>
  </si>
  <si>
    <t>5413</t>
  </si>
  <si>
    <t>出租车客运</t>
  </si>
  <si>
    <t>5419</t>
  </si>
  <si>
    <t>其他城市公共交通运输</t>
  </si>
  <si>
    <t>5420</t>
  </si>
  <si>
    <t>公路旅客运输</t>
  </si>
  <si>
    <t>5430</t>
  </si>
  <si>
    <t>道路货物运输</t>
  </si>
  <si>
    <t>5441</t>
  </si>
  <si>
    <t>客运汽车站</t>
  </si>
  <si>
    <t>5442</t>
  </si>
  <si>
    <t>公路管理与养护</t>
  </si>
  <si>
    <t>5449</t>
  </si>
  <si>
    <t>其他道路运输辅助活动</t>
  </si>
  <si>
    <t>5511</t>
  </si>
  <si>
    <t>海洋旅客运输</t>
  </si>
  <si>
    <t>5512</t>
  </si>
  <si>
    <t>内河旅客运输</t>
  </si>
  <si>
    <t>5513</t>
  </si>
  <si>
    <t>客运轮渡运输</t>
  </si>
  <si>
    <t>5521</t>
  </si>
  <si>
    <t>远洋货物运输</t>
  </si>
  <si>
    <t>5522</t>
  </si>
  <si>
    <t>沿海货物运输</t>
  </si>
  <si>
    <t>5523</t>
  </si>
  <si>
    <t>内河货物运输</t>
  </si>
  <si>
    <t>5531</t>
  </si>
  <si>
    <t>客运港口</t>
  </si>
  <si>
    <t>5532</t>
  </si>
  <si>
    <t>货运港口</t>
  </si>
  <si>
    <t>5539</t>
  </si>
  <si>
    <t>其他水上运输辅助活动</t>
  </si>
  <si>
    <t>5611</t>
  </si>
  <si>
    <t>航空旅客运输</t>
  </si>
  <si>
    <t>5612</t>
  </si>
  <si>
    <t>航空货物运输</t>
  </si>
  <si>
    <t>5620</t>
  </si>
  <si>
    <t>通用航空服务</t>
  </si>
  <si>
    <t>5631</t>
  </si>
  <si>
    <t>机场</t>
  </si>
  <si>
    <t>5632</t>
  </si>
  <si>
    <t>空中交通管理</t>
  </si>
  <si>
    <t>5639</t>
  </si>
  <si>
    <t>其他航空运输辅助活动</t>
  </si>
  <si>
    <t>5700</t>
  </si>
  <si>
    <t>管道运输业</t>
  </si>
  <si>
    <t>5810</t>
  </si>
  <si>
    <t>装卸搬运</t>
  </si>
  <si>
    <t>5821</t>
  </si>
  <si>
    <t>货物运输代理</t>
  </si>
  <si>
    <t>5822</t>
  </si>
  <si>
    <t>旅客票务代理</t>
  </si>
  <si>
    <t>5829</t>
  </si>
  <si>
    <t>其他运输代理业</t>
  </si>
  <si>
    <t>5911</t>
  </si>
  <si>
    <t>谷物仓储</t>
  </si>
  <si>
    <t>5912</t>
  </si>
  <si>
    <t>棉花仓储</t>
  </si>
  <si>
    <t>5919</t>
  </si>
  <si>
    <t>其他农产品仓储</t>
  </si>
  <si>
    <t>5990</t>
  </si>
  <si>
    <t>其他仓储业</t>
  </si>
  <si>
    <t>6010</t>
  </si>
  <si>
    <t>邮政基本服务</t>
  </si>
  <si>
    <t>6020</t>
  </si>
  <si>
    <t>快递服务</t>
  </si>
  <si>
    <t>6110</t>
  </si>
  <si>
    <t>旅游饭店</t>
  </si>
  <si>
    <t>6120</t>
  </si>
  <si>
    <t>一般旅馆</t>
  </si>
  <si>
    <t>6190</t>
  </si>
  <si>
    <t>其他住宿业</t>
  </si>
  <si>
    <t>6210</t>
  </si>
  <si>
    <t>正餐服务</t>
  </si>
  <si>
    <t>6220</t>
  </si>
  <si>
    <t>快餐服务</t>
  </si>
  <si>
    <t>6231</t>
  </si>
  <si>
    <t>茶馆服务</t>
  </si>
  <si>
    <t>6232</t>
  </si>
  <si>
    <t>咖啡馆服务</t>
  </si>
  <si>
    <t>6233</t>
  </si>
  <si>
    <t>酒吧服务</t>
  </si>
  <si>
    <t>6239</t>
  </si>
  <si>
    <t>其他饮料及冷饮服务</t>
  </si>
  <si>
    <t>6291</t>
  </si>
  <si>
    <t>小吃服务</t>
  </si>
  <si>
    <t>6292</t>
  </si>
  <si>
    <t>餐饮配送服务</t>
  </si>
  <si>
    <t>6299</t>
  </si>
  <si>
    <t>其他未列明餐饮业</t>
  </si>
  <si>
    <t>6311</t>
  </si>
  <si>
    <t>固定电信服务</t>
  </si>
  <si>
    <t>6312</t>
  </si>
  <si>
    <t>移动电信服务</t>
  </si>
  <si>
    <t>6319</t>
  </si>
  <si>
    <t>其他电信服务</t>
  </si>
  <si>
    <t>6321</t>
  </si>
  <si>
    <t>有线广播电视传输服务</t>
  </si>
  <si>
    <t>6322</t>
  </si>
  <si>
    <t>无线广播电视传输服务</t>
  </si>
  <si>
    <t>6330</t>
  </si>
  <si>
    <t>卫星传输服务</t>
  </si>
  <si>
    <t>6410</t>
  </si>
  <si>
    <t>互联网接入及相关服务</t>
  </si>
  <si>
    <t>6420</t>
  </si>
  <si>
    <t>互联网信息服务</t>
  </si>
  <si>
    <t>6490</t>
  </si>
  <si>
    <t>其他互联网服务</t>
  </si>
  <si>
    <t>6510</t>
  </si>
  <si>
    <t>软件开发</t>
  </si>
  <si>
    <t>6520</t>
  </si>
  <si>
    <t>信息系统集成服务</t>
  </si>
  <si>
    <t>6530</t>
  </si>
  <si>
    <t>信息技术咨询服务</t>
  </si>
  <si>
    <t>6540</t>
  </si>
  <si>
    <t>数据处理和存储服务</t>
  </si>
  <si>
    <t>6550</t>
  </si>
  <si>
    <t>集成电路设计</t>
  </si>
  <si>
    <t>6591</t>
  </si>
  <si>
    <t>数字内容服务</t>
  </si>
  <si>
    <t>6592</t>
  </si>
  <si>
    <t>呼叫中心</t>
  </si>
  <si>
    <t>6599</t>
  </si>
  <si>
    <t>其他未列明信息技术服务业</t>
  </si>
  <si>
    <t>6610</t>
  </si>
  <si>
    <t>中央银行服务</t>
  </si>
  <si>
    <t>6620</t>
  </si>
  <si>
    <t>货币银行服务</t>
  </si>
  <si>
    <t>6631</t>
  </si>
  <si>
    <t>金融租赁服务</t>
  </si>
  <si>
    <t>6632</t>
  </si>
  <si>
    <t>财务公司</t>
  </si>
  <si>
    <t>6633</t>
  </si>
  <si>
    <t>典当</t>
  </si>
  <si>
    <t>6639</t>
  </si>
  <si>
    <t>其他非货币银行服务</t>
  </si>
  <si>
    <t>6640</t>
  </si>
  <si>
    <t>银行监管服务</t>
  </si>
  <si>
    <t>6711</t>
  </si>
  <si>
    <t>证券市场管理服务</t>
  </si>
  <si>
    <t>6712</t>
  </si>
  <si>
    <t>证券经纪交易服务</t>
  </si>
  <si>
    <t>6713</t>
  </si>
  <si>
    <t>基金管理服务</t>
  </si>
  <si>
    <t>6721</t>
  </si>
  <si>
    <t>期货市场管理服务</t>
  </si>
  <si>
    <t>6729</t>
  </si>
  <si>
    <t>其他期货市场服务</t>
  </si>
  <si>
    <t>6730</t>
  </si>
  <si>
    <t>证券期货监管服务</t>
  </si>
  <si>
    <t>6740</t>
  </si>
  <si>
    <t>资本投资服务</t>
  </si>
  <si>
    <t>6790</t>
  </si>
  <si>
    <t>其他资本市场服务</t>
  </si>
  <si>
    <t>6811</t>
  </si>
  <si>
    <t>人寿保险</t>
  </si>
  <si>
    <t>6812</t>
  </si>
  <si>
    <t>健康和意外保险</t>
  </si>
  <si>
    <t>6820</t>
  </si>
  <si>
    <t>财产保险</t>
  </si>
  <si>
    <t>6830</t>
  </si>
  <si>
    <t>再保险</t>
  </si>
  <si>
    <t>6840</t>
  </si>
  <si>
    <t>养老金</t>
  </si>
  <si>
    <t>6850</t>
  </si>
  <si>
    <t>保险经纪与代理服务</t>
  </si>
  <si>
    <t>6860</t>
  </si>
  <si>
    <t>保险监管服务</t>
  </si>
  <si>
    <t>6891</t>
  </si>
  <si>
    <t>风险和损失评估</t>
  </si>
  <si>
    <t>6899</t>
  </si>
  <si>
    <t>其他未列明保险活动</t>
  </si>
  <si>
    <t>6910</t>
  </si>
  <si>
    <t>金融信托与管理服务</t>
  </si>
  <si>
    <t>6920</t>
  </si>
  <si>
    <t>控股公司服务</t>
  </si>
  <si>
    <t>6930</t>
  </si>
  <si>
    <t>非金融机构支付服务</t>
  </si>
  <si>
    <t>6940</t>
  </si>
  <si>
    <t>金融信息服务</t>
  </si>
  <si>
    <t>6990</t>
  </si>
  <si>
    <t>其他未列明金融业</t>
  </si>
  <si>
    <t>7010</t>
  </si>
  <si>
    <t>房地产开发经营</t>
  </si>
  <si>
    <t>7020</t>
  </si>
  <si>
    <t>物业管理</t>
  </si>
  <si>
    <t>7030</t>
  </si>
  <si>
    <t>房地产中介服务</t>
  </si>
  <si>
    <t>7040</t>
  </si>
  <si>
    <t>自有房地产经营活动</t>
  </si>
  <si>
    <t>7090</t>
  </si>
  <si>
    <t>其他房地产业</t>
  </si>
  <si>
    <t>7111</t>
  </si>
  <si>
    <t>汽车租赁</t>
  </si>
  <si>
    <t>7112</t>
  </si>
  <si>
    <t>农业机械租赁</t>
  </si>
  <si>
    <t>7113</t>
  </si>
  <si>
    <t>建筑工程机械与设备租赁</t>
  </si>
  <si>
    <t>7114</t>
  </si>
  <si>
    <t>计算机及通讯设备租赁</t>
  </si>
  <si>
    <t>7119</t>
  </si>
  <si>
    <t>其他机械与设备租赁</t>
  </si>
  <si>
    <t>7121</t>
  </si>
  <si>
    <t>娱乐及体育设备出租</t>
  </si>
  <si>
    <t>7122</t>
  </si>
  <si>
    <t>图书出租</t>
  </si>
  <si>
    <t>7123</t>
  </si>
  <si>
    <t>音像制品出租</t>
  </si>
  <si>
    <t>7129</t>
  </si>
  <si>
    <t>其他文化及日用品出租</t>
  </si>
  <si>
    <t>7211</t>
  </si>
  <si>
    <t>企业总部管理</t>
  </si>
  <si>
    <t>7212</t>
  </si>
  <si>
    <t>投资与资产管理</t>
  </si>
  <si>
    <t>7213</t>
  </si>
  <si>
    <t>单位后勤管理服务</t>
  </si>
  <si>
    <t>7219</t>
  </si>
  <si>
    <t>其他企业管理服务</t>
  </si>
  <si>
    <t>7221</t>
  </si>
  <si>
    <t>律师及相关法律服务</t>
  </si>
  <si>
    <t>7222</t>
  </si>
  <si>
    <t>公证服务</t>
  </si>
  <si>
    <t>7229</t>
  </si>
  <si>
    <t>其他法律服务</t>
  </si>
  <si>
    <t>7231</t>
  </si>
  <si>
    <t>会计、审计及税务服务</t>
  </si>
  <si>
    <t>7232</t>
  </si>
  <si>
    <t>市场调查</t>
  </si>
  <si>
    <t>7233</t>
  </si>
  <si>
    <t>社会经济咨询</t>
  </si>
  <si>
    <t>7239</t>
  </si>
  <si>
    <t>其他专业咨询</t>
  </si>
  <si>
    <t>7240</t>
  </si>
  <si>
    <t>广告业</t>
  </si>
  <si>
    <t>7250</t>
  </si>
  <si>
    <t>知识产权服务</t>
  </si>
  <si>
    <t>7261</t>
  </si>
  <si>
    <t>公共就业服务</t>
  </si>
  <si>
    <t>7262</t>
  </si>
  <si>
    <t>职业中介服务</t>
  </si>
  <si>
    <t>7263</t>
  </si>
  <si>
    <t>劳务派遣服务</t>
  </si>
  <si>
    <t>7269</t>
  </si>
  <si>
    <t>其他人力资源服务</t>
  </si>
  <si>
    <t>7271</t>
  </si>
  <si>
    <t>旅行社服务</t>
  </si>
  <si>
    <t>7272</t>
  </si>
  <si>
    <t>旅游管理服务</t>
  </si>
  <si>
    <t>7279</t>
  </si>
  <si>
    <t>其他旅行社相关服务</t>
  </si>
  <si>
    <t>7281</t>
  </si>
  <si>
    <t>安全服务</t>
  </si>
  <si>
    <t>7282</t>
  </si>
  <si>
    <t>安全系统监控服务</t>
  </si>
  <si>
    <t>7289</t>
  </si>
  <si>
    <t>其他安全保护服务</t>
  </si>
  <si>
    <t>7291</t>
  </si>
  <si>
    <t>市场管理</t>
  </si>
  <si>
    <t>7292</t>
  </si>
  <si>
    <t>会议及展览服务</t>
  </si>
  <si>
    <t>7293</t>
  </si>
  <si>
    <t>包装服务</t>
  </si>
  <si>
    <t>7294</t>
  </si>
  <si>
    <t>办公服务</t>
  </si>
  <si>
    <t>7295</t>
  </si>
  <si>
    <t>信用服务</t>
  </si>
  <si>
    <t>7296</t>
  </si>
  <si>
    <t>担保服务</t>
  </si>
  <si>
    <t>7299</t>
  </si>
  <si>
    <t>其他未列明商务服务业</t>
  </si>
  <si>
    <t>7310</t>
  </si>
  <si>
    <t>自然科学研究和试验发展</t>
  </si>
  <si>
    <t>7320</t>
  </si>
  <si>
    <t>工程和技术研究和试验发展</t>
  </si>
  <si>
    <t>7330</t>
  </si>
  <si>
    <t>农业科学研究和试验发展</t>
  </si>
  <si>
    <t>7340</t>
  </si>
  <si>
    <t>医学研究和试验发展</t>
  </si>
  <si>
    <t>7350</t>
  </si>
  <si>
    <t>社会人文科学研究</t>
  </si>
  <si>
    <t>7410</t>
  </si>
  <si>
    <t>气象服务</t>
  </si>
  <si>
    <t>7420</t>
  </si>
  <si>
    <t>地震服务</t>
  </si>
  <si>
    <t>7430</t>
  </si>
  <si>
    <t>海洋服务</t>
  </si>
  <si>
    <t>7440</t>
  </si>
  <si>
    <t>测绘服务</t>
  </si>
  <si>
    <t>7450</t>
  </si>
  <si>
    <t>质检技术服务</t>
  </si>
  <si>
    <t>7461</t>
  </si>
  <si>
    <t>环境保护监测</t>
  </si>
  <si>
    <t>7462</t>
  </si>
  <si>
    <t>生态监测</t>
  </si>
  <si>
    <t>7471</t>
  </si>
  <si>
    <t>能源矿产地质勘查</t>
  </si>
  <si>
    <t>7472</t>
  </si>
  <si>
    <t>固体矿产地质勘查</t>
  </si>
  <si>
    <t>7473</t>
  </si>
  <si>
    <t>水、二氧化碳等矿产地质勘查</t>
  </si>
  <si>
    <t>7474</t>
  </si>
  <si>
    <t>基础地质勘查</t>
  </si>
  <si>
    <t>7475</t>
  </si>
  <si>
    <t>地质勘查技术服务</t>
  </si>
  <si>
    <t>7481</t>
  </si>
  <si>
    <t>工程管理服务</t>
  </si>
  <si>
    <t>7482</t>
  </si>
  <si>
    <t>工程勘察设计</t>
  </si>
  <si>
    <t>7483</t>
  </si>
  <si>
    <t>规划管理</t>
  </si>
  <si>
    <t>7491</t>
  </si>
  <si>
    <t>专业化设计服务</t>
  </si>
  <si>
    <t>7492</t>
  </si>
  <si>
    <t>摄影扩印服务</t>
  </si>
  <si>
    <t>7493</t>
  </si>
  <si>
    <t>兽医服务</t>
  </si>
  <si>
    <t>7499</t>
  </si>
  <si>
    <t>其他未列明专业技术服务业</t>
  </si>
  <si>
    <t>7511</t>
  </si>
  <si>
    <t>农业技术推广服务</t>
  </si>
  <si>
    <t>7512</t>
  </si>
  <si>
    <t>生物技术推广服务</t>
  </si>
  <si>
    <t>7513</t>
  </si>
  <si>
    <t>新材料技术推广服务</t>
  </si>
  <si>
    <t>7514</t>
  </si>
  <si>
    <t>节能技术推广服务</t>
  </si>
  <si>
    <t>7519</t>
  </si>
  <si>
    <t>其他技术推广服务</t>
  </si>
  <si>
    <t>7520</t>
  </si>
  <si>
    <t>科技中介服务</t>
  </si>
  <si>
    <t>7590</t>
  </si>
  <si>
    <t>其他科技推广和应用服务业</t>
  </si>
  <si>
    <t>7610</t>
  </si>
  <si>
    <t>防洪除涝设施管理</t>
  </si>
  <si>
    <t>7620</t>
  </si>
  <si>
    <t>水资源管理</t>
  </si>
  <si>
    <t>7630</t>
  </si>
  <si>
    <t>天然水收集与分配</t>
  </si>
  <si>
    <t>7640</t>
  </si>
  <si>
    <t>水文服务</t>
  </si>
  <si>
    <t>7690</t>
  </si>
  <si>
    <t>其他水利管理业</t>
  </si>
  <si>
    <t>7711</t>
  </si>
  <si>
    <t>自然保护区管理</t>
  </si>
  <si>
    <t>7712</t>
  </si>
  <si>
    <t>野生动物保护</t>
  </si>
  <si>
    <t>7713</t>
  </si>
  <si>
    <t>野生植物保护</t>
  </si>
  <si>
    <t>7719</t>
  </si>
  <si>
    <t>其他自然保护</t>
  </si>
  <si>
    <t>7721</t>
  </si>
  <si>
    <t>水污染治理</t>
  </si>
  <si>
    <t>7722</t>
  </si>
  <si>
    <t>大气污染治理</t>
  </si>
  <si>
    <t>7723</t>
  </si>
  <si>
    <t>固体废物治理</t>
  </si>
  <si>
    <t>7724</t>
  </si>
  <si>
    <t>危险废物治理</t>
  </si>
  <si>
    <t>7725</t>
  </si>
  <si>
    <t>放射性废物治理</t>
  </si>
  <si>
    <t>7729</t>
  </si>
  <si>
    <t>其他污染治理</t>
  </si>
  <si>
    <t>7810</t>
  </si>
  <si>
    <t>市政设施管理</t>
  </si>
  <si>
    <t>7820</t>
  </si>
  <si>
    <t>环境卫生管理</t>
  </si>
  <si>
    <t>7830</t>
  </si>
  <si>
    <t>城乡市容管理</t>
  </si>
  <si>
    <t>7840</t>
  </si>
  <si>
    <t>绿化管理</t>
  </si>
  <si>
    <t>7851</t>
  </si>
  <si>
    <t>公园管理</t>
  </si>
  <si>
    <t>7852</t>
  </si>
  <si>
    <t>游览景区管理</t>
  </si>
  <si>
    <t>7910</t>
  </si>
  <si>
    <t>家庭服务</t>
  </si>
  <si>
    <t>7920</t>
  </si>
  <si>
    <t>托儿所服务</t>
  </si>
  <si>
    <t>7930</t>
  </si>
  <si>
    <t>洗染服务</t>
  </si>
  <si>
    <t>7940</t>
  </si>
  <si>
    <t>理发及美容服务</t>
  </si>
  <si>
    <t>7950</t>
  </si>
  <si>
    <t>洗浴服务</t>
  </si>
  <si>
    <t>7960</t>
  </si>
  <si>
    <t>保健服务</t>
  </si>
  <si>
    <t>7970</t>
  </si>
  <si>
    <t>婚姻服务</t>
  </si>
  <si>
    <t>7980</t>
  </si>
  <si>
    <t>殡葬服务</t>
  </si>
  <si>
    <t>7990</t>
  </si>
  <si>
    <t>其他居民服务业</t>
  </si>
  <si>
    <t>8011</t>
  </si>
  <si>
    <t>汽车修理与维护</t>
  </si>
  <si>
    <t>8012</t>
  </si>
  <si>
    <t>摩托车修理与维护</t>
  </si>
  <si>
    <t>8021</t>
  </si>
  <si>
    <t>计算机和辅助设备修理</t>
  </si>
  <si>
    <t>8022</t>
  </si>
  <si>
    <t>通讯设备修理</t>
  </si>
  <si>
    <t>8029</t>
  </si>
  <si>
    <t>其他办公设备维修</t>
  </si>
  <si>
    <t>8031</t>
  </si>
  <si>
    <t>家用电子产品修理</t>
  </si>
  <si>
    <t>8032</t>
  </si>
  <si>
    <t>日用电器修理</t>
  </si>
  <si>
    <t>8091</t>
  </si>
  <si>
    <t>自行车修理</t>
  </si>
  <si>
    <t>8092</t>
  </si>
  <si>
    <t>鞋和皮革修理</t>
  </si>
  <si>
    <t>8093</t>
  </si>
  <si>
    <t>家具和相关物品修理</t>
  </si>
  <si>
    <t>8099</t>
  </si>
  <si>
    <t>其他未列明日用产品修理业</t>
  </si>
  <si>
    <t>8111</t>
  </si>
  <si>
    <t>建筑物清洁服务</t>
  </si>
  <si>
    <t>8119</t>
  </si>
  <si>
    <t>其他清洁服务</t>
  </si>
  <si>
    <t>8190</t>
  </si>
  <si>
    <t>其他未列明服务业</t>
  </si>
  <si>
    <t>8210</t>
  </si>
  <si>
    <t>学前教育</t>
  </si>
  <si>
    <t>8221</t>
  </si>
  <si>
    <t>普通小学教育</t>
  </si>
  <si>
    <t>8222</t>
  </si>
  <si>
    <t>成人小学教育</t>
  </si>
  <si>
    <t>8231</t>
  </si>
  <si>
    <t>普通初中教育</t>
  </si>
  <si>
    <t>8232</t>
  </si>
  <si>
    <t>职业初中教育</t>
  </si>
  <si>
    <t>8233</t>
  </si>
  <si>
    <t>成人初中教育</t>
  </si>
  <si>
    <t>8234</t>
  </si>
  <si>
    <t>普通高中教育</t>
  </si>
  <si>
    <t>8235</t>
  </si>
  <si>
    <t>成人高中教育</t>
  </si>
  <si>
    <t>8236</t>
  </si>
  <si>
    <t>中等职业学校教育</t>
  </si>
  <si>
    <t>8241</t>
  </si>
  <si>
    <t>普通高等教育</t>
  </si>
  <si>
    <t>8242</t>
  </si>
  <si>
    <t>成人高等教育</t>
  </si>
  <si>
    <t>8250</t>
  </si>
  <si>
    <t>特殊教育</t>
  </si>
  <si>
    <t>8291</t>
  </si>
  <si>
    <t>职业技能培训</t>
  </si>
  <si>
    <t>8292</t>
  </si>
  <si>
    <t>体校及体育培训</t>
  </si>
  <si>
    <t>8293</t>
  </si>
  <si>
    <t>文化艺术培训</t>
  </si>
  <si>
    <t>8294</t>
  </si>
  <si>
    <t>教育辅助服务</t>
  </si>
  <si>
    <t>8299</t>
  </si>
  <si>
    <t>其他未列明教育</t>
  </si>
  <si>
    <t>8311</t>
  </si>
  <si>
    <t>综合医院</t>
  </si>
  <si>
    <t>8312</t>
  </si>
  <si>
    <t>中医医院</t>
  </si>
  <si>
    <t>8313</t>
  </si>
  <si>
    <t>中西医结合医院</t>
  </si>
  <si>
    <t>8314</t>
  </si>
  <si>
    <t>民族医院</t>
  </si>
  <si>
    <t>8315</t>
  </si>
  <si>
    <t>专科医院</t>
  </si>
  <si>
    <t>8316</t>
  </si>
  <si>
    <t>疗养院</t>
  </si>
  <si>
    <t>8321</t>
  </si>
  <si>
    <t>社区卫生服务中心（站）</t>
  </si>
  <si>
    <t>8322</t>
  </si>
  <si>
    <t>街道卫生院</t>
  </si>
  <si>
    <t>8323</t>
  </si>
  <si>
    <t>乡镇卫生院</t>
  </si>
  <si>
    <t>8330</t>
  </si>
  <si>
    <t>门诊部（所）</t>
  </si>
  <si>
    <t>8340</t>
  </si>
  <si>
    <t>计划生育技术服务活动</t>
  </si>
  <si>
    <t>8350</t>
  </si>
  <si>
    <t>妇幼保健院（所、站）</t>
  </si>
  <si>
    <t>8360</t>
  </si>
  <si>
    <t>专科疾病防治院（所、站）</t>
  </si>
  <si>
    <t>8370</t>
  </si>
  <si>
    <t>疾病预防控制中心</t>
  </si>
  <si>
    <t>8390</t>
  </si>
  <si>
    <t>其他卫生活动</t>
  </si>
  <si>
    <t>8411</t>
  </si>
  <si>
    <t>干部休养所</t>
  </si>
  <si>
    <t>8412</t>
  </si>
  <si>
    <t>护理机构服务</t>
  </si>
  <si>
    <t>8413</t>
  </si>
  <si>
    <t>精神康复服务</t>
  </si>
  <si>
    <t>8414</t>
  </si>
  <si>
    <t>老年人、残疾人养护服务</t>
  </si>
  <si>
    <t>8415</t>
  </si>
  <si>
    <t>孤残儿童收养和庇护服务</t>
  </si>
  <si>
    <t>8419</t>
  </si>
  <si>
    <t>其他提供住宿社会救助</t>
  </si>
  <si>
    <t>8421</t>
  </si>
  <si>
    <t>社会看护与帮助服务</t>
  </si>
  <si>
    <t>8429</t>
  </si>
  <si>
    <t>其他不提供住宿社会工作</t>
  </si>
  <si>
    <t>8510</t>
  </si>
  <si>
    <t>新闻业</t>
  </si>
  <si>
    <t>8521</t>
  </si>
  <si>
    <t>图书出版</t>
  </si>
  <si>
    <t>8522</t>
  </si>
  <si>
    <t>报纸出版</t>
  </si>
  <si>
    <t>8523</t>
  </si>
  <si>
    <t>期刊出版</t>
  </si>
  <si>
    <t>8524</t>
  </si>
  <si>
    <t>音像制品出版</t>
  </si>
  <si>
    <t>8525</t>
  </si>
  <si>
    <t>电子出版物出版</t>
  </si>
  <si>
    <t>8529</t>
  </si>
  <si>
    <t>其他出版业</t>
  </si>
  <si>
    <t>8610</t>
  </si>
  <si>
    <t>广播</t>
  </si>
  <si>
    <t>8620</t>
  </si>
  <si>
    <t>电视</t>
  </si>
  <si>
    <t>8630</t>
  </si>
  <si>
    <t>电影和影视节目制作</t>
  </si>
  <si>
    <t>8640</t>
  </si>
  <si>
    <t>电影和影视节目发行</t>
  </si>
  <si>
    <t>8650</t>
  </si>
  <si>
    <t>电影放映</t>
  </si>
  <si>
    <t>8660</t>
  </si>
  <si>
    <t>录音制作</t>
  </si>
  <si>
    <t>8710</t>
  </si>
  <si>
    <t>文艺创作与表演</t>
  </si>
  <si>
    <t>8720</t>
  </si>
  <si>
    <t>艺术表演场馆</t>
  </si>
  <si>
    <t>8731</t>
  </si>
  <si>
    <t>图书馆</t>
  </si>
  <si>
    <t>8732</t>
  </si>
  <si>
    <t>档案馆</t>
  </si>
  <si>
    <t>8740</t>
  </si>
  <si>
    <t>文物及非物质文化遗产保护</t>
  </si>
  <si>
    <t>8750</t>
  </si>
  <si>
    <t>博物馆</t>
  </si>
  <si>
    <t>8760</t>
  </si>
  <si>
    <t>烈士陵园、纪念馆</t>
  </si>
  <si>
    <t>8770</t>
  </si>
  <si>
    <t>群众文化活动</t>
  </si>
  <si>
    <t>8790</t>
  </si>
  <si>
    <t>其他文化艺术业</t>
  </si>
  <si>
    <t>8810</t>
  </si>
  <si>
    <t>体育组织</t>
  </si>
  <si>
    <t>8820</t>
  </si>
  <si>
    <t>体育场馆</t>
  </si>
  <si>
    <t>8830</t>
  </si>
  <si>
    <t>休闲健身活动</t>
  </si>
  <si>
    <t>8890</t>
  </si>
  <si>
    <t>其他体育</t>
  </si>
  <si>
    <t>8911</t>
  </si>
  <si>
    <t>歌舞厅娱乐活动</t>
  </si>
  <si>
    <t>8912</t>
  </si>
  <si>
    <t>电子游艺厅娱乐活动</t>
  </si>
  <si>
    <t>8913</t>
  </si>
  <si>
    <t>网吧活动</t>
  </si>
  <si>
    <t>8919</t>
  </si>
  <si>
    <t>其他室内娱乐活动</t>
  </si>
  <si>
    <t>8920</t>
  </si>
  <si>
    <t>游乐园</t>
  </si>
  <si>
    <t>8930</t>
  </si>
  <si>
    <t>彩票活动</t>
  </si>
  <si>
    <t>8941</t>
  </si>
  <si>
    <t>文化娱乐经纪人</t>
  </si>
  <si>
    <t>8942</t>
  </si>
  <si>
    <t>体育经纪人</t>
  </si>
  <si>
    <t>8949</t>
  </si>
  <si>
    <t>其他文化艺术经纪代理</t>
  </si>
  <si>
    <t>8990</t>
  </si>
  <si>
    <t>其他娱乐业</t>
  </si>
  <si>
    <t>9000</t>
  </si>
  <si>
    <t>中国共产党机关</t>
  </si>
  <si>
    <t>9110</t>
  </si>
  <si>
    <t>国家权力机构</t>
  </si>
  <si>
    <t>9121</t>
  </si>
  <si>
    <t>综合事务管理机构</t>
  </si>
  <si>
    <t>9122</t>
  </si>
  <si>
    <t>对外事务管理机构</t>
  </si>
  <si>
    <t>9123</t>
  </si>
  <si>
    <t>公共安全管理机构</t>
  </si>
  <si>
    <t>9124</t>
  </si>
  <si>
    <t>社会事务管理机构</t>
  </si>
  <si>
    <t>9125</t>
  </si>
  <si>
    <t>经济事务管理机构</t>
  </si>
  <si>
    <t>9126</t>
  </si>
  <si>
    <t>行政监督检查机构</t>
  </si>
  <si>
    <t>9131</t>
  </si>
  <si>
    <t>人民法院</t>
  </si>
  <si>
    <t>9132</t>
  </si>
  <si>
    <t>人民检察院</t>
  </si>
  <si>
    <t>9190</t>
  </si>
  <si>
    <t>其他国家机构</t>
  </si>
  <si>
    <t>9210</t>
  </si>
  <si>
    <t>人民政协</t>
  </si>
  <si>
    <t>9220</t>
  </si>
  <si>
    <t>民主党派</t>
  </si>
  <si>
    <t>9300</t>
  </si>
  <si>
    <t>社会保障</t>
  </si>
  <si>
    <t>9411</t>
  </si>
  <si>
    <t>工会</t>
  </si>
  <si>
    <t>9412</t>
  </si>
  <si>
    <t>妇联</t>
  </si>
  <si>
    <t>9413</t>
  </si>
  <si>
    <t>共青团</t>
  </si>
  <si>
    <t>9419</t>
  </si>
  <si>
    <t>其他群众团体</t>
  </si>
  <si>
    <t>9421</t>
  </si>
  <si>
    <t>专业性团体</t>
  </si>
  <si>
    <t>9422</t>
  </si>
  <si>
    <t>行业性团体</t>
  </si>
  <si>
    <t>9429</t>
  </si>
  <si>
    <t>其他社会团体</t>
  </si>
  <si>
    <t>9430</t>
  </si>
  <si>
    <t>基金会</t>
  </si>
  <si>
    <t>9440</t>
  </si>
  <si>
    <t>宗教组织</t>
  </si>
  <si>
    <t>9510</t>
  </si>
  <si>
    <t>社区自治组织</t>
  </si>
  <si>
    <t>9520</t>
  </si>
  <si>
    <t>村民自治组织</t>
  </si>
  <si>
    <t>9600</t>
  </si>
  <si>
    <t xml:space="preserve">A100000 </t>
  </si>
  <si>
    <t xml:space="preserve">项        目      </t>
  </si>
  <si>
    <t xml:space="preserve">金    额  </t>
  </si>
  <si>
    <t xml:space="preserve">表间关系       </t>
  </si>
  <si>
    <t>一、营业收入(填写A101010\101020\103000)</t>
  </si>
  <si>
    <t>第1行＝表A101010第1行或表A101020第1行或表A103000第2+3+4+5+6行或表A103000第11+12+13+14+15行</t>
  </si>
  <si>
    <t xml:space="preserve">    减：营业成本(填写A102010\102020\103000)</t>
  </si>
  <si>
    <t>第2行＝表A102010第1行或表A102020第1行或表A103000第19+20+21+22行或表A103000第25+26+27行</t>
  </si>
  <si>
    <t xml:space="preserve">        销售费用(填写A104000)</t>
  </si>
  <si>
    <t>第4行＝表A104000第25行第1列</t>
  </si>
  <si>
    <t xml:space="preserve">        管理费用(填写A104000)</t>
  </si>
  <si>
    <t>第5行＝表A104000第25行第3列</t>
  </si>
  <si>
    <t xml:space="preserve">        财务费用(填写A104000)</t>
  </si>
  <si>
    <t>第6行＝表A104000第25行第5列</t>
  </si>
  <si>
    <t xml:space="preserve">    加：公允价值变动收益</t>
  </si>
  <si>
    <t>二、营业利润(1-2-3-4-5-6-7+8+9)</t>
  </si>
  <si>
    <t xml:space="preserve">    加：营业外收入(填写A101010\101020\103000)</t>
  </si>
  <si>
    <t>第11行＝表A101010第16行或表A101020第35行或表A103000第9行或第17行</t>
  </si>
  <si>
    <t xml:space="preserve">    减：营业外支出(填写A102010\102020\103000)</t>
  </si>
  <si>
    <t>第12行＝表A102010第16行或表A102020第33行或表A103000第23行或第28行</t>
  </si>
  <si>
    <t>三、利润总额（10+11-12）</t>
  </si>
  <si>
    <t xml:space="preserve">    减：境外所得（填写A108010）</t>
  </si>
  <si>
    <t>第14行＝表A108010第10行第14列－第11列</t>
  </si>
  <si>
    <t xml:space="preserve">    加：纳税调整增加额（填写A105000）</t>
  </si>
  <si>
    <t>第15行＝表A105000第43行第3列</t>
  </si>
  <si>
    <t xml:space="preserve">    减：纳税调整减少额（填写A105000）</t>
  </si>
  <si>
    <t>第16行＝表A105000第43行第4列</t>
  </si>
  <si>
    <t xml:space="preserve">    减：免税、减计收入及加计扣除（填写A107010）</t>
  </si>
  <si>
    <t xml:space="preserve">    加：境外应税所得抵减境内亏损（填写A108000）</t>
  </si>
  <si>
    <t>第18行＝表A108000第10行第6列。（当本表第13-14+15-16-17行≥0时，本行＝0）</t>
  </si>
  <si>
    <t>四、纳税调整后所得（13-14+15-16-17+18）</t>
  </si>
  <si>
    <t xml:space="preserve">    减：所得减免（填写A107020）</t>
  </si>
  <si>
    <t>第20行=表A107020第40行第7列
≤第19行，本行≤0，填0</t>
  </si>
  <si>
    <t xml:space="preserve">    减：抵扣应纳税所得额（填写A107030）</t>
  </si>
  <si>
    <t>第21行＝表A107030第7行
本行≤第19-20行</t>
  </si>
  <si>
    <t xml:space="preserve">    减：弥补以前年度亏损（填写A106000）</t>
  </si>
  <si>
    <t>第22行＝表A106000第6行第10列
本行≥0且≤第19-20行-21行</t>
  </si>
  <si>
    <t>五、应纳税所得额（19-20-21-22）</t>
  </si>
  <si>
    <t>本行≥0</t>
  </si>
  <si>
    <t xml:space="preserve">    税率（25%）</t>
  </si>
  <si>
    <t>六、应纳所得税额（23×24）</t>
  </si>
  <si>
    <t xml:space="preserve">本行≥0 </t>
  </si>
  <si>
    <t xml:space="preserve">    减：减免所得税额（填写A107040）</t>
  </si>
  <si>
    <t>第26行＝表A107040第29行
本行≤本表第25行</t>
  </si>
  <si>
    <t xml:space="preserve">    减：抵免所得税额（填写A107050）</t>
  </si>
  <si>
    <t>第27行＝表A107050第7行第11列
本行≤本表第25-26行</t>
  </si>
  <si>
    <t>七、应纳税额（25-26-27）</t>
  </si>
  <si>
    <t xml:space="preserve">    加：境外所得应纳所得税额（填写A108000）</t>
  </si>
  <si>
    <t>第29行＝表A108000第10行第9列</t>
  </si>
  <si>
    <t xml:space="preserve">    减：境外所得抵免所得税额（填写A108000）</t>
  </si>
  <si>
    <t>第30行＝表A108000第10行第19列,本行≤本表第29行</t>
  </si>
  <si>
    <t>八、实际应纳所得税额（28+29-30）</t>
  </si>
  <si>
    <t xml:space="preserve">    减：本年累计实际已预缴的所得税额</t>
  </si>
  <si>
    <t>九、本年应补（退）所得税额（31-32）</t>
  </si>
  <si>
    <t xml:space="preserve">    其中：总机构分摊本年应补（退）所得税额(填写A109000)</t>
  </si>
  <si>
    <t>第34行＝表A109000第12+16行</t>
  </si>
  <si>
    <t xml:space="preserve">          财政集中分配本年应补（退）所得税额（填写A109000）</t>
  </si>
  <si>
    <t>第35行＝表A109000第13行</t>
  </si>
  <si>
    <t xml:space="preserve">          总机构主体生产经营部门分摊本年应补（退）所得税额(填写A109000)</t>
  </si>
  <si>
    <t>第36行＝表A109000第15行</t>
  </si>
  <si>
    <t>A101010</t>
  </si>
  <si>
    <t xml:space="preserve">项        目       </t>
  </si>
  <si>
    <t>一、营业收入（2+9）</t>
  </si>
  <si>
    <t xml:space="preserve">第1行＝表A100000第1行 </t>
  </si>
  <si>
    <t xml:space="preserve">   （一）主营业务收入（3+5+6+7+8）</t>
  </si>
  <si>
    <t xml:space="preserve">       1.销售商品收入</t>
  </si>
  <si>
    <t xml:space="preserve">         其中：非货币性资产交换收入</t>
  </si>
  <si>
    <t xml:space="preserve">       2.提供劳务收入</t>
  </si>
  <si>
    <t xml:space="preserve">       3.建造合同收入</t>
  </si>
  <si>
    <t xml:space="preserve">       4.让渡资产使用权收入</t>
  </si>
  <si>
    <t xml:space="preserve">       5.其他</t>
  </si>
  <si>
    <t xml:space="preserve">  （二）其他业务收入（10+12+13+14+15）</t>
  </si>
  <si>
    <t xml:space="preserve">       1.销售材料收入</t>
  </si>
  <si>
    <t xml:space="preserve">         其中：非货币性资产交换收入 </t>
  </si>
  <si>
    <t xml:space="preserve">       2.出租固定资产收入</t>
  </si>
  <si>
    <t xml:space="preserve">       3.出租无形资产收入</t>
  </si>
  <si>
    <t xml:space="preserve">       4.出租包装物和商品收入</t>
  </si>
  <si>
    <t>二、营业外收入（17+18+19+20+21+22+23+24+25+26）</t>
  </si>
  <si>
    <t>第16行＝表A100000第11行</t>
  </si>
  <si>
    <t xml:space="preserve">   （一）非流动资产处置利得</t>
  </si>
  <si>
    <t xml:space="preserve">   （二）非货币性资产交换利得</t>
  </si>
  <si>
    <t xml:space="preserve">   （三）债务重组利得</t>
  </si>
  <si>
    <t xml:space="preserve">   （四）政府补助利得</t>
  </si>
  <si>
    <t xml:space="preserve">   （五）盘盈利得</t>
  </si>
  <si>
    <t xml:space="preserve">   （六）捐赠利得</t>
  </si>
  <si>
    <t xml:space="preserve">   （七）罚没利得</t>
  </si>
  <si>
    <t xml:space="preserve">   （八）确实无法偿付的应付款项</t>
  </si>
  <si>
    <t xml:space="preserve">   （九）汇兑收益</t>
  </si>
  <si>
    <t xml:space="preserve">   （十）其他</t>
  </si>
  <si>
    <t xml:space="preserve">A101020 </t>
  </si>
  <si>
    <t>金融企业收入明细表</t>
  </si>
  <si>
    <t xml:space="preserve">项        目           </t>
  </si>
  <si>
    <t xml:space="preserve">金    额   </t>
  </si>
  <si>
    <t xml:space="preserve">表间关系      </t>
  </si>
  <si>
    <t>一、营业收入（2+18+27+32+33+34）</t>
  </si>
  <si>
    <t>第1行＝表A100000第1行</t>
  </si>
  <si>
    <t xml:space="preserve">   （一）银行业务收入（3+10）</t>
  </si>
  <si>
    <t xml:space="preserve">       1.利息收入（4+5+6+7+8+9）</t>
  </si>
  <si>
    <t xml:space="preserve">        （1）存放同业</t>
  </si>
  <si>
    <t xml:space="preserve">        （2）存放中央银行</t>
  </si>
  <si>
    <t xml:space="preserve">        （3）拆出资金</t>
  </si>
  <si>
    <t xml:space="preserve">        （4）发放贷款及垫资</t>
  </si>
  <si>
    <t xml:space="preserve">        （5）买入返售金融资产</t>
  </si>
  <si>
    <t xml:space="preserve">        （6）其他</t>
  </si>
  <si>
    <t xml:space="preserve">       2.手续费及佣金收入（11+12+13+14+15+16+17）</t>
  </si>
  <si>
    <t xml:space="preserve">        （1）结算与清算手续费</t>
  </si>
  <si>
    <t xml:space="preserve">        （2）代理业务手续费</t>
  </si>
  <si>
    <t xml:space="preserve">        （3）信用承诺手续费及佣金</t>
  </si>
  <si>
    <t xml:space="preserve">        （4）银行卡手续费</t>
  </si>
  <si>
    <t xml:space="preserve">        （5）顾问和咨询费</t>
  </si>
  <si>
    <t xml:space="preserve">        （6）托管及其他受托业务佣金</t>
  </si>
  <si>
    <t xml:space="preserve">        （7）其他</t>
  </si>
  <si>
    <t xml:space="preserve">   （二）证券业务收入（19+26）</t>
  </si>
  <si>
    <t xml:space="preserve">       1.证券业务手续费及佣金收入（20+21+22+23+24+25）</t>
  </si>
  <si>
    <t xml:space="preserve">        （1）证券承销业务</t>
  </si>
  <si>
    <t xml:space="preserve">        （2）证券经纪业务 </t>
  </si>
  <si>
    <t xml:space="preserve">        （3）受托客户资产管理业务 </t>
  </si>
  <si>
    <t xml:space="preserve">        （4）代理兑付证券 </t>
  </si>
  <si>
    <t xml:space="preserve">        （5）代理保管证券 </t>
  </si>
  <si>
    <t xml:space="preserve">       2.其他证券业务收入</t>
  </si>
  <si>
    <t xml:space="preserve">   （三）已赚保费（28-30-31）</t>
  </si>
  <si>
    <t xml:space="preserve">       1.保险业务收入</t>
  </si>
  <si>
    <t xml:space="preserve">         其中：分保费收入</t>
  </si>
  <si>
    <t xml:space="preserve">       2.分出保费</t>
  </si>
  <si>
    <t xml:space="preserve">       3.提取未到期责任准备金</t>
  </si>
  <si>
    <t xml:space="preserve">   （四）其他金融业务收入</t>
  </si>
  <si>
    <t xml:space="preserve">   （五）汇兑收益（损失以“-”号填列）</t>
  </si>
  <si>
    <t xml:space="preserve">   （六）其他业务收入</t>
  </si>
  <si>
    <t>二、营业外收入（36+37+38+39+40+41+42）</t>
  </si>
  <si>
    <t>第35行＝表A100000第11行</t>
  </si>
  <si>
    <t xml:space="preserve">   （一）非流动资产处置利得 </t>
  </si>
  <si>
    <t xml:space="preserve">   （二）非货币性资产交换利得 </t>
  </si>
  <si>
    <t xml:space="preserve">   （三）债务重组利得 </t>
  </si>
  <si>
    <t xml:space="preserve">   （四）政府补助利得 </t>
  </si>
  <si>
    <t xml:space="preserve">   （五）盘盈利得 </t>
  </si>
  <si>
    <t xml:space="preserve">   （六）捐赠利得 </t>
  </si>
  <si>
    <t xml:space="preserve">   （七）其他  </t>
  </si>
  <si>
    <t xml:space="preserve">A102010 </t>
  </si>
  <si>
    <t>一般企业成本支出明细表</t>
  </si>
  <si>
    <t xml:space="preserve">项         目 </t>
  </si>
  <si>
    <t>一、营业成本（2+9）</t>
  </si>
  <si>
    <t>第1行＝表A100000第2行</t>
  </si>
  <si>
    <t xml:space="preserve">   （一）主营业务成本（3+5+6+7+8）</t>
  </si>
  <si>
    <t xml:space="preserve">       1.销售商品成本</t>
  </si>
  <si>
    <t xml:space="preserve">         其中:非货币性资产交换成本</t>
  </si>
  <si>
    <t xml:space="preserve">       2.提供劳务成本</t>
  </si>
  <si>
    <t xml:space="preserve">       3.建造合同成本</t>
  </si>
  <si>
    <t xml:space="preserve">       4.让渡资产使用权成本</t>
  </si>
  <si>
    <t xml:space="preserve">   （二）其他业务成本（10+12+13+14+15）</t>
  </si>
  <si>
    <t xml:space="preserve">       1.材料销售成本</t>
  </si>
  <si>
    <t xml:space="preserve">       2.出租固定资产成本</t>
  </si>
  <si>
    <t xml:space="preserve">       3.出租无形资产成本</t>
  </si>
  <si>
    <t xml:space="preserve">       4.包装物出租成本</t>
  </si>
  <si>
    <t xml:space="preserve">       5.其他 </t>
  </si>
  <si>
    <t>二、营业外支出（17+18+19+20+21+22+23+24+25+26）</t>
  </si>
  <si>
    <t>第16行＝表A100000第12行</t>
  </si>
  <si>
    <t xml:space="preserve">   （一）非流动资产处置损失</t>
  </si>
  <si>
    <t xml:space="preserve">   （二）非货币性资产交换损失</t>
  </si>
  <si>
    <t xml:space="preserve">   （三）债务重组损失</t>
  </si>
  <si>
    <t xml:space="preserve">   （四）非常损失</t>
  </si>
  <si>
    <t xml:space="preserve">   （五）捐赠支出</t>
  </si>
  <si>
    <t xml:space="preserve">   （六）赞助支出</t>
  </si>
  <si>
    <t xml:space="preserve">   （七）罚没支出</t>
  </si>
  <si>
    <t xml:space="preserve">   （八）坏账损失</t>
  </si>
  <si>
    <t xml:space="preserve">   （九）无法收回的债券股权投资损失</t>
  </si>
  <si>
    <t xml:space="preserve">A102020 </t>
  </si>
  <si>
    <t>金融企业支出明细表</t>
  </si>
  <si>
    <t xml:space="preserve">项        目     </t>
  </si>
  <si>
    <t xml:space="preserve">金    额    </t>
  </si>
  <si>
    <t>一、营业支出（2+15+25+31+32）</t>
  </si>
  <si>
    <t xml:space="preserve">第1行＝表A100000第2行 </t>
  </si>
  <si>
    <t xml:space="preserve">   （一）银行业务支出（3+11）</t>
  </si>
  <si>
    <t xml:space="preserve">       1.银行利息支出（4+5+6+7+8+9+10）</t>
  </si>
  <si>
    <t xml:space="preserve">        （1）同业存放</t>
  </si>
  <si>
    <t xml:space="preserve">        （2）向中央银行借款</t>
  </si>
  <si>
    <t xml:space="preserve">        （3）拆入资金</t>
  </si>
  <si>
    <t xml:space="preserve">        （4）吸收存款</t>
  </si>
  <si>
    <t xml:space="preserve">        （5）卖出回购金融资产</t>
  </si>
  <si>
    <t xml:space="preserve">        （6）发行债券</t>
  </si>
  <si>
    <t xml:space="preserve">        （7）其他 </t>
  </si>
  <si>
    <t xml:space="preserve">       2.银行手续费及佣金支出（12+13+14）</t>
  </si>
  <si>
    <t xml:space="preserve">        （1）手续费支出</t>
  </si>
  <si>
    <t xml:space="preserve">        （2）佣金支出</t>
  </si>
  <si>
    <t xml:space="preserve">        （3）其他</t>
  </si>
  <si>
    <t xml:space="preserve">   （二）保险业务支出（16+17-18+19-20+21+22-23+24）</t>
  </si>
  <si>
    <t xml:space="preserve">       1.退保金</t>
  </si>
  <si>
    <t xml:space="preserve">       2.赔付支出</t>
  </si>
  <si>
    <t xml:space="preserve">         减：摊回赔付支出</t>
  </si>
  <si>
    <t xml:space="preserve">       3.提取保险责任准备金</t>
  </si>
  <si>
    <t xml:space="preserve">         减：摊回保险责任准备金</t>
  </si>
  <si>
    <t xml:space="preserve">       4.保单红利支出</t>
  </si>
  <si>
    <t xml:space="preserve">       5.分保费用</t>
  </si>
  <si>
    <t xml:space="preserve">         减：摊回分保费用</t>
  </si>
  <si>
    <t xml:space="preserve">       6.保险业务手续费及佣金支出</t>
  </si>
  <si>
    <t xml:space="preserve">    （三）证券业务支出（26+30）</t>
  </si>
  <si>
    <t xml:space="preserve">       1.证券业务手续费及佣金支出（27+28+29）</t>
  </si>
  <si>
    <t xml:space="preserve">        （1）证券经纪业务手续费支出</t>
  </si>
  <si>
    <t xml:space="preserve">       2.其他证券业务支出</t>
  </si>
  <si>
    <t xml:space="preserve">   （四）其他金融业务支出</t>
  </si>
  <si>
    <t xml:space="preserve">   （五）其他业务成本</t>
  </si>
  <si>
    <t>二、营业外支出（34+35+36+37+38+39）</t>
  </si>
  <si>
    <t>第33行＝表A100000第12行</t>
  </si>
  <si>
    <t xml:space="preserve">   （四）捐赠支出</t>
  </si>
  <si>
    <t xml:space="preserve">   （五）非常损失</t>
  </si>
  <si>
    <t xml:space="preserve">   （六）其他 </t>
  </si>
  <si>
    <t xml:space="preserve">A103000 </t>
  </si>
  <si>
    <t>事业单位、民间非营利组织收入、支出明细表</t>
  </si>
  <si>
    <t xml:space="preserve">项        目        </t>
  </si>
  <si>
    <t xml:space="preserve">金    额 </t>
  </si>
  <si>
    <t>一、事业单位收入（2+3+4+5+6+7）</t>
  </si>
  <si>
    <t>第2+3+4+5+6行或第11+12+13+14+15行＝表A100000第1行</t>
  </si>
  <si>
    <t xml:space="preserve">   （一）财政补助收入</t>
  </si>
  <si>
    <t xml:space="preserve">   （二）事业收入</t>
  </si>
  <si>
    <t xml:space="preserve">   （三）上级补助收入</t>
  </si>
  <si>
    <t xml:space="preserve">   （四）附属单位上缴收入 </t>
  </si>
  <si>
    <t xml:space="preserve">   （五）经营收入</t>
  </si>
  <si>
    <t xml:space="preserve">   （六）其他收入（8+9）</t>
  </si>
  <si>
    <t xml:space="preserve">        其中：投资收益</t>
  </si>
  <si>
    <t>第8行或第16行＝表A100000第9行</t>
  </si>
  <si>
    <t xml:space="preserve">              其他</t>
  </si>
  <si>
    <t>第9行或第17行＝表A100000第11行</t>
  </si>
  <si>
    <t>二、民间非营利组织收入(11+12+13+14+15+16+17)</t>
  </si>
  <si>
    <t xml:space="preserve">   （一）接受捐赠收入</t>
  </si>
  <si>
    <t xml:space="preserve">   （二）会费收入</t>
  </si>
  <si>
    <t xml:space="preserve">   （三）提供劳务收入</t>
  </si>
  <si>
    <t xml:space="preserve">   （四）商品销售收入</t>
  </si>
  <si>
    <t xml:space="preserve">   （五）政府补助收入</t>
  </si>
  <si>
    <t xml:space="preserve">   （六）投资收益</t>
  </si>
  <si>
    <t xml:space="preserve">   （七）其他收入</t>
  </si>
  <si>
    <t>三、事业单位支出（19+20+21+22+23）</t>
  </si>
  <si>
    <t xml:space="preserve">   （一）事业支出</t>
  </si>
  <si>
    <t>第19+20+21+22行或第25+26+27行＝表A100000第2行</t>
  </si>
  <si>
    <t xml:space="preserve">   （二）上缴上级支出</t>
  </si>
  <si>
    <t xml:space="preserve">   （三）对附属单位补助</t>
  </si>
  <si>
    <t xml:space="preserve">   （四）经营支出</t>
  </si>
  <si>
    <t xml:space="preserve">   （五）其他支出</t>
  </si>
  <si>
    <t>第23行或第28行＝表A100000第12行</t>
  </si>
  <si>
    <t>四、民间非营利组织支出（25+26+27+28）</t>
  </si>
  <si>
    <t xml:space="preserve">   （一）业务活动成本</t>
  </si>
  <si>
    <t xml:space="preserve">   （二）管理费用</t>
  </si>
  <si>
    <t xml:space="preserve">   （三）筹资费用</t>
  </si>
  <si>
    <t xml:space="preserve">   （四）其他费用</t>
  </si>
  <si>
    <t xml:space="preserve">A104000 </t>
  </si>
  <si>
    <t>期间费用明细表</t>
  </si>
  <si>
    <t>销售费用</t>
  </si>
  <si>
    <t>其中：境外支付</t>
  </si>
  <si>
    <t>一、职工薪酬</t>
  </si>
  <si>
    <t>二、劳务费</t>
  </si>
  <si>
    <t>三、咨询顾问费</t>
  </si>
  <si>
    <t>四、业务招待费</t>
  </si>
  <si>
    <t>五、广告费和业务宣传费</t>
  </si>
  <si>
    <t>六、佣金和手续费</t>
  </si>
  <si>
    <t>七、资产折旧摊销费</t>
  </si>
  <si>
    <t>八、财产损耗、盘亏及毁损损失</t>
  </si>
  <si>
    <t>九、办公费</t>
  </si>
  <si>
    <t>十、董事会费</t>
  </si>
  <si>
    <t>十一、租赁费</t>
  </si>
  <si>
    <t>十二、诉讼费</t>
  </si>
  <si>
    <t>十三、差旅费</t>
  </si>
  <si>
    <t>十四、保险费</t>
  </si>
  <si>
    <t>十五、运输、仓储费</t>
  </si>
  <si>
    <t>十六、修理费</t>
  </si>
  <si>
    <t>十七、包装费</t>
  </si>
  <si>
    <t>十八、技术转让费</t>
  </si>
  <si>
    <t>十九、研究费用</t>
  </si>
  <si>
    <t>二十、各项税费</t>
  </si>
  <si>
    <t>二十一、利息收支</t>
  </si>
  <si>
    <t>二十二、汇兑差额</t>
  </si>
  <si>
    <t>二十三、现金折扣</t>
  </si>
  <si>
    <t>二十四、其他</t>
  </si>
  <si>
    <t>合计(1+2+3+…24)</t>
  </si>
  <si>
    <t xml:space="preserve">1.第25行第1列＝表A100000第4行
2.第25行第3列＝表A100000第5行
3.第25行第5列＝表A100000第6行
</t>
  </si>
  <si>
    <t xml:space="preserve">A105000 </t>
  </si>
  <si>
    <t xml:space="preserve">项        目         </t>
  </si>
  <si>
    <t>一、收入类调整项目（2+3+4+5+6+7+8+10+11）</t>
  </si>
  <si>
    <t>　  （一）视同销售收入（填写A105010）</t>
  </si>
  <si>
    <t>第2行第2列＝表A105010第1行第1列；第2行第3列＝表A105010第1行第2列</t>
  </si>
  <si>
    <t>　  （二）未按权责发生制原则确认的收入（填写A105020）</t>
  </si>
  <si>
    <t>第3行第1列＝表A105020第14行第2列；第3行第2列＝表A105020第14行第4列；若表A105020第14行第6列≥0，填入第3行第3列；若表A105020第14行第6列＜0，将绝对值填入第3行第4列</t>
  </si>
  <si>
    <t xml:space="preserve">    （三）投资收益（填写A105030）</t>
  </si>
  <si>
    <t>第4行第1列＝ 表A105030第10行第1+8列；第4行第2列＝表A105030第10行第2+9列；若表A105030第10行第11列≥0，填入第4行第3列；若表A105030第10行第11列＜0，将绝对值填入第4行第4列</t>
  </si>
  <si>
    <t>　  （四）按权益法核算长期股权投资对初始投资成本调整确认收益</t>
  </si>
  <si>
    <t xml:space="preserve">    （五）交易性金融资产初始投资调整  </t>
  </si>
  <si>
    <t>　  （六）公允价值变动净损益</t>
  </si>
  <si>
    <t>第1列＜0，将绝对值填入第3列；若第1列≥0，填入第4列。</t>
  </si>
  <si>
    <t xml:space="preserve">    （七）不征税收入</t>
  </si>
  <si>
    <t xml:space="preserve">          其中：专项用途财政性资金（填写A105040）</t>
  </si>
  <si>
    <t>第9行第3列＝表A105040第7行第14列；第9行第4列＝表A105040第7行第4列</t>
  </si>
  <si>
    <t xml:space="preserve">    （八）销售折扣、折让和退回</t>
  </si>
  <si>
    <t>第1列减第2列，若余额≥0，填入第3列；若余额＜0，将绝对值填入第4列</t>
  </si>
  <si>
    <t>　  （九）其他</t>
  </si>
  <si>
    <t>若第2列≥第1列，将第2-1列的余额填入第3列，若第2列＜第1列，将第2-1列余额的绝对值填入第4列</t>
  </si>
  <si>
    <t>二、扣除类调整项目
    （13+14+15+16+17+18+19+20+21+22+23+24+26+27+28+29）</t>
  </si>
  <si>
    <t>　  （一）视同销售成本（填写A105010）</t>
  </si>
  <si>
    <t>第13行第2列＝表A105010第11行第1列；第13行第4列＝表A105010第11行第2列的绝对值</t>
  </si>
  <si>
    <t>　  （二）职工薪酬（填写A105050）</t>
  </si>
  <si>
    <t>第14行第1列＝表A105050第13行第1列；第14行第2列＝表A105050第13行第4列；若表A105050第13行第5列≥0，填入第14行第3列；若表A105050第13行第5列＜0，将绝对值填入第14行第4列</t>
  </si>
  <si>
    <t>　  （三）业务招待费支出</t>
  </si>
  <si>
    <t>第3列=第1-2列；第1列=表A104000第4行第1列+第4行第3列</t>
  </si>
  <si>
    <t>　  （四）广告费和业务宣传费支出（填写A105060）</t>
  </si>
  <si>
    <t>若表A105060第12行≥0，填入第16行第3列，若表A105060第12行＜0，将绝对值填入第16行第4列</t>
  </si>
  <si>
    <t>　  （五）捐赠支出（填写A105070）</t>
  </si>
  <si>
    <t>第17行第1列＝表A105070第20行第2+6列；第17行第2列＝表A105070第20行第4列；第17行第3列＝表A105070第20行第7列</t>
  </si>
  <si>
    <t>　  （六）利息支出</t>
  </si>
  <si>
    <t>若第1列≥第2列，将第1列减第2列余额填入第3列，若第1列＜第2列，将第1列减第2列余额的绝对值填入第4列</t>
  </si>
  <si>
    <t>　  （七）罚金、罚款和被没收财物的损失</t>
  </si>
  <si>
    <t>第3列=第1列</t>
  </si>
  <si>
    <t>　  （八）税收滞纳金、加收利息</t>
  </si>
  <si>
    <t>　  （九）赞助支出</t>
  </si>
  <si>
    <t>　  （十）与未实现融资收益相关在当期确认的财务费用</t>
  </si>
  <si>
    <t>若第1列≥第2列，将第1-2列余额填入第3列；若第1列＜第2列，将第1-2列余额的绝对值填入第4列</t>
  </si>
  <si>
    <t xml:space="preserve">    （十一）佣金和手续费支出</t>
  </si>
  <si>
    <t>第3列=第1-2列</t>
  </si>
  <si>
    <t xml:space="preserve">　  （十二）不征税收入用于支出所形成的费用 </t>
  </si>
  <si>
    <t xml:space="preserve">            其中：专项用途财政性资金用于支出所形成的费用（填写A105040）</t>
  </si>
  <si>
    <t>第25行第3列＝表A105040第7行第11列</t>
  </si>
  <si>
    <t>　  （十四）与取得收入无关的支出</t>
  </si>
  <si>
    <t xml:space="preserve">    （十五）境外所得分摊的共同支出</t>
  </si>
  <si>
    <t>第28行第3列＝表A108010第10行第16+17列</t>
  </si>
  <si>
    <t>　  （十六）其他</t>
  </si>
  <si>
    <t>三、资产类调整项目（31+32+33+34）</t>
  </si>
  <si>
    <t xml:space="preserve">    （一）资产折旧、摊销 （填写A105080）</t>
  </si>
  <si>
    <t>第31行第1列＝表A105080第27行第2列；第31行第2列＝表A105080第27行第5+6列；若表A105080第27行第9列≥0，填入第31行第3列，若表A105080第27行第9列＜0，将绝对值填入第31行第4列</t>
  </si>
  <si>
    <t xml:space="preserve">    （二）资产减值准备金</t>
  </si>
  <si>
    <t>第1列，若≥0，填入第3列；若＜0，将绝对值填入第4列</t>
  </si>
  <si>
    <t>　  （三）资产损失（填写A105090）</t>
  </si>
  <si>
    <t>第33行第1列＝表A105090第14行第1列；第33行第2列＝表A105090第14行第2列；若表A105090第14行第3列≥0，填入第33行第3列，若表A105090第14行第3列＜0，将绝对值填入第33行第4列</t>
  </si>
  <si>
    <t>　  （四）其他</t>
  </si>
  <si>
    <t>四、特殊事项调整项目（36+37+38+39+40）</t>
  </si>
  <si>
    <t>　  （一）企业重组（填写A105100）</t>
  </si>
  <si>
    <t>第36行第1列＝表A105100第14行第1+4列；第36行第2列＝表A105100第14行第2+5列；若表A105100第14行第7列≥0，填入第36行第3列，若表A105100第14行第7列＜0，将绝对值填入第36行第4列</t>
  </si>
  <si>
    <t xml:space="preserve">    （二）政策性搬迁（填写A105110）</t>
  </si>
  <si>
    <t>若表A105110第24行≥0，填入第37行第3列，若表A105110第24行＜0，将绝对值填入第37行第4列</t>
  </si>
  <si>
    <t xml:space="preserve">    （三）特殊行业准备金（填写A105120）</t>
  </si>
  <si>
    <t>第38行第1列＝表A105120第30行第1列；第38行第2列＝表A105120第30行第2列；若表A105120第30行第3列≥0，填入第38行第3列，若表A105120第30行第3列＜0，将绝对值填入第38行第4列</t>
  </si>
  <si>
    <t xml:space="preserve">    （四）房地产开发企业特定业务计算的纳税调整额(填写A105010)</t>
  </si>
  <si>
    <t>第39行第2列＝表A105010第21行第1列；若表A105010第21行第2列≥0，填入第39行第3列，若表A105010第21行第2列＜0，将绝对值填入第39行第4列</t>
  </si>
  <si>
    <t xml:space="preserve">    （五）其他</t>
  </si>
  <si>
    <t>五、特别纳税调整应税所得</t>
  </si>
  <si>
    <t xml:space="preserve">六、其他 </t>
  </si>
  <si>
    <t>合计（1+12+30+35+41+42）</t>
  </si>
  <si>
    <t>第43行第3列＝表A100000第15行；第43行第4列＝表A100000第16行</t>
  </si>
  <si>
    <t xml:space="preserve">A105010 </t>
  </si>
  <si>
    <t>视同销售和房地产开发企业特定业务纳税调整明细表</t>
  </si>
  <si>
    <t xml:space="preserve">纳税调整金额  </t>
  </si>
  <si>
    <t xml:space="preserve">表间关系        </t>
  </si>
  <si>
    <t>一、视同销售（营业）收入（2+3+4+5+6+7+8+9+10）</t>
  </si>
  <si>
    <t>第1行第1列＝表A105000第2行第2列</t>
  </si>
  <si>
    <t xml:space="preserve">    （一）非货币性资产交换视同销售收入</t>
  </si>
  <si>
    <t>第1行第2列＝表A105000第2行第3列</t>
  </si>
  <si>
    <t xml:space="preserve">    （二）用于市场推广或销售视同销售收入</t>
  </si>
  <si>
    <t xml:space="preserve">    （三）用于交际应酬视同销售收入</t>
  </si>
  <si>
    <t xml:space="preserve">    （四）用于职工奖励或福利视同销售收入</t>
  </si>
  <si>
    <t xml:space="preserve">    （五）用于股息分配视同销售收入</t>
  </si>
  <si>
    <t xml:space="preserve">    （六）用于对外捐赠视同销售收入</t>
  </si>
  <si>
    <t xml:space="preserve">    （七）用于对外投资项目视同销售收入</t>
  </si>
  <si>
    <t xml:space="preserve">    （八）提供劳务视同销售收入</t>
  </si>
  <si>
    <t xml:space="preserve">    （九）其他</t>
  </si>
  <si>
    <t>二、视同销售（营业）成本（12+13+14+15+16+17+18+19+20）</t>
  </si>
  <si>
    <t>第11行第1列＝表A105000第13行第2列，第11行第2列的绝对值＝表A105000第13行第4列</t>
  </si>
  <si>
    <t xml:space="preserve">    （一）非货币性资产交换视同销售成本</t>
  </si>
  <si>
    <t xml:space="preserve">    （二）用于市场推广或销售视同销售成本</t>
  </si>
  <si>
    <t xml:space="preserve">    （三）用于交际应酬视同销售成本</t>
  </si>
  <si>
    <t xml:space="preserve">    （四）用于职工奖励或福利视同销售成本</t>
  </si>
  <si>
    <t xml:space="preserve">    （五）用于股息分配视同销售成本</t>
  </si>
  <si>
    <t xml:space="preserve">    （六）用于对外捐赠视同销售成本</t>
  </si>
  <si>
    <t xml:space="preserve">    （七）用于对外投资项目视同销售成本</t>
  </si>
  <si>
    <t xml:space="preserve">    （八）提供劳务视同销售成本</t>
  </si>
  <si>
    <t>三、房地产开发企业特定业务计算的纳税调整额（22-26）</t>
  </si>
  <si>
    <t>第21行第1列＝表A105000第39行第2列，第21行第2列，若≥0，填入表A105000第39行第3列；若＜0，将绝对值填入表A105000第39行第4列</t>
  </si>
  <si>
    <t xml:space="preserve">    （一）房地产企业销售未完工开发产品特定业务计算的纳税调整额（24-25）</t>
  </si>
  <si>
    <t xml:space="preserve">        1.销售未完工产品的收入</t>
  </si>
  <si>
    <t xml:space="preserve">        2.销售未完工产品预计毛利额</t>
  </si>
  <si>
    <t xml:space="preserve">        3.实际发生的营业税金及附加、土地增值税</t>
  </si>
  <si>
    <t xml:space="preserve">    （二）房地产企业销售的未完工产品转完工产品特定业务计算的纳税调整额（28-29）</t>
  </si>
  <si>
    <t xml:space="preserve">        1.销售未完工产品转完工产品确认的销售收入</t>
  </si>
  <si>
    <t xml:space="preserve">        2.转回的销售未完工产品预计毛利额</t>
  </si>
  <si>
    <t xml:space="preserve">        3.转回实际发生的营业税金及附加、土地增值税</t>
  </si>
  <si>
    <t xml:space="preserve">A105020 </t>
  </si>
  <si>
    <t>未按权责发生制确认收入纳税调整明细表</t>
  </si>
  <si>
    <t>合同金额（交易金额）</t>
  </si>
  <si>
    <t xml:space="preserve"> 纳税调整金额</t>
  </si>
  <si>
    <t xml:space="preserve">本年 </t>
  </si>
  <si>
    <t>累计</t>
  </si>
  <si>
    <t>6（4-2）</t>
  </si>
  <si>
    <t>一、跨期收取的租金、利息、特许权使用费收入（2+3+4）</t>
  </si>
  <si>
    <t xml:space="preserve">   （一）租金</t>
  </si>
  <si>
    <t xml:space="preserve">   （二）利息</t>
  </si>
  <si>
    <t xml:space="preserve">   （三）特许权使用费</t>
  </si>
  <si>
    <t>二、分期确认收入（6+7+8）</t>
  </si>
  <si>
    <t xml:space="preserve">   （一）分期收款方式销售货物收入</t>
  </si>
  <si>
    <t xml:space="preserve">   （二）持续时间超过12个月的建造合同收入</t>
  </si>
  <si>
    <t xml:space="preserve">   （三）其他分期确认收入</t>
  </si>
  <si>
    <t>三、政府补助递延收入（10+11+12）</t>
  </si>
  <si>
    <t xml:space="preserve">   （一）与收益相关的政府补助</t>
  </si>
  <si>
    <t xml:space="preserve">   （二）与资产相关的政府补助</t>
  </si>
  <si>
    <t xml:space="preserve">   （三）其他 </t>
  </si>
  <si>
    <t>四、其他未按权责发生制确认收入</t>
  </si>
  <si>
    <t>合计（1+5+9+13）</t>
  </si>
  <si>
    <t xml:space="preserve">1.第14行第2列＝表A105000第3行第1列
2.第14行第4列＝表A105000第3行第2列
3.第14行第6列，若≥0，填入表A105000第3行第3列；若＜0，将绝对值填入表A105000第3行第4列
</t>
  </si>
  <si>
    <t xml:space="preserve">A105030 </t>
  </si>
  <si>
    <t>投资收益纳税调整明细表</t>
  </si>
  <si>
    <t>持有收益</t>
  </si>
  <si>
    <t>处置收益</t>
  </si>
  <si>
    <t>会计确认的处置收入</t>
  </si>
  <si>
    <t>税收计算的处置收入</t>
  </si>
  <si>
    <t>处置投资的账面价值</t>
  </si>
  <si>
    <t>处置投资的计税基础</t>
  </si>
  <si>
    <t>会计确认的处置所得或损失</t>
  </si>
  <si>
    <t>税收计算的处置所得</t>
  </si>
  <si>
    <t>3（2-1）</t>
  </si>
  <si>
    <t>8（4-6）</t>
  </si>
  <si>
    <t>9（5-7）</t>
  </si>
  <si>
    <t>10（9-8）</t>
  </si>
  <si>
    <t>11（3+10）</t>
  </si>
  <si>
    <t xml:space="preserve">一、交易性金融资产     </t>
  </si>
  <si>
    <t xml:space="preserve">二、可供出售金融资产    </t>
  </si>
  <si>
    <t xml:space="preserve">三、持有至到期投资    </t>
  </si>
  <si>
    <t xml:space="preserve">四、衍生工具        </t>
  </si>
  <si>
    <t xml:space="preserve">五、交易性金融负债      </t>
  </si>
  <si>
    <t>六、长期股权投资</t>
  </si>
  <si>
    <t>七、短期投资</t>
  </si>
  <si>
    <t>八、长期债券投资</t>
  </si>
  <si>
    <t xml:space="preserve">九、其他 </t>
  </si>
  <si>
    <t>合计(1+2+3+4+5+6+7+8+9)</t>
  </si>
  <si>
    <t xml:space="preserve">1.第10行1+8列＝表A105000第4行第1列
2.第10行2+9列＝表A105000第4行第2列
3.第10行第11列，若≥0，填入表A105000第4行第3列；若＜0，将绝对值填入表A105000第4行第4列
</t>
  </si>
  <si>
    <t xml:space="preserve">A105040 </t>
  </si>
  <si>
    <t>专项用途财政性资金纳税调整明细表</t>
  </si>
  <si>
    <t>取得年度</t>
  </si>
  <si>
    <t>财政性资金</t>
  </si>
  <si>
    <t>其中：符合不征税收入条件的财政性资金</t>
  </si>
  <si>
    <t>以前年度支出情况</t>
  </si>
  <si>
    <t>本年支出情况</t>
  </si>
  <si>
    <t>本年结余情况</t>
  </si>
  <si>
    <t xml:space="preserve">前五年度  </t>
  </si>
  <si>
    <t xml:space="preserve">前四年度 </t>
  </si>
  <si>
    <t xml:space="preserve">前三年度 </t>
  </si>
  <si>
    <t xml:space="preserve">前二年度 </t>
  </si>
  <si>
    <t xml:space="preserve">前一年度 </t>
  </si>
  <si>
    <t>支出金额</t>
  </si>
  <si>
    <t>其中：费用化支出金额</t>
  </si>
  <si>
    <t>结余金额</t>
  </si>
  <si>
    <t>其中：上缴财政金额</t>
  </si>
  <si>
    <t>应计入本年应税收入金额</t>
  </si>
  <si>
    <t>其中：计入本年损益的金额</t>
  </si>
  <si>
    <t xml:space="preserve">前五年度 </t>
  </si>
  <si>
    <t>本    年</t>
  </si>
  <si>
    <t>合计（1+2+3+4+5+6）</t>
  </si>
  <si>
    <t xml:space="preserve">1.第7行第4列＝表A105000第9行第4列
2.第7行第11列＝表A105000第25行第3列
3.第7行第14列＝表A105000第9行第3列
</t>
  </si>
  <si>
    <t xml:space="preserve">A105050 </t>
  </si>
  <si>
    <t>职工薪酬纳税调整明细表</t>
  </si>
  <si>
    <t>税收规定扣除率</t>
  </si>
  <si>
    <t>以前年度累计结转扣除额</t>
  </si>
  <si>
    <t xml:space="preserve">纳税调整金额 </t>
  </si>
  <si>
    <t>5（1-4）</t>
  </si>
  <si>
    <t>6（1+3-4）</t>
  </si>
  <si>
    <t>一、工资薪金支出</t>
  </si>
  <si>
    <t xml:space="preserve">    其中：股权激励</t>
  </si>
  <si>
    <t>二、职工福利费支出</t>
  </si>
  <si>
    <t>三、职工教育经费支出（5或5+6）</t>
  </si>
  <si>
    <t xml:space="preserve">    其中：按税收规定比例扣除的职工教育经费</t>
  </si>
  <si>
    <t xml:space="preserve">          按税收规定全额扣除的职工培训费用</t>
  </si>
  <si>
    <t>四、工会经费支出</t>
  </si>
  <si>
    <t>五、各类基本社会保障性缴款</t>
  </si>
  <si>
    <t>六、住房公积金</t>
  </si>
  <si>
    <t>七、补充养老保险</t>
  </si>
  <si>
    <t>八、补充医疗保险</t>
  </si>
  <si>
    <t>九、其他</t>
  </si>
  <si>
    <t>合计（1+3+4+7+8+9+10+11+12）</t>
  </si>
  <si>
    <t xml:space="preserve">1.第13行第1列＝表A105000第14行第1列
2.第13行第4列＝表A105000第14行第2列
3.第13行第5列，若≥0，填入表A105000第14行第3列；若＜0，将其绝对值填入表A105000第14行第4列
</t>
  </si>
  <si>
    <t xml:space="preserve">A105060 </t>
  </si>
  <si>
    <t>广告费和业务宣传费跨年度纳税调整明细表</t>
  </si>
  <si>
    <t xml:space="preserve">项        目 </t>
  </si>
  <si>
    <t>一、本年广告费和业务宣传费支出</t>
  </si>
  <si>
    <t>第1行=表A104000第五行第1列+第五行第3列</t>
  </si>
  <si>
    <t xml:space="preserve">    减：不允许扣除的广告费和业务宣传费支出</t>
  </si>
  <si>
    <t xml:space="preserve">二、本年符合条件的广告费和业务宣传费支出（1-2） </t>
  </si>
  <si>
    <t>三、本年计算广告费和业务宣传费扣除限额的销售（营业）收入</t>
  </si>
  <si>
    <t>第4行应等于A101010一般企业收入明细表的第1行+A105010表第1行“税收金额”+ A105010表第23行“税收金额”- A105010表第27行“税收金额”。</t>
  </si>
  <si>
    <t xml:space="preserve">    税收规定扣除率</t>
  </si>
  <si>
    <t>四、本企业计算的广告费和业务宣传费扣除限额（4×5）</t>
  </si>
  <si>
    <t>五、本年结转以后年度扣除额（3＞6，本行=3-6；3≤6，本行=0）</t>
  </si>
  <si>
    <t xml:space="preserve">    加：以前年度累计结转扣除额</t>
  </si>
  <si>
    <t xml:space="preserve">    减：本年扣除的以前年度结转额[3＞6，本行=0；3≤6，本行=8或（6-3）孰小值]</t>
  </si>
  <si>
    <t>六、按照分摊协议归集至其他关联方的广告费和业务宣传费（10≤3或6孰小值）</t>
  </si>
  <si>
    <t xml:space="preserve">    按照分摊协议从其他关联方归集至本企业的广告费和业务宣传费</t>
  </si>
  <si>
    <t>七、本年广告费和业务宣传费支出纳税调整金额（3＞6，本行=2+3-6+10-11；3≤6，本行=2+10-11-9）</t>
  </si>
  <si>
    <t>八、累计结转以后年度扣除额（7+8-9）</t>
  </si>
  <si>
    <t>第12行，若≥0，填入表A105000第16行第3列，若＜0，将第12行的绝对值填入表A105000第16行第4列</t>
  </si>
  <si>
    <t xml:space="preserve">A105070 </t>
  </si>
  <si>
    <t>捐赠支出纳税调整明细表</t>
  </si>
  <si>
    <t>受赠单位名称</t>
  </si>
  <si>
    <t>公益性捐赠</t>
  </si>
  <si>
    <t>非公益性捐赠</t>
  </si>
  <si>
    <t>按税收规定计算的扣除限额</t>
  </si>
  <si>
    <t xml:space="preserve">税收金额  </t>
  </si>
  <si>
    <t>5（2-4）</t>
  </si>
  <si>
    <t>7（5+6）</t>
  </si>
  <si>
    <t xml:space="preserve">*     </t>
  </si>
  <si>
    <t xml:space="preserve">合计    </t>
  </si>
  <si>
    <t xml:space="preserve">1.第20行第2+6列＝表A105000第17行第1列
2.第20行第4列＝表A105000第17行第2列
3.第20行第7列＝表A105000第17行第3列
</t>
  </si>
  <si>
    <t xml:space="preserve">A105080 </t>
  </si>
  <si>
    <t xml:space="preserve">资产折旧、摊销情况及纳税调整明细表              </t>
  </si>
  <si>
    <t xml:space="preserve">项        目  </t>
  </si>
  <si>
    <t>纳税调整</t>
  </si>
  <si>
    <t>资产账载金额</t>
  </si>
  <si>
    <t>本年折旧、摊销额</t>
  </si>
  <si>
    <t>累计折旧、摊销额</t>
  </si>
  <si>
    <t>资产计税基础</t>
  </si>
  <si>
    <t>按税收一般规定计算的本年折旧、摊销额</t>
  </si>
  <si>
    <t>本年加速折旧额</t>
  </si>
  <si>
    <t>其中：2014年及以后年度新增固定资产加速折旧额（填写A105081）</t>
  </si>
  <si>
    <t>9(2-5-6)</t>
  </si>
  <si>
    <t>一、固定资产（2+3+4+5+6+7）</t>
  </si>
  <si>
    <t>第1行第7列＝表A105081第1行第18列</t>
  </si>
  <si>
    <t xml:space="preserve">   （一）房屋、建筑物</t>
  </si>
  <si>
    <t>第2行第7列＝表A105081第1行第2列</t>
  </si>
  <si>
    <t xml:space="preserve">   （二）飞机、火车、轮船、机器、机械和其他生产设备</t>
  </si>
  <si>
    <t>第3行第7列＝表A105081第1行第5列</t>
  </si>
  <si>
    <t xml:space="preserve">   （三）与生产经营活动有关的器具、工具、家具等</t>
  </si>
  <si>
    <t>第4行第7列＝表A105081第1行第8列</t>
  </si>
  <si>
    <t xml:space="preserve">   （四）飞机、火车、轮船以外的运输工具</t>
  </si>
  <si>
    <t>第5行第7列＝表A105081第1行第11列</t>
  </si>
  <si>
    <t xml:space="preserve">   （五）电子设备</t>
  </si>
  <si>
    <t>第6行第7列＝表A105081第1行第14列</t>
  </si>
  <si>
    <t>二、生产性生物资产（9+10）</t>
  </si>
  <si>
    <t xml:space="preserve">   （一）林木类</t>
  </si>
  <si>
    <t xml:space="preserve">   （二）畜类</t>
  </si>
  <si>
    <t>三、无形资产（12+13+14+15+16+17+18）</t>
  </si>
  <si>
    <t xml:space="preserve">   （一）专利权</t>
  </si>
  <si>
    <t xml:space="preserve">   （二）商标权</t>
  </si>
  <si>
    <t xml:space="preserve">   （三）著作权</t>
  </si>
  <si>
    <t xml:space="preserve">   （四）土地使用权</t>
  </si>
  <si>
    <t xml:space="preserve">   （五）非专利技术</t>
  </si>
  <si>
    <t xml:space="preserve">   （六）特许权使用费</t>
  </si>
  <si>
    <t xml:space="preserve">   （七）其他</t>
  </si>
  <si>
    <t>四、长期待摊费用（20+21+22+23+24）</t>
  </si>
  <si>
    <t xml:space="preserve">   （一）已足额提取折旧的固定资产的改建支出</t>
  </si>
  <si>
    <t xml:space="preserve">   （二）租入固定资产的改建支出</t>
  </si>
  <si>
    <t xml:space="preserve">   （三）固定资产的大修理支出</t>
  </si>
  <si>
    <t xml:space="preserve">   （四）开办费</t>
  </si>
  <si>
    <t>合计（1+8+11+19+25+26）</t>
  </si>
  <si>
    <t xml:space="preserve">1.第27行第2列＝表A105000第31行第1列
2.第27行第5+6列＝表A105000第31行第2列
3.第27行第9列，若≥0，填入表A105000第31行第3列；若＜0，将绝对值填入表A105000第31行第4列
</t>
  </si>
  <si>
    <t>项    目</t>
  </si>
  <si>
    <t>房屋、建筑物</t>
  </si>
  <si>
    <t>飞机、火车、轮船、机器、机械和其他生产设备</t>
  </si>
  <si>
    <t>与生产经营活动有关的器具、工具、家具</t>
  </si>
  <si>
    <t>飞机、火车、轮船以外的运输工具</t>
  </si>
  <si>
    <t>原值</t>
  </si>
  <si>
    <t xml:space="preserve">1.第1行第18列=表A105080第1行第7列
2.第1行第2列=表A105080第2行第7列
3.第1行第5列=表A105080第3行第7列
4.第1行第8列=表A105080第4行第7列
5.第1行第11列=表A105080第5行第7列
6.第1行第14列=表A105080第6行第7列
</t>
  </si>
  <si>
    <t xml:space="preserve">A105090 </t>
  </si>
  <si>
    <t>资产损失税前扣除及纳税调整明细表</t>
  </si>
  <si>
    <t xml:space="preserve">项        目          </t>
  </si>
  <si>
    <t>2&gt;=0</t>
  </si>
  <si>
    <t>3（1-2）</t>
  </si>
  <si>
    <t>一、清单申报资产损失（2+3+4+5+6+7+8）</t>
  </si>
  <si>
    <t xml:space="preserve">   （一）正常经营管理活动中，按照公允价格销售、转让、变卖非货币资产的损失</t>
  </si>
  <si>
    <t xml:space="preserve">
7.第10行第1列＝表A105091第1行第2列。
8.第10行第2列＝表A105091第1行第6列。
9.第10行第3列＝表A105091第1行第7列。
10.第11行第1列＝表A105091第6行第2列。
11.第11行第2列＝表A105091第6行第6列。
12.第11行第3列＝表A105091第6行第7列。
13.第12行第1列＝表A105091第11行第2列。
14.第12行第2列＝表A105091第11行第6列。
15.第12行第3列＝表A105091第11行第7列。
16.第13行第1列＝表A105091第16行第2列。
17.第13行第2列＝表A105091第16行第6列。
18.第13行第3列＝表A105091第16行第7列。
</t>
  </si>
  <si>
    <t xml:space="preserve">   （二）存货发生的正常损耗</t>
  </si>
  <si>
    <t xml:space="preserve">   （三）固定资产达到或超过使用年限而正常报废清理的损失</t>
  </si>
  <si>
    <t xml:space="preserve">   （四）生产性生物资产达到或超过使用年限而正常死亡发生的资产损失</t>
  </si>
  <si>
    <t xml:space="preserve">   （五）按照市场公平交易原则，通过各种交易场所、市场等买卖债券、股票、期货、基金以及金融衍生产品等发生的损失</t>
  </si>
  <si>
    <t xml:space="preserve">   （六）分支机构上报的资产损失</t>
  </si>
  <si>
    <t xml:space="preserve">   （七）其他 </t>
  </si>
  <si>
    <t>二、专项申报资产损失（填写A105091）</t>
  </si>
  <si>
    <t xml:space="preserve">1.第9行第1列＝表A105091第20行第2列
2.第9行第2列＝表A105091第20行第6列
3.第9行第3列＝表A105091第20行第7列
</t>
  </si>
  <si>
    <t xml:space="preserve">   （一）货币资产损失（填写A105091）</t>
  </si>
  <si>
    <t xml:space="preserve">1.第10行第1列＝表A105091第1行第2列
2.第10行第2列＝表A105091第1行第6列
3.第10行第3列＝表A105091第1行第7列
</t>
  </si>
  <si>
    <t xml:space="preserve">   （二）非货币资产损失（填写A105091）</t>
  </si>
  <si>
    <t xml:space="preserve">1.第11行第1列＝表A105091第6行第2列。
2.第11行第2列＝表A105091第6行第6列。
3.第11行第3列＝表A105091第6行第7列
</t>
  </si>
  <si>
    <t xml:space="preserve">   （三）投资损失（填写A105091）</t>
  </si>
  <si>
    <t xml:space="preserve">1.第12行第1列＝表A105091第11行第2列
2.第12行第2列＝表A105091第11行第6列
3.第12行第3列＝表A105091第11行第7列
</t>
  </si>
  <si>
    <t xml:space="preserve">   （四）其他（填写A105091）</t>
  </si>
  <si>
    <t xml:space="preserve">1.第13行第1列＝表A105091第16行第2列。
2.第13行第2列＝表A105091第16行第6列。
3.第13行第3列＝表A105091第16行第7列
</t>
  </si>
  <si>
    <t>合计（1+9）</t>
  </si>
  <si>
    <t xml:space="preserve">1.第14行第1列＝表A105000第33行第1列
2.第14行第2列＝表A105000第33行第2列
3.第14行第3列，若≥0，填入表A105000第33行第3列；若＜0，将绝对值填入表A105000第33行第4列
</t>
  </si>
  <si>
    <t xml:space="preserve">A105091 </t>
  </si>
  <si>
    <t>资产损失（专项申报）税前扣除及纳税调整明细表</t>
  </si>
  <si>
    <t xml:space="preserve">项        目    </t>
  </si>
  <si>
    <t>处置收入</t>
  </si>
  <si>
    <t>赔偿收入</t>
  </si>
  <si>
    <t>纳税调整金额</t>
  </si>
  <si>
    <t xml:space="preserve">表间关系    </t>
  </si>
  <si>
    <t>6（5-3-4）</t>
  </si>
  <si>
    <t>7（2-6）</t>
  </si>
  <si>
    <t>一、货币资产损失(2+3+4+5)</t>
  </si>
  <si>
    <t xml:space="preserve">1.第1行第2列＝表A105090第10行第1列
2.第1行第6列＝表A105090第10行第2列
3.第1行第7列＝表A105090第10行第3列
</t>
  </si>
  <si>
    <t>二、非货币资产损失(7+8+9+10)</t>
  </si>
  <si>
    <t xml:space="preserve">1.第6行第2列＝表A105090第11行第1列。
2.第6行第6列＝表A105090第11行第2列。
3.第6行第7列＝表A105090第11行第3列
</t>
  </si>
  <si>
    <t>三、投资损失(12+13+14+15)</t>
  </si>
  <si>
    <t xml:space="preserve">1.第11行第2列＝表A105090第12行第1列
2.第11行第6列＝表A105090第12行第2列
3.第11行第7列＝表A105090第12行第3列
</t>
  </si>
  <si>
    <t>四、其他(17+18+19)</t>
  </si>
  <si>
    <t xml:space="preserve">1.第16行第2列＝表A105090第13行第1列。
2.第16行第6列＝表A105090第13行第2列。
3.第16行第7列＝表A105090第13行第3列
</t>
  </si>
  <si>
    <t>合计(1+6+11+16)</t>
  </si>
  <si>
    <t xml:space="preserve">1.第20行第2列＝表A105090第9行第1列。
2.第20行第6列＝表A105090第9行第2列。
3.第20行第7列＝表A105090第9行第3列
</t>
  </si>
  <si>
    <t xml:space="preserve">A105100 </t>
  </si>
  <si>
    <t>企业重组纳税调整明细表</t>
  </si>
  <si>
    <t>一般性税务处理</t>
  </si>
  <si>
    <t>特殊性税务处理</t>
  </si>
  <si>
    <t>3(2-1)</t>
  </si>
  <si>
    <t>6(5-4)</t>
  </si>
  <si>
    <t>7(3+6)</t>
  </si>
  <si>
    <t>一、债务重组</t>
  </si>
  <si>
    <t xml:space="preserve">    其中：以非货币性资产清偿债务</t>
  </si>
  <si>
    <t xml:space="preserve">          债转股</t>
  </si>
  <si>
    <t>二、股权收购</t>
  </si>
  <si>
    <t xml:space="preserve">    其中：涉及跨境重组的股权收购</t>
  </si>
  <si>
    <t>三、资产收购</t>
  </si>
  <si>
    <t xml:space="preserve">    其中：涉及跨境重组的资产收购</t>
  </si>
  <si>
    <t>四、企业合并（9+10）</t>
  </si>
  <si>
    <t xml:space="preserve">    其中：同一控制下企业合并</t>
  </si>
  <si>
    <t xml:space="preserve">          非同一控制下企业合并</t>
  </si>
  <si>
    <t>五、企业分立</t>
  </si>
  <si>
    <t>六、其他</t>
  </si>
  <si>
    <t xml:space="preserve">    其中：以非货币性资产对外投资</t>
  </si>
  <si>
    <t>合计（1+4+6+8+11+12）</t>
  </si>
  <si>
    <t xml:space="preserve">1.第14行第1+4列＝表A105000第36行第1列
2.第14行第2+5列＝表A105000第36行第2列
3.第14行第7列金额，若≥0，填入表A105000第36行第3列；若＜0，将绝对值填入表A105000第36行第4列
</t>
  </si>
  <si>
    <t xml:space="preserve">A105110 </t>
  </si>
  <si>
    <t>政策性搬迁纳税调整明细表</t>
  </si>
  <si>
    <t xml:space="preserve">项        目   </t>
  </si>
  <si>
    <t>一、搬迁收入(2+8)</t>
  </si>
  <si>
    <t xml:space="preserve">   （一）搬迁补偿收入（3+4+5+6+7）</t>
  </si>
  <si>
    <t xml:space="preserve">       1.对被征用资产价值的补偿</t>
  </si>
  <si>
    <t xml:space="preserve">       2.因搬迁、安置而给予的补偿</t>
  </si>
  <si>
    <t xml:space="preserve">       3.对停产停业形成的损失而给予的补偿</t>
  </si>
  <si>
    <t xml:space="preserve">       4.资产搬迁过程中遭到毁损而取得的保险赔款</t>
  </si>
  <si>
    <t xml:space="preserve">       5.其他补偿收入</t>
  </si>
  <si>
    <t xml:space="preserve">   （二）搬迁资产处置收入</t>
  </si>
  <si>
    <t>二、搬迁支出(10+16)</t>
  </si>
  <si>
    <t xml:space="preserve">   （一）搬迁费用支出(11+12+13+14+15)</t>
  </si>
  <si>
    <t xml:space="preserve">       1.安置职工实际发生的费用</t>
  </si>
  <si>
    <t xml:space="preserve">       2.停工期间支付给职工的工资及福利费</t>
  </si>
  <si>
    <t xml:space="preserve">       3.临时存放搬迁资产而发生的费用</t>
  </si>
  <si>
    <t xml:space="preserve">       4.各类资产搬迁安装费用</t>
  </si>
  <si>
    <t xml:space="preserve">       5.其他与搬迁相关的费用</t>
  </si>
  <si>
    <t xml:space="preserve">   （二）搬迁资产处置支出</t>
  </si>
  <si>
    <t>三、搬迁所得或损失（1-9）</t>
  </si>
  <si>
    <t>四、应计入本年应纳税所得额的搬迁所得或损失（19+20+21）</t>
  </si>
  <si>
    <t xml:space="preserve">    其中：搬迁所得</t>
  </si>
  <si>
    <t xml:space="preserve">          搬迁损失一次性扣除</t>
  </si>
  <si>
    <t xml:space="preserve">          搬迁损失分期扣除</t>
  </si>
  <si>
    <t>五、计入当期损益的搬迁收益或损失</t>
  </si>
  <si>
    <t>六、以前年度搬迁损失当期扣除金额</t>
  </si>
  <si>
    <t>七、纳税调整金额（18-22-23）</t>
  </si>
  <si>
    <t>第24行，若≥0，填入表A105000第37行第3列；若＜0，将绝对值填入表A105000第37行第4列</t>
  </si>
  <si>
    <t xml:space="preserve">A105120 </t>
  </si>
  <si>
    <t>特殊行业准备金纳税调整明细表</t>
  </si>
  <si>
    <t>一、保险公司（2+3+6+7+8+9+10）</t>
  </si>
  <si>
    <t xml:space="preserve">   （一）未到期责任准备金</t>
  </si>
  <si>
    <t xml:space="preserve">   （二）未决赔款准备金（4+5）</t>
  </si>
  <si>
    <t xml:space="preserve">        其中：已发生已报案未决赔款准备金</t>
  </si>
  <si>
    <t xml:space="preserve">              已发生未报案未决赔款准备金</t>
  </si>
  <si>
    <t xml:space="preserve">   （三）巨灾风险准备金</t>
  </si>
  <si>
    <t xml:space="preserve">   （四）寿险责任准备金</t>
  </si>
  <si>
    <t xml:space="preserve">   （五）长期健康险责任准备金</t>
  </si>
  <si>
    <t xml:space="preserve">   （六）保险保障基金</t>
  </si>
  <si>
    <t>二、证券行业（12+13+14+15）</t>
  </si>
  <si>
    <t xml:space="preserve">   （一）证券交易所风险基金</t>
  </si>
  <si>
    <t xml:space="preserve">   （二）证券结算风险基金</t>
  </si>
  <si>
    <t xml:space="preserve">   （三）证券投资者保护基金</t>
  </si>
  <si>
    <t>三、期货行业（17+18+19+20）</t>
  </si>
  <si>
    <t xml:space="preserve">   （一）期货交易所风险准备金</t>
  </si>
  <si>
    <t xml:space="preserve">   （二）期货公司风险准备金</t>
  </si>
  <si>
    <t xml:space="preserve">   （三）期货投资者保障基金</t>
  </si>
  <si>
    <t>四、金融企业（22+23+24)</t>
  </si>
  <si>
    <t xml:space="preserve">   （一）涉农和中小企业贷款损失准备金</t>
  </si>
  <si>
    <t xml:space="preserve">   （二）贷款损失准备金</t>
  </si>
  <si>
    <t>五、中小企业信用担保机构(26+27+28)</t>
  </si>
  <si>
    <t xml:space="preserve">   （一）担保赔偿准备</t>
  </si>
  <si>
    <t xml:space="preserve">   （二）未到期责任准备</t>
  </si>
  <si>
    <t>合计(1+11+16+21+25+29)</t>
  </si>
  <si>
    <t xml:space="preserve">1.第30行第1列＝表A105000第38行第1列
2.第30行第2列＝表A105000第38行第2列
3.第30行第3列，若≥0，填入表A105000第38行第3列；若＜0，将绝对值填入表A105000第38行第4列
</t>
  </si>
  <si>
    <t xml:space="preserve">A106000 </t>
  </si>
  <si>
    <t>合并、分立转入（转出）可弥补的亏损额</t>
  </si>
  <si>
    <t>当年可弥补的亏损额</t>
  </si>
  <si>
    <t>以前年度亏损已弥补额</t>
  </si>
  <si>
    <t xml:space="preserve">合计   </t>
  </si>
  <si>
    <t>本年度</t>
  </si>
  <si>
    <t>可结转以后年度弥补的亏损额合计
表内关系1.若第2列＜0，第4列＝第2+3列，否则第4列＝第3列。
2.若第3列＞0且第2列＜0，第3列＜第2列的绝对值。
3.第9列＝第5+6+7+8列。4.若第2列第6行＞0，第10列第1至5行同一行次≤第4列1至5行同一行次的绝对值-第9列1至5行同一行次；若第2列第6行＜0，第10列第1行至第5行＝0。
5.若第2列第6行＞0，第10列第6行＝第10列第1+2+3+4+5行且≤第2列第6行；若第2列第6行＜0，第10列第6行＝0。
6.第4列为负数的行次，第11列同一行次＝第4列该行的绝对值-第9列该行-第10列该行。否则第11列同一行次填“0”。
7.第11列第7行＝第11列第2+3+4+5+6行。</t>
  </si>
  <si>
    <t xml:space="preserve">1．表A100000第19行“纳税调整后所得”＞0，第20行“所得减免”＞0，则本表第2列第6行=本年度表A100000第19-20-21行，且减至0止。
第20行“所得减免”＜0，填报此处时，以0计算。
2．表A100000第19行“纳税调整后所得”＜0，则本表第2列第6行=本年度表A100000第19行。3.第6行第10列＝表A100000第22行
</t>
  </si>
  <si>
    <t xml:space="preserve">A107010  </t>
  </si>
  <si>
    <t>免税、减计收入及加计扣除优惠明细表</t>
  </si>
  <si>
    <t xml:space="preserve">表间关系     </t>
  </si>
  <si>
    <t>一、免税收入（2+3+4+5）</t>
  </si>
  <si>
    <t xml:space="preserve">   （一）国债利息收入</t>
  </si>
  <si>
    <t xml:space="preserve">   （二）符合条件的居民企业之间的股息、红利等权益性投资收益（填写A107011）</t>
  </si>
  <si>
    <t>第3行＝表A107011第10行第16列</t>
  </si>
  <si>
    <t xml:space="preserve">   （三）符合条件的非营利组织的收入</t>
  </si>
  <si>
    <t xml:space="preserve">   （四）其他专项优惠（6+7+8+9+10+11+12+13+14）</t>
  </si>
  <si>
    <t xml:space="preserve">       1.中国清洁发展机制基金取得的收入</t>
  </si>
  <si>
    <t xml:space="preserve">       2.证券投资基金从证券市场取得的收入</t>
  </si>
  <si>
    <t xml:space="preserve">       3.证券投资基金投资者获得的分配收入</t>
  </si>
  <si>
    <t xml:space="preserve">       4.证券投资基金管理人运用基金买卖股票、债券的差价收入</t>
  </si>
  <si>
    <t xml:space="preserve">       5.取得的地方政府债券利息所得或收入</t>
  </si>
  <si>
    <t xml:space="preserve">       6.受灾地区企业取得的救灾和灾后恢复重建款项等收入</t>
  </si>
  <si>
    <t xml:space="preserve">       7.中国期货保证金监控中心有限责任公司取得的银行存款利息等收入</t>
  </si>
  <si>
    <t xml:space="preserve">       8.中国保险保障基金有限责任公司取得的保险保障基金等收入</t>
  </si>
  <si>
    <t xml:space="preserve">       9.其他</t>
  </si>
  <si>
    <t>二、减计收入（16+17）</t>
  </si>
  <si>
    <t xml:space="preserve">   （一）综合利用资源生产产品取得的收入（填写A107012）</t>
  </si>
  <si>
    <t>第16行＝表107012第10行第10列</t>
  </si>
  <si>
    <t xml:space="preserve">   （二）其他专项优惠（18+19+20）</t>
  </si>
  <si>
    <t xml:space="preserve">       1.金融、保险等机构取得的涉农利息、保费收入（填写A107013）</t>
  </si>
  <si>
    <t>第18行＝表A107013第13行</t>
  </si>
  <si>
    <t xml:space="preserve">       2.取得的中国铁路建设债券利息收入</t>
  </si>
  <si>
    <t xml:space="preserve">       3.其他</t>
  </si>
  <si>
    <t>三、加计扣除（22+23+26）</t>
  </si>
  <si>
    <t xml:space="preserve">   （一）开发新技术、新产品、新工艺发生的研究开发费用加计扣除（填写A107014）</t>
  </si>
  <si>
    <t>第22行＝表A107014第10行第19列</t>
  </si>
  <si>
    <t xml:space="preserve">   （二）安置残疾人员及国家鼓励安置的其他就业人员所支付的工资加计扣除（24+25）</t>
  </si>
  <si>
    <t xml:space="preserve">       1.支付残疾人员工资加计扣除</t>
  </si>
  <si>
    <t xml:space="preserve">       2.国家鼓励的其他就业人员工资加计扣除</t>
  </si>
  <si>
    <t xml:space="preserve">   （三）其他专项优惠</t>
  </si>
  <si>
    <t>合计（1+15+21）</t>
  </si>
  <si>
    <t>第27行＝表A100000第17行</t>
  </si>
  <si>
    <t xml:space="preserve">A107011    </t>
  </si>
  <si>
    <t>符合条件的居民企业之间的股息、红利等权益性投资收益优惠明细表</t>
  </si>
  <si>
    <t>投资性质</t>
  </si>
  <si>
    <t>被投资企业利润分配确认金额</t>
  </si>
  <si>
    <t>被投资企业清算确认金额</t>
  </si>
  <si>
    <t>撤回或减少投资确认金额</t>
  </si>
  <si>
    <t>被投资企业做出利润分配或转股决定时间</t>
  </si>
  <si>
    <t>依决定归属于本公司的股息、红利等权益性投资收益金额</t>
  </si>
  <si>
    <t>分得的被投资企业清算剩余资产</t>
  </si>
  <si>
    <t>被清算企业累计未分配利润和累计盈余公积应享有部分</t>
  </si>
  <si>
    <t>应确认的股息所得</t>
  </si>
  <si>
    <t>从被投资企业撤回或减少投资取得的资产</t>
  </si>
  <si>
    <t>收回初始投资成本</t>
  </si>
  <si>
    <t>取得资产中超过收回初始投资成本部分</t>
  </si>
  <si>
    <t>撤回或减少投资应享有被投资企业累计未分配利润和累计盈余公积</t>
  </si>
  <si>
    <t>9（7与8孰小)</t>
  </si>
  <si>
    <t>12（3×11）</t>
  </si>
  <si>
    <t>13（10-12）</t>
  </si>
  <si>
    <t>15(13与14孰小)</t>
  </si>
  <si>
    <t>16（6+9+15）</t>
  </si>
  <si>
    <t>10（1+2+3+4+5+6+7+8+9）</t>
  </si>
  <si>
    <t xml:space="preserve">* </t>
  </si>
  <si>
    <t>第10行第16列=表A107010第3行</t>
  </si>
  <si>
    <t xml:space="preserve">A107012 </t>
  </si>
  <si>
    <t>综合利用资源生产产品取得的收入优惠明细表</t>
  </si>
  <si>
    <t>生产的产品名称</t>
  </si>
  <si>
    <t>资源综合利用认定证书基本情况</t>
  </si>
  <si>
    <t>属于《资源综合利用企业所得税优惠目录》类别</t>
  </si>
  <si>
    <t>综合利用的资源</t>
  </si>
  <si>
    <t>综合利用的资源占生产产品材料的比例</t>
  </si>
  <si>
    <t>《资源综合利用企业所得税优惠目录》规定的标准</t>
  </si>
  <si>
    <t>符合条件的综合利用资源生产产品取得的收入总额</t>
  </si>
  <si>
    <t>综合利用资源减计收入</t>
  </si>
  <si>
    <t>《资源综合利用认定证书》取得时间</t>
  </si>
  <si>
    <t>《资源综合利用认定证书》有效期</t>
  </si>
  <si>
    <t>《资源综合利用认定证书》编号</t>
  </si>
  <si>
    <t>10（9×10%）</t>
  </si>
  <si>
    <t xml:space="preserve">合计  </t>
  </si>
  <si>
    <t>第10列1+2+3+4+5+6+7+8+9行</t>
  </si>
  <si>
    <t>第10行第10列＝表A107010第16行</t>
  </si>
  <si>
    <t xml:space="preserve">A107013 </t>
  </si>
  <si>
    <t>金融、保险等机构取得的涉农利息、保费收入优惠明细表</t>
  </si>
  <si>
    <t xml:space="preserve">金额   </t>
  </si>
  <si>
    <t>一、金融机构农户小额贷款的利息收入</t>
  </si>
  <si>
    <t xml:space="preserve">   （一）金融机构取得农户小额贷款利息收入总额</t>
  </si>
  <si>
    <t xml:space="preserve">   （二）金融机构取得农户小额贷款利息减计收入（2×10%）</t>
  </si>
  <si>
    <t>二、保险公司为种植业、养殖业提供保险业务取得的保费收入</t>
  </si>
  <si>
    <t xml:space="preserve">   （一）保险公司为种植业、养殖业提供保险业务取得的保费收入总额（6+7-8）</t>
  </si>
  <si>
    <t xml:space="preserve">       1.原保费收入</t>
  </si>
  <si>
    <t xml:space="preserve">       2.分保费收入</t>
  </si>
  <si>
    <t xml:space="preserve">       3.分出保费收入</t>
  </si>
  <si>
    <t xml:space="preserve">   （二）保险公司为种植业、养殖业提供保险业务取得的保费减计收入（5×10%）</t>
  </si>
  <si>
    <t>三、其他符合条件的机构农户小额贷款的利息收入</t>
  </si>
  <si>
    <t xml:space="preserve">   （一）其他符合条件的机构取得农户小额贷款利息收入总额</t>
  </si>
  <si>
    <t xml:space="preserve">   （二）其他符合条件的机构取得农户小额贷款利息减计收入（11×10%）</t>
  </si>
  <si>
    <t>合计（3+9+12）</t>
  </si>
  <si>
    <t>第13行＝表A107010第18行</t>
  </si>
  <si>
    <t xml:space="preserve">A107014 </t>
  </si>
  <si>
    <t>研发费用加计扣除优惠明细表</t>
  </si>
  <si>
    <t>研发项目</t>
  </si>
  <si>
    <t>本年研发费用明细</t>
  </si>
  <si>
    <t>减:作为不征税收入处理的财政性资金用于研发的部分</t>
  </si>
  <si>
    <t>可加计扣除的研发费用合计</t>
  </si>
  <si>
    <t>费用化部分</t>
  </si>
  <si>
    <t>资本化部分</t>
  </si>
  <si>
    <t>本年研发费用加计扣除额合计</t>
  </si>
  <si>
    <t>研发活动直接消耗的材料、燃料和动力费用</t>
  </si>
  <si>
    <t>直接从事研发活动的本企业在职人员费用</t>
  </si>
  <si>
    <t>专门用于研发活动的有关折旧费、租赁费、运行维护费</t>
  </si>
  <si>
    <t>专门用于研发活动的有关无形资产摊销费</t>
  </si>
  <si>
    <t>中间试验和产品试制的有关费用，样品、样机及一般测试手段购置费</t>
  </si>
  <si>
    <t>研发成果论证、评审、验收、鉴定费用</t>
  </si>
  <si>
    <t>勘探开发技术的现场试验费，新药研制的临床试验费</t>
  </si>
  <si>
    <t>设计、制定、资料和翻译费用</t>
  </si>
  <si>
    <t>年度研发费用合计</t>
  </si>
  <si>
    <t>计入本年损益的金额</t>
  </si>
  <si>
    <t>计入本年研发费用加计扣除额</t>
  </si>
  <si>
    <t>本年形成无形资产的金额</t>
  </si>
  <si>
    <t>本年形成无形资产加计摊销额</t>
  </si>
  <si>
    <t>以前年度形成无形资产本年加计摊销额</t>
  </si>
  <si>
    <t>无形资产本年加计摊销额</t>
  </si>
  <si>
    <t>10（2+3+4+5+6+7+8+9）</t>
  </si>
  <si>
    <t>12（10-11）</t>
  </si>
  <si>
    <t>13
13≤12</t>
  </si>
  <si>
    <t>14（13×50%）</t>
  </si>
  <si>
    <t>18（16+17）</t>
  </si>
  <si>
    <t>19（14+18）</t>
  </si>
  <si>
    <t>第10行第19列＝表A107010第22行</t>
  </si>
  <si>
    <t xml:space="preserve">A107020 </t>
  </si>
  <si>
    <t>所得减免优惠明细表</t>
  </si>
  <si>
    <t>项目收入</t>
  </si>
  <si>
    <t>项目成本</t>
  </si>
  <si>
    <t>相关税费</t>
  </si>
  <si>
    <t>应分摊期间费用</t>
  </si>
  <si>
    <t>项目所得额</t>
  </si>
  <si>
    <t>减免所得额</t>
  </si>
  <si>
    <t>6(1-2-3-4+5)</t>
  </si>
  <si>
    <t>一、农、林、牧、渔业项目(2+13)</t>
  </si>
  <si>
    <t xml:space="preserve">   （一）免税项目（3+4+5+6+7+8+9+11+12)</t>
  </si>
  <si>
    <t xml:space="preserve">       1.蔬菜、谷物、薯类、油料、豆类、棉花、麻类、糖料、水果、坚果的种植</t>
  </si>
  <si>
    <t xml:space="preserve">       2.农作物新品种的选育</t>
  </si>
  <si>
    <t xml:space="preserve">       3.中药材的种植</t>
  </si>
  <si>
    <t xml:space="preserve">       4.林木的培育和种植</t>
  </si>
  <si>
    <t xml:space="preserve">       5.牲畜、家禽的饲养</t>
  </si>
  <si>
    <t xml:space="preserve">       6.林产品的采集</t>
  </si>
  <si>
    <t xml:space="preserve">       7.灌溉、农产品初加工、兽医、农技推广、农机作业和维修等农、林、牧、渔服务业项目</t>
  </si>
  <si>
    <t xml:space="preserve">         其中：农产品初加工</t>
  </si>
  <si>
    <t xml:space="preserve">       8.远洋捕捞</t>
  </si>
  <si>
    <t xml:space="preserve">   （二）减半征税项目（14+15+16）</t>
  </si>
  <si>
    <t xml:space="preserve">       1.花卉、茶以及其他饮料作物和香料作物的种植</t>
  </si>
  <si>
    <t xml:space="preserve">       2.海水养殖、内陆养殖</t>
  </si>
  <si>
    <t>二、国家重点扶持的公共基础设施项目(18+19+20+21+22+23+24+25)</t>
  </si>
  <si>
    <t xml:space="preserve">   （一）港口码头项目</t>
  </si>
  <si>
    <t xml:space="preserve">   （二）机场项目</t>
  </si>
  <si>
    <t xml:space="preserve">   （三）铁路项目</t>
  </si>
  <si>
    <t xml:space="preserve">   （四）公路项目</t>
  </si>
  <si>
    <t xml:space="preserve">   （五）城市公共交通项目</t>
  </si>
  <si>
    <t xml:space="preserve">   （六）电力项目</t>
  </si>
  <si>
    <t xml:space="preserve">   （七）水利项目</t>
  </si>
  <si>
    <t xml:space="preserve">   （八）其他项目</t>
  </si>
  <si>
    <t>三、符合条件的环境保护、节能节水项目(27+28+29+30+31+32）</t>
  </si>
  <si>
    <t xml:space="preserve">   （一）公共污水处理项目</t>
  </si>
  <si>
    <t xml:space="preserve">   （二）公共垃圾处理项目</t>
  </si>
  <si>
    <t xml:space="preserve">   （三）沼气综合开发利用项目</t>
  </si>
  <si>
    <t xml:space="preserve">   （四）节能减排技术改造项目</t>
  </si>
  <si>
    <t xml:space="preserve">   （五）海水淡化项目</t>
  </si>
  <si>
    <t xml:space="preserve">   （六）其他项目</t>
  </si>
  <si>
    <t>四、符合条件的技术转让项目（34+35）</t>
  </si>
  <si>
    <t xml:space="preserve">   （一）技术转让所得不超过500万元部分</t>
  </si>
  <si>
    <t xml:space="preserve">   （二）技术转让所得超过500万元部分</t>
  </si>
  <si>
    <t>五、其他专项优惠项目（37+38+39）</t>
  </si>
  <si>
    <t xml:space="preserve">   （一）实施清洁发展机制项目</t>
  </si>
  <si>
    <t xml:space="preserve">   （二）符合条件的节能服务公司实施合同能源管理项目</t>
  </si>
  <si>
    <t xml:space="preserve">   （三）其他</t>
  </si>
  <si>
    <t>合计（1+17+26+33+36）</t>
  </si>
  <si>
    <t>第40行第7列＝表A100000第20行</t>
  </si>
  <si>
    <t xml:space="preserve">A107030 </t>
  </si>
  <si>
    <t>抵扣应纳税所得额明细表</t>
  </si>
  <si>
    <t>本年新增的符合条件的股权投资额</t>
  </si>
  <si>
    <t>税收规定的抵扣率</t>
  </si>
  <si>
    <t>以前年度结转的尚未抵扣的股权投资余额</t>
  </si>
  <si>
    <t>本年可用于抵扣的应纳税所得额</t>
  </si>
  <si>
    <t>第6行＝表A100000第19-20行，若小于0，则填报0</t>
  </si>
  <si>
    <t>第7行＝表A100000第21行</t>
  </si>
  <si>
    <t>结转以后年度抵扣的股权投资余额（5＞6，本行=5-7行；5≤6，本行=0）</t>
  </si>
  <si>
    <t xml:space="preserve">A107040 </t>
  </si>
  <si>
    <t>减免所得税优惠明细表</t>
  </si>
  <si>
    <t xml:space="preserve">   （十八）设在西部地区的鼓励类产业企业</t>
  </si>
  <si>
    <t xml:space="preserve">A107041 </t>
  </si>
  <si>
    <t>高新技术企业优惠情况及明细表</t>
  </si>
  <si>
    <t xml:space="preserve">行次    </t>
  </si>
  <si>
    <t>基本信息</t>
  </si>
  <si>
    <t>高新技术企业证书编号</t>
  </si>
  <si>
    <t>高新技术企业证书取得时间</t>
  </si>
  <si>
    <t>产品（服务）属于《国家重点支持的高新技术领域》规定的范围（填写具体范围名称）</t>
  </si>
  <si>
    <t>是否发生重大安全、质量事故</t>
  </si>
  <si>
    <t>是否有环境等违法、违规行为，受到有关部门处罚的</t>
  </si>
  <si>
    <t>是否发生偷骗税行为</t>
  </si>
  <si>
    <t>收入指标</t>
  </si>
  <si>
    <t>一、本年高新技术产品（服务）收入（8+9）</t>
  </si>
  <si>
    <t xml:space="preserve">    其中：产品（服务）收入</t>
  </si>
  <si>
    <t xml:space="preserve">          技术性收入</t>
  </si>
  <si>
    <t>二、本年企业总收入</t>
  </si>
  <si>
    <t>三、本年高新技术产品（服务）收入占企业总收入的比例（7÷10）</t>
  </si>
  <si>
    <t>人员指标</t>
  </si>
  <si>
    <t>四、本年具有大学专科以上学历的科技人员数</t>
  </si>
  <si>
    <t>五、本年研发人员数</t>
  </si>
  <si>
    <t>六、本年职工总数</t>
  </si>
  <si>
    <t>七、本年具有大学专科以上学历的科技人员占企业当年职工总数的比例（12÷14）</t>
  </si>
  <si>
    <t>八、本年研发人员占企业当年职工总数的比例（13÷14）</t>
  </si>
  <si>
    <t>研究开发费用指标</t>
  </si>
  <si>
    <t>九、本年归集的高新研发费用金额（18+27）</t>
  </si>
  <si>
    <t xml:space="preserve">   （一）内部研究开发投入（19+20+21+22+23+24+26）</t>
  </si>
  <si>
    <t xml:space="preserve">       1.人员人工</t>
  </si>
  <si>
    <t xml:space="preserve">       2.直接投入</t>
  </si>
  <si>
    <t xml:space="preserve">       3.折旧费用与长期费用摊销</t>
  </si>
  <si>
    <t xml:space="preserve">       4.设计费用</t>
  </si>
  <si>
    <t xml:space="preserve">       5.装备调试费</t>
  </si>
  <si>
    <t xml:space="preserve">       6.无形资产摊销</t>
  </si>
  <si>
    <t xml:space="preserve">       7.其他费用</t>
  </si>
  <si>
    <t xml:space="preserve">         其中：可计入研发费用的其他费用</t>
  </si>
  <si>
    <t xml:space="preserve">   （二）委托外部研究开发费用（28+29）</t>
  </si>
  <si>
    <t xml:space="preserve">       1.境内的外部研发费</t>
  </si>
  <si>
    <t xml:space="preserve">       2.境外的外部研发费</t>
  </si>
  <si>
    <t>十、本年研发费用占销售（营业）收入比例</t>
  </si>
  <si>
    <t>减免税金额</t>
  </si>
  <si>
    <t>第29行=表A107040第2行</t>
  </si>
  <si>
    <t xml:space="preserve">A107042 </t>
  </si>
  <si>
    <t>软件、集成电路企业优惠情况及明细表</t>
  </si>
  <si>
    <t xml:space="preserve">行次     </t>
  </si>
  <si>
    <t xml:space="preserve">基本信息 </t>
  </si>
  <si>
    <t xml:space="preserve">表间关系         </t>
  </si>
  <si>
    <t>基
本
信
息</t>
  </si>
  <si>
    <t>基本
信息</t>
  </si>
  <si>
    <t>企业成立日期</t>
  </si>
  <si>
    <t>软件企业证书取得日期</t>
  </si>
  <si>
    <t>软件企业认定证书编号</t>
  </si>
  <si>
    <t>软件产品登记证书编号</t>
  </si>
  <si>
    <t>计算机信息系统集成资质等级认定证书编号</t>
  </si>
  <si>
    <t>集成电路生产企业认定文号</t>
  </si>
  <si>
    <t>集成电路设计企业认定证书编号</t>
  </si>
  <si>
    <t xml:space="preserve">2011
年
1月
1日
以
后
成
立
企
业
填
报
</t>
  </si>
  <si>
    <t xml:space="preserve">人员指标 </t>
  </si>
  <si>
    <t>一、企业本年月平均职工总人数</t>
  </si>
  <si>
    <t xml:space="preserve">    其中:签订劳动合同关系且具有大学专科以上学历的职工人数</t>
  </si>
  <si>
    <t>二、研究开发人员人数</t>
  </si>
  <si>
    <t>三、签订劳动合同关系且具有大学专科以上学历的职工人数占企业当年月平均职工总人数的比例（9÷8）</t>
  </si>
  <si>
    <t>四、研究开发人员占企业本年月平均职工总数的比例（10÷8）</t>
  </si>
  <si>
    <t xml:space="preserve">收入指标 </t>
  </si>
  <si>
    <t>五、企业收入总额</t>
  </si>
  <si>
    <t>六、集成电路制造销售（营业）收入</t>
  </si>
  <si>
    <t>七、集成电路制造销售（营业）收入占企业收入总额的比例（14÷13）</t>
  </si>
  <si>
    <t>八、集成电路设计销售（营业）收入</t>
  </si>
  <si>
    <t xml:space="preserve">    其中：集成电路自主设计销售（营业）收入</t>
  </si>
  <si>
    <t>九、集成电路设计企业的集成电路设计销售（营业）收入占企业收入总额的比例（16÷13）</t>
  </si>
  <si>
    <t>十、集成电路自主设计销售（营业）收入占企业收入总额的比例（17÷13）</t>
  </si>
  <si>
    <t>十一、软件产品开发销售（营业）收入</t>
  </si>
  <si>
    <t xml:space="preserve">     其中：嵌入式软件产品和信息系统集成产品开发销售（营业）收入</t>
  </si>
  <si>
    <t>十二、软件产品自主开发销售（营业）收入</t>
  </si>
  <si>
    <t xml:space="preserve">     其中：嵌入式软件产品和信息系统集成产品自主开发销售（营业）收入</t>
  </si>
  <si>
    <t>十三、软件企业的软件产品开发销售（营业）收入占企业收入总额的比例（20÷13）</t>
  </si>
  <si>
    <t>十四、嵌入式软件产品和信息系统集成产品开发销售（营业）收入占企业收入总额的比例（21÷13）</t>
  </si>
  <si>
    <t>十五、软件产品自主开发销售（营业）收入占企业收入总额的比例（22÷13）</t>
  </si>
  <si>
    <t>十六、嵌入式软件产品和信息系统集成产品自主开发销售（营业）收入占企业收入总额的比例（23÷13）</t>
  </si>
  <si>
    <t xml:space="preserve">研究开发费用指标 </t>
  </si>
  <si>
    <t>十七、研究开发费用总额</t>
  </si>
  <si>
    <t xml:space="preserve">     其中：企业在中国境内发生的研究开发费用金额</t>
  </si>
  <si>
    <t>十八、研究开发费用总额占企业销售（营业）收入总额的比例</t>
  </si>
  <si>
    <t>十九、企业在中国境内发生的研究开发费用金额占研究开发费用总额的比例（29÷28）</t>
  </si>
  <si>
    <t>2011
年
1月
1日
以
前
成
立
企
业
填
报</t>
  </si>
  <si>
    <t>二十、企业职工总数</t>
  </si>
  <si>
    <t>二十一、从事软件产品开发和技术服务的技术人员</t>
  </si>
  <si>
    <t>二十二、从事软件产品开发和技术服务的技术人员占企业职工总数的比例（33÷32）</t>
  </si>
  <si>
    <t>二十三、企业年总收入</t>
  </si>
  <si>
    <t xml:space="preserve">    其中：企业年软件销售收入</t>
  </si>
  <si>
    <t xml:space="preserve">        其中：自产软件销售收入</t>
  </si>
  <si>
    <t>二十四、软件销售收入占企业年总收入比例（36÷35）</t>
  </si>
  <si>
    <t>二十五、自产软件收入占软件销售收入比例（37÷36）</t>
  </si>
  <si>
    <t>研究开发经费指标</t>
  </si>
  <si>
    <t>二十六、软件技术及产品的研究开发经费</t>
  </si>
  <si>
    <t>二十七、软件技术及产品的研究开发经费占企业年软件收入比例（40÷36）</t>
  </si>
  <si>
    <t xml:space="preserve">减免税金额 </t>
  </si>
  <si>
    <t>第41行=表A107040第18行或20行</t>
  </si>
  <si>
    <t xml:space="preserve">A107050 </t>
  </si>
  <si>
    <t>税额抵免优惠明细表</t>
  </si>
  <si>
    <t>本年
抵免前
应纳税额</t>
  </si>
  <si>
    <t>本年允许抵免的专用设备投资额</t>
  </si>
  <si>
    <t>本年
可抵免
税额</t>
  </si>
  <si>
    <t>以前年度已抵免额</t>
  </si>
  <si>
    <t>本年实际抵免的各年度税额</t>
  </si>
  <si>
    <t>可结转以后年度抵免的税额</t>
  </si>
  <si>
    <t>前五年度</t>
  </si>
  <si>
    <t>4=3×10%</t>
  </si>
  <si>
    <t>10（5+6+7+8+9）</t>
  </si>
  <si>
    <t>11（≤4－10）且第11列第1至6行合计数不得大于第6行第2列的金额</t>
  </si>
  <si>
    <t>12（4-10-11）</t>
  </si>
  <si>
    <t xml:space="preserve">第2列＝表A100000第25行-表 A100000第26行。
2009-2013年度：第2列＝原《企业所得税年度纳税申报表（A类）》第27-28行
</t>
  </si>
  <si>
    <t>本年实际抵免税额合计（第11列第1+2+…+6行）</t>
  </si>
  <si>
    <t xml:space="preserve">1. 第7行第11列≤表A100000第25-26行
2. 第7行第11列＝表A100000第27行
</t>
  </si>
  <si>
    <t>可结转以后年度抵免的税额合计（第12列第2+3+…+6行）</t>
  </si>
  <si>
    <t>专用设备
投资情况</t>
  </si>
  <si>
    <t>本年允许抵免的环境保护专用设备投资额</t>
  </si>
  <si>
    <t>本年允许抵免节能节水的专用设备投资额</t>
  </si>
  <si>
    <t>本年允许抵免的安全生产专用设备投资额</t>
  </si>
  <si>
    <t xml:space="preserve">A108000 </t>
  </si>
  <si>
    <t>境外所得税收抵免明细表</t>
  </si>
  <si>
    <t>国家
（地区）</t>
  </si>
  <si>
    <t>境外税前所得</t>
  </si>
  <si>
    <t>境外所得纳税调整后所得</t>
  </si>
  <si>
    <t>抵减境内亏损</t>
  </si>
  <si>
    <t>抵减境内亏损后的境外应纳税所得额</t>
  </si>
  <si>
    <t>境外所得抵免限额</t>
  </si>
  <si>
    <t>本年可抵免境外所得税额</t>
  </si>
  <si>
    <t>未超过境外所得税抵免限额的余额</t>
  </si>
  <si>
    <t>本年可抵免以前年度未抵免境外所得税额</t>
  </si>
  <si>
    <t>按简易办法计算</t>
  </si>
  <si>
    <t>境外所得抵免所得税额合计</t>
  </si>
  <si>
    <t>按低于12.5%的实际税率计算的抵免额</t>
  </si>
  <si>
    <t>按12.5%计算的抵免额</t>
  </si>
  <si>
    <t>按25%计算的抵免额</t>
  </si>
  <si>
    <t>5（3-4）</t>
  </si>
  <si>
    <t>9（7×8）</t>
  </si>
  <si>
    <t>12（10、11孰小）</t>
  </si>
  <si>
    <t>13（11-12）</t>
  </si>
  <si>
    <t>14（≤13）</t>
  </si>
  <si>
    <t>18（15+16+17）</t>
  </si>
  <si>
    <t>19（12+14+18）</t>
  </si>
  <si>
    <t xml:space="preserve">1.第2列各行＝表A108010第14列相应行次
2.第2列合计=表A108010第14列合计
</t>
  </si>
  <si>
    <t>第3列各行＝表A108010第18列相应行次</t>
  </si>
  <si>
    <t>第4列各行＝表A108020第4列相应行次+表A108020第13列相应行次</t>
  </si>
  <si>
    <t>第6列合计＝表A100000第18行</t>
  </si>
  <si>
    <t>第9列合计＝表A100000第29行</t>
  </si>
  <si>
    <t>第10列各行＝表A108010第13列相应行次</t>
  </si>
  <si>
    <t>第14列各行＝表A108030第13列相应行次</t>
  </si>
  <si>
    <t>第19列合计＝表A100000第30行</t>
  </si>
  <si>
    <t>境外所得纳税调整后所得明细表</t>
  </si>
  <si>
    <t>境外税后所得</t>
  </si>
  <si>
    <t>境外所得可抵免的所得税额</t>
  </si>
  <si>
    <t>境外分支机构收入与支出纳税调整额</t>
  </si>
  <si>
    <t>境外分支机构调整分摊扣除的有关成本费用</t>
  </si>
  <si>
    <t>境外所得对应调整的相关成本费用支出</t>
  </si>
  <si>
    <t>分支机构机构营业利润所得</t>
  </si>
  <si>
    <t>股息、红利等权益性投资所得</t>
  </si>
  <si>
    <t>利息所得</t>
  </si>
  <si>
    <t>租金所得</t>
  </si>
  <si>
    <t>特许权使用费所得</t>
  </si>
  <si>
    <t>财产转让所得</t>
  </si>
  <si>
    <t>其他所得</t>
  </si>
  <si>
    <t>直接缴纳的所得税额</t>
  </si>
  <si>
    <t>间接负担的所得税额</t>
  </si>
  <si>
    <t>享受税收饶让抵免税额</t>
  </si>
  <si>
    <t>9（2+3+4+5+6+7+8）</t>
  </si>
  <si>
    <t>13（10+11+12）</t>
  </si>
  <si>
    <t>14（9+10+11）</t>
  </si>
  <si>
    <t>18（14+15-16-17）</t>
  </si>
  <si>
    <t>第13列各行＝表A108000第10列相应行次</t>
  </si>
  <si>
    <t>1.第14列各行＝表A108000第2列相应行次
2.第14列－第11列=主表A100000第14行</t>
  </si>
  <si>
    <t>第16列合计+第17列合计＝表A105000第28行第3列</t>
  </si>
  <si>
    <t>第18列各行＝表A108000第3列相应各行</t>
  </si>
  <si>
    <t xml:space="preserve">A108020 </t>
  </si>
  <si>
    <t>境外分支机构弥补亏损明细表</t>
  </si>
  <si>
    <t>非实际亏损额的弥补</t>
  </si>
  <si>
    <t>实际亏损额的弥补</t>
  </si>
  <si>
    <t>以前年度结转尚未弥补的非实际亏损额</t>
  </si>
  <si>
    <t>本年发生的非实际亏损额</t>
  </si>
  <si>
    <t>本年弥补的以前年度非实际亏损额</t>
  </si>
  <si>
    <t>结转以后年度弥补的非实际亏损额</t>
  </si>
  <si>
    <t>以前年度结转尚未弥补的实际亏损额</t>
  </si>
  <si>
    <t>本年发生的实际亏损额</t>
  </si>
  <si>
    <t>本年弥补的以前年度实际亏损额</t>
  </si>
  <si>
    <t>结转以后年度弥补的实际亏损额</t>
  </si>
  <si>
    <t>前五年</t>
  </si>
  <si>
    <t>前四年</t>
  </si>
  <si>
    <t>前三年</t>
  </si>
  <si>
    <t>前二年</t>
  </si>
  <si>
    <t>前一年</t>
  </si>
  <si>
    <t xml:space="preserve">小计 </t>
  </si>
  <si>
    <t>5（2+3-4）</t>
  </si>
  <si>
    <t>11（6+7+8+9+10）</t>
  </si>
  <si>
    <t>19（14+15+16+17+18）</t>
  </si>
  <si>
    <t>表间
关系</t>
  </si>
  <si>
    <t>第4列各行+第13列各行＝表A108000第4列相应行次</t>
  </si>
  <si>
    <t xml:space="preserve">A108030 </t>
  </si>
  <si>
    <t>跨年度结转抵免境外所得税明细表</t>
  </si>
  <si>
    <t>前五年境外所得已缴所得税未抵免余额</t>
  </si>
  <si>
    <t>本年实际抵免以前年度未抵免的境外已缴所得税额</t>
  </si>
  <si>
    <t>结转以后年度抵免的境外所得已缴所得税额</t>
  </si>
  <si>
    <t>7（2+3+4+5+6）</t>
  </si>
  <si>
    <t>13（8+9+10+11+12）</t>
  </si>
  <si>
    <t>14（3-9）</t>
  </si>
  <si>
    <t>15（4-10）</t>
  </si>
  <si>
    <t>16（5-11）</t>
  </si>
  <si>
    <t>17（6-12）</t>
  </si>
  <si>
    <t>第13列各行＝表A108000第14列相应行次</t>
  </si>
  <si>
    <t>第18列各行＝表A108000第10列相应行次-表A108000第12列相应行次（当表A108000第10列相应行次大于表A108000第12列相应行次时填报）</t>
  </si>
  <si>
    <t xml:space="preserve">A109000 </t>
  </si>
  <si>
    <t>跨地区经营汇总纳税企业年度分摊企业所得税明细表</t>
  </si>
  <si>
    <t xml:space="preserve">金    额     </t>
  </si>
  <si>
    <t>一、总机构实际应纳所得税额</t>
  </si>
  <si>
    <t>第1行＝表A10000第31行</t>
  </si>
  <si>
    <t xml:space="preserve">   减：境外所得应纳所得税额</t>
  </si>
  <si>
    <t>第2行＝表A10000第29行</t>
  </si>
  <si>
    <t xml:space="preserve">   加：境外所得抵免所得税额</t>
  </si>
  <si>
    <t>第3行＝表A10000第30行</t>
  </si>
  <si>
    <t>二、总机构用于分摊的本年实际应纳所得税（1-2+3）</t>
  </si>
  <si>
    <t>三、本年累计已预分、已分摊所得税（6+7+8+9）</t>
  </si>
  <si>
    <t>第5行＝表A10000第32行</t>
  </si>
  <si>
    <t xml:space="preserve">   （一）总机构向其直接管理的建筑项目部所在地预分的所得税额</t>
  </si>
  <si>
    <t xml:space="preserve">   （二）总机构已分摊所得税额</t>
  </si>
  <si>
    <t xml:space="preserve">   （三）财政集中已分配所得税额</t>
  </si>
  <si>
    <t xml:space="preserve">   （四）总机构所属分支机构已分摊所得税额</t>
  </si>
  <si>
    <t xml:space="preserve">         其中：总机构主体生产经营部门已分摊所得税额</t>
  </si>
  <si>
    <t>四、总机构本年度应分摊的应补（退）的所得税（4-5）</t>
  </si>
  <si>
    <t xml:space="preserve">   （一）总机构分摊本年应补（退）的所得税额（11×25%）</t>
  </si>
  <si>
    <t>第12+16行＝表A10000第34行</t>
  </si>
  <si>
    <t xml:space="preserve">   （二）财政集中分配本年应补（退）的所得税额（11×25%）</t>
  </si>
  <si>
    <t>第13行＝表A100000第35行</t>
  </si>
  <si>
    <t xml:space="preserve">   （三）总机构所属分支机构分摊本年应补（退）的所得税额（11×50%）</t>
  </si>
  <si>
    <t xml:space="preserve">         其中：总机构主体生产经营部门分摊本年应补（退）的所得税额（11×总机构主体生产经营部门分摊比例。）</t>
  </si>
  <si>
    <t>第15行＝表A10000第36行=表A109010分配给本部门的税额</t>
  </si>
  <si>
    <t>五、总机构境外所得抵免后的应纳所得税额（2-3）</t>
  </si>
  <si>
    <t>六、总机构本年应补（退）的所得税额（12+13+15+16）</t>
  </si>
  <si>
    <t xml:space="preserve">A109010 </t>
  </si>
  <si>
    <t>金额单位: 元（列至角分）</t>
  </si>
  <si>
    <t>总机构纳税人识别号</t>
  </si>
  <si>
    <t>应纳所得税额＝表A109000第11行</t>
  </si>
  <si>
    <t>分支机构纳税人识别号</t>
  </si>
  <si>
    <t>分配
比例</t>
  </si>
  <si>
    <t>职工薪酬</t>
  </si>
  <si>
    <t>资产总额</t>
  </si>
  <si>
    <t>其他</t>
    <phoneticPr fontId="51" type="noConversion"/>
  </si>
  <si>
    <t>出租无形资产收入</t>
    <phoneticPr fontId="51" type="noConversion"/>
  </si>
  <si>
    <t xml:space="preserve">    出租无形资产收入</t>
    <phoneticPr fontId="51" type="noConversion"/>
  </si>
  <si>
    <t>跳转超链接所选页面</t>
  </si>
  <si>
    <t>建造合同</t>
    <phoneticPr fontId="51" type="noConversion"/>
  </si>
  <si>
    <t>4、</t>
    <phoneticPr fontId="51" type="noConversion"/>
  </si>
  <si>
    <t>出口退税免抵退税额</t>
    <phoneticPr fontId="51" type="noConversion"/>
  </si>
  <si>
    <t>出租房屋建筑收入</t>
    <phoneticPr fontId="51" type="noConversion"/>
  </si>
  <si>
    <t>出租有形动产收入</t>
    <phoneticPr fontId="51" type="noConversion"/>
  </si>
  <si>
    <t>5、</t>
    <phoneticPr fontId="51" type="noConversion"/>
  </si>
  <si>
    <t>销售材料收入</t>
    <phoneticPr fontId="51" type="noConversion"/>
  </si>
  <si>
    <t>出租包装物和商品收入</t>
    <phoneticPr fontId="51" type="noConversion"/>
  </si>
  <si>
    <t>收入与申报核对表</t>
    <phoneticPr fontId="51" type="noConversion"/>
  </si>
  <si>
    <t>未按权责发生制确认收入审核表</t>
    <phoneticPr fontId="51" type="noConversion"/>
  </si>
  <si>
    <t>投资收益审核表</t>
    <phoneticPr fontId="51" type="noConversion"/>
  </si>
  <si>
    <t>专项用途财政性资金审核表</t>
    <phoneticPr fontId="51" type="noConversion"/>
  </si>
  <si>
    <t>资产损失税前扣除审核表</t>
    <phoneticPr fontId="51" type="noConversion"/>
  </si>
  <si>
    <t>资产损失（专项申报）税前扣除审核表</t>
    <phoneticPr fontId="51" type="noConversion"/>
  </si>
  <si>
    <t>企业重组审核表</t>
    <phoneticPr fontId="51" type="noConversion"/>
  </si>
  <si>
    <t>政策性搬迁审核表</t>
    <phoneticPr fontId="51" type="noConversion"/>
  </si>
  <si>
    <t>特殊行业准备金审核表</t>
    <phoneticPr fontId="51" type="noConversion"/>
  </si>
  <si>
    <t>免税、减计收入及加计扣除优惠审核表</t>
    <phoneticPr fontId="51" type="noConversion"/>
  </si>
  <si>
    <t>符合条件的居民企业之间的股息、红利等权益性投资收益优惠审核表</t>
    <phoneticPr fontId="51" type="noConversion"/>
  </si>
  <si>
    <t>综合利用资源生产产品取得的收入优惠审核表</t>
    <phoneticPr fontId="51" type="noConversion"/>
  </si>
  <si>
    <t>金融、保险等机构取得的涉农利息、保费收入优惠审核表</t>
    <phoneticPr fontId="51" type="noConversion"/>
  </si>
  <si>
    <t>研发费用加计扣除优惠审核表</t>
    <phoneticPr fontId="51" type="noConversion"/>
  </si>
  <si>
    <t>所得减免优惠审核表</t>
    <phoneticPr fontId="51" type="noConversion"/>
  </si>
  <si>
    <t>抵扣应纳税所得额审核表</t>
    <phoneticPr fontId="51" type="noConversion"/>
  </si>
  <si>
    <t>减免所得税优惠审核表</t>
    <phoneticPr fontId="51" type="noConversion"/>
  </si>
  <si>
    <t>高新技术企业优惠情况审核表</t>
    <phoneticPr fontId="51" type="noConversion"/>
  </si>
  <si>
    <t>软件、集成电路企业优惠情况审核表</t>
    <phoneticPr fontId="51" type="noConversion"/>
  </si>
  <si>
    <t>跨地区经营汇总纳税企业年度分摊企业所得税审核表</t>
    <phoneticPr fontId="51" type="noConversion"/>
  </si>
  <si>
    <t>境外所得税收抵免审核表</t>
    <phoneticPr fontId="51" type="noConversion"/>
  </si>
  <si>
    <t>境外所得纳税调整后所得审核表</t>
    <phoneticPr fontId="51" type="noConversion"/>
  </si>
  <si>
    <t>境外分支机构弥补亏损审核表</t>
    <phoneticPr fontId="51" type="noConversion"/>
  </si>
  <si>
    <t>跨年度结转抵免境外所得税审核表</t>
    <phoneticPr fontId="51" type="noConversion"/>
  </si>
  <si>
    <t>税额抵免优惠审核表</t>
    <phoneticPr fontId="51" type="noConversion"/>
  </si>
  <si>
    <t>视同销售和房开企业特定业务</t>
    <phoneticPr fontId="51" type="noConversion"/>
  </si>
  <si>
    <t>未按权责发生制确认收入审核表</t>
    <phoneticPr fontId="51" type="noConversion"/>
  </si>
  <si>
    <t>固定资产加速折旧审核表</t>
    <phoneticPr fontId="51" type="noConversion"/>
  </si>
  <si>
    <t>资产损失税前扣除审核表</t>
    <phoneticPr fontId="51" type="noConversion"/>
  </si>
  <si>
    <t>资产损失（专项申报）审核表</t>
    <phoneticPr fontId="51" type="noConversion"/>
  </si>
  <si>
    <t>企业重组审核表</t>
    <phoneticPr fontId="51" type="noConversion"/>
  </si>
  <si>
    <t>政策性搬迁审核表</t>
    <phoneticPr fontId="51" type="noConversion"/>
  </si>
  <si>
    <t>特殊行业准备金审核表</t>
    <phoneticPr fontId="51" type="noConversion"/>
  </si>
  <si>
    <t>免税、减计收入及加计扣除优惠</t>
    <phoneticPr fontId="51" type="noConversion"/>
  </si>
  <si>
    <t>综合利用资源生产产品取得收入</t>
    <phoneticPr fontId="51" type="noConversion"/>
  </si>
  <si>
    <t>金融保险机构涉农利息保费收入</t>
    <phoneticPr fontId="51" type="noConversion"/>
  </si>
  <si>
    <t>股息红利优惠审核表</t>
    <phoneticPr fontId="51" type="noConversion"/>
  </si>
  <si>
    <t>所得减免优惠审核表</t>
    <phoneticPr fontId="51" type="noConversion"/>
  </si>
  <si>
    <t>抵扣应纳税所得额审核表</t>
    <phoneticPr fontId="51" type="noConversion"/>
  </si>
  <si>
    <t>减免所得税优惠审核表</t>
    <phoneticPr fontId="51" type="noConversion"/>
  </si>
  <si>
    <t>高新技术企业优惠情况审核表</t>
    <phoneticPr fontId="51" type="noConversion"/>
  </si>
  <si>
    <t>境外分支机构弥补亏损审核表</t>
    <phoneticPr fontId="51" type="noConversion"/>
  </si>
  <si>
    <t>跨年度结转抵免境外所得税审核表</t>
    <phoneticPr fontId="51" type="noConversion"/>
  </si>
  <si>
    <t>税额抵免优惠审核表</t>
    <phoneticPr fontId="51" type="noConversion"/>
  </si>
  <si>
    <t>境外所得税收抵免审核表</t>
    <phoneticPr fontId="51" type="noConversion"/>
  </si>
  <si>
    <t>汇总纳税分支机构所得税分配表</t>
    <phoneticPr fontId="51" type="noConversion"/>
  </si>
  <si>
    <t>汇总纳税分摊企业所得税审核表</t>
    <phoneticPr fontId="51" type="noConversion"/>
  </si>
  <si>
    <t>企业所得税年度纳税申报表填报表单</t>
    <phoneticPr fontId="51" type="noConversion"/>
  </si>
  <si>
    <t>企业所得税年度纳税申报表填报表单</t>
  </si>
  <si>
    <t>首页</t>
  </si>
  <si>
    <t>业务约定</t>
  </si>
  <si>
    <t>地税、基本情况</t>
  </si>
  <si>
    <t>基本情况</t>
  </si>
  <si>
    <t>当局声明</t>
  </si>
  <si>
    <t>计划</t>
  </si>
  <si>
    <t>内控</t>
  </si>
  <si>
    <t>审核问卷</t>
  </si>
  <si>
    <t>重大问题</t>
  </si>
  <si>
    <t>交换意见</t>
  </si>
  <si>
    <t>资料清单</t>
  </si>
  <si>
    <t>审核标识</t>
  </si>
  <si>
    <t>盘点表</t>
  </si>
  <si>
    <t>通用记录</t>
  </si>
  <si>
    <t>资产负债</t>
  </si>
  <si>
    <t>利润</t>
  </si>
  <si>
    <t>补亏</t>
  </si>
  <si>
    <t>视同销售和房地产开发企业特定业务审核表</t>
  </si>
  <si>
    <t>未按权责发生制确认收入审核表</t>
  </si>
  <si>
    <t>投资收益审核表</t>
  </si>
  <si>
    <t>专项用途财政性资金审核表</t>
  </si>
  <si>
    <t>固定资产加速折旧审核表</t>
  </si>
  <si>
    <t>资产损失税前扣除审核表</t>
  </si>
  <si>
    <t>资产损失（专项申报）税前扣除审核表</t>
  </si>
  <si>
    <t>企业重组审核表</t>
  </si>
  <si>
    <t>政策性搬迁审核表</t>
  </si>
  <si>
    <t>特殊行业准备金审核表</t>
  </si>
  <si>
    <t>免税、减计收入及加计扣除优惠审核表</t>
  </si>
  <si>
    <t>股息红利优惠审核表</t>
  </si>
  <si>
    <t>综合利用资源生产产品取得的收入优惠审核表</t>
  </si>
  <si>
    <t>金融保险等机构取得涉农利息保费收入优惠审核表</t>
  </si>
  <si>
    <t>研发费用加计扣除优惠审核表</t>
  </si>
  <si>
    <t>所得减免优惠审核表</t>
  </si>
  <si>
    <t>抵扣应纳税所得额审核表</t>
  </si>
  <si>
    <t>减免所得税优惠审核表</t>
  </si>
  <si>
    <t>高新技术企业优惠情况审核表</t>
  </si>
  <si>
    <t>软件、集成电路企业优惠情况审核表</t>
  </si>
  <si>
    <t>税额抵免优惠审核表</t>
  </si>
  <si>
    <t>境外所得税收抵免审核表</t>
  </si>
  <si>
    <t>境外所得纳税调整后所得审核表</t>
  </si>
  <si>
    <t>境外分支机构弥补亏损审核表</t>
  </si>
  <si>
    <t>跨年度结转抵免境外所得税审核表</t>
  </si>
  <si>
    <t>跨地区经营汇总纳税企业年度分摊企业所得税审核表</t>
  </si>
  <si>
    <t>主页</t>
  </si>
  <si>
    <t>报告目录</t>
  </si>
  <si>
    <t>主营税金</t>
  </si>
  <si>
    <t>银行调节</t>
  </si>
  <si>
    <t>余额表</t>
  </si>
  <si>
    <t>税金申报明细</t>
  </si>
  <si>
    <t>检查表</t>
  </si>
  <si>
    <t>基本情况（封面）</t>
  </si>
  <si>
    <t>1.保留意见</t>
  </si>
  <si>
    <t>2.否定意见</t>
  </si>
  <si>
    <t>3.无保留意见</t>
  </si>
  <si>
    <t>4.无法表明意见</t>
  </si>
  <si>
    <t>(二)企业基本情况和审核事项说明</t>
  </si>
  <si>
    <t>(二)附表-科目说明</t>
  </si>
  <si>
    <t>(二)附表-纳税调整额的审核</t>
  </si>
  <si>
    <t>(三)主表</t>
  </si>
  <si>
    <t>(三)子表1.一般企业收入明细表</t>
  </si>
  <si>
    <t>(三)子表2.成本费用明细表</t>
  </si>
  <si>
    <t>(三)子表3.纳税调整明细表</t>
  </si>
  <si>
    <t>(三)子表4.弥补亏损明细表</t>
  </si>
  <si>
    <t>(三)子表5.税收优惠明细表</t>
  </si>
  <si>
    <t>(三)子表6.境外所得税抵免明细表</t>
  </si>
  <si>
    <t>(三)子表7.以公允价值计量调整表</t>
  </si>
  <si>
    <t>(三)子表8.广告费纳税调整表</t>
  </si>
  <si>
    <t>(三)子表9.资产折旧纳税调整表</t>
  </si>
  <si>
    <t>(三)子表10.减值准备纳税调整表</t>
  </si>
  <si>
    <t>(三)子表11.股权投资所得明细表</t>
  </si>
  <si>
    <t>(三)子表12.企业所得税汇总纳税分支机构所得税分配表</t>
  </si>
  <si>
    <t>(四)无限期结转扣除项目情况表</t>
  </si>
  <si>
    <t>(五)跨年度确认所得情况表</t>
  </si>
  <si>
    <t>（六）企业各税（费）审核汇总表</t>
  </si>
  <si>
    <t>（七）社会保险费明细表</t>
  </si>
  <si>
    <t>A000000企业基础信息表</t>
  </si>
  <si>
    <t>A100000中华人民共和国企业所得税年度纳税申报表（A类）</t>
  </si>
  <si>
    <t>A101010一般企业收入明细表</t>
  </si>
  <si>
    <t>A101020金融企业收入明细表</t>
  </si>
  <si>
    <t>A102010一般企业成本支出明细表</t>
  </si>
  <si>
    <t>A102020金融企业支出明细表</t>
  </si>
  <si>
    <t>A103000事业单位、民间非营利组织收入、支出明细表</t>
  </si>
  <si>
    <t>A104000期间费用明细表</t>
  </si>
  <si>
    <t>A105000纳税调整项目明细表</t>
  </si>
  <si>
    <t>A105010视同销售和房地产开发企业特定业务纳税调整明细表</t>
  </si>
  <si>
    <t>A105020未按权责发生制确认收入纳税调整明细表</t>
  </si>
  <si>
    <t>A105030投资收益纳税调整明细表</t>
  </si>
  <si>
    <t>A105040专项用途财政性资金纳税调整表</t>
  </si>
  <si>
    <t>A105050职工薪酬纳税调整明细表</t>
  </si>
  <si>
    <t>A105060广告费和业务宣传费跨年度纳税调整明细表</t>
  </si>
  <si>
    <t>A105070捐赠支出纳税调整明细表</t>
  </si>
  <si>
    <t>A105080资产折旧、摊销情况及纳税调整明细表</t>
  </si>
  <si>
    <t>A105081固定资产加速折旧、扣除明细表</t>
  </si>
  <si>
    <t>A105090资产损失税前扣除及纳税调整明细表</t>
  </si>
  <si>
    <t>A105091资产损失（专项申报）税前扣除及纳税调整明细表</t>
  </si>
  <si>
    <t>A105100企业重组纳税调整明细表</t>
  </si>
  <si>
    <t>A105110政策性搬迁纳税调整明细表</t>
  </si>
  <si>
    <t>A105120特殊行业准备金纳税调整明细表</t>
  </si>
  <si>
    <t>A106000企业所得税弥补亏损明细表</t>
  </si>
  <si>
    <t>A107010免税、减计收入及加计扣除优惠明细表</t>
  </si>
  <si>
    <t>A107011股息红利优惠明细表</t>
  </si>
  <si>
    <t>A107012综合利用资源生产产品取得的收入优惠明细表</t>
  </si>
  <si>
    <t>A107013金融保险等机构取得涉农利息保费收入优惠明细表</t>
  </si>
  <si>
    <t>A107014研发费用加计扣除优惠明细表</t>
  </si>
  <si>
    <t>A107020所得减免优惠明细表</t>
  </si>
  <si>
    <t>A107030抵扣应纳税所得额明细表</t>
  </si>
  <si>
    <t>A107040减免所得税优惠明细表</t>
  </si>
  <si>
    <t>A107041高新技术企业优惠情况及明细表</t>
  </si>
  <si>
    <t>A107042软件、集成电路企业优惠情况及明细表</t>
  </si>
  <si>
    <t>A107050税额抵免优惠明细表</t>
  </si>
  <si>
    <t>A108000境外所得税收抵免明细表</t>
  </si>
  <si>
    <t>A108010境外所得纳税调整后所得明细表</t>
  </si>
  <si>
    <t>A108020境外分支机构弥补亏损明细表</t>
  </si>
  <si>
    <t>A108030跨年度结转抵免境外所得税明细表</t>
  </si>
  <si>
    <t>A109000跨地区经营汇总纳税企业年度分摊企业所得税明细表</t>
  </si>
  <si>
    <t>A109010企业所得税汇总纳税分支机构所得税分配表</t>
  </si>
  <si>
    <t>相关链接：</t>
    <phoneticPr fontId="51" type="noConversion"/>
  </si>
  <si>
    <t>税法允许的加速折旧</t>
    <phoneticPr fontId="51" type="noConversion"/>
  </si>
  <si>
    <t>9</t>
    <phoneticPr fontId="51" type="noConversion"/>
  </si>
  <si>
    <t>10=7*丙+9</t>
    <phoneticPr fontId="51" type="noConversion"/>
  </si>
  <si>
    <t>按照分摊协议归集至其他关联方的广告费和业务宣传费</t>
    <phoneticPr fontId="51" type="noConversion"/>
  </si>
  <si>
    <t>按照分摊协议从其他关联方归集至本企业的广告费和业务宣传费</t>
    <phoneticPr fontId="51" type="noConversion"/>
  </si>
  <si>
    <t>按税收规定全额扣除的职工培训费用</t>
    <phoneticPr fontId="51" type="noConversion"/>
  </si>
  <si>
    <t>股权激励</t>
    <phoneticPr fontId="51" type="noConversion"/>
  </si>
  <si>
    <t>*</t>
    <phoneticPr fontId="51" type="noConversion"/>
  </si>
  <si>
    <t>（四）其他</t>
    <phoneticPr fontId="51" type="noConversion"/>
  </si>
  <si>
    <t>按权益法核算长期股权投资对初始投资成本调整确认收益</t>
    <phoneticPr fontId="51" type="noConversion"/>
  </si>
  <si>
    <t>交易性金融资产初始投资调整</t>
    <phoneticPr fontId="51" type="noConversion"/>
  </si>
  <si>
    <t>公允价值变动审定表</t>
    <phoneticPr fontId="51" type="noConversion"/>
  </si>
  <si>
    <t xml:space="preserve">1.第7行第4列＝表A105000第9行第4列
2.第7行第11列＝表A105000第25行第3列
3.第7行第14列＝表A105000第9行第3列
</t>
    <phoneticPr fontId="51" type="noConversion"/>
  </si>
  <si>
    <t>扣除税率</t>
    <phoneticPr fontId="51" type="noConversion"/>
  </si>
  <si>
    <t>减：不允许扣除的广告费和业务宣传费支出</t>
    <phoneticPr fontId="51" type="noConversion"/>
  </si>
  <si>
    <t>本年广告费和业务宣传费支出</t>
    <phoneticPr fontId="51" type="noConversion"/>
  </si>
  <si>
    <t>本年符合条件的广告费和业务宣传费支出</t>
    <phoneticPr fontId="51" type="noConversion"/>
  </si>
  <si>
    <t>与未实现融资收益相关在当期确认的财务费用</t>
    <phoneticPr fontId="51" type="noConversion"/>
  </si>
  <si>
    <t>跨期扣除项目</t>
    <phoneticPr fontId="51" type="noConversion"/>
  </si>
  <si>
    <t>A101010</t>
    <phoneticPr fontId="51" type="noConversion"/>
  </si>
  <si>
    <t>A100000</t>
    <phoneticPr fontId="51" type="noConversion"/>
  </si>
  <si>
    <t>A000000</t>
    <phoneticPr fontId="51" type="noConversion"/>
  </si>
  <si>
    <t>小规模应税增值税(4%/2)收入</t>
    <phoneticPr fontId="51" type="noConversion"/>
  </si>
  <si>
    <t xml:space="preserve"> 顺序号 </t>
  </si>
  <si>
    <t xml:space="preserve">会计科目名称 </t>
  </si>
  <si>
    <t>一、资产类</t>
  </si>
  <si>
    <t xml:space="preserve">二、负债类 </t>
  </si>
  <si>
    <t xml:space="preserve">三、所有者权益类 </t>
  </si>
  <si>
    <t xml:space="preserve">四、成本类 </t>
  </si>
  <si>
    <t xml:space="preserve">五、损益类 </t>
  </si>
  <si>
    <t>编号</t>
  </si>
  <si>
    <t>库存现金</t>
  </si>
  <si>
    <t>其他货币资金</t>
  </si>
  <si>
    <t>短期投资</t>
  </si>
  <si>
    <t>应收票据</t>
  </si>
  <si>
    <t>应收账款</t>
  </si>
  <si>
    <t>预付账款</t>
  </si>
  <si>
    <t>应收股利</t>
  </si>
  <si>
    <t>应收利息</t>
  </si>
  <si>
    <t>其他应收款</t>
  </si>
  <si>
    <t>材料采购</t>
  </si>
  <si>
    <t>在途物资</t>
  </si>
  <si>
    <t>原材料</t>
  </si>
  <si>
    <t>材料成本差异</t>
  </si>
  <si>
    <t>委托加工物资</t>
  </si>
  <si>
    <t>周转材料</t>
  </si>
  <si>
    <t>消耗性生物资产</t>
  </si>
  <si>
    <t>长期债券投资</t>
  </si>
  <si>
    <t>长期股权投资</t>
  </si>
  <si>
    <t>固定资产</t>
  </si>
  <si>
    <t>累计折旧</t>
  </si>
  <si>
    <t>工程物资</t>
  </si>
  <si>
    <t>固定资产清理</t>
  </si>
  <si>
    <t>生产性生物资产</t>
  </si>
  <si>
    <t>生产性生物资产累计折旧</t>
  </si>
  <si>
    <t>无形资产</t>
  </si>
  <si>
    <t>累计摊销</t>
  </si>
  <si>
    <t>长期待摊费用</t>
  </si>
  <si>
    <t>待处理财产损溢</t>
  </si>
  <si>
    <t>短期借款</t>
  </si>
  <si>
    <t>应付票据</t>
  </si>
  <si>
    <t>应付账款</t>
  </si>
  <si>
    <t>预收账款</t>
  </si>
  <si>
    <t>应付职工薪酬</t>
  </si>
  <si>
    <t>应交税费</t>
  </si>
  <si>
    <t>应付利息</t>
  </si>
  <si>
    <t>应付利润</t>
  </si>
  <si>
    <t>其他应付款</t>
  </si>
  <si>
    <t>递延收益</t>
  </si>
  <si>
    <t>长期借款</t>
  </si>
  <si>
    <t>长期应付款</t>
  </si>
  <si>
    <t>本年利润</t>
  </si>
  <si>
    <t>利润分配</t>
  </si>
  <si>
    <t>研发支出</t>
  </si>
  <si>
    <t>工程施工</t>
  </si>
  <si>
    <t>机械作业</t>
  </si>
  <si>
    <t>投资收益</t>
  </si>
  <si>
    <t>营业外收入</t>
  </si>
  <si>
    <t>其他业务成本</t>
  </si>
  <si>
    <t>营业税金及附加</t>
  </si>
  <si>
    <t>所得税费用</t>
  </si>
  <si>
    <t>1000</t>
  </si>
  <si>
    <t>1001</t>
  </si>
  <si>
    <t>1002</t>
  </si>
  <si>
    <t>1101</t>
  </si>
  <si>
    <t>1121</t>
  </si>
  <si>
    <t>1122</t>
  </si>
  <si>
    <t>1123</t>
  </si>
  <si>
    <t>1131</t>
  </si>
  <si>
    <t>1132</t>
  </si>
  <si>
    <t>1221</t>
  </si>
  <si>
    <t>1401</t>
  </si>
  <si>
    <t>1402</t>
  </si>
  <si>
    <t>1403</t>
  </si>
  <si>
    <t>1404</t>
  </si>
  <si>
    <t>1405</t>
  </si>
  <si>
    <t>1407</t>
  </si>
  <si>
    <t>1408</t>
  </si>
  <si>
    <t>1501</t>
  </si>
  <si>
    <t>1601</t>
  </si>
  <si>
    <t>1602</t>
  </si>
  <si>
    <t>1604</t>
  </si>
  <si>
    <t>1605</t>
  </si>
  <si>
    <t>1606</t>
  </si>
  <si>
    <t>1621</t>
  </si>
  <si>
    <t>1622</t>
  </si>
  <si>
    <t>1701</t>
  </si>
  <si>
    <t>1702</t>
  </si>
  <si>
    <t>1801</t>
  </si>
  <si>
    <t>1901</t>
  </si>
  <si>
    <t>2000</t>
  </si>
  <si>
    <t>2001</t>
  </si>
  <si>
    <t>2201</t>
  </si>
  <si>
    <t>2202</t>
  </si>
  <si>
    <t>2203</t>
  </si>
  <si>
    <t>2232</t>
  </si>
  <si>
    <t>2241</t>
  </si>
  <si>
    <t>2401</t>
  </si>
  <si>
    <t>2501</t>
  </si>
  <si>
    <t>2701</t>
  </si>
  <si>
    <t>3000</t>
  </si>
  <si>
    <t>3001</t>
  </si>
  <si>
    <t>3002</t>
  </si>
  <si>
    <t>3101</t>
  </si>
  <si>
    <t>3103</t>
  </si>
  <si>
    <t>3104</t>
  </si>
  <si>
    <t>4000</t>
  </si>
  <si>
    <t>4001</t>
  </si>
  <si>
    <t>4101</t>
  </si>
  <si>
    <t>4301</t>
  </si>
  <si>
    <t>4401</t>
  </si>
  <si>
    <t>4403</t>
  </si>
  <si>
    <t>5000</t>
  </si>
  <si>
    <t>5001</t>
  </si>
  <si>
    <t>5051</t>
  </si>
  <si>
    <t>5301</t>
  </si>
  <si>
    <t>5401</t>
  </si>
  <si>
    <t>5402</t>
  </si>
  <si>
    <t>5403</t>
  </si>
  <si>
    <t>5601</t>
  </si>
  <si>
    <t>5602</t>
  </si>
  <si>
    <t>5603</t>
  </si>
  <si>
    <t>5711</t>
  </si>
  <si>
    <t>5801</t>
  </si>
  <si>
    <t>劳务费</t>
  </si>
  <si>
    <t>咨询顾问费</t>
  </si>
  <si>
    <t>业务招待费</t>
  </si>
  <si>
    <t>广告费和业务宣传费</t>
  </si>
  <si>
    <t>佣金和手续费</t>
  </si>
  <si>
    <t>资产折旧摊销费</t>
  </si>
  <si>
    <t>财产损耗</t>
  </si>
  <si>
    <t>盘亏及毁损损失</t>
  </si>
  <si>
    <t>办公费</t>
  </si>
  <si>
    <t>董事会费</t>
  </si>
  <si>
    <t>租赁费</t>
  </si>
  <si>
    <t>诉讼费</t>
  </si>
  <si>
    <t>差旅费</t>
  </si>
  <si>
    <t>保险费</t>
  </si>
  <si>
    <t>运输</t>
  </si>
  <si>
    <t>仓储费</t>
  </si>
  <si>
    <t>修理费</t>
  </si>
  <si>
    <t>包装费</t>
  </si>
  <si>
    <t>技术转让费</t>
  </si>
  <si>
    <t>研究费用</t>
  </si>
  <si>
    <t>各项税费</t>
  </si>
  <si>
    <t>利息收支</t>
  </si>
  <si>
    <t>汇兑差额</t>
  </si>
  <si>
    <t>现金折扣</t>
  </si>
  <si>
    <t>01</t>
    <phoneticPr fontId="51" type="noConversion"/>
  </si>
  <si>
    <t>03</t>
  </si>
  <si>
    <t>04</t>
  </si>
  <si>
    <t>05</t>
  </si>
  <si>
    <t>06</t>
  </si>
  <si>
    <t>07</t>
  </si>
  <si>
    <t>08</t>
  </si>
  <si>
    <t>09</t>
  </si>
  <si>
    <t>10</t>
  </si>
  <si>
    <t>11</t>
  </si>
  <si>
    <t>12</t>
  </si>
  <si>
    <t>13</t>
  </si>
  <si>
    <t>14</t>
  </si>
  <si>
    <t>15</t>
  </si>
  <si>
    <t>16</t>
  </si>
  <si>
    <t>17</t>
  </si>
  <si>
    <t>18</t>
  </si>
  <si>
    <t>19</t>
  </si>
  <si>
    <t>20</t>
  </si>
  <si>
    <t>21</t>
  </si>
  <si>
    <t>560101</t>
  </si>
  <si>
    <t>560102</t>
  </si>
  <si>
    <t>560103</t>
  </si>
  <si>
    <t>560104</t>
  </si>
  <si>
    <t>560105</t>
  </si>
  <si>
    <t>560106</t>
  </si>
  <si>
    <t>560107</t>
  </si>
  <si>
    <t>560108</t>
  </si>
  <si>
    <t>560109</t>
  </si>
  <si>
    <t>560110</t>
  </si>
  <si>
    <t>560111</t>
  </si>
  <si>
    <t>560112</t>
  </si>
  <si>
    <t>560113</t>
  </si>
  <si>
    <t>560114</t>
  </si>
  <si>
    <t>560115</t>
  </si>
  <si>
    <t>560116</t>
  </si>
  <si>
    <t>560117</t>
  </si>
  <si>
    <t>560118</t>
  </si>
  <si>
    <t>560119</t>
  </si>
  <si>
    <t>560120</t>
  </si>
  <si>
    <t>560121</t>
  </si>
  <si>
    <t>销售费用-职工薪酬</t>
  </si>
  <si>
    <t>销售费用-劳务费</t>
  </si>
  <si>
    <t>销售费用-咨询顾问费</t>
  </si>
  <si>
    <t>销售费用-业务招待费</t>
  </si>
  <si>
    <t>销售费用-广告费和业务宣传费</t>
  </si>
  <si>
    <t>销售费用-佣金和手续费</t>
  </si>
  <si>
    <t>销售费用-资产折旧摊销费</t>
  </si>
  <si>
    <t>销售费用-财产损耗</t>
  </si>
  <si>
    <t>销售费用-办公费</t>
  </si>
  <si>
    <t>销售费用-董事会费</t>
  </si>
  <si>
    <t>销售费用-租赁费</t>
  </si>
  <si>
    <t>销售费用-诉讼费</t>
  </si>
  <si>
    <t>销售费用-差旅费</t>
  </si>
  <si>
    <t>销售费用-保险费</t>
  </si>
  <si>
    <t>销售费用-运输</t>
  </si>
  <si>
    <t>销售费用-修理费</t>
  </si>
  <si>
    <t>销售费用-包装费</t>
  </si>
  <si>
    <t>销售费用-技术转让费</t>
  </si>
  <si>
    <t>销售费用-研究费用</t>
  </si>
  <si>
    <t>销售费用-各项税费</t>
  </si>
  <si>
    <t>销售费用-其他</t>
  </si>
  <si>
    <t>560201</t>
  </si>
  <si>
    <t>管理费用-职工薪酬</t>
  </si>
  <si>
    <t>560202</t>
  </si>
  <si>
    <t>管理费用-劳务费</t>
  </si>
  <si>
    <t>560203</t>
  </si>
  <si>
    <t>管理费用-咨询顾问费</t>
  </si>
  <si>
    <t>560204</t>
  </si>
  <si>
    <t>管理费用-业务招待费</t>
  </si>
  <si>
    <t>560205</t>
  </si>
  <si>
    <t>管理费用-广告费和业务宣传费</t>
  </si>
  <si>
    <t>560206</t>
  </si>
  <si>
    <t>管理费用-佣金和手续费</t>
  </si>
  <si>
    <t>560207</t>
  </si>
  <si>
    <t>管理费用-资产折旧摊销费</t>
  </si>
  <si>
    <t>560208</t>
  </si>
  <si>
    <t>管理费用-财产损耗</t>
  </si>
  <si>
    <t>560209</t>
  </si>
  <si>
    <t>管理费用-办公费</t>
  </si>
  <si>
    <t>560210</t>
  </si>
  <si>
    <t>管理费用-董事会费</t>
  </si>
  <si>
    <t>560211</t>
  </si>
  <si>
    <t>管理费用-租赁费</t>
  </si>
  <si>
    <t>560212</t>
  </si>
  <si>
    <t>管理费用-诉讼费</t>
  </si>
  <si>
    <t>560213</t>
  </si>
  <si>
    <t>管理费用-差旅费</t>
  </si>
  <si>
    <t>560214</t>
  </si>
  <si>
    <t>管理费用-保险费</t>
  </si>
  <si>
    <t>560215</t>
  </si>
  <si>
    <t>管理费用-运输</t>
  </si>
  <si>
    <t>560216</t>
  </si>
  <si>
    <t>管理费用-修理费</t>
  </si>
  <si>
    <t>560217</t>
  </si>
  <si>
    <t>管理费用-包装费</t>
  </si>
  <si>
    <t>560218</t>
  </si>
  <si>
    <t>管理费用-技术转让费</t>
  </si>
  <si>
    <t>560219</t>
  </si>
  <si>
    <t>管理费用-研究费用</t>
  </si>
  <si>
    <t>560220</t>
  </si>
  <si>
    <t>管理费用-各项税费</t>
  </si>
  <si>
    <t>560221</t>
  </si>
  <si>
    <t>管理费用-其他</t>
  </si>
  <si>
    <t>矿产资源补偿费</t>
  </si>
  <si>
    <t>排污费</t>
  </si>
  <si>
    <t>印花税</t>
    <phoneticPr fontId="51" type="noConversion"/>
  </si>
  <si>
    <t>540301</t>
  </si>
  <si>
    <t>营业税金及附加-消费税</t>
  </si>
  <si>
    <t>540302</t>
  </si>
  <si>
    <t>营业税金及附加-营业税</t>
  </si>
  <si>
    <t>540303</t>
  </si>
  <si>
    <t>营业税金及附加-城市维护建设税</t>
  </si>
  <si>
    <t>540304</t>
  </si>
  <si>
    <t>营业税金及附加-资源税</t>
  </si>
  <si>
    <t>540305</t>
  </si>
  <si>
    <t>营业税金及附加-土地增值税</t>
  </si>
  <si>
    <t>540306</t>
  </si>
  <si>
    <t>营业税金及附加-城镇土地使用税</t>
  </si>
  <si>
    <t>540307</t>
  </si>
  <si>
    <t>营业税金及附加-房产税</t>
  </si>
  <si>
    <t>540308</t>
  </si>
  <si>
    <t>营业税金及附加-车船税</t>
  </si>
  <si>
    <t>540309</t>
  </si>
  <si>
    <t>营业税金及附加-印花税</t>
  </si>
  <si>
    <t>540310</t>
  </si>
  <si>
    <t>营业税金及附加-教育费附加</t>
  </si>
  <si>
    <t>540311</t>
  </si>
  <si>
    <t>营业税金及附加-矿产资源补偿费</t>
  </si>
  <si>
    <t>540312</t>
  </si>
  <si>
    <t>营业税金及附加-排污费</t>
  </si>
  <si>
    <t>540313</t>
  </si>
  <si>
    <t>营业税金及附加-其他</t>
  </si>
  <si>
    <t>560301</t>
  </si>
  <si>
    <t>财务费用-佣金和手续费</t>
  </si>
  <si>
    <t>560302</t>
  </si>
  <si>
    <t>财务费用-利息收支</t>
  </si>
  <si>
    <t>560303</t>
  </si>
  <si>
    <t>财务费用-汇兑差额</t>
  </si>
  <si>
    <t>560304</t>
  </si>
  <si>
    <t>财务费用-现金折扣</t>
  </si>
  <si>
    <t>560305</t>
  </si>
  <si>
    <t>财务费用-其他</t>
  </si>
  <si>
    <t>Z</t>
    <phoneticPr fontId="51" type="noConversion"/>
  </si>
  <si>
    <t>（一）已足额提取折旧的固定资产的改建支出</t>
    <phoneticPr fontId="51" type="noConversion"/>
  </si>
  <si>
    <t>（二）租入固定资产的改建支出</t>
    <phoneticPr fontId="51" type="noConversion"/>
  </si>
  <si>
    <t>（三）固定资产的大修理支出</t>
    <phoneticPr fontId="51" type="noConversion"/>
  </si>
  <si>
    <t>（四）开办费</t>
    <phoneticPr fontId="51" type="noConversion"/>
  </si>
  <si>
    <t>（五）其他</t>
    <phoneticPr fontId="51" type="noConversion"/>
  </si>
  <si>
    <r>
      <t xml:space="preserve">   （一）内部研究开发投入（19+20+21+22+23+24</t>
    </r>
    <r>
      <rPr>
        <sz val="10"/>
        <color rgb="FFFF0000"/>
        <rFont val="宋体"/>
        <family val="3"/>
        <charset val="134"/>
      </rPr>
      <t>+26</t>
    </r>
    <r>
      <rPr>
        <sz val="10"/>
        <rFont val="宋体"/>
        <family val="3"/>
        <charset val="134"/>
      </rPr>
      <t>）</t>
    </r>
    <phoneticPr fontId="51" type="noConversion"/>
  </si>
  <si>
    <t xml:space="preserve">
请
在
左
侧
粘
贴</t>
    <phoneticPr fontId="51" type="noConversion"/>
  </si>
  <si>
    <t>林木类</t>
  </si>
  <si>
    <t>林木类</t>
    <phoneticPr fontId="51" type="noConversion"/>
  </si>
  <si>
    <t>畜类</t>
  </si>
  <si>
    <t>畜类</t>
    <phoneticPr fontId="51" type="noConversion"/>
  </si>
  <si>
    <t>A105081固定资产加速折旧、扣除明细表!A1</t>
  </si>
  <si>
    <t>生产性生物性资产折旧</t>
    <phoneticPr fontId="51" type="noConversion"/>
  </si>
  <si>
    <t>生产性生物性资产原值</t>
    <phoneticPr fontId="51" type="noConversion"/>
  </si>
  <si>
    <t>本年加速折旧</t>
    <phoneticPr fontId="51" type="noConversion"/>
  </si>
  <si>
    <t>累计税收折旧</t>
    <phoneticPr fontId="51" type="noConversion"/>
  </si>
  <si>
    <t>累计税法摊销额</t>
    <phoneticPr fontId="51" type="noConversion"/>
  </si>
  <si>
    <t xml:space="preserve">   （一）专利权</t>
    <phoneticPr fontId="51" type="noConversion"/>
  </si>
  <si>
    <t xml:space="preserve">   （二）商标权</t>
    <phoneticPr fontId="51" type="noConversion"/>
  </si>
  <si>
    <t xml:space="preserve">   （三）著作权</t>
    <phoneticPr fontId="51" type="noConversion"/>
  </si>
  <si>
    <t xml:space="preserve">   （四）土地使用权</t>
    <phoneticPr fontId="51" type="noConversion"/>
  </si>
  <si>
    <t xml:space="preserve">   （五）非专利技术</t>
    <phoneticPr fontId="51" type="noConversion"/>
  </si>
  <si>
    <t xml:space="preserve">   （六）特许权使用费</t>
    <phoneticPr fontId="51" type="noConversion"/>
  </si>
  <si>
    <t xml:space="preserve">   （七）其他</t>
    <phoneticPr fontId="51" type="noConversion"/>
  </si>
  <si>
    <t>三、油气投资</t>
    <phoneticPr fontId="51" type="noConversion"/>
  </si>
  <si>
    <t xml:space="preserve">   （一）油气勘探投资</t>
    <phoneticPr fontId="51" type="noConversion"/>
  </si>
  <si>
    <t xml:space="preserve">   （二）油气开发投资</t>
    <phoneticPr fontId="51" type="noConversion"/>
  </si>
  <si>
    <t>总机构名称</t>
    <phoneticPr fontId="51" type="noConversion"/>
  </si>
  <si>
    <t>2008-2013审核报告</t>
    <phoneticPr fontId="51" type="noConversion"/>
  </si>
  <si>
    <t>资产折旧、摊销情况及纳税调整明细表</t>
  </si>
  <si>
    <t>固定资产加速折旧、扣除明细表</t>
  </si>
  <si>
    <t>审核报告</t>
    <phoneticPr fontId="51" type="noConversion"/>
  </si>
  <si>
    <t>A105010视同销售和房地产开发企业特定业务纳税调整明细表!A1</t>
  </si>
  <si>
    <t>视同销售和房地产开发企业特定业务审核表!A1</t>
  </si>
  <si>
    <t>A105020未按权责发生制确认收入纳税调整明细表!A1</t>
  </si>
  <si>
    <t>未按权责发生制确认收入审核表!A1</t>
  </si>
  <si>
    <t>A105030投资收益纳税调整明细表!A1</t>
  </si>
  <si>
    <t>投资收益审核表!A1</t>
  </si>
  <si>
    <t>A105040专项用途财政性资金纳税调整表!A1</t>
  </si>
  <si>
    <t>专项用途财政性资金审核表!A1</t>
  </si>
  <si>
    <t>A105080资产折旧、摊销情况及纳税调整明细表!A1</t>
  </si>
  <si>
    <t>固定资产加速折旧审核表!A1</t>
  </si>
  <si>
    <t>折旧测算!A1</t>
  </si>
  <si>
    <t>A105090资产损失税前扣除及纳税调整明细表!A1</t>
  </si>
  <si>
    <t>资产损失税前扣除审核表!A1</t>
  </si>
  <si>
    <t>A105091资产损失（专项申报）税前扣除及纳税调整明细表'!A1</t>
  </si>
  <si>
    <t>资产损失（专项申报）税前扣除审核表'!A1</t>
  </si>
  <si>
    <t>A105120特殊行业准备金纳税调整明细表!A1</t>
  </si>
  <si>
    <t>A105100企业重组纳税调整明细表!A1</t>
  </si>
  <si>
    <t>企业重组审核表!A1</t>
  </si>
  <si>
    <t>A105110政策性搬迁纳税调整明细表!A1</t>
  </si>
  <si>
    <t>政策性搬迁审核表!A1</t>
  </si>
  <si>
    <t>特殊行业准备金审核表!A1</t>
  </si>
  <si>
    <t>A107010免税、减计收入及加计扣除优惠明细表!A1</t>
  </si>
  <si>
    <t>免税、减计收入及加计扣除优惠审核表!A1</t>
  </si>
  <si>
    <t>A107011股息红利优惠明细表!A1</t>
  </si>
  <si>
    <t>股息红利优惠审核表!A1</t>
  </si>
  <si>
    <t>A107012综合利用资源生产产品取得的收入优惠明细表!A1</t>
  </si>
  <si>
    <t>综合利用资源生产产品取得的收入优惠审核表!A1</t>
  </si>
  <si>
    <t>A107013金融保险等机构取得涉农利息保费收入优惠明细表!A1</t>
  </si>
  <si>
    <t>金融保险等机构取得涉农利息保费收入优惠审核表!A1</t>
  </si>
  <si>
    <t>A107014研发费用加计扣除优惠明细表!A1</t>
  </si>
  <si>
    <t>研发费用加计扣除优惠审核表!A1</t>
  </si>
  <si>
    <t>A107020所得减免优惠明细表!A1</t>
  </si>
  <si>
    <t>所得减免优惠审核表!A1</t>
  </si>
  <si>
    <t>A107030抵扣应纳税所得额明细表!A1</t>
  </si>
  <si>
    <t>抵扣应纳税所得额审核表!A1</t>
  </si>
  <si>
    <t>A107040减免所得税优惠明细表!A1</t>
  </si>
  <si>
    <t>减免所得税优惠审核表!A1</t>
  </si>
  <si>
    <t>A107041高新技术企业优惠情况及明细表!A1</t>
  </si>
  <si>
    <t>高新技术企业优惠情况审核表!A1</t>
  </si>
  <si>
    <t>A107042软件、集成电路企业优惠情况及明细表!A1</t>
  </si>
  <si>
    <t>软件、集成电路企业优惠情况审核表!A1</t>
  </si>
  <si>
    <t>A107050税额抵免优惠明细表!A1</t>
  </si>
  <si>
    <t>税额抵免优惠审核表!A1</t>
  </si>
  <si>
    <t>A108000境外所得税收抵免明细表!A1</t>
  </si>
  <si>
    <t>境外所得税收抵免审核表!A1</t>
  </si>
  <si>
    <t>A108010境外所得纳税调整后所得明细表!A1</t>
  </si>
  <si>
    <t>A108020境外分支机构弥补亏损明细表!A1</t>
  </si>
  <si>
    <t>境外分支机构弥补亏损审核表!A1</t>
  </si>
  <si>
    <t>A108030跨年度结转抵免境外所得税明细表!A1</t>
  </si>
  <si>
    <t>跨年度结转抵免境外所得税审核表!A1</t>
  </si>
  <si>
    <t>A109000跨地区经营汇总纳税企业年度分摊企业所得税明细表!A1</t>
  </si>
  <si>
    <t>跨地区经营汇总纳税企业年度分摊企业所得税审核表!A1</t>
  </si>
  <si>
    <t>A109010企业所得税汇总纳税分支机构所得税分配表!A1</t>
  </si>
  <si>
    <t>企业所得税汇总纳税分支机构所得税分配表!A1</t>
  </si>
  <si>
    <t>备注/税收金额</t>
    <phoneticPr fontId="51" type="noConversion"/>
  </si>
  <si>
    <t xml:space="preserve">固定资产加速折旧、扣除审核表              </t>
    <phoneticPr fontId="51" type="noConversion"/>
  </si>
  <si>
    <t>销售折扣、折让和退回</t>
    <phoneticPr fontId="51" type="noConversion"/>
  </si>
  <si>
    <t>其他</t>
    <phoneticPr fontId="51" type="noConversion"/>
  </si>
  <si>
    <t>佣金和手续费支出</t>
    <phoneticPr fontId="51" type="noConversion"/>
  </si>
  <si>
    <t>不征税收入用于支出形成的费用（专项用途财政资金以外）</t>
    <phoneticPr fontId="51" type="noConversion"/>
  </si>
  <si>
    <t xml:space="preserve">    （十三）跨期扣除项目</t>
    <phoneticPr fontId="51" type="noConversion"/>
  </si>
  <si>
    <t>跨期扣除项目</t>
    <phoneticPr fontId="51" type="noConversion"/>
  </si>
  <si>
    <t>罚金、违法经营罚款和被没收财物损失</t>
    <phoneticPr fontId="51" type="noConversion"/>
  </si>
  <si>
    <t>特殊事项</t>
    <phoneticPr fontId="51" type="noConversion"/>
  </si>
  <si>
    <t>特别纳税调整</t>
    <phoneticPr fontId="51" type="noConversion"/>
  </si>
  <si>
    <t>其他</t>
    <phoneticPr fontId="51" type="noConversion"/>
  </si>
  <si>
    <t>资产减值准备审核表</t>
    <phoneticPr fontId="51" type="noConversion"/>
  </si>
  <si>
    <t>减值准备审核表</t>
  </si>
  <si>
    <t>公允价值变动审定表</t>
  </si>
  <si>
    <t>以前年度多缴的所得税额在本年抵减额</t>
    <phoneticPr fontId="51" type="noConversion"/>
  </si>
  <si>
    <t>以前年度应缴未缴在本年入库所得税额</t>
    <phoneticPr fontId="51" type="noConversion"/>
  </si>
  <si>
    <t>以前年度应缴未缴在本年入库所得税额</t>
    <phoneticPr fontId="51" type="noConversion"/>
  </si>
  <si>
    <t>其中非货币交换</t>
    <phoneticPr fontId="51" type="noConversion"/>
  </si>
  <si>
    <t>*</t>
    <phoneticPr fontId="51" type="noConversion"/>
  </si>
  <si>
    <t>*</t>
    <phoneticPr fontId="51" type="noConversion"/>
  </si>
  <si>
    <t xml:space="preserve">  其中：非货币性交换</t>
    <phoneticPr fontId="51" type="noConversion"/>
  </si>
  <si>
    <t>其中：境外支付</t>
    <phoneticPr fontId="51" type="noConversion"/>
  </si>
  <si>
    <t>其中：境外支付</t>
    <phoneticPr fontId="51" type="noConversion"/>
  </si>
  <si>
    <t>表间关系</t>
    <phoneticPr fontId="51" type="noConversion"/>
  </si>
  <si>
    <t xml:space="preserve">*  </t>
    <phoneticPr fontId="51" type="noConversion"/>
  </si>
  <si>
    <t>辞退福利</t>
  </si>
  <si>
    <t>长期待摊费用摊销</t>
  </si>
  <si>
    <t>车船使用税</t>
  </si>
  <si>
    <t>运输、仓储费</t>
  </si>
  <si>
    <t>560122</t>
  </si>
  <si>
    <t>560123</t>
  </si>
  <si>
    <t>560124</t>
  </si>
  <si>
    <t>560125</t>
  </si>
  <si>
    <t>560126</t>
  </si>
  <si>
    <t>560127</t>
  </si>
  <si>
    <t>560128</t>
  </si>
  <si>
    <t>560129</t>
  </si>
  <si>
    <t>560130</t>
  </si>
  <si>
    <t>560131</t>
  </si>
  <si>
    <t>560132</t>
  </si>
  <si>
    <t>560133</t>
  </si>
  <si>
    <t>560134</t>
  </si>
  <si>
    <t>560135</t>
  </si>
  <si>
    <t>560136</t>
  </si>
  <si>
    <t>560137</t>
  </si>
  <si>
    <t>560222</t>
  </si>
  <si>
    <t>560223</t>
  </si>
  <si>
    <t>560224</t>
  </si>
  <si>
    <t>560225</t>
  </si>
  <si>
    <t>560226</t>
  </si>
  <si>
    <t>560227</t>
  </si>
  <si>
    <t>560228</t>
  </si>
  <si>
    <t>560229</t>
  </si>
  <si>
    <t>560230</t>
  </si>
  <si>
    <t>560231</t>
  </si>
  <si>
    <t>560232</t>
  </si>
  <si>
    <t>560233</t>
  </si>
  <si>
    <t>560234</t>
  </si>
  <si>
    <t>560235</t>
  </si>
  <si>
    <t>560236</t>
  </si>
  <si>
    <t>560237</t>
  </si>
  <si>
    <t xml:space="preserve">  37.1</t>
    <phoneticPr fontId="51" type="noConversion"/>
  </si>
  <si>
    <t>其中：</t>
    <phoneticPr fontId="51" type="noConversion"/>
  </si>
  <si>
    <t>利息收入</t>
    <phoneticPr fontId="51" type="noConversion"/>
  </si>
  <si>
    <t>利息支出</t>
    <phoneticPr fontId="51" type="noConversion"/>
  </si>
  <si>
    <t>汇兑收益</t>
    <phoneticPr fontId="51" type="noConversion"/>
  </si>
  <si>
    <t>汇兑损失</t>
    <phoneticPr fontId="51" type="noConversion"/>
  </si>
  <si>
    <t>560306</t>
  </si>
  <si>
    <t>560307</t>
  </si>
  <si>
    <t>现金折扣</t>
    <phoneticPr fontId="51" type="noConversion"/>
  </si>
  <si>
    <t>加：其他</t>
    <phoneticPr fontId="51" type="noConversion"/>
  </si>
  <si>
    <t>*</t>
    <phoneticPr fontId="51" type="noConversion"/>
  </si>
  <si>
    <t xml:space="preserve">  商行031</t>
    <phoneticPr fontId="51" type="noConversion"/>
  </si>
  <si>
    <t xml:space="preserve">  商行498</t>
    <phoneticPr fontId="51" type="noConversion"/>
  </si>
  <si>
    <t xml:space="preserve">  兴行087</t>
    <phoneticPr fontId="51" type="noConversion"/>
  </si>
  <si>
    <t xml:space="preserve">  兴行256</t>
    <phoneticPr fontId="51" type="noConversion"/>
  </si>
  <si>
    <t xml:space="preserve">  兴行4481</t>
    <phoneticPr fontId="51" type="noConversion"/>
  </si>
  <si>
    <t xml:space="preserve">  招行结算户711</t>
    <phoneticPr fontId="51" type="noConversion"/>
  </si>
  <si>
    <t>其他</t>
    <phoneticPr fontId="51" type="noConversion"/>
  </si>
  <si>
    <t>A000000《企业基础信息表》填报说明</t>
  </si>
  <si>
    <t>纳税人在填报申报表前，首先填报基础信息表，为后续申报提供指引。基础信息表主要内容包括表头、基本信息、主要会计政策和估计、企业主要股东及对外投资情况等部分。有关项目填报说明如下：</t>
  </si>
  <si>
    <t>1.纳税人根据具体情况选择"正常申报"、"更正申报"或"补充申报"。</t>
  </si>
  <si>
    <t>正常申报：申报期内，纳税人第一次年度申报为"正常申报"；</t>
  </si>
  <si>
    <t>更正申报：申报期内，纳税人对已申报内容进行更正申报的为"更正申报"；</t>
  </si>
  <si>
    <t>补充申报：申报期后，由于纳税人自查、主管税务机关评估等发现以前年度申报有误而更改申报为"补充申报"。</t>
  </si>
  <si>
    <t>2."101汇总纳税企业"：纳税人根据情况选择。纳税人为《国家税务总局关于印发&lt;跨地区经营汇总纳税企业所得税征收管理办法&gt;的公告》（国家税务总局公告2012第57号）规定的跨地区经营企业总机构的，选择"总机构"，选择的纳税人需填报表A109000和A109010；纳税人根据相关政策规定按比例缴纳的总机构，选择"按比例缴纳总机构"；其他纳税人选择"否"。</t>
  </si>
  <si>
    <t>3."102注册资本"：填报全体股东或发起人在公司登记机关依法登记的出资或认缴的股本金额（单位：万元）。</t>
  </si>
  <si>
    <t>5."104从业人数"：填报纳税人全年平均从业人数，从业人数是指与企业建立劳动关系的职工人数和企业接受的劳务派遣用工人数之和；从业人数指标，按企业全年月平均值确定，具体计算公式如下：</t>
  </si>
  <si>
    <t>月平均值＝（月初值＋月末值）÷2</t>
  </si>
  <si>
    <t>全年月平均值＝全年各月平均值之和÷12</t>
  </si>
  <si>
    <t>全年从业人数＝月平均值×12</t>
  </si>
  <si>
    <t>年度中间开业或者终止经营活动的，以其实际经营期作为一个纳税年度确定上述相关指标。</t>
  </si>
  <si>
    <t>6."105资产总额（万元）"：填报纳税人全年资产总额平均数，依据和计算方法同"从业人数"口径，资产总额单位为万元，小数点后保留2位小数。</t>
  </si>
  <si>
    <t>7．"106境外中资控股居民企业"：根据《国家税务总局关于境外注册中资控股企业依据实际管理机构标准认定为居民企业有关问题的通知》（国税发〔2009〕82号）规定，境外中资控股企业被税务机关认定为实际管理机构在中国境内的居民企业选择"是"。其他选择"否"。</t>
  </si>
  <si>
    <t>9."108境外关联交易"：纳税人存在境外关联交易，选择"是"，不存在选择"否"。</t>
  </si>
  <si>
    <t>10."109上市公司"：纳税人根据情况，在境内上市的选择"境内"；在境外（含香港）上市的选择"境外"；其他选择"否"。</t>
  </si>
  <si>
    <t>11．"201适用的会计准则或会计制度"：纳税人根据采用的会计准则或会计制度选择。</t>
  </si>
  <si>
    <t>12."202会计档案存放地"：填报会计档案的存放地。</t>
  </si>
  <si>
    <t>13．"203会计核算软件"：填报会计电算化系统的会计核算软件，如ERP。</t>
  </si>
  <si>
    <t>14．"204记账本位币"：纳税人根据实际情况选择人民币或者其他币种。</t>
  </si>
  <si>
    <t>15．"205会计政策和估计是否发生变化"：纳税人本年会计政策和估计与上年度发生变更的选择"是"，未发生的选择"否"。</t>
  </si>
  <si>
    <t>16．"206固定资产折旧方法"：纳税人根据实际情况选择，可选择多项。</t>
  </si>
  <si>
    <t>17．"207存货成本计价方法"：纳税人根据实际情况选择，可选择多项。</t>
  </si>
  <si>
    <t>18．"208坏账损失核算方法"：纳税人根据实际情况选择。</t>
  </si>
  <si>
    <t>19．"209所得税会计核算方法"：纳税人根据实际情况选择。</t>
  </si>
  <si>
    <t>20．"301企业主要股东（前5位）"，填报本企业投资比例前5位的股东情况。包括股东名称，证件种类（税务登记证、组织机构代码证、身份证、护照等），证件号码（纳税人识别号、组织机构代码号、身份证号、护照号等），经济性质（单位投资的，按其登记注册类型填报；个人投资的，填报自然人），投资比例，国籍（注册地址）。</t>
  </si>
  <si>
    <t>国外非居民企业证件种类和证件号码可不填写。</t>
  </si>
  <si>
    <t>21．"302对外投资（前5位）"，填报本企业对境内投资金额前5位的投资情况。包括被投资者名称、纳税人识别号、经济性质、投资比例、投资金额、注册地址。</t>
  </si>
  <si>
    <t>A104000期间费用明细表!A1</t>
  </si>
  <si>
    <t>营业费用!A1</t>
  </si>
  <si>
    <t>管理费用!A1</t>
  </si>
  <si>
    <t>跨年度确认所得情况表</t>
    <phoneticPr fontId="51" type="noConversion"/>
  </si>
  <si>
    <t>A101010</t>
    <phoneticPr fontId="51" type="noConversion"/>
  </si>
  <si>
    <t xml:space="preserve">   其中：</t>
    <phoneticPr fontId="51" type="noConversion"/>
  </si>
  <si>
    <t xml:space="preserve">   其中：</t>
    <phoneticPr fontId="51" type="noConversion"/>
  </si>
  <si>
    <t>应并入业务招待费的费用</t>
    <phoneticPr fontId="51" type="noConversion"/>
  </si>
  <si>
    <t>A105000纳税调整项目明细表!A1</t>
  </si>
  <si>
    <t>科目对照后，</t>
    <phoneticPr fontId="51" type="noConversion"/>
  </si>
  <si>
    <t>期间费用审核表才有数</t>
    <phoneticPr fontId="51" type="noConversion"/>
  </si>
  <si>
    <t>卢卿洪</t>
  </si>
  <si>
    <t>350321197707291666</t>
  </si>
  <si>
    <t>潘申武</t>
  </si>
  <si>
    <t>340111198104027515</t>
  </si>
  <si>
    <t>朱茵茵</t>
  </si>
  <si>
    <t>352225197209105025</t>
  </si>
  <si>
    <t>张美治</t>
  </si>
  <si>
    <t>张泽艺</t>
  </si>
  <si>
    <t>350583198211264976</t>
  </si>
  <si>
    <t>林永平</t>
  </si>
  <si>
    <t>350525197107211315</t>
  </si>
  <si>
    <t>苏步干</t>
  </si>
  <si>
    <t>350211196509250078</t>
  </si>
  <si>
    <t>350321198212108414</t>
  </si>
  <si>
    <t>郑幼凤</t>
  </si>
  <si>
    <t>350881198004020921</t>
  </si>
  <si>
    <t>茅艳霞</t>
  </si>
  <si>
    <t>350322197609064327</t>
  </si>
  <si>
    <t xml:space="preserve">           其中：</t>
    <phoneticPr fontId="51" type="noConversion"/>
  </si>
  <si>
    <t xml:space="preserve">A108010 </t>
    <phoneticPr fontId="51" type="noConversion"/>
  </si>
  <si>
    <t>境外所得纳税调整后所得审核表!A1</t>
  </si>
  <si>
    <t>不征税收入（专项用途财政资金以外）</t>
    <phoneticPr fontId="51" type="noConversion"/>
  </si>
  <si>
    <t>前五年度</t>
    <phoneticPr fontId="51" type="noConversion"/>
  </si>
  <si>
    <t>前五年度</t>
    <phoneticPr fontId="51" type="noConversion"/>
  </si>
  <si>
    <t>行次</t>
    <phoneticPr fontId="51" type="noConversion"/>
  </si>
  <si>
    <t>表间关系</t>
    <phoneticPr fontId="51" type="noConversion"/>
  </si>
  <si>
    <t>2A-15</t>
  </si>
  <si>
    <t>2A-16</t>
  </si>
  <si>
    <t>2A-17</t>
  </si>
  <si>
    <t>2A-18</t>
  </si>
  <si>
    <t>2A-19</t>
  </si>
  <si>
    <t>2A-20</t>
  </si>
  <si>
    <t>2A-21</t>
  </si>
  <si>
    <t>2A-22</t>
  </si>
  <si>
    <t>2A-23</t>
  </si>
  <si>
    <t>2A-24</t>
  </si>
  <si>
    <t>2A-25</t>
  </si>
  <si>
    <t>2A-26</t>
  </si>
  <si>
    <t>2A-27</t>
  </si>
  <si>
    <t>2A-28</t>
  </si>
  <si>
    <t>视同销售和房地产开发企业特定业务审核表</t>
    <phoneticPr fontId="51" type="noConversion"/>
  </si>
  <si>
    <t>未按权责发生制确认收入审核表</t>
    <phoneticPr fontId="51" type="noConversion"/>
  </si>
  <si>
    <t>投资收益审核表</t>
    <phoneticPr fontId="51" type="noConversion"/>
  </si>
  <si>
    <t>专项用途财政性资金审核表</t>
    <phoneticPr fontId="51" type="noConversion"/>
  </si>
  <si>
    <t>固定资产加速折旧审核表</t>
    <phoneticPr fontId="51" type="noConversion"/>
  </si>
  <si>
    <t>资产损失税前扣除审核表</t>
    <phoneticPr fontId="51" type="noConversion"/>
  </si>
  <si>
    <t>资产损失（专项申报）审核表</t>
    <phoneticPr fontId="51" type="noConversion"/>
  </si>
  <si>
    <t>企业重组审核表</t>
    <phoneticPr fontId="51" type="noConversion"/>
  </si>
  <si>
    <t>政策性搬迁审核表</t>
    <phoneticPr fontId="51" type="noConversion"/>
  </si>
  <si>
    <t>特殊行业准备金审核表</t>
    <phoneticPr fontId="51" type="noConversion"/>
  </si>
  <si>
    <t>免税、减计收入及加计扣除审核表</t>
    <phoneticPr fontId="51" type="noConversion"/>
  </si>
  <si>
    <t>股息红利优惠审核表</t>
    <phoneticPr fontId="51" type="noConversion"/>
  </si>
  <si>
    <t>综合利用资源生产产品取得收入审核表</t>
    <phoneticPr fontId="51" type="noConversion"/>
  </si>
  <si>
    <t>金融保险机构涉农利息保费收入审核表</t>
    <phoneticPr fontId="51" type="noConversion"/>
  </si>
  <si>
    <t>研发费用加计扣除优惠审核表</t>
    <phoneticPr fontId="51" type="noConversion"/>
  </si>
  <si>
    <t>所得减免优惠审核表</t>
    <phoneticPr fontId="51" type="noConversion"/>
  </si>
  <si>
    <t>抵扣应纳税所得额审核表</t>
    <phoneticPr fontId="51" type="noConversion"/>
  </si>
  <si>
    <t>减免所得税优惠审核表</t>
    <phoneticPr fontId="51" type="noConversion"/>
  </si>
  <si>
    <t>高新技术企业优惠情况审核表</t>
    <phoneticPr fontId="51" type="noConversion"/>
  </si>
  <si>
    <t>软件、集成电路企业优惠情况审核表</t>
    <phoneticPr fontId="51" type="noConversion"/>
  </si>
  <si>
    <t>软件、集成电路企业优惠情况审核表</t>
    <phoneticPr fontId="51" type="noConversion"/>
  </si>
  <si>
    <t>税额抵免优惠审核表</t>
    <phoneticPr fontId="51" type="noConversion"/>
  </si>
  <si>
    <t>境外所得税收抵免审核表</t>
    <phoneticPr fontId="51" type="noConversion"/>
  </si>
  <si>
    <t>境外所得纳税调整后所得审核表</t>
    <phoneticPr fontId="51" type="noConversion"/>
  </si>
  <si>
    <t>境外分支机构弥补亏损审核表</t>
    <phoneticPr fontId="51" type="noConversion"/>
  </si>
  <si>
    <t>跨年度结转抵免境外所得税审核表</t>
    <phoneticPr fontId="51" type="noConversion"/>
  </si>
  <si>
    <t>汇总纳税分摊企业所得税审核表</t>
    <phoneticPr fontId="51" type="noConversion"/>
  </si>
  <si>
    <t>汇总纳税分支机构所得税分配表</t>
    <phoneticPr fontId="51" type="noConversion"/>
  </si>
  <si>
    <t>减值准备审核表</t>
    <phoneticPr fontId="51" type="noConversion"/>
  </si>
  <si>
    <t>公允价值变动审定表</t>
    <phoneticPr fontId="51" type="noConversion"/>
  </si>
  <si>
    <t>2B-1</t>
    <phoneticPr fontId="51" type="noConversion"/>
  </si>
  <si>
    <t>2B-2</t>
  </si>
  <si>
    <t>2B-3</t>
  </si>
  <si>
    <t>2B-4</t>
  </si>
  <si>
    <t>2B-5</t>
  </si>
  <si>
    <t>2B-6</t>
  </si>
  <si>
    <t>2B-7</t>
  </si>
  <si>
    <t>2B-8</t>
  </si>
  <si>
    <t>2B-9</t>
  </si>
  <si>
    <t>2B-10</t>
  </si>
  <si>
    <t>2B-11</t>
  </si>
  <si>
    <t>2B-12</t>
  </si>
  <si>
    <t>2B-13</t>
  </si>
  <si>
    <t>2B-14</t>
  </si>
  <si>
    <t>2B-15</t>
  </si>
  <si>
    <t>视同销售和房地产开发企业特定业务审核表</t>
    <phoneticPr fontId="51" type="noConversion"/>
  </si>
  <si>
    <t>委托单位</t>
    <phoneticPr fontId="51" type="noConversion"/>
  </si>
  <si>
    <t>会计期间</t>
    <phoneticPr fontId="51" type="noConversion"/>
  </si>
  <si>
    <t>编制人及日期：</t>
    <phoneticPr fontId="51" type="noConversion"/>
  </si>
  <si>
    <t>审核人及日期：</t>
    <phoneticPr fontId="51" type="noConversion"/>
  </si>
  <si>
    <t>表间关系</t>
    <phoneticPr fontId="51" type="noConversion"/>
  </si>
  <si>
    <t>软件、集成电路企业优惠情况审核表</t>
    <phoneticPr fontId="51" type="noConversion"/>
  </si>
  <si>
    <t>跨地区经营汇总纳税企业年度分摊企业所得税审核表</t>
    <phoneticPr fontId="51" type="noConversion"/>
  </si>
  <si>
    <t>企业所得税汇总纳税分支机构所得税分配表</t>
    <phoneticPr fontId="51" type="noConversion"/>
  </si>
  <si>
    <t>无限期结转扣除项目审核表</t>
    <phoneticPr fontId="51" type="noConversion"/>
  </si>
  <si>
    <t>免税、减计收入及加审核表计扣除优惠</t>
    <phoneticPr fontId="51" type="noConversion"/>
  </si>
  <si>
    <t>综合利用资源生产产审核表品取得的收入优惠</t>
    <phoneticPr fontId="51" type="noConversion"/>
  </si>
  <si>
    <t>金融保险等机构取得审核表涉农利息保费收入优惠</t>
    <phoneticPr fontId="51" type="noConversion"/>
  </si>
  <si>
    <t>所得减免优惠审核表</t>
    <phoneticPr fontId="51" type="noConversion"/>
  </si>
  <si>
    <t>抵扣应纳税所得额审核表</t>
    <phoneticPr fontId="51" type="noConversion"/>
  </si>
  <si>
    <t>减免所得税优惠审核表</t>
    <phoneticPr fontId="51" type="noConversion"/>
  </si>
  <si>
    <t>税额抵免优惠审核表</t>
    <phoneticPr fontId="51" type="noConversion"/>
  </si>
  <si>
    <t>境外所得税收抵免审核表</t>
    <phoneticPr fontId="51" type="noConversion"/>
  </si>
  <si>
    <t>境外所得纳税调整后所得审核表</t>
    <phoneticPr fontId="51" type="noConversion"/>
  </si>
  <si>
    <t>境外分支机构弥补亏损审核表</t>
    <phoneticPr fontId="51" type="noConversion"/>
  </si>
  <si>
    <t>跨年度结转抵免境外所得税审核表</t>
    <phoneticPr fontId="51" type="noConversion"/>
  </si>
  <si>
    <t>减值准备审核表</t>
    <phoneticPr fontId="51" type="noConversion"/>
  </si>
  <si>
    <r>
      <rPr>
        <b/>
        <sz val="18"/>
        <color rgb="FFFF0000"/>
        <rFont val="宋体"/>
        <family val="3"/>
        <charset val="134"/>
      </rPr>
      <t>福建省税务师事务所涉税鉴证服务收费标准闽价服</t>
    </r>
    <r>
      <rPr>
        <b/>
        <sz val="18"/>
        <color rgb="FFFF0000"/>
        <rFont val="Courier New"/>
        <family val="3"/>
      </rPr>
      <t>[2014]281</t>
    </r>
    <r>
      <rPr>
        <b/>
        <sz val="18"/>
        <color rgb="FFFF0000"/>
        <rFont val="宋体"/>
        <family val="3"/>
        <charset val="134"/>
      </rPr>
      <t>号计算器</t>
    </r>
    <phoneticPr fontId="117" type="noConversion"/>
  </si>
  <si>
    <t>序号</t>
    <phoneticPr fontId="51" type="noConversion"/>
  </si>
  <si>
    <t>类型</t>
  </si>
  <si>
    <t>标准收费金额(元）</t>
    <phoneticPr fontId="51" type="noConversion"/>
  </si>
  <si>
    <t>上浮30%</t>
  </si>
  <si>
    <t>下浮30%</t>
    <phoneticPr fontId="117" type="noConversion"/>
  </si>
  <si>
    <t>是否属于行政事业单位及社会团体等非营利单位、小微企业、特困企业、破产企业、个体工商户</t>
    <phoneticPr fontId="51" type="noConversion"/>
  </si>
  <si>
    <t>福建省税务师事务所涉税鉴证服务收费标准闽价服闽价服[2014]281号 摘要</t>
    <phoneticPr fontId="51" type="noConversion"/>
  </si>
  <si>
    <t>收费项目</t>
  </si>
  <si>
    <t>服务</t>
  </si>
  <si>
    <t>计费单位</t>
  </si>
  <si>
    <t>计费基础</t>
  </si>
  <si>
    <t>收费标准或费率</t>
  </si>
  <si>
    <t>内容</t>
  </si>
  <si>
    <t>企业所得税汇算清缴纳税申报鉴证</t>
    <phoneticPr fontId="51" type="noConversion"/>
  </si>
  <si>
    <t>是</t>
    <phoneticPr fontId="51" type="noConversion"/>
  </si>
  <si>
    <t>企业资产损失所得税前扣除鉴证</t>
    <phoneticPr fontId="51" type="noConversion"/>
  </si>
  <si>
    <t>否</t>
    <phoneticPr fontId="51" type="noConversion"/>
  </si>
  <si>
    <t>企业所得税税前弥补亏损鉴证</t>
  </si>
  <si>
    <t>土地增值税清算鉴证</t>
    <phoneticPr fontId="51" type="noConversion"/>
  </si>
  <si>
    <t>增值税纳税审核鉴证</t>
    <phoneticPr fontId="51" type="noConversion"/>
  </si>
  <si>
    <t>房地产开发企业完工产品结算鉴证</t>
    <phoneticPr fontId="51" type="noConversion"/>
  </si>
  <si>
    <t>研究开发费所得税前加计扣除鉴证</t>
    <phoneticPr fontId="51" type="noConversion"/>
  </si>
  <si>
    <t>福建省税务师事务所涉税鉴证服务收费标准</t>
    <phoneticPr fontId="51" type="noConversion"/>
  </si>
  <si>
    <t>企业所得税汇算清缴纳税申报鉴证</t>
    <phoneticPr fontId="51" type="noConversion"/>
  </si>
  <si>
    <t>对委托人进行企业所得税汇算结缴审核并出具鉴证报告</t>
    <phoneticPr fontId="51" type="noConversion"/>
  </si>
  <si>
    <t>元/年</t>
  </si>
  <si>
    <t>按资产总额或销售收入</t>
  </si>
  <si>
    <t>100万元以下</t>
  </si>
  <si>
    <t>3‰</t>
  </si>
  <si>
    <t>100万元—500万元</t>
  </si>
  <si>
    <t>500万元—1000万元</t>
  </si>
  <si>
    <t>1000万元—5000万元</t>
  </si>
  <si>
    <t>5000万元以上-1亿</t>
    <phoneticPr fontId="51" type="noConversion"/>
  </si>
  <si>
    <t>1亿以上</t>
    <phoneticPr fontId="51" type="noConversion"/>
  </si>
  <si>
    <t>双方协商确定</t>
    <phoneticPr fontId="51" type="noConversion"/>
  </si>
  <si>
    <t>对委托人税前财产损失额进行审核并出具鉴证报告</t>
    <phoneticPr fontId="51" type="noConversion"/>
  </si>
  <si>
    <t>元/次</t>
    <phoneticPr fontId="51" type="noConversion"/>
  </si>
  <si>
    <t>按企业委托报损金额</t>
    <phoneticPr fontId="51" type="noConversion"/>
  </si>
  <si>
    <t>1000万元以上</t>
  </si>
  <si>
    <t>企业所得税税前弥补亏损鉴证</t>
    <phoneticPr fontId="51" type="noConversion"/>
  </si>
  <si>
    <t>对委托人前年度的亏损结转弥补进行鉴证并出具鉴证报告</t>
    <phoneticPr fontId="51" type="noConversion"/>
  </si>
  <si>
    <t>参照企业所得税汇算清缴</t>
  </si>
  <si>
    <t>对委托人房地产开发项目的土地增值税清算进行审核并出具鉴证报告</t>
    <phoneticPr fontId="51" type="noConversion"/>
  </si>
  <si>
    <t>元/项目</t>
    <phoneticPr fontId="51" type="noConversion"/>
  </si>
  <si>
    <t>按项目销售收入</t>
  </si>
  <si>
    <t>5000万元以下</t>
  </si>
  <si>
    <t>5000万元—1亿元</t>
  </si>
  <si>
    <t>0.7‰</t>
  </si>
  <si>
    <t>1亿元—5亿元</t>
  </si>
  <si>
    <t>0.3‰</t>
    <phoneticPr fontId="51" type="noConversion"/>
  </si>
  <si>
    <t>5亿元以上</t>
  </si>
  <si>
    <t>对委托人增值税进行纳税审核并出具鉴证报告</t>
    <phoneticPr fontId="51" type="noConversion"/>
  </si>
  <si>
    <t>元/年</t>
    <phoneticPr fontId="51" type="noConversion"/>
  </si>
  <si>
    <t>按销售收入</t>
  </si>
  <si>
    <t>0.4‰</t>
  </si>
  <si>
    <t>5000万元以上</t>
  </si>
  <si>
    <t>房地产开发企业完工产品结算鉴证</t>
    <phoneticPr fontId="51" type="noConversion"/>
  </si>
  <si>
    <t>对委托人房地产开发项目的完工产品结算进行审核并出具鉴证报告</t>
    <phoneticPr fontId="51" type="noConversion"/>
  </si>
  <si>
    <t>元/项目</t>
  </si>
  <si>
    <t>0.3‰</t>
    <phoneticPr fontId="51" type="noConversion"/>
  </si>
  <si>
    <t>双方协商确定</t>
    <phoneticPr fontId="51" type="noConversion"/>
  </si>
  <si>
    <t>技术开发费所得税前加计扣除鉴证</t>
    <phoneticPr fontId="51" type="noConversion"/>
  </si>
  <si>
    <t>对委托人按规定归集的科技开发费进行审核并出具鉴证报告</t>
    <phoneticPr fontId="51" type="noConversion"/>
  </si>
  <si>
    <t>按企业委托技术开发费发生额</t>
  </si>
  <si>
    <t>18‰</t>
  </si>
  <si>
    <t>2‰</t>
  </si>
  <si>
    <t>0.8‰</t>
  </si>
  <si>
    <r>
      <t>备注：</t>
    </r>
    <r>
      <rPr>
        <sz val="10.5"/>
        <color indexed="8"/>
        <rFont val="仿宋_GB2312"/>
        <family val="3"/>
        <charset val="134"/>
      </rPr>
      <t>1、按差额定率累进计费，不足1500元的按1500元计费。2、上下允许浮动30%。</t>
    </r>
    <phoneticPr fontId="51" type="noConversion"/>
  </si>
  <si>
    <t>3、对行政事业单位及社会团体等非营利单位的服务收费，可按基准价下浮50%；对小微企业、特困企业、破产企业、个体工商户的服务收费可按基准价下浮50%。</t>
    <phoneticPr fontId="51" type="noConversion"/>
  </si>
  <si>
    <t>二、计时服务收费政府指导价</t>
  </si>
  <si>
    <r>
      <t>      </t>
    </r>
    <r>
      <rPr>
        <sz val="14"/>
        <color indexed="8"/>
        <rFont val="仿宋_GB2312"/>
        <family val="3"/>
        <charset val="134"/>
      </rPr>
      <t>（一）主任、副主任税务师</t>
    </r>
    <r>
      <rPr>
        <sz val="14"/>
        <color indexed="8"/>
        <rFont val="Times New Roman"/>
        <family val="1"/>
      </rPr>
      <t>  </t>
    </r>
    <r>
      <rPr>
        <sz val="14"/>
        <color indexed="8"/>
        <rFont val="仿宋_GB2312"/>
        <family val="3"/>
        <charset val="134"/>
      </rPr>
      <t>400</t>
    </r>
    <r>
      <rPr>
        <sz val="14"/>
        <color indexed="8"/>
        <rFont val="Times New Roman"/>
        <family val="1"/>
      </rPr>
      <t>—</t>
    </r>
    <r>
      <rPr>
        <sz val="14"/>
        <color indexed="8"/>
        <rFont val="仿宋_GB2312"/>
        <family val="3"/>
        <charset val="134"/>
      </rPr>
      <t>600元/小时</t>
    </r>
  </si>
  <si>
    <r>
      <t>      </t>
    </r>
    <r>
      <rPr>
        <sz val="14"/>
        <color indexed="8"/>
        <rFont val="仿宋_GB2312"/>
        <family val="3"/>
        <charset val="134"/>
      </rPr>
      <t>（二）注册税务师</t>
    </r>
    <r>
      <rPr>
        <sz val="14"/>
        <color indexed="8"/>
        <rFont val="Times New Roman"/>
        <family val="1"/>
      </rPr>
      <t>          </t>
    </r>
    <r>
      <rPr>
        <sz val="14"/>
        <color indexed="8"/>
        <rFont val="仿宋_GB2312"/>
        <family val="3"/>
        <charset val="134"/>
      </rPr>
      <t>150</t>
    </r>
    <r>
      <rPr>
        <sz val="14"/>
        <color indexed="8"/>
        <rFont val="Times New Roman"/>
        <family val="1"/>
      </rPr>
      <t>—</t>
    </r>
    <r>
      <rPr>
        <sz val="14"/>
        <color indexed="8"/>
        <rFont val="仿宋_GB2312"/>
        <family val="3"/>
        <charset val="134"/>
      </rPr>
      <t>300元/小时</t>
    </r>
  </si>
  <si>
    <r>
      <t>（三）助理人员</t>
    </r>
    <r>
      <rPr>
        <sz val="14"/>
        <color indexed="8"/>
        <rFont val="Times New Roman"/>
        <family val="1"/>
      </rPr>
      <t>            </t>
    </r>
    <r>
      <rPr>
        <sz val="14"/>
        <color indexed="8"/>
        <rFont val="仿宋_GB2312"/>
        <family val="3"/>
        <charset val="134"/>
      </rPr>
      <t>50—110元/小时</t>
    </r>
    <r>
      <rPr>
        <sz val="10.5"/>
        <color indexed="8"/>
        <rFont val="Times New Roman"/>
        <family val="1"/>
      </rPr>
      <t> </t>
    </r>
  </si>
  <si>
    <t>企业所得税汇算清缴纳税申报鉴证</t>
  </si>
  <si>
    <t xml:space="preserve">   4．注册资本（单位：万元）</t>
    <phoneticPr fontId="51" type="noConversion"/>
  </si>
  <si>
    <t xml:space="preserve">   5．投资总额（单位：万元）</t>
    <phoneticPr fontId="51" type="noConversion"/>
  </si>
  <si>
    <t>会计名称</t>
  </si>
  <si>
    <t>发生合计</t>
  </si>
  <si>
    <t>归集科目</t>
  </si>
  <si>
    <t>跨期费用</t>
    <phoneticPr fontId="51" type="noConversion"/>
  </si>
  <si>
    <t>汇总合并纳税企业类别:</t>
  </si>
  <si>
    <t>说明：请填写对应代码。企业所得税属地税管征的，将以地税征管系统中认定的代码为准。
代码对照表：10-非汇总（合并）纳税企业、20-总机构、30-分支机构、40-有独立生产经营部门的总机构</t>
  </si>
  <si>
    <t xml:space="preserve">总机构情况                                                   </t>
  </si>
  <si>
    <t>第17行＝表A107010第27行</t>
    <phoneticPr fontId="51" type="noConversion"/>
  </si>
  <si>
    <t>107从事国家限制或禁止行业</t>
    <phoneticPr fontId="51" type="noConversion"/>
  </si>
  <si>
    <t>8．"107从事国家限制或禁止行业"：纳税人从事国家限制和禁止行业，选择"是"，其他选择"否"。</t>
    <phoneticPr fontId="51" type="noConversion"/>
  </si>
  <si>
    <t>4."103所属行业明细代码"：根据《国民经济行业分类》（GB/4754-2011）标准填报纳税人的行业代码。如所属行业代码为7010的房地产开发经营企业，可以填报表A105010中第21至29行；所属行业代码为06**至4690，小型微利企业优惠判断为工业企业；所属行业代码为66**的银行业，67**的证券和资本投资，68**的保险业，填报表A101020、A102020。</t>
    <phoneticPr fontId="51" type="noConversion"/>
  </si>
  <si>
    <t>其他</t>
    <phoneticPr fontId="51" type="noConversion"/>
  </si>
  <si>
    <t>原值</t>
    <phoneticPr fontId="51" type="noConversion"/>
  </si>
  <si>
    <t>税收折旧（扣除）额</t>
    <phoneticPr fontId="51" type="noConversion"/>
  </si>
  <si>
    <t>税收折旧（扣除）额</t>
    <phoneticPr fontId="51" type="noConversion"/>
  </si>
  <si>
    <t>税收折旧（扣除）额合计</t>
    <phoneticPr fontId="51" type="noConversion"/>
  </si>
  <si>
    <t>会计折旧额</t>
    <phoneticPr fontId="51" type="noConversion"/>
  </si>
  <si>
    <t>正常折旧额</t>
    <phoneticPr fontId="51" type="noConversion"/>
  </si>
  <si>
    <t>税收折旧额</t>
    <phoneticPr fontId="51" type="noConversion"/>
  </si>
  <si>
    <t>纳税减少额</t>
    <phoneticPr fontId="51" type="noConversion"/>
  </si>
  <si>
    <t>加速折旧优惠统计额</t>
    <phoneticPr fontId="51" type="noConversion"/>
  </si>
  <si>
    <t>一、重要行业固定资产加速折旧</t>
    <phoneticPr fontId="51" type="noConversion"/>
  </si>
  <si>
    <t>税会处理一致</t>
    <phoneticPr fontId="51" type="noConversion"/>
  </si>
  <si>
    <t>税会处理不一致</t>
    <phoneticPr fontId="51" type="noConversion"/>
  </si>
  <si>
    <t>二、其他行业研发设备加速折旧</t>
    <phoneticPr fontId="51" type="noConversion"/>
  </si>
  <si>
    <t>100万元以上专用研发设备</t>
    <phoneticPr fontId="51" type="noConversion"/>
  </si>
  <si>
    <t>三、允许一次性扣除的固定资产</t>
    <phoneticPr fontId="51" type="noConversion"/>
  </si>
  <si>
    <t>1.单价不超过100万元研发设备</t>
    <phoneticPr fontId="51" type="noConversion"/>
  </si>
  <si>
    <t>2.5000元以下固定资产</t>
    <phoneticPr fontId="51" type="noConversion"/>
  </si>
  <si>
    <t>*</t>
    <phoneticPr fontId="51" type="noConversion"/>
  </si>
  <si>
    <t>合计（1行+4行+7行）</t>
    <phoneticPr fontId="51" type="noConversion"/>
  </si>
  <si>
    <t>四、其他固定资产加速折旧备案信息</t>
    <phoneticPr fontId="51" type="noConversion"/>
  </si>
  <si>
    <t>1.技术进步、更新换代固定资产</t>
    <phoneticPr fontId="51" type="noConversion"/>
  </si>
  <si>
    <t>*</t>
    <phoneticPr fontId="51" type="noConversion"/>
  </si>
  <si>
    <t>2.常年强震动、高腐蚀固定资产</t>
    <phoneticPr fontId="51" type="noConversion"/>
  </si>
  <si>
    <t>3.外购软件折旧（摊销）</t>
    <phoneticPr fontId="51" type="noConversion"/>
  </si>
  <si>
    <t>4.集成电路企业生产设备</t>
    <phoneticPr fontId="51" type="noConversion"/>
  </si>
  <si>
    <t>合计（16行+19行+22行+25行）</t>
    <phoneticPr fontId="51" type="noConversion"/>
  </si>
  <si>
    <t>一、创业投资企业直接投资于未上市中小高新企业按投资额一定比例抵扣应纳税所得额</t>
    <phoneticPr fontId="51" type="noConversion"/>
  </si>
  <si>
    <t>本年新增的可抵扣的股权投资额（1行×2行）</t>
  </si>
  <si>
    <t>本年可抵扣的股权投资额（3行+4行）</t>
  </si>
  <si>
    <t>本年实际抵扣应纳税所得额（5行≤6行，本行=5行；5行＞6行，本行=6行）</t>
  </si>
  <si>
    <t>二、通过有限合伙制创业投资企业投资未上市中小高新企业按一定比例抵扣分得的应纳税所得额</t>
    <phoneticPr fontId="51" type="noConversion"/>
  </si>
  <si>
    <t>三、抵扣应纳税所得额合计</t>
    <phoneticPr fontId="51" type="noConversion"/>
  </si>
  <si>
    <t>本年从有限合伙创投企业应分得的应纳税所得额</t>
  </si>
  <si>
    <t>本年新增的可抵扣投资额</t>
  </si>
  <si>
    <t>以前年度结转的可抵扣投资额余额</t>
  </si>
  <si>
    <t>本年可抵扣投资额（10行+11行）</t>
  </si>
  <si>
    <t>本年实际抵扣应分得的应纳税所得额（9行≤12行，本行=9行；9行＞12行，本行=12行）</t>
  </si>
  <si>
    <t>结转以后年度抵扣的投资额余额（9行≤12行，本行=12行-9行；9行＞12行，本行=0）</t>
  </si>
  <si>
    <t>合计：（7行+13行）</t>
    <phoneticPr fontId="51" type="noConversion"/>
  </si>
  <si>
    <t>表A100000第21行=本表15行</t>
    <phoneticPr fontId="51" type="noConversion"/>
  </si>
  <si>
    <t>应纳税所得额计算</t>
    <phoneticPr fontId="51" type="noConversion"/>
  </si>
  <si>
    <t>由主表生成，不可填写：本行=表A100000第19-20-22行-本表第13行，若小于0，则填报0。循环引用</t>
    <phoneticPr fontId="51" type="noConversion"/>
  </si>
  <si>
    <t>一、符合条件的小型微利企业</t>
  </si>
  <si>
    <t xml:space="preserve">    其中：减半征税</t>
  </si>
  <si>
    <t>二、国家需要重点扶持的高新技术企业（4+5）</t>
  </si>
  <si>
    <t xml:space="preserve">   （一）高新技术企业低税率优惠（填写A107041）</t>
  </si>
  <si>
    <t xml:space="preserve">   （二）经济特区和上海浦东新区新设立的高新技术企业定期减免（填写A107041）</t>
  </si>
  <si>
    <t>三、其他专项优惠（7+8+9+10+11…+14+15+16+…+31）</t>
  </si>
  <si>
    <t xml:space="preserve">   （一）受灾地区损失严重的企业（7.1+7.2+7.3）</t>
  </si>
  <si>
    <t xml:space="preserve">   （二）受灾地区农村信用社（8.1+8.2+8.3）</t>
  </si>
  <si>
    <t xml:space="preserve">   （三）受灾地区的促进就业企业（9.1+9.2+9.3）</t>
  </si>
  <si>
    <t xml:space="preserve">   （四）支持和促进重点群体创业就业企业(10.1+10.2+10.3)</t>
  </si>
  <si>
    <t xml:space="preserve">          2.高校毕业生就业</t>
  </si>
  <si>
    <t xml:space="preserve">          3.退役士兵就业</t>
  </si>
  <si>
    <t xml:space="preserve">   （五）技术先进型服务企业</t>
  </si>
  <si>
    <t xml:space="preserve">   （六）动漫企业</t>
  </si>
  <si>
    <t xml:space="preserve">   （七）集成电路线宽小于0.8微米（含）的集成电路生产企业</t>
  </si>
  <si>
    <t xml:space="preserve">   （八）集成电路线宽小于0.25微米的集成电路生产企业（14.1+14.2）</t>
  </si>
  <si>
    <t xml:space="preserve">   （九）投资额超过80亿元人民币的集成电路生产企业（15.1+15.2）</t>
  </si>
  <si>
    <t xml:space="preserve">   （十）新办集成电路设计企业（填写A107042）</t>
  </si>
  <si>
    <t xml:space="preserve">   （十一）国家规划布局内重点集成电路设计企业</t>
  </si>
  <si>
    <t xml:space="preserve">   （十二）集成电路封装、测试企业</t>
  </si>
  <si>
    <t xml:space="preserve">   （十三）集成电路关键专用材料生产企业或集成电路专用设备生产企业</t>
  </si>
  <si>
    <t xml:space="preserve">   （十四）符合条件的软件企业（填写A107042）</t>
  </si>
  <si>
    <t xml:space="preserve">   （十五）国家规划布局内重点软件企业</t>
  </si>
  <si>
    <t xml:space="preserve">   （十六）经营性文化事业单位转制企业</t>
  </si>
  <si>
    <t xml:space="preserve">   （十七）符合条件的生产和装配伤残人员专门用品企业</t>
  </si>
  <si>
    <t xml:space="preserve">   （十九）新疆困难地区新办企业</t>
  </si>
  <si>
    <t xml:space="preserve">   （二十）新疆喀什、霍尔果斯特殊经济开发区新办企业</t>
  </si>
  <si>
    <t xml:space="preserve">   （二十一）横琴新区、平潭综合实验区和前海深港现代化服务业合作区企业</t>
  </si>
  <si>
    <t xml:space="preserve">   （二十二）享受过渡期税收优惠企业</t>
  </si>
  <si>
    <t>四、减：项目所得额按法定税率减半征收企业所得税叠加享受减免税优惠</t>
  </si>
  <si>
    <t>五、减免地方分享所得税的民族自治地方企业</t>
    <phoneticPr fontId="51" type="noConversion"/>
  </si>
  <si>
    <t>合计：（1+3+6-32+33）</t>
    <phoneticPr fontId="51" type="noConversion"/>
  </si>
  <si>
    <t xml:space="preserve">           3.</t>
    <phoneticPr fontId="51" type="noConversion"/>
  </si>
  <si>
    <t xml:space="preserve">           2.</t>
    <phoneticPr fontId="51" type="noConversion"/>
  </si>
  <si>
    <t>　　　其中：1.</t>
    <phoneticPr fontId="51" type="noConversion"/>
  </si>
  <si>
    <t>未见相关单元格</t>
    <phoneticPr fontId="51" type="noConversion"/>
  </si>
  <si>
    <t>　　　其中：1.</t>
    <phoneticPr fontId="51" type="noConversion"/>
  </si>
  <si>
    <t>　　　其中:1.下岗失业人员再就业</t>
    <phoneticPr fontId="51" type="noConversion"/>
  </si>
  <si>
    <t>　　　其中：1.定期减免企业所得税</t>
    <phoneticPr fontId="51" type="noConversion"/>
  </si>
  <si>
    <t>　　　　　　2.减按15%税率征收企业所得税</t>
    <phoneticPr fontId="51" type="noConversion"/>
  </si>
  <si>
    <t>　　　其中：1.定期减免企业所得税</t>
    <phoneticPr fontId="51" type="noConversion"/>
  </si>
  <si>
    <t>　　　　　　2.减按15%税率征收企业所得税</t>
    <phoneticPr fontId="51" type="noConversion"/>
  </si>
  <si>
    <t xml:space="preserve">   （二十三）其他1</t>
    <phoneticPr fontId="51" type="noConversion"/>
  </si>
  <si>
    <t xml:space="preserve">   （二十四）其他2</t>
    <phoneticPr fontId="51" type="noConversion"/>
  </si>
  <si>
    <t xml:space="preserve">   （二十五）其他3</t>
    <phoneticPr fontId="51" type="noConversion"/>
  </si>
  <si>
    <t>第29行=表A107040第3行</t>
    <phoneticPr fontId="51" type="noConversion"/>
  </si>
  <si>
    <t>=表A100000第26行</t>
    <phoneticPr fontId="51" type="noConversion"/>
  </si>
  <si>
    <t>=表A100000第26行。</t>
    <phoneticPr fontId="51" type="noConversion"/>
  </si>
  <si>
    <t>注：已纳税额包含2016年1月份入库的所属期为2015年12月份的应纳税额。</t>
    <phoneticPr fontId="51" type="noConversion"/>
  </si>
  <si>
    <t xml:space="preserve">  应收股利</t>
    <phoneticPr fontId="51" type="noConversion"/>
  </si>
  <si>
    <t xml:space="preserve">  应收利息</t>
    <phoneticPr fontId="51" type="noConversion"/>
  </si>
  <si>
    <t xml:space="preserve">   应付职工薪酬</t>
    <phoneticPr fontId="51" type="noConversion"/>
  </si>
  <si>
    <t xml:space="preserve">   应交税费</t>
    <phoneticPr fontId="51" type="noConversion"/>
  </si>
  <si>
    <t xml:space="preserve">   应付票据</t>
    <phoneticPr fontId="51" type="noConversion"/>
  </si>
  <si>
    <t xml:space="preserve">   应付利息</t>
    <phoneticPr fontId="51" type="noConversion"/>
  </si>
  <si>
    <t>期初数</t>
    <phoneticPr fontId="51" type="noConversion"/>
  </si>
  <si>
    <t>负债及所有者权益</t>
    <phoneticPr fontId="51" type="noConversion"/>
  </si>
  <si>
    <t>会小企01表</t>
    <phoneticPr fontId="51" type="noConversion"/>
  </si>
  <si>
    <t>非流动资产:</t>
    <phoneticPr fontId="51" type="noConversion"/>
  </si>
  <si>
    <t xml:space="preserve">  长期债券投资</t>
    <phoneticPr fontId="51" type="noConversion"/>
  </si>
  <si>
    <t xml:space="preserve">  固定资产账面价值</t>
    <phoneticPr fontId="51" type="noConversion"/>
  </si>
  <si>
    <t xml:space="preserve">  固定资产清理</t>
    <phoneticPr fontId="51" type="noConversion"/>
  </si>
  <si>
    <t xml:space="preserve">  生产性生物资产</t>
    <phoneticPr fontId="51" type="noConversion"/>
  </si>
  <si>
    <t xml:space="preserve">  其他非流动资产</t>
    <phoneticPr fontId="51" type="noConversion"/>
  </si>
  <si>
    <t xml:space="preserve">   非流动资产合计</t>
    <phoneticPr fontId="51" type="noConversion"/>
  </si>
  <si>
    <t>非流动负债:</t>
    <phoneticPr fontId="51" type="noConversion"/>
  </si>
  <si>
    <t xml:space="preserve">   递延收益</t>
    <phoneticPr fontId="51" type="noConversion"/>
  </si>
  <si>
    <t xml:space="preserve">   其他非流动负债</t>
    <phoneticPr fontId="51" type="noConversion"/>
  </si>
  <si>
    <t xml:space="preserve">   非流动负债合计</t>
    <phoneticPr fontId="51" type="noConversion"/>
  </si>
  <si>
    <t>资产总计</t>
    <phoneticPr fontId="51" type="noConversion"/>
  </si>
  <si>
    <t>负债合计</t>
    <phoneticPr fontId="51" type="noConversion"/>
  </si>
  <si>
    <t xml:space="preserve">   实收资本（或股本）</t>
    <phoneticPr fontId="51" type="noConversion"/>
  </si>
  <si>
    <t xml:space="preserve">   未分配利润</t>
    <phoneticPr fontId="51" type="noConversion"/>
  </si>
  <si>
    <t>所有者权益（股东权益）：</t>
    <phoneticPr fontId="51" type="noConversion"/>
  </si>
  <si>
    <t xml:space="preserve">   所有者权益（股东权益）合计</t>
    <phoneticPr fontId="51" type="noConversion"/>
  </si>
  <si>
    <t>负债和所有者权益（股东权益）总计</t>
    <phoneticPr fontId="51" type="noConversion"/>
  </si>
  <si>
    <t>一、营业收入</t>
    <phoneticPr fontId="51" type="noConversion"/>
  </si>
  <si>
    <t>减: 营业成本</t>
    <phoneticPr fontId="51" type="noConversion"/>
  </si>
  <si>
    <t xml:space="preserve">    营业税金及附加</t>
    <phoneticPr fontId="51" type="noConversion"/>
  </si>
  <si>
    <t xml:space="preserve">      其中：消费税</t>
    <phoneticPr fontId="51" type="noConversion"/>
  </si>
  <si>
    <t xml:space="preserve">            营业税</t>
    <phoneticPr fontId="51" type="noConversion"/>
  </si>
  <si>
    <t xml:space="preserve">            城市维护建设税</t>
    <phoneticPr fontId="51" type="noConversion"/>
  </si>
  <si>
    <t xml:space="preserve">            资源税</t>
    <phoneticPr fontId="51" type="noConversion"/>
  </si>
  <si>
    <t xml:space="preserve">            土地增值税</t>
    <phoneticPr fontId="51" type="noConversion"/>
  </si>
  <si>
    <t xml:space="preserve">            城镇土地使用税、房产税、车船税、印花税</t>
    <phoneticPr fontId="51" type="noConversion"/>
  </si>
  <si>
    <t xml:space="preserve">            教育费附加、矿产资源补偿费、排污费</t>
    <phoneticPr fontId="51" type="noConversion"/>
  </si>
  <si>
    <t xml:space="preserve">    其中：原材料</t>
    <phoneticPr fontId="51" type="noConversion"/>
  </si>
  <si>
    <t xml:space="preserve">          在产品</t>
    <phoneticPr fontId="51" type="noConversion"/>
  </si>
  <si>
    <t xml:space="preserve">          库存商品</t>
    <phoneticPr fontId="51" type="noConversion"/>
  </si>
  <si>
    <t xml:space="preserve">          周转材料</t>
    <phoneticPr fontId="51" type="noConversion"/>
  </si>
  <si>
    <t xml:space="preserve">      其中：商品维修费</t>
    <phoneticPr fontId="51" type="noConversion"/>
  </si>
  <si>
    <t xml:space="preserve">            广告费及业务宣传费</t>
    <phoneticPr fontId="51" type="noConversion"/>
  </si>
  <si>
    <t xml:space="preserve">      其中：开办费</t>
    <phoneticPr fontId="51" type="noConversion"/>
  </si>
  <si>
    <t xml:space="preserve">            业务招待费</t>
    <phoneticPr fontId="51" type="noConversion"/>
  </si>
  <si>
    <t xml:space="preserve">            研究费用</t>
    <phoneticPr fontId="51" type="noConversion"/>
  </si>
  <si>
    <t xml:space="preserve">    财务费用</t>
    <phoneticPr fontId="51" type="noConversion"/>
  </si>
  <si>
    <t xml:space="preserve">      其中：利息费用（收入以“-”号填列）</t>
    <phoneticPr fontId="51" type="noConversion"/>
  </si>
  <si>
    <t xml:space="preserve">      其中：政府补助</t>
    <phoneticPr fontId="51" type="noConversion"/>
  </si>
  <si>
    <t xml:space="preserve">      其中：坏账损失</t>
    <phoneticPr fontId="51" type="noConversion"/>
  </si>
  <si>
    <t xml:space="preserve">            无法收回的长期债券投资损失</t>
    <phoneticPr fontId="51" type="noConversion"/>
  </si>
  <si>
    <t xml:space="preserve">            无法收回的长期股权投资损失</t>
    <phoneticPr fontId="51" type="noConversion"/>
  </si>
  <si>
    <t xml:space="preserve">            自然灾害等不可抗力因素造成的损失</t>
    <phoneticPr fontId="51" type="noConversion"/>
  </si>
  <si>
    <t xml:space="preserve">            税收滞纳金</t>
    <phoneticPr fontId="51" type="noConversion"/>
  </si>
  <si>
    <t xml:space="preserve">            固定资产清理损失</t>
    <phoneticPr fontId="51" type="noConversion"/>
  </si>
  <si>
    <t>三、利润总额（亏损以“-”号填列）</t>
    <phoneticPr fontId="51" type="noConversion"/>
  </si>
  <si>
    <t>减：所得税费用</t>
    <phoneticPr fontId="51" type="noConversion"/>
  </si>
  <si>
    <t>四、净利润（亏损以“-”号填列）</t>
    <phoneticPr fontId="51" type="noConversion"/>
  </si>
  <si>
    <t>本期累计金额</t>
    <phoneticPr fontId="51" type="noConversion"/>
  </si>
  <si>
    <t>上年金额</t>
    <phoneticPr fontId="51" type="noConversion"/>
  </si>
  <si>
    <t>七、可供分配的利润</t>
    <phoneticPr fontId="51" type="noConversion"/>
  </si>
  <si>
    <t>八、可供投资者分配的利润</t>
    <phoneticPr fontId="51" type="noConversion"/>
  </si>
  <si>
    <t>九、未分配利润</t>
    <phoneticPr fontId="51" type="noConversion"/>
  </si>
  <si>
    <t>减: 应付利润</t>
    <phoneticPr fontId="51" type="noConversion"/>
  </si>
  <si>
    <t>减: 转增资本</t>
    <phoneticPr fontId="51" type="noConversion"/>
  </si>
  <si>
    <t xml:space="preserve">    其他转入</t>
    <phoneticPr fontId="51" type="noConversion"/>
  </si>
  <si>
    <t xml:space="preserve">    上年利润调整</t>
    <phoneticPr fontId="51" type="noConversion"/>
  </si>
  <si>
    <t>减：上年所得税调整</t>
    <phoneticPr fontId="51" type="noConversion"/>
  </si>
  <si>
    <t>减：应交特种基金</t>
    <phoneticPr fontId="51" type="noConversion"/>
  </si>
  <si>
    <t>本期金额</t>
    <phoneticPr fontId="51" type="noConversion"/>
  </si>
  <si>
    <t xml:space="preserve">   其他应付款</t>
    <phoneticPr fontId="51" type="noConversion"/>
  </si>
  <si>
    <t xml:space="preserve">    销售费用</t>
    <phoneticPr fontId="51" type="noConversion"/>
  </si>
  <si>
    <t xml:space="preserve">    管理费用</t>
    <phoneticPr fontId="51" type="noConversion"/>
  </si>
  <si>
    <t>加: 营业外收入</t>
    <phoneticPr fontId="51" type="noConversion"/>
  </si>
  <si>
    <t>减: 营业外支出</t>
    <phoneticPr fontId="51" type="noConversion"/>
  </si>
  <si>
    <t xml:space="preserve">    提取任意盈余公积</t>
    <phoneticPr fontId="51" type="noConversion"/>
  </si>
  <si>
    <t>加：盈余公积补亏</t>
    <phoneticPr fontId="51" type="noConversion"/>
  </si>
  <si>
    <t>减：提取法定盈余公积</t>
    <phoneticPr fontId="51" type="noConversion"/>
  </si>
  <si>
    <r>
      <t xml:space="preserve">    提取职工奖励及福利基金</t>
    </r>
    <r>
      <rPr>
        <vertAlign val="superscript"/>
        <sz val="10"/>
        <color indexed="12"/>
        <rFont val="宋体"/>
        <family val="3"/>
        <charset val="134"/>
      </rPr>
      <t>*</t>
    </r>
    <phoneticPr fontId="51" type="noConversion"/>
  </si>
  <si>
    <r>
      <t xml:space="preserve">    提取储备基金</t>
    </r>
    <r>
      <rPr>
        <vertAlign val="superscript"/>
        <sz val="10"/>
        <color indexed="12"/>
        <rFont val="宋体"/>
        <family val="3"/>
        <charset val="134"/>
      </rPr>
      <t>*</t>
    </r>
    <phoneticPr fontId="51" type="noConversion"/>
  </si>
  <si>
    <r>
      <t xml:space="preserve">    提取企业发展基金</t>
    </r>
    <r>
      <rPr>
        <vertAlign val="superscript"/>
        <sz val="10"/>
        <color indexed="12"/>
        <rFont val="宋体"/>
        <family val="3"/>
        <charset val="134"/>
      </rPr>
      <t>*</t>
    </r>
    <phoneticPr fontId="51" type="noConversion"/>
  </si>
  <si>
    <r>
      <t xml:space="preserve">    利润归还投资</t>
    </r>
    <r>
      <rPr>
        <vertAlign val="superscript"/>
        <sz val="10"/>
        <color indexed="12"/>
        <rFont val="宋体"/>
        <family val="3"/>
        <charset val="134"/>
      </rPr>
      <t>**</t>
    </r>
    <phoneticPr fontId="51" type="noConversion"/>
  </si>
  <si>
    <t>小企业准则报表里没有这个科目</t>
    <phoneticPr fontId="51" type="noConversion"/>
  </si>
  <si>
    <t>附件1:</t>
  </si>
  <si>
    <t>企 业 基 本 情 况 表</t>
  </si>
  <si>
    <t>单位：万元</t>
  </si>
  <si>
    <r>
      <t xml:space="preserve"> </t>
    </r>
    <r>
      <rPr>
        <sz val="10"/>
        <rFont val="宋体"/>
        <family val="3"/>
        <charset val="134"/>
      </rPr>
      <t xml:space="preserve">纳税人名称                                           </t>
    </r>
  </si>
  <si>
    <t>企业注册地址</t>
  </si>
  <si>
    <t>工商登记</t>
  </si>
  <si>
    <t>发照日期</t>
  </si>
  <si>
    <t>执照号码</t>
  </si>
  <si>
    <t>技术监督局识别号</t>
  </si>
  <si>
    <t>投  资  者  名  称</t>
  </si>
  <si>
    <t>投 资总 额</t>
  </si>
  <si>
    <t>注册金额</t>
  </si>
  <si>
    <t>出资比例％</t>
  </si>
  <si>
    <t>实收金额</t>
  </si>
  <si>
    <t>占注册资本总额％</t>
  </si>
  <si>
    <t>合        计</t>
  </si>
  <si>
    <t>分支机构概况</t>
  </si>
  <si>
    <t>名    称</t>
  </si>
  <si>
    <t>前事务所
鉴证报告编号</t>
  </si>
  <si>
    <t xml:space="preserve">    一、主要会计政策</t>
  </si>
  <si>
    <t xml:space="preserve">      3、会计核算方法：以权责发生制为记账原则，以历史成本为计价基础；</t>
  </si>
  <si>
    <t xml:space="preserve">       其中：记帐本位币：以人民币为记账本位币；</t>
  </si>
  <si>
    <t xml:space="preserve">             存货核算方法: 存货按实际成本计价;</t>
  </si>
  <si>
    <t xml:space="preserve">             固定资产及折旧核算方法：固定资产以历史成本计价、折旧采用直线法核算；</t>
  </si>
  <si>
    <t xml:space="preserve">             坏帐准备计提方法及比例：实际发生列支；</t>
  </si>
  <si>
    <t xml:space="preserve">    二、审核情况说明</t>
  </si>
  <si>
    <t xml:space="preserve">     1、会计调整事项说明</t>
  </si>
  <si>
    <t xml:space="preserve">    （1）调增会计利润：</t>
  </si>
  <si>
    <t>元。</t>
  </si>
  <si>
    <t>项　目</t>
  </si>
  <si>
    <t>金　额</t>
  </si>
  <si>
    <t>调整事项说明</t>
  </si>
  <si>
    <t>备    注</t>
  </si>
  <si>
    <t>调整多计税金及附加</t>
  </si>
  <si>
    <t>多提税金及附加</t>
  </si>
  <si>
    <t>各税费审核表</t>
  </si>
  <si>
    <t>合　计</t>
  </si>
  <si>
    <t xml:space="preserve">    （2）调减会计利润：</t>
  </si>
  <si>
    <t>调整少计税金及附加</t>
  </si>
  <si>
    <t>少计税金及附加</t>
  </si>
  <si>
    <t xml:space="preserve">    （3）调整后利润总额为：</t>
  </si>
  <si>
    <t xml:space="preserve">     2、纳税调整情况说明</t>
  </si>
  <si>
    <t>交换意见!A10</t>
  </si>
  <si>
    <t xml:space="preserve">    （1）纳税调整增加：</t>
  </si>
  <si>
    <t>插入10行</t>
    <phoneticPr fontId="51" type="noConversion"/>
  </si>
  <si>
    <t>数据来源为减值准备纳税调整表。</t>
  </si>
  <si>
    <t>需与其他事项审核表核对。</t>
  </si>
  <si>
    <t>其他事项!A17</t>
  </si>
  <si>
    <t>租金支出</t>
    <phoneticPr fontId="51" type="noConversion"/>
  </si>
  <si>
    <t>合                     计</t>
  </si>
  <si>
    <t xml:space="preserve">    （2）纳税调整减少：</t>
  </si>
  <si>
    <t>插入20行</t>
    <phoneticPr fontId="51" type="noConversion"/>
  </si>
  <si>
    <t xml:space="preserve">    （3）纳税调整后所得：</t>
  </si>
  <si>
    <t xml:space="preserve">    3、其他涉税事项说明</t>
  </si>
  <si>
    <t xml:space="preserve">    （2）</t>
  </si>
  <si>
    <t xml:space="preserve">    （3）</t>
  </si>
  <si>
    <t xml:space="preserve">    （4）</t>
  </si>
  <si>
    <t xml:space="preserve">    （5）</t>
  </si>
  <si>
    <t xml:space="preserve">    （6）</t>
  </si>
  <si>
    <t xml:space="preserve">    （7）</t>
  </si>
  <si>
    <t xml:space="preserve">    （8）</t>
  </si>
  <si>
    <t xml:space="preserve">   三、委托单位对审核事项意见：</t>
  </si>
  <si>
    <t xml:space="preserve">   企业同意审核调整事项,并据此办理企业所得税年度纳税申报事宜。</t>
  </si>
  <si>
    <t>委托单位盖章</t>
  </si>
  <si>
    <t xml:space="preserve">                                             </t>
  </si>
  <si>
    <t xml:space="preserve">  在建工程</t>
    <phoneticPr fontId="51" type="noConversion"/>
  </si>
  <si>
    <t xml:space="preserve">  工程物资</t>
    <phoneticPr fontId="51" type="noConversion"/>
  </si>
  <si>
    <t xml:space="preserve">  开发支出</t>
    <phoneticPr fontId="51" type="noConversion"/>
  </si>
  <si>
    <t xml:space="preserve">   长期应付款</t>
    <phoneticPr fontId="51" type="noConversion"/>
  </si>
  <si>
    <t>A107040《减免所得税优惠明细表》填报说明</t>
    <phoneticPr fontId="51" type="noConversion"/>
  </si>
  <si>
    <t>本表由享受减免所得税优惠的纳税人填报。纳税人根据税法和相关税收政策规定，填报本年享受减免所得税优惠情况。</t>
  </si>
  <si>
    <t>一、有关项目填报说明</t>
  </si>
  <si>
    <t>1.第1行“一、符合条件的小型微利企业”、第2行“其中减半征税”：由享受小型微利企业所得税政策的纳税人填报。该政策包括两种情形：一是小型微利企业2015年9月30日之前年应纳税所得额低于20万元的减半征税，应纳税所得税大于20万元、小于30万元的按20%税率征税。二是小型微利企业2015年10月1日之后应纳税所得额不超过30万元的减半征税。本行根据以下情形填写：</t>
  </si>
  <si>
    <t>（1）2015年度汇算清缴需区分以下情况：</t>
  </si>
  <si>
    <t>①2015年1月1日之前成立的企业</t>
  </si>
  <si>
    <t>当《中华人民共和国企业所得税年度纳税申报表(A类，2014版)》A100000表第23行&gt;0且≤20万元时，本行等于A100000表第23行×15%的积，该数字同时填入第2行“其中：减半征收”。</t>
  </si>
  <si>
    <t>当A100000表第23行&gt;20万元且≤30万元时，本行等于A100000表第23行×15%×(2015年10月1日之后经营月份数/2015年度经营月份数)+A100000表第23行×5%×（9/2015年度经营月份数）。A100000表第23行×15%×(2015年10月1日之后经营月份数/2015年度经营月份数)的计算金额，同时填入第2行“其中：减半征收”。</t>
  </si>
  <si>
    <t>②2015年1月1日-2015年9月30日之间成立的企业</t>
  </si>
  <si>
    <t>当A100000表第23行&gt;20万元且≤30万元时，本行等于A100000表第23行×15%×（2015年10月1日之后经营月份数/2015年度经营月份数）+A100000表第23行×5%×（2015年10月1日之前经营月份数/2015年度经营月份数）。A100000表第23行×5%×（2015年10月1日之前经营月份数/2015年度经营月份数）同时填入第2行“其中：减半征收”。</t>
  </si>
  <si>
    <t>③2015年10月1日之后的企业</t>
  </si>
  <si>
    <t>当《中华人民共和国企业所得税年度纳税申报表(A类，2014版)》A100000表第23行&gt;0且≤30万元时，本行等于A100000表第23行×15%的值，该数字同时填入第2行“其中：减半征收”。</t>
  </si>
  <si>
    <t>为简化计算，2015年度汇算清缴申报时，年度应纳税所得额大于20万元不超过30万元的小型微利企业，可以按照《20-30万元小型微利企业所得税优惠比例查询表》（见表1）计算填报该项优惠政策。</t>
  </si>
  <si>
    <t>2015年度汇算清缴结束后，本部分填报说明废止。</t>
  </si>
  <si>
    <t>（2）2016年及以后年度汇算清缴时</t>
  </si>
  <si>
    <t>当《中华人民共和国企业所得税年度纳税申报表(A类，2014版)》A100000表第23行≤30万元时，本行等于A100000表第23行×15%的值，该数字同时填入第3行“其中：减半征收”。</t>
  </si>
  <si>
    <t>表1：20-30万元小型微利企业所得税优惠比例查询表</t>
  </si>
  <si>
    <t>企业成立时间</t>
  </si>
  <si>
    <t>优惠率</t>
  </si>
  <si>
    <t>其中减半</t>
  </si>
  <si>
    <t>2015年1月及以前</t>
    <phoneticPr fontId="51" type="noConversion"/>
  </si>
  <si>
    <t>2015年2月</t>
    <phoneticPr fontId="51" type="noConversion"/>
  </si>
  <si>
    <t>2015年3月</t>
  </si>
  <si>
    <t>2015年4月</t>
  </si>
  <si>
    <t>2015年5月</t>
  </si>
  <si>
    <t>2015年6月</t>
  </si>
  <si>
    <t>2015年7月</t>
  </si>
  <si>
    <t>2015年8月</t>
  </si>
  <si>
    <t>2015年9月</t>
  </si>
  <si>
    <t>2015年10月</t>
  </si>
  <si>
    <t>2015年11月</t>
  </si>
  <si>
    <t>2015年12月</t>
  </si>
  <si>
    <t>查询方法说明：</t>
  </si>
  <si>
    <t>①本表由2015年度汇算清缴时应纳税所得额介于20万元至30万元之间的小型微利企业查询使用。</t>
  </si>
  <si>
    <t>②“企业成立时间”：企业根据其不同成立时间所在行次，查询申报税款所属期的对应优惠比率。</t>
  </si>
  <si>
    <t>③“优惠率、其中减半”：优惠率主要指企业同时享受20%、10%（减半征税）的综合优惠情况；“其中减半”指享受减半征税优惠情况。</t>
  </si>
  <si>
    <t>应纳税所得额与“优惠率”的乘积，填入本表第1行“符合条件的小型微利企业”；应纳税所得额与“其中减半”的乘积，填入本表第2行“其中：减半征税”。</t>
  </si>
  <si>
    <t>案例：A小型微利企业成立于2012年9月8日，2015年度应纳税所得额29.8万元。</t>
  </si>
  <si>
    <t>汇算清缴申报时，查询《20-30万元小型微利企业所得税优惠比例查询表》可知，成立时间“2015年1月及以前”对应“12月”列次的“优惠率”和“其中减半”为7.50%、3.75%。因此，A小型微利企业汇算清缴享受优惠税额=29.8×7.50%=2.235万元，减半征税=29.8×3.75%=1.1175万元。分别填写本表第1行、第2行。</t>
  </si>
  <si>
    <t>2.第3行“二、国家需要重点扶持的高新技术企业”：该行为合计行，填报第4+5行的合计数。合计高新技术企业享受的低税率和定期减免税优惠。</t>
  </si>
  <si>
    <t>（1）第4行“（一）高新技术企业低税率优惠”：国家需要重点扶持的高新技术企业（含文化产业支撑技术领域，高新技术领域扩围以后，按新规定执行）享受15%税率优惠金额填报本行。同时填报《高新技术企业优惠情况及明细表》（A107041）。</t>
  </si>
  <si>
    <t>（2）第5行“（二）经济特区和上海浦东新区新设立的高新技术企业定期减免”：填报纳税人根据《国务院关于经济特区和上海浦东新区新设立高新技术企业实行过渡性税收优惠的通知》（国发〔2007〕40号）、《财政部 国家税务总局关于贯彻落实国务院关于实施企业所得税过渡优惠政策有关问题的通知》（财税〔2008〕21号）等规定，经济特区和上海浦东新区内，在2008年1月1日（含）之后完成登记注册的国家需要重点扶持的高新技术企业，在经济特区和上海浦东新区内取得的所得，自取得第一笔生产经营收入所属纳税年度起，第一年至第二年免征企业所得税，第三年至第五年按照25%法定税率减半征收企业所得税。企业须同时填报《高新技术企业优惠情况及明细表》（A107041）。对于跨经济特区和上海浦东新区的高新技术企业，其区内所得优惠填写本行，区外所得优惠填写本表第4行。经济特区和上海浦东新区新设立的高新技术企业定期减免税期满后，只享受15%税率优惠的，填写本表第4行。</t>
  </si>
  <si>
    <t>3.第6行“三、其他专项优惠”：该行为合计行，填报第7+8+9+10+11…+14+15+16+…+31的合计金额。</t>
  </si>
  <si>
    <t>4.第7行“（一）受灾地区损失严重的企业”：填报受灾地区损失严重的企业免征企业所得税优惠金额。免征所得税金额根据表A100000第23行应纳税所得额和法定税率计算。本行为合计行，等于7.1行+7.2行+7.3行。</t>
  </si>
  <si>
    <t>《财政部 海关总署 国家税务总局关于支持芦山地震灾后恢复重建有关税收政策问题的通知》（财税〔2013〕58号）、《财政部 海关总署 国家税务总局关于支持鲁甸地震灾后恢复重建有关税收政策问题的通知》（财税〔2015〕27号）规定，对芦山、鲁甸受灾地区损失严重的企业，在规定期限内免征企业所得税。</t>
  </si>
  <si>
    <t>芦山受灾地区免征所得税政策执行至2015年12月31日，在7.1行填列；鲁甸受灾地区免征所得税政策执行至2016年12月31日，在7.2行填列。7.3行属于预留行次，需填报减免税项目名称、减免税代码和减免税金额。</t>
  </si>
  <si>
    <t>5.第8行“（二）受灾地区农村信用社”：填报受灾地区农村信用社免征企业所得税金额。免征所得税金额根据表A100000第23行应纳税所得额和法定税率计算。本行为合计行，等于8.1行+8.2行+8.3行。</t>
  </si>
  <si>
    <t>《财政部 海关总署 国家税务总局关于支持芦山地震灾后恢复重建有关税收政策问题的通知》（财税〔2013〕58号）、《财政部 海关总署 国家税务总局关于支持鲁甸地震灾后恢复重建有关税收政策问题的通知》（财税〔2015〕27号）规定，对芦山、鲁甸受灾地区农村信用社，在规定期限内免征企业所得税。</t>
  </si>
  <si>
    <t>芦山农村信用社在2017年12月31日前免征所得税，在8.1行填列；鲁甸农村信用社在2018年12月31日前免征所得税，在8.2行填列。8.3行属于预留行次，需填报减免税项目名称、减免税代码和减免税金额。</t>
  </si>
  <si>
    <t>6.第9行“（三）受灾地区的促进就业企业”：填报受灾地区促进就业企业限额免征的税款中，扣减企业所得税的金额。本行为合计行，等于9.1行+9.2行+9.3行。</t>
  </si>
  <si>
    <t>根据现行税收政策规定，对规定受灾地区范围内的企业招用当地因自然灾害失去工作人员就业的，按实际招用人数和实际工作时间予以定额依次扣减增值税、营业税、城市维护建设税、教育费附加和企业所得税。定额标准为每人每年4000元，可上下浮动20%，由省级人民政府根据当地实际情况具体确定。</t>
  </si>
  <si>
    <t>按上述标准计算的税收抵扣额在企业当年实际应缴增值税、营业税、城市维护建设税、教育费附加和企业所得税税额中依次扣减。企业所得税预缴时不享受该项优惠，汇算清缴时，企业税收抵扣额抵减增值税、营业税、城市维护建设税、教育费附加后有未抵减余额的，在本行限额填写。当年扣减不足的，不得结转下年使用。</t>
  </si>
  <si>
    <t>芦山受灾地区政策执行至2015年12月31日，在9.1行填列；鲁甸受灾地区政策执行至2016年12月31日，在9.2行填列。9.3行属于预留行次，需填报减免税项目名称、减免税代码和减免税金额。</t>
  </si>
  <si>
    <t>7.第10行“（四）支持和促进重点群体创业就业企业”：填报企业安置下岗人员再就业、高校毕业生就业、退役士兵就业等，以每人每年减税标准乘以安置人数计算的税收抵扣额，依次扣减营业税、城市维护建设税、教育费附加后仍有余额的，在汇算清缴时限额扣减企业所得税。本行为合计行，等于10.1行+10.2行+10.3行。</t>
  </si>
  <si>
    <t>安置下岗人员再就业、高校毕业生就业、退役士兵就业扣减的所得税，分别填写本表10.1行、10.2行、10.3行。</t>
  </si>
  <si>
    <t>8.第11行“（五）技术先进型服务企业”：根据《财政部 国家税务总局 商务部 科技部 国家发展改革委关于完善技术先进型服务企业有关企业所得税政策问题的通知》（财税〔2014〕59号）等规定，由经认定的技术先进型服务企业填报减按15%税率征收企业所得税的纳税人填报。本行根据表A100000第23行应纳税所得额乘以10%的积填写。</t>
  </si>
  <si>
    <t>9.第12行“（十六）动漫企业”：根据《财政部 国家税务总局关于扶持动漫产业发展有关税收政策问题的通知》（财税〔2009〕65号）、《文化部 财政部 国家税务总局关于印发&lt;动漫企业认定管理办法（试行）&gt;的通知》（文市发〔2008〕51号）、《文化部 财政部 国家税务总局关于实施&lt;动漫企业认定管理办法（试行）&gt;有关问题的通知》（文产发〔2009〕18号）等规定，经认定的动漫企业自主开发、生产动漫产品，享受软件企业所得税优惠政策。即在2017年12月31日前自获利年度起，第一年至第二年免征所得税，第三年至第五年按照25%的法定税率减半征收所得税，并享受至期满为止。本行填报根据表A100000第23行应纳税所得额计算的免征、减征企业所得税金额。</t>
  </si>
  <si>
    <t>10.第13行“（七）集成电路线宽小于0.8微米（含）的集成电路生产企业”：根据《财政部 国家税务总局关于进一步鼓励软件产业和集成电路产业发展企业所得税政策的通知》（财税〔2012〕27号）等规定，集成电路线宽小于0.8微米（含）的集成电路生产企业，在2017年12月31日前自获利年度起计算优惠期，第一年至第二年免征企业所得税，第三年至第五年按照25%的法定税率减半征收企业所得税，并享受至期满为止。本行填报根据表A100000第23行应纳税所得额计算的免征、减征企业所得税金额。</t>
  </si>
  <si>
    <t>11.第14行“（八）集成电路线宽小于0.25微米的集成电路生产企业”：根据《财政部 国家税务总局关于进一步鼓励软件产业和集成电路产业发展企业所得税政策的通知》（财税〔2012〕27号）等规定，经认定的线宽小于0.25微米的集成电路生产企业，享受15%税率，其中经营期超过15年的，享受“五免五减半”优惠政策。本行=第14.1行+第14.2行。</t>
  </si>
  <si>
    <t>第14.1行“1.定期减免企业所得税”：集成电路线宽小于0.25微米的集成电路生产企业享受定期减免税期间，填写本行。</t>
  </si>
  <si>
    <t>第14.2行“2.减按15%税率征收企业所得税”：集成电路线宽小于0.25微米的集成电路生产企业不符合定期减免税条件或享受定期减免税期满后，只享受15%税率优惠的，填写本行。</t>
  </si>
  <si>
    <t>12.第15行“（九）投资额超过80亿元人民币的集成电路生产企业”：根据《财政部 国家税务总局关于进一步鼓励软件产业和集成电路产业发展企业所得税政策的通知》（财税〔2012〕27号）等规定，经认定的投资额超过80亿元的集成电路生产企业，享受15%税率，其中经营期超过15年的，享受“五免五减半”优惠政策。本行=第15.1行+第15.2行。</t>
  </si>
  <si>
    <t>第15.1行“1.定期减免企业所得税”：投资额超过80亿元的集成电路生产企业，享受“五免五减半”优惠政策的填写本行。</t>
  </si>
  <si>
    <t>第15.2行“2.减按15%税率征收企业所得税”：投资额超过80亿元的集成电路生产企业，不符合定期减免税条件或享受定期减免税期满后，只享受15%税率优惠的，填写本行。</t>
  </si>
  <si>
    <t>13.第16行“（十）新办集成电路设计企业”：享受“二免三减半”优惠政策，填报《软件、集成电路企业优惠情况及明细表》（A107042）第41行的金额。</t>
  </si>
  <si>
    <t>14.第17行“（十一）国家规划布局内重点集成电路设计企业”：根据《财政部 国家税务总局关于进一步鼓励软件产业和集成电路产业发展企业所得税政策的通知》（财税〔2012〕27号）等规定，国家规划布局内的重点集成电路设计企业，如当年未享受免税优惠的，可减按10%税率征收企业所得税。本行填报A100000表第23行乘以15%的积。</t>
  </si>
  <si>
    <t>15.第18行“（十二）集成电路封装、测试企业”：根据《财政部 国家税务总局 发展改革委工业和信息化部关于进一步鼓励集成电路产业发展企业所得税政策的通知》（财税〔2015〕6号）规定，符合条件的集成电路封装、测试企业，自获利年度起第一年至第二年免征企业所得税，第三年至第五年按照25％的法定税率减半征收企业所得税。本行填报根据表A100000第23行应纳税所得额计算的免征、减征企业所得税金额。</t>
  </si>
  <si>
    <t>16.第19行“（十三）集成电路关键专用材料生产企业、集成电路专用设备生产企业”：根据《财政部 国家税务总局 发展改革委工业和信息化部关于进一步鼓励集成电路产业发展企业所得税政策的通知》（财税〔2015〕6号）规定，符合条件的集成电路关键专用材料生产企业、集成电路专用设备生产企业，自获利年度起第一年至第二年免征企业所得税，第三年至第五年按照25％的法定税率减半征收企业所得税。本行填报根据表A100000第23行应纳税所得额计算的免征、减征企业所得税金额。</t>
  </si>
  <si>
    <t>17.第20行“（十四）符合条件的软件企业”：享受“二免三减半”优惠政策的软件企业，填报《软件、集成电路企业优惠情况及明细表》（A107042）第41行的金额。</t>
  </si>
  <si>
    <t>18.第21行“（十五）国家规划布局内重点软件企业”：根据《财政部 国家税务总局关于进一步鼓励软件产业和集成电路产业发展企业所得税政策的通知》（财税〔2012〕27号）等规定，国家规划布局内的重点软件企业，如当年未享受免税优惠的，可减按10%税率征收企业所得税。本行填报A100000表第23行乘以15%的积。</t>
  </si>
  <si>
    <t>19.第22行“（十六）经营性文化事业单位转制企业”：根据《财政部 国家税务总局 中宣部关于继续实施文化体制改革中经营性文化事业单位转制为企业若干税收政策的通知》（财税〔2014〕84号）等规定，从事新闻出版、广播影视和文化艺术的经营性文化事业单位转制为企业的，转制注册之日起免征企业所得税。本行填报根据表A100000第23行应纳税所得额计算的免征企业所得税金额。</t>
  </si>
  <si>
    <t>20.第23行“（十七）符合条件的生产和装配伤残人员专门用品企业”：根据《财政部 国家税务总局 民政部关于生产和装配伤残人员专门用品企业免征企业所得税的通知》（财税〔2011〕81号）等规定，符合条件的生产和装配伤残人员专门用品的企业免征企业所得税。本行填报根据A100000表第23行应纳税所得额计算的免征企业所得税金额。</t>
  </si>
  <si>
    <t>21.第24行“（十八）设在西部地区的鼓励类产业企业”：根据《财政部 海关总署 国家税务总局关于深入实施西部大开发战略有关税收政策问题的通知》（财税〔2011〕58号）、《国家税务总局关于深入实施西部大开发战略有关企业所得税问题的公告》（国家税务总局公告2012第12号）、《财政部 海关总署 国家税务总局关于赣州市执行西部大开发税收政策问题的通知》（财税〔2013〕4号）等规定，对设在西部地区的鼓励类产业企业减按15%的税率征收企业所得税；对设在赣州市的鼓励类产业的内资和外商投资企业减按15%税率征收企业所得税。</t>
  </si>
  <si>
    <t>22.第25行“（十九）新疆困难地区新办企业”：根据《财政部 国家税务总局关于新疆困难地区新办企业所得税优惠政策的通知》（财税〔2011〕53号）、《财政部 国家税务总局 国家发展改革委 工业和信息化部关于公布新疆困难地区重点鼓励发展产业企业所得税优惠目录（试行）的通知》（财税〔2011〕60号）等规定，对新疆困难地区新办属于《新疆困难地区重点鼓励发展产业企业所得税优惠目录》范围内的企业，自取得第一笔生产经营收入所属纳税年度起享受“二免三减半”优惠政策。本行填报根据A100000表第23行应纳税所得额计算的免征、减征企业所得税金额。</t>
  </si>
  <si>
    <t>23.第26行“（二十）新疆喀什、霍尔果斯特殊经济开发区新办企业”：根据《财政部 国家税务总局 国家发展改革委 工业和信息化部关于公布新疆困难地区重点鼓励发展产业企业所得税优惠目录（试行）的通知》（财税〔2011〕60号）、《财政部 国家税务总局关于新疆喀什 霍尔果斯两个特殊经济开发区企业所得税优惠政策的通知》（财税〔2011〕112号）等规定，对在新疆喀什、霍尔果斯特殊经济开发区内新办属于《新疆困难地区重点鼓励发展产业企业所得税优惠目录》范围内的企业，自取得第一笔生产经营收入所属纳税年度起，享受“二免三减半”优惠政策。本行填报根据A100000表第23行应纳税所得额计算免征、减征企业所得税金额。</t>
  </si>
  <si>
    <t>24.第27行“（二十一）横琴新区、平潭综合实验区和前海深港现代化服务业合作区企业”：根据《财政部 国家税务总局关于广东横琴新区、福建平潭综合实验区、深圳前海深港现代化服务业合作区企业所得税优惠政策及优惠目录的通知》（财税〔2014〕26号）等规定，设在横琴新区、平潭综合实验区和前海深港现代化服务业合作区的鼓励类产业企业减按15%税率征收企业所得税。本行填报根据表A100000第23行应纳税所得额计算的减征10%企业所得税金额。</t>
  </si>
  <si>
    <t>25.第28行“（二十三）享受过渡期税收优惠企业”：填报《中华人民共和国企业所得税法》（以下简称税法）实施后，纳税人符合国务院规定以及经国务院批准给予的过渡期税收优惠政策。本行填报根据表A100000第23行应纳税所得额计算的免征、减征企业所得税金额。</t>
  </si>
  <si>
    <t>26.第29行至第31行“其他”：填报国务院根据税法授权制定的其他税收优惠政策，需填报减免税项目名称和减免税代码，以及免征、减征企业所得税金额。</t>
  </si>
  <si>
    <t>27.第32行“四、减：项目所得额按法定税率减半征收企业所得税叠加享受减免税优惠”：纳税人同时享受优惠税率和所得项目减半情形下，在填报本表低税率优惠时，所得项目按照优惠税率减半多计算享受的优惠部分。</t>
  </si>
  <si>
    <t>企业从事农林牧渔业项目、国家重点扶持的公共基础设施项目、符合条件的环境保护、节能节水项目、符合条件的技术转让、其他专项优惠等所得额应按法定税率25%减半征收，同时享受小型微利企业、高新技术企业、技术先进型服务企业、集成电路线宽小于0.25微米或投资额超过80亿元人民币集成电路生产企业、国家规划布局内重点软件企业和集成电路设计企业、西部大开发等优惠税率政策，由于申报表填报顺序，按优惠税率减半叠加享受减免税优惠部分，应在本行对该部分金额进行调整。</t>
  </si>
  <si>
    <t>计算公式：本行=所得项目金额×（12.5%－优惠税率÷2）。</t>
  </si>
  <si>
    <t>28.第33行“五、减免地方分享所得税的民族自治地方企业”：填报纳税人经省级民族自治地方权力机关批准，减征或者免征民族自治地方的企业缴纳的企业所得税中属于地方分享的企业所得税金额。</t>
  </si>
  <si>
    <t>29.第34行“合计”：金额等于第1+3+6-32+33行。</t>
  </si>
  <si>
    <t>二、表内、表间关系</t>
  </si>
  <si>
    <t>（一）表内关系</t>
  </si>
  <si>
    <t>1.第3行=第4+5行。</t>
  </si>
  <si>
    <t>2.第6行=第7+8+9+10+11…+14+15+16+…+31行。</t>
  </si>
  <si>
    <t>3.第7行=第7.1+7.2+7.3行。</t>
  </si>
  <si>
    <t>4.第8行=第8.1+8.2+8.3行。</t>
  </si>
  <si>
    <t>5.第9行=第9.1+9.2+9.3行。</t>
  </si>
  <si>
    <t>6.第10行=第10.1+10.2+10.3行。</t>
  </si>
  <si>
    <t>7.第14行=第14.1+14.2行。</t>
  </si>
  <si>
    <t>8.第15行=第15.1+15.2行。</t>
  </si>
  <si>
    <t>9.第34行=第1+3+6-32+33行。</t>
  </si>
  <si>
    <t>（二）表间关系</t>
  </si>
  <si>
    <t>1.本表第3行=表A107041第29行。</t>
  </si>
  <si>
    <t>2.本表第34行=表A100000第26行。</t>
  </si>
  <si>
    <t>减：资产减值损失</t>
    <phoneticPr fontId="51" type="noConversion"/>
  </si>
  <si>
    <t>加：公允价值变动收益（亏损以“-”号填列）</t>
    <phoneticPr fontId="51" type="noConversion"/>
  </si>
  <si>
    <t>二、营业利润（亏损以“-”号填列）</t>
    <phoneticPr fontId="51" type="noConversion"/>
  </si>
  <si>
    <t>加：投资收益（损失以“-”号填列）</t>
    <phoneticPr fontId="51" type="noConversion"/>
  </si>
  <si>
    <t>基本情况（封面）</t>
    <phoneticPr fontId="51" type="noConversion"/>
  </si>
  <si>
    <t>当期免抵税额</t>
    <phoneticPr fontId="51" type="noConversion"/>
  </si>
  <si>
    <t>出租有形动产</t>
    <phoneticPr fontId="51" type="noConversion"/>
  </si>
  <si>
    <t>其他方式</t>
    <phoneticPr fontId="51" type="noConversion"/>
  </si>
  <si>
    <t>地税、基本情况</t>
    <phoneticPr fontId="51" type="noConversion"/>
  </si>
  <si>
    <t>从业人数</t>
    <phoneticPr fontId="51" type="noConversion"/>
  </si>
  <si>
    <t>资产总额</t>
    <phoneticPr fontId="51" type="noConversion"/>
  </si>
  <si>
    <t>月份</t>
    <phoneticPr fontId="51" type="noConversion"/>
  </si>
  <si>
    <t>1月底</t>
    <phoneticPr fontId="51" type="noConversion"/>
  </si>
  <si>
    <t>2月底</t>
  </si>
  <si>
    <t>3月底</t>
  </si>
  <si>
    <t>4月底</t>
  </si>
  <si>
    <t>5月底</t>
  </si>
  <si>
    <t>6月底</t>
  </si>
  <si>
    <t>7月底</t>
  </si>
  <si>
    <t>8月底</t>
  </si>
  <si>
    <t>9月底</t>
  </si>
  <si>
    <t>10月底</t>
  </si>
  <si>
    <t>11月底</t>
  </si>
  <si>
    <t>实际经营期</t>
    <phoneticPr fontId="51" type="noConversion"/>
  </si>
  <si>
    <t>确认符合小微企业条件时，将H4、H5单元格金额填在C4、C5。</t>
    <phoneticPr fontId="51" type="noConversion"/>
  </si>
  <si>
    <t xml:space="preserve"> 6、
 其
 他</t>
    <phoneticPr fontId="51" type="noConversion"/>
  </si>
  <si>
    <t>成本</t>
    <phoneticPr fontId="51" type="noConversion"/>
  </si>
  <si>
    <t>A110010</t>
    <phoneticPr fontId="51" type="noConversion"/>
  </si>
  <si>
    <t>纳税人名称（盖章）</t>
  </si>
  <si>
    <t>单位地址</t>
  </si>
  <si>
    <t>主管税务机关（全称）</t>
  </si>
  <si>
    <t>重组日</t>
  </si>
  <si>
    <t>重组业务开始年度</t>
  </si>
  <si>
    <t>重组交易类型</t>
  </si>
  <si>
    <t>企业在重组业务中所属当事方类型</t>
  </si>
  <si>
    <t>特殊性税务处理条件</t>
  </si>
  <si>
    <t>（一）具有合理的商业目的，且不以减少、免除或者推迟缴纳税款为主要目的。</t>
  </si>
  <si>
    <t>（二）被收购、合并或分立部分的资产或股权比例符合规定的比例。(%)</t>
  </si>
  <si>
    <t>比例：</t>
    <phoneticPr fontId="51" type="noConversion"/>
  </si>
  <si>
    <t>（三）企业重组后的连续12个月内不改变重组资产原来的实质性经营活动。</t>
  </si>
  <si>
    <t>（四）重组交易对价中涉及股权支付金额符合规定比例。（%）</t>
  </si>
  <si>
    <t>（五）企业重组中取得股权支付的原主要股东，在重组后连续12个月内，不得转让所取得的股权。</t>
  </si>
  <si>
    <t>主管税务机关受理意见</t>
  </si>
  <si>
    <t>其他需要说明的事项（重组业务其他需要说明的事项，如没有则填“无”）：</t>
  </si>
  <si>
    <t>填表人</t>
  </si>
  <si>
    <t>填表日期</t>
  </si>
  <si>
    <t>A110011</t>
    <phoneticPr fontId="51" type="noConversion"/>
  </si>
  <si>
    <t>债务人名称</t>
  </si>
  <si>
    <t>债务人纳税识别号</t>
  </si>
  <si>
    <t>债务人所属主管税务机关（全称）</t>
  </si>
  <si>
    <t>债权人名称</t>
  </si>
  <si>
    <t>债权人纳税识别号</t>
  </si>
  <si>
    <t>债权人所属主管税务机关（全称）</t>
  </si>
  <si>
    <t>债务重组方式</t>
  </si>
  <si>
    <t>债务人重组业务涉及的债务账面价值</t>
  </si>
  <si>
    <t>债务人重组业务涉及的债务计税基础（1）</t>
  </si>
  <si>
    <t>其中:①应付账款计税基础</t>
  </si>
  <si>
    <t>②其他应付款计税基础</t>
  </si>
  <si>
    <t>③借款计税基础</t>
  </si>
  <si>
    <t>④其他债务计税基础</t>
  </si>
  <si>
    <t>除债转股方式外的债务重组</t>
  </si>
  <si>
    <t>债务人用于偿付债务的资产公允价值（2）</t>
  </si>
  <si>
    <t>其中：①现金</t>
  </si>
  <si>
    <t>②银行存款</t>
  </si>
  <si>
    <t>③非货币资产</t>
  </si>
  <si>
    <t>④其他</t>
  </si>
  <si>
    <t>债务人债务重组所得（3）=（1）-（2）</t>
  </si>
  <si>
    <t>债务人本年度应纳税所得额</t>
  </si>
  <si>
    <t>债务重组所得占本年度应纳税所得额的比重(%)</t>
  </si>
  <si>
    <t>债转股方式的债务重组</t>
  </si>
  <si>
    <t>债权人债转股后所拥有的股权占债务人全部股权比例(%)</t>
  </si>
  <si>
    <t>债转股取得股权的公允价值（4）</t>
  </si>
  <si>
    <t>债权人原债权的计税基础（即股权的计税基础）</t>
  </si>
  <si>
    <t>债务人暂不确认的债务重组所得（5）=（1）-（4）</t>
  </si>
  <si>
    <t>A110012</t>
    <phoneticPr fontId="51" type="noConversion"/>
  </si>
  <si>
    <t>被收购企业名称</t>
  </si>
  <si>
    <t>被收购企业纳税识别号</t>
  </si>
  <si>
    <t>被收购企业所属主管税务机关（全称）</t>
  </si>
  <si>
    <t>股权收购方名称</t>
  </si>
  <si>
    <t>股权收购方纳税识别号</t>
  </si>
  <si>
    <t>股权收购方所属主管税务机关（全称）</t>
  </si>
  <si>
    <t>股权转让方1（被收购企业的股东）名称</t>
  </si>
  <si>
    <t>转让被收购企业股权占被收购企业全部股权的比例(%)1</t>
  </si>
  <si>
    <t>股权转让方1所属主管税务机关（全称）</t>
  </si>
  <si>
    <t>股权转让方1（被收购企业的股东）纳税识别号</t>
  </si>
  <si>
    <t>股权转让方2（被收购企业的股东）名称</t>
  </si>
  <si>
    <t>转让被收购企业股权占被收购企业全部股权的比例(%)2</t>
  </si>
  <si>
    <t>股权转让方2所属主管税务机关（全称）</t>
  </si>
  <si>
    <t>股权转让方2（被收购企业的股东）纳税识别号</t>
  </si>
  <si>
    <t>股权转让方3（被收购企业的股东）名称</t>
  </si>
  <si>
    <t>转让被收购企业股权占被收购企业全部股权的比例(%)3</t>
  </si>
  <si>
    <t>股权转让方3所属主管税务机关（全称）</t>
  </si>
  <si>
    <t>股权转让方3（被收购企业的股东）纳税识别号</t>
  </si>
  <si>
    <t>股权转让方4（被收购企业的股东）名称</t>
  </si>
  <si>
    <t>转让被收购企业股权占被收购企业全部股权的比例(%)4</t>
  </si>
  <si>
    <t>股权转让方4所属主管税务机关（全称）</t>
  </si>
  <si>
    <t>股权转让方4（被收购企业的股东）纳税识别号</t>
  </si>
  <si>
    <t>股权转让方5（被收购企业的股东）名称</t>
  </si>
  <si>
    <t>转让被收购企业股权占被收购企业全部股权的比例(%)5</t>
  </si>
  <si>
    <t>股权转让方5所属主管税务机关（全称）</t>
  </si>
  <si>
    <t>股权转让方5（被收购企业的股东）纳税识别号</t>
  </si>
  <si>
    <t>股权转让方6（被收购企业的股东）名称</t>
  </si>
  <si>
    <t>转让被收购企业股权占被收购企业全部股权的比例(%)6</t>
  </si>
  <si>
    <t>股权转让方6所属主管税务机关（全称）</t>
  </si>
  <si>
    <t>股权转让方6（被收购企业的股东）纳税识别号</t>
  </si>
  <si>
    <t>股权转让方7（被收购企业的股东）名称</t>
  </si>
  <si>
    <t>转让被收购企业股权占被收购企业全部股权的比例(%)7</t>
  </si>
  <si>
    <t>股权转让方7所属主管税务机关（全称）</t>
  </si>
  <si>
    <t>股权转让方7（被收购企业的股东）纳税识别号</t>
    <phoneticPr fontId="51" type="noConversion"/>
  </si>
  <si>
    <t>股权收购方购买的股权占被收购企业全部股权的比例(%)</t>
  </si>
  <si>
    <t>股权收购方股权支付金额占交易支付总额的比例(%)</t>
  </si>
  <si>
    <t>股权收购交易支付总额</t>
  </si>
  <si>
    <t>其中：股权支付额</t>
  </si>
  <si>
    <t>非股权支付额</t>
  </si>
  <si>
    <t>股权转让合同（协议）生效日</t>
  </si>
  <si>
    <t>股权收购方所收购股权的工商变更登记日</t>
  </si>
  <si>
    <t>转让方与收购方是否为关联企业</t>
  </si>
  <si>
    <t>被收购企业原有各项资产和负债的计税基础是否保持不变</t>
  </si>
  <si>
    <t>股权转让方1</t>
  </si>
  <si>
    <t>公允价值</t>
  </si>
  <si>
    <t>账面价值</t>
  </si>
  <si>
    <t>原计税基础</t>
  </si>
  <si>
    <t>非股权支付对应的资产转让所得或损失</t>
  </si>
  <si>
    <t>实际取得股权及其他资产</t>
  </si>
  <si>
    <t>股权转让方2</t>
  </si>
  <si>
    <t>股权转让方3</t>
  </si>
  <si>
    <t>股权转让方4</t>
  </si>
  <si>
    <t>股权转让方5</t>
  </si>
  <si>
    <t>股权转让方6</t>
  </si>
  <si>
    <t>股权转让方7</t>
  </si>
  <si>
    <t>股权收购方</t>
  </si>
  <si>
    <t>1.股权支付额</t>
  </si>
  <si>
    <t>被收购企业股权</t>
  </si>
  <si>
    <t>（1）本企业股权</t>
  </si>
  <si>
    <t>（2）其控股企业股权</t>
  </si>
  <si>
    <t>2.非股权支付额</t>
  </si>
  <si>
    <t>合计（1+2）</t>
  </si>
  <si>
    <t>资产转让方名称</t>
  </si>
  <si>
    <t>资产转让方所属主管税务机关（全称）</t>
  </si>
  <si>
    <t>资产转让方纳税识别号</t>
  </si>
  <si>
    <t>资产转让方全部资产的公允价值</t>
  </si>
  <si>
    <t>资产转让方所转让资产的公允价值</t>
  </si>
  <si>
    <t>所转让资产占资产转让方全部资产的比例%</t>
  </si>
  <si>
    <t>资产受让方名称</t>
  </si>
  <si>
    <t>资产受让方所属主管税务机关（全称）</t>
  </si>
  <si>
    <t>股权支付金额占交易支付总额的比例%</t>
  </si>
  <si>
    <t>资产受让方纳税识别号</t>
  </si>
  <si>
    <t>资产收购交易支付总额</t>
  </si>
  <si>
    <t>资产转让方</t>
  </si>
  <si>
    <t>项目名称（按大类）</t>
  </si>
  <si>
    <t>转让资产合计</t>
  </si>
  <si>
    <t>资产受让方</t>
  </si>
  <si>
    <t>项目名称(按大类)</t>
  </si>
  <si>
    <t>合计（1+2)</t>
  </si>
  <si>
    <t>是否存在资产收购涉及项目所得的税收优惠承继</t>
  </si>
  <si>
    <t>优惠已执行年限</t>
  </si>
  <si>
    <t>优惠剩余年限</t>
  </si>
  <si>
    <t>填表人</t>
    <phoneticPr fontId="51" type="noConversion"/>
  </si>
  <si>
    <t>填表日期</t>
    <phoneticPr fontId="51" type="noConversion"/>
  </si>
  <si>
    <t>合并企业名称</t>
  </si>
  <si>
    <t>合并企业纳税识别号</t>
  </si>
  <si>
    <t>合并企业所属主管税务机关（全称）</t>
  </si>
  <si>
    <t>被合并企业名称</t>
  </si>
  <si>
    <t>被合并企业纳税识别号</t>
  </si>
  <si>
    <t>被合并企业所属主管税务机关（全称）</t>
  </si>
  <si>
    <t>被合并企业股东名称</t>
  </si>
  <si>
    <t>纳税识别号</t>
  </si>
  <si>
    <t>持股比例(%)</t>
  </si>
  <si>
    <t>被合并企业股东所属主管税务机关（全称）</t>
  </si>
  <si>
    <t>合并交易的支付总额</t>
  </si>
  <si>
    <t>股权支付额占交易支付总额的比例%</t>
    <phoneticPr fontId="51" type="noConversion"/>
  </si>
  <si>
    <t xml:space="preserve">         </t>
    <phoneticPr fontId="51" type="noConversion"/>
  </si>
  <si>
    <t>股权支付额（公允价值）</t>
  </si>
  <si>
    <t>股权支付额（原计税基础）</t>
  </si>
  <si>
    <t>非股权支付额（公允价值）</t>
  </si>
  <si>
    <t>非股权支付额（原计税基础）</t>
  </si>
  <si>
    <t>是否为同一控制下且不需要支付对价的合并</t>
  </si>
  <si>
    <t>被合并企业税前尚未弥补的亏损额</t>
  </si>
  <si>
    <t>被合并企业净资产公允价值</t>
  </si>
  <si>
    <t>截至合并业务发生当年年末国家发行的最长期限的国债利率</t>
  </si>
  <si>
    <t>可由合并企业弥补的被合并企业亏损的限额</t>
  </si>
  <si>
    <t>被合并企业资产的原计税基础</t>
  </si>
  <si>
    <t>合并企业接受被合并企业资产的计税基础</t>
  </si>
  <si>
    <t>被合并企业负债的原计税基础</t>
  </si>
  <si>
    <t>合并企业接受被合并企业负债的计税基础</t>
  </si>
  <si>
    <t>未确认的资产损失</t>
  </si>
  <si>
    <t>分期确认的收入</t>
  </si>
  <si>
    <t>被合并企业有关项目所得优惠的剩余期限</t>
  </si>
  <si>
    <t xml:space="preserve">             年至        年</t>
  </si>
  <si>
    <t>被合并企业股东取得股权和其他资产情况</t>
  </si>
  <si>
    <t>填表人</t>
    <phoneticPr fontId="51" type="noConversion"/>
  </si>
  <si>
    <t>填表日期</t>
    <phoneticPr fontId="51" type="noConversion"/>
  </si>
  <si>
    <t>被分立企业名称</t>
  </si>
  <si>
    <t>被分立企业所属主管税务机关（全称）</t>
  </si>
  <si>
    <t>被分立企业纳税识别号</t>
  </si>
  <si>
    <t>被分立企业</t>
  </si>
  <si>
    <t>资产</t>
  </si>
  <si>
    <t>负债</t>
  </si>
  <si>
    <t>净资产</t>
  </si>
  <si>
    <t>被分立企业股东名称</t>
  </si>
  <si>
    <t>被分立企业股东识别号</t>
  </si>
  <si>
    <t>持股比例%</t>
  </si>
  <si>
    <t>股权公允价值</t>
  </si>
  <si>
    <t>股权原计税基础</t>
  </si>
  <si>
    <t>被分立企业股东所属主管税务机关（全称）</t>
  </si>
  <si>
    <t>分立企业名称</t>
  </si>
  <si>
    <t>分立企业所属主管税务机关（全称）</t>
  </si>
  <si>
    <t>该5列为捆绑，增加时需同时增加5行</t>
    <phoneticPr fontId="51" type="noConversion"/>
  </si>
  <si>
    <t>分立企业纳税识别号</t>
  </si>
  <si>
    <t>分立企业</t>
  </si>
  <si>
    <t>分立交易的支付总额</t>
  </si>
  <si>
    <t>股权支付额占交易支付总额的比例（%)</t>
  </si>
  <si>
    <t>被分立企业分立资产公允价值</t>
  </si>
  <si>
    <t>被分立企业全部资产公允价值</t>
  </si>
  <si>
    <t>被分立企业未超过法定弥补期限的亏损额</t>
  </si>
  <si>
    <t>分立企业可弥补的被分立企业尚未弥补的亏损额</t>
  </si>
  <si>
    <t>被分立企业股东取得股权和其他资产情况</t>
  </si>
  <si>
    <t>填表人</t>
    <phoneticPr fontId="51" type="noConversion"/>
  </si>
  <si>
    <t>填表日期</t>
    <phoneticPr fontId="51" type="noConversion"/>
  </si>
  <si>
    <t>非货币性资产投资递延纳税调整明细表</t>
    <phoneticPr fontId="51" type="noConversion"/>
  </si>
  <si>
    <t>被投资企业情况</t>
  </si>
  <si>
    <t>非货币性资产情况</t>
  </si>
  <si>
    <t>非货币性资产投资基本信息</t>
  </si>
  <si>
    <t>本年税收金额</t>
  </si>
  <si>
    <t>递延纳税差异调整额</t>
  </si>
  <si>
    <t>结转以后年度递延确认所得税收金额</t>
  </si>
  <si>
    <t>企业名称</t>
  </si>
  <si>
    <t>与投资方是否为关联企业</t>
  </si>
  <si>
    <t>非货币性资产转让收入实现年度</t>
  </si>
  <si>
    <t>本年账载金额</t>
  </si>
  <si>
    <t>非货币性资产转让所得（税收金额）</t>
  </si>
  <si>
    <t>分期确认税收所得年限</t>
  </si>
  <si>
    <t>分期均匀确认税收所得额</t>
  </si>
  <si>
    <t>10=5-7</t>
  </si>
  <si>
    <t>12=10/11</t>
  </si>
  <si>
    <t>18=13-9</t>
  </si>
  <si>
    <t>19=[本表第10列-第13列(第1年该项目填报时)]或=[上年度明细表的相应行次第19列-本表第13列(以后递延期间该项目填报时)]</t>
  </si>
  <si>
    <t>*</t>
    <phoneticPr fontId="51" type="noConversion"/>
  </si>
  <si>
    <t>划出方企业名称</t>
  </si>
  <si>
    <t>划出方纳税人识别号</t>
    <phoneticPr fontId="51" type="noConversion"/>
  </si>
  <si>
    <t>主管税务机关名称</t>
  </si>
  <si>
    <t>划入方企业名称</t>
  </si>
  <si>
    <t>划入方纳税人识别号</t>
    <phoneticPr fontId="51" type="noConversion"/>
  </si>
  <si>
    <t>划转双方关系</t>
  </si>
  <si>
    <t>选择关系</t>
  </si>
  <si>
    <t xml:space="preserve">关系2：受同一或相同多家居民企业100%直接控制   </t>
  </si>
  <si>
    <t>关系1：100%直接控制的母子公司</t>
  </si>
  <si>
    <t>母公司是：</t>
  </si>
  <si>
    <t>100%控股起始时间:</t>
  </si>
  <si>
    <t>关系2：受同一或相同多家居民企业100%直接控制</t>
  </si>
  <si>
    <t>股东名称(划转双方为关系2时填报)</t>
  </si>
  <si>
    <t>划出方</t>
  </si>
  <si>
    <t>划入方</t>
  </si>
  <si>
    <t>持股起始时间（年月日）</t>
  </si>
  <si>
    <t>划转完成日 （年 月 日）</t>
  </si>
  <si>
    <t>被划转资产（股权）账面净值</t>
  </si>
  <si>
    <t>被划转资产（股权）计税基础</t>
  </si>
  <si>
    <t>会计处理</t>
  </si>
  <si>
    <t>（下方填借或贷）</t>
    <phoneticPr fontId="51" type="noConversion"/>
  </si>
  <si>
    <t>资产（股权）计税基础</t>
  </si>
  <si>
    <t>（下方填借或贷）</t>
    <phoneticPr fontId="51" type="noConversion"/>
  </si>
  <si>
    <t>填表人</t>
    <phoneticPr fontId="51" type="noConversion"/>
  </si>
  <si>
    <t>填表日期</t>
    <phoneticPr fontId="51" type="noConversion"/>
  </si>
  <si>
    <t>原计税基础</t>
    <phoneticPr fontId="51" type="noConversion"/>
  </si>
  <si>
    <t>A110013</t>
    <phoneticPr fontId="51" type="noConversion"/>
  </si>
  <si>
    <t>A110014</t>
    <phoneticPr fontId="51" type="noConversion"/>
  </si>
  <si>
    <t>A110015</t>
    <phoneticPr fontId="51" type="noConversion"/>
  </si>
  <si>
    <t>A110016</t>
    <phoneticPr fontId="51" type="noConversion"/>
  </si>
  <si>
    <t>A110017</t>
    <phoneticPr fontId="51" type="noConversion"/>
  </si>
  <si>
    <t>企业重组所得税特殊性税务处理报告表</t>
    <phoneticPr fontId="51" type="noConversion"/>
  </si>
  <si>
    <t>重组业务完成年度</t>
    <phoneticPr fontId="51" type="noConversion"/>
  </si>
  <si>
    <t>企业重组所得税特殊性税务处理报告表(债务重组)</t>
    <phoneticPr fontId="51" type="noConversion"/>
  </si>
  <si>
    <t>企业重组所得税特殊性税务处理报告表(股权收购)</t>
    <phoneticPr fontId="51" type="noConversion"/>
  </si>
  <si>
    <t>企业重组所得税特殊性税务处理报告表(资产收购)</t>
    <phoneticPr fontId="51" type="noConversion"/>
  </si>
  <si>
    <t>企业重组所得税特殊性税务处理报告表(企业合并)</t>
    <phoneticPr fontId="51" type="noConversion"/>
  </si>
  <si>
    <t>企业重组所得税特殊性税务处理报告表(企业分立)</t>
    <phoneticPr fontId="51" type="noConversion"/>
  </si>
  <si>
    <t>居民企业资产（股权）划转特殊性税务处理申报表</t>
    <phoneticPr fontId="51" type="noConversion"/>
  </si>
  <si>
    <t>居民企业资产（股权）划转特殊性税务处理申报表</t>
  </si>
  <si>
    <t>自填，必录，例如2012-01-01</t>
    <phoneticPr fontId="51" type="noConversion"/>
  </si>
  <si>
    <r>
      <t>对享受税收优惠情况进行简要描述并填报减免</t>
    </r>
    <r>
      <rPr>
        <b/>
        <sz val="10"/>
        <color indexed="8"/>
        <rFont val="宋体"/>
        <family val="3"/>
        <charset val="134"/>
      </rPr>
      <t>企业应纳税所得额</t>
    </r>
    <r>
      <rPr>
        <sz val="10"/>
        <color indexed="8"/>
        <rFont val="宋体"/>
        <family val="3"/>
        <charset val="134"/>
      </rPr>
      <t>。</t>
    </r>
    <phoneticPr fontId="51" type="noConversion"/>
  </si>
  <si>
    <t>填报说明：    
1、本表用于填报企业财务会计处理与税收规定不一致、进行纳税调整的项目及金额，并对纳税调整原因作出具体说明；    
2、本表填报内容包括但不限于“A105000纳税调整项目明细表”中调增或调减金额不为零的明细项目。请按顺序填写，不得跳空行。</t>
    <phoneticPr fontId="51" type="noConversion"/>
  </si>
  <si>
    <r>
      <t xml:space="preserve">调增（减）金额
</t>
    </r>
    <r>
      <rPr>
        <sz val="10"/>
        <color indexed="8"/>
        <rFont val="宋体"/>
        <family val="3"/>
        <charset val="134"/>
      </rPr>
      <t>（调增用正数表示，
调减用负数表示）</t>
    </r>
    <phoneticPr fontId="51" type="noConversion"/>
  </si>
  <si>
    <t>表单编号</t>
  </si>
  <si>
    <t>行业代码：</t>
    <phoneticPr fontId="51" type="noConversion"/>
  </si>
  <si>
    <t>行业中文名称：</t>
    <phoneticPr fontId="51" type="noConversion"/>
  </si>
  <si>
    <t>131</t>
  </si>
  <si>
    <t>131  谷物磨制</t>
    <phoneticPr fontId="51" type="noConversion"/>
  </si>
  <si>
    <t>132  饲料加工</t>
    <phoneticPr fontId="51" type="noConversion"/>
  </si>
  <si>
    <t>133</t>
  </si>
  <si>
    <t>133  植物油加工</t>
    <phoneticPr fontId="51" type="noConversion"/>
  </si>
  <si>
    <t>134</t>
  </si>
  <si>
    <t>134  制糖业</t>
    <phoneticPr fontId="51" type="noConversion"/>
  </si>
  <si>
    <t>135</t>
  </si>
  <si>
    <t>135  屠宰及肉类加工</t>
    <phoneticPr fontId="51" type="noConversion"/>
  </si>
  <si>
    <t>136  水产品加工</t>
    <phoneticPr fontId="51" type="noConversion"/>
  </si>
  <si>
    <t>137</t>
  </si>
  <si>
    <t>137  蔬菜、水果和坚果加工</t>
    <phoneticPr fontId="51" type="noConversion"/>
  </si>
  <si>
    <t>139</t>
  </si>
  <si>
    <t>139  其他农副食品加工</t>
    <phoneticPr fontId="51" type="noConversion"/>
  </si>
  <si>
    <t>141</t>
  </si>
  <si>
    <t>141  焙烤食品制造</t>
    <phoneticPr fontId="51" type="noConversion"/>
  </si>
  <si>
    <t>142</t>
  </si>
  <si>
    <t>142  糖果、巧克力及蜜饯制造</t>
    <phoneticPr fontId="51" type="noConversion"/>
  </si>
  <si>
    <t>143</t>
  </si>
  <si>
    <t>143  方便食品制造</t>
    <phoneticPr fontId="51" type="noConversion"/>
  </si>
  <si>
    <t>144  乳制品制造</t>
    <phoneticPr fontId="51" type="noConversion"/>
  </si>
  <si>
    <t>145</t>
  </si>
  <si>
    <t>145  罐头食品制造</t>
    <phoneticPr fontId="51" type="noConversion"/>
  </si>
  <si>
    <t>146</t>
  </si>
  <si>
    <t>146  调味品、发酵制品制造</t>
    <phoneticPr fontId="51" type="noConversion"/>
  </si>
  <si>
    <t>149</t>
  </si>
  <si>
    <t>149  其他食品制造</t>
    <phoneticPr fontId="51" type="noConversion"/>
  </si>
  <si>
    <t>171</t>
  </si>
  <si>
    <t>171  棉纺织及印染精加工</t>
    <phoneticPr fontId="51" type="noConversion"/>
  </si>
  <si>
    <t>172</t>
  </si>
  <si>
    <t>172  毛纺织及染整精加工</t>
    <phoneticPr fontId="51" type="noConversion"/>
  </si>
  <si>
    <t>173</t>
  </si>
  <si>
    <t>173  麻纺织及染整精加工</t>
    <phoneticPr fontId="51" type="noConversion"/>
  </si>
  <si>
    <t>174  丝绢纺织及印染精加工</t>
    <phoneticPr fontId="51" type="noConversion"/>
  </si>
  <si>
    <t>175  化纤织造及印染精加工</t>
    <phoneticPr fontId="51" type="noConversion"/>
  </si>
  <si>
    <t>176</t>
  </si>
  <si>
    <t>176  针织或钩针编织物及其制品制造</t>
    <phoneticPr fontId="51" type="noConversion"/>
  </si>
  <si>
    <t>177</t>
  </si>
  <si>
    <t>177  家用纺织制成品制造</t>
    <phoneticPr fontId="51" type="noConversion"/>
  </si>
  <si>
    <t>178  非家用纺织制成品制造</t>
    <phoneticPr fontId="51" type="noConversion"/>
  </si>
  <si>
    <t>181</t>
  </si>
  <si>
    <t>181  机织服装制造</t>
    <phoneticPr fontId="51" type="noConversion"/>
  </si>
  <si>
    <t>182</t>
  </si>
  <si>
    <t>182  针织或钩针编织服装制造</t>
    <phoneticPr fontId="51" type="noConversion"/>
  </si>
  <si>
    <t>183</t>
  </si>
  <si>
    <t>183  服饰制造</t>
    <phoneticPr fontId="51" type="noConversion"/>
  </si>
  <si>
    <t>191  皮革鞣制加工</t>
    <phoneticPr fontId="51" type="noConversion"/>
  </si>
  <si>
    <t>192  皮革制品制造</t>
    <phoneticPr fontId="51" type="noConversion"/>
  </si>
  <si>
    <t>193</t>
  </si>
  <si>
    <t>193  毛皮鞣制及制品加工</t>
    <phoneticPr fontId="51" type="noConversion"/>
  </si>
  <si>
    <t>194</t>
  </si>
  <si>
    <t>194  羽毛(绒)加工及制品制造</t>
    <phoneticPr fontId="51" type="noConversion"/>
  </si>
  <si>
    <t>195</t>
  </si>
  <si>
    <t>195  制鞋业</t>
    <phoneticPr fontId="51" type="noConversion"/>
  </si>
  <si>
    <t>201</t>
  </si>
  <si>
    <t>201  木材加工</t>
    <phoneticPr fontId="51" type="noConversion"/>
  </si>
  <si>
    <t>202</t>
  </si>
  <si>
    <t>202  人造板制造</t>
    <phoneticPr fontId="51" type="noConversion"/>
  </si>
  <si>
    <t>203  木制品制造</t>
    <phoneticPr fontId="51" type="noConversion"/>
  </si>
  <si>
    <t>204  竹、藤、棕、草等制品制造</t>
    <phoneticPr fontId="51" type="noConversion"/>
  </si>
  <si>
    <t>211</t>
  </si>
  <si>
    <t>211  木质家具制造</t>
    <phoneticPr fontId="51" type="noConversion"/>
  </si>
  <si>
    <t>212  竹、藤家具制造</t>
    <phoneticPr fontId="51" type="noConversion"/>
  </si>
  <si>
    <t>213</t>
  </si>
  <si>
    <t>213  金属家具制造</t>
    <phoneticPr fontId="51" type="noConversion"/>
  </si>
  <si>
    <t>214  塑料家具制造</t>
    <phoneticPr fontId="51" type="noConversion"/>
  </si>
  <si>
    <t>219</t>
  </si>
  <si>
    <t>219  其他家具制造</t>
    <phoneticPr fontId="51" type="noConversion"/>
  </si>
  <si>
    <t>221</t>
  </si>
  <si>
    <t>221  纸浆制造</t>
    <phoneticPr fontId="51" type="noConversion"/>
  </si>
  <si>
    <t>222  造纸</t>
    <phoneticPr fontId="51" type="noConversion"/>
  </si>
  <si>
    <t>223</t>
  </si>
  <si>
    <t>223  纸制品制造</t>
    <phoneticPr fontId="51" type="noConversion"/>
  </si>
  <si>
    <t>231  印刷</t>
    <phoneticPr fontId="51" type="noConversion"/>
  </si>
  <si>
    <t>232  装订及印刷相关服务</t>
    <phoneticPr fontId="51" type="noConversion"/>
  </si>
  <si>
    <t>233  记录媒介复制</t>
    <phoneticPr fontId="51" type="noConversion"/>
  </si>
  <si>
    <t>241</t>
  </si>
  <si>
    <t>241  文教办公用品制造</t>
    <phoneticPr fontId="51" type="noConversion"/>
  </si>
  <si>
    <t>242  乐器制造</t>
    <phoneticPr fontId="51" type="noConversion"/>
  </si>
  <si>
    <t>243</t>
  </si>
  <si>
    <t>243  工艺美术品制造</t>
    <phoneticPr fontId="51" type="noConversion"/>
  </si>
  <si>
    <t>244</t>
  </si>
  <si>
    <t>244  体育用品制造</t>
    <phoneticPr fontId="51" type="noConversion"/>
  </si>
  <si>
    <t>245</t>
  </si>
  <si>
    <t>245  玩具制造</t>
    <phoneticPr fontId="51" type="noConversion"/>
  </si>
  <si>
    <t>268  日用化学产品制造</t>
    <phoneticPr fontId="51" type="noConversion"/>
  </si>
  <si>
    <t>271</t>
  </si>
  <si>
    <t>271  化学药品原料药制造</t>
    <phoneticPr fontId="51" type="noConversion"/>
  </si>
  <si>
    <t>272</t>
  </si>
  <si>
    <t>272  化学药品制剂制造</t>
    <phoneticPr fontId="51" type="noConversion"/>
  </si>
  <si>
    <t>273</t>
  </si>
  <si>
    <t>273  中药饮片加工</t>
    <phoneticPr fontId="51" type="noConversion"/>
  </si>
  <si>
    <t>274</t>
  </si>
  <si>
    <t>274  中成药生产</t>
    <phoneticPr fontId="51" type="noConversion"/>
  </si>
  <si>
    <t>275  兽用药品制造</t>
    <phoneticPr fontId="51" type="noConversion"/>
  </si>
  <si>
    <t>276  生物药品制造</t>
    <phoneticPr fontId="51" type="noConversion"/>
  </si>
  <si>
    <t>277</t>
  </si>
  <si>
    <t>277  卫生材料及医药用品制造</t>
    <phoneticPr fontId="51" type="noConversion"/>
  </si>
  <si>
    <t>281</t>
  </si>
  <si>
    <t>281  纤维素纤维原料及纤维制造</t>
    <phoneticPr fontId="51" type="noConversion"/>
  </si>
  <si>
    <t>282</t>
  </si>
  <si>
    <t>282  合成纤维制造</t>
    <phoneticPr fontId="51" type="noConversion"/>
  </si>
  <si>
    <t>292  塑料制品业</t>
    <phoneticPr fontId="51" type="noConversion"/>
  </si>
  <si>
    <t>331</t>
  </si>
  <si>
    <t>331  结构性金属制品制造</t>
    <phoneticPr fontId="51" type="noConversion"/>
  </si>
  <si>
    <t>332  金属工具制造</t>
    <phoneticPr fontId="51" type="noConversion"/>
  </si>
  <si>
    <t>333</t>
  </si>
  <si>
    <t>333  集装箱及金属包装容器制造</t>
    <phoneticPr fontId="51" type="noConversion"/>
  </si>
  <si>
    <t>334  金属丝绳及其制品制造</t>
    <phoneticPr fontId="51" type="noConversion"/>
  </si>
  <si>
    <t>335</t>
  </si>
  <si>
    <t>335  建筑、安全用金属制品制造</t>
    <phoneticPr fontId="51" type="noConversion"/>
  </si>
  <si>
    <t>336  金属表面处理及热处理加工</t>
    <phoneticPr fontId="51" type="noConversion"/>
  </si>
  <si>
    <t>337</t>
  </si>
  <si>
    <t>337  搪瓷制品制造</t>
    <phoneticPr fontId="51" type="noConversion"/>
  </si>
  <si>
    <t>338</t>
  </si>
  <si>
    <t>338  金属制日用品制造</t>
    <phoneticPr fontId="51" type="noConversion"/>
  </si>
  <si>
    <t>339</t>
  </si>
  <si>
    <t>339  其他金属制品制造</t>
    <phoneticPr fontId="51" type="noConversion"/>
  </si>
  <si>
    <t>341</t>
  </si>
  <si>
    <t>341  锅炉及原动设备制造</t>
    <phoneticPr fontId="51" type="noConversion"/>
  </si>
  <si>
    <t>342</t>
  </si>
  <si>
    <t>342  金属加工机械制造</t>
    <phoneticPr fontId="51" type="noConversion"/>
  </si>
  <si>
    <t>343</t>
  </si>
  <si>
    <t>343  物料搬运设备制造</t>
    <phoneticPr fontId="51" type="noConversion"/>
  </si>
  <si>
    <t>344  泵、阀门、压缩机及类似机械制造</t>
    <phoneticPr fontId="51" type="noConversion"/>
  </si>
  <si>
    <t>345</t>
  </si>
  <si>
    <t>345  轴承、齿轮和传动部件制造</t>
    <phoneticPr fontId="51" type="noConversion"/>
  </si>
  <si>
    <t>346</t>
  </si>
  <si>
    <t>346  烘炉、风机、衡器、包装等设备制造</t>
    <phoneticPr fontId="51" type="noConversion"/>
  </si>
  <si>
    <t>347</t>
  </si>
  <si>
    <t>347  文化、办公用机械制造</t>
    <phoneticPr fontId="51" type="noConversion"/>
  </si>
  <si>
    <t>348  通用零部件制造</t>
    <phoneticPr fontId="51" type="noConversion"/>
  </si>
  <si>
    <t>349</t>
  </si>
  <si>
    <t>349  其他通用设备制造业</t>
    <phoneticPr fontId="51" type="noConversion"/>
  </si>
  <si>
    <t>351</t>
  </si>
  <si>
    <t>351  采矿、冶金、建筑专用设备制造</t>
    <phoneticPr fontId="51" type="noConversion"/>
  </si>
  <si>
    <t>352  化工、木材、非金属加工专用设备制造</t>
    <phoneticPr fontId="51" type="noConversion"/>
  </si>
  <si>
    <t>353</t>
  </si>
  <si>
    <t>353  食品、饮料、烟草及饲料生产专用设备制造　　　</t>
    <phoneticPr fontId="51" type="noConversion"/>
  </si>
  <si>
    <t>354</t>
  </si>
  <si>
    <t>354  印刷、制药、日化及日用品生产专用设备制造</t>
    <phoneticPr fontId="51" type="noConversion"/>
  </si>
  <si>
    <t>355</t>
  </si>
  <si>
    <t>355  纺织、服装和皮革加工专用设备制造</t>
    <phoneticPr fontId="51" type="noConversion"/>
  </si>
  <si>
    <t>356  电子和电工机械专用设备制造</t>
    <phoneticPr fontId="51" type="noConversion"/>
  </si>
  <si>
    <t>357</t>
  </si>
  <si>
    <t>357  农、林、牧、渔专用机械制造</t>
    <phoneticPr fontId="51" type="noConversion"/>
  </si>
  <si>
    <t>358</t>
  </si>
  <si>
    <t>358  医疗仪器设备及器械制造</t>
    <phoneticPr fontId="51" type="noConversion"/>
  </si>
  <si>
    <t>359</t>
  </si>
  <si>
    <t>359  环保、社会公共服务及其他专用设备制造</t>
    <phoneticPr fontId="51" type="noConversion"/>
  </si>
  <si>
    <t>361</t>
  </si>
  <si>
    <t>361  汽车整车制造</t>
    <phoneticPr fontId="51" type="noConversion"/>
  </si>
  <si>
    <t>362</t>
  </si>
  <si>
    <t>362  改装汽车制造</t>
    <phoneticPr fontId="51" type="noConversion"/>
  </si>
  <si>
    <t>363</t>
  </si>
  <si>
    <t>363  低速载货汽车制造</t>
    <phoneticPr fontId="51" type="noConversion"/>
  </si>
  <si>
    <t>364  电车制造</t>
    <phoneticPr fontId="51" type="noConversion"/>
  </si>
  <si>
    <t>365</t>
  </si>
  <si>
    <t>365  汽车车身、挂车制造</t>
    <phoneticPr fontId="51" type="noConversion"/>
  </si>
  <si>
    <t>366</t>
  </si>
  <si>
    <t>366  汽车零部件及配件制造</t>
    <phoneticPr fontId="51" type="noConversion"/>
  </si>
  <si>
    <t>371</t>
  </si>
  <si>
    <t>371  铁路运输设备制造</t>
    <phoneticPr fontId="51" type="noConversion"/>
  </si>
  <si>
    <t>372  城市轨道交通设备制造</t>
    <phoneticPr fontId="51" type="noConversion"/>
  </si>
  <si>
    <t>373</t>
  </si>
  <si>
    <t>373  船舶及相关装置制造</t>
    <phoneticPr fontId="51" type="noConversion"/>
  </si>
  <si>
    <t>374  航空、航天器及设备制造</t>
    <phoneticPr fontId="51" type="noConversion"/>
  </si>
  <si>
    <t>375</t>
  </si>
  <si>
    <t>375  摩托车制造</t>
    <phoneticPr fontId="51" type="noConversion"/>
  </si>
  <si>
    <t>376  自行车制造</t>
    <phoneticPr fontId="51" type="noConversion"/>
  </si>
  <si>
    <t>377</t>
  </si>
  <si>
    <t>377  非公路休闲车及零配件制造</t>
    <phoneticPr fontId="51" type="noConversion"/>
  </si>
  <si>
    <t>379</t>
  </si>
  <si>
    <t>379  潜水救捞及其他未列明运输设备制造</t>
    <phoneticPr fontId="51" type="noConversion"/>
  </si>
  <si>
    <t>381</t>
  </si>
  <si>
    <t>381  电机制造</t>
    <phoneticPr fontId="51" type="noConversion"/>
  </si>
  <si>
    <t>382</t>
  </si>
  <si>
    <t>382  输配电及控制设备制造</t>
    <phoneticPr fontId="51" type="noConversion"/>
  </si>
  <si>
    <t>383</t>
  </si>
  <si>
    <t>383  电线、电缆、光缆及电工器材制造</t>
    <phoneticPr fontId="51" type="noConversion"/>
  </si>
  <si>
    <t>384  电池制造</t>
    <phoneticPr fontId="51" type="noConversion"/>
  </si>
  <si>
    <t>385</t>
  </si>
  <si>
    <t>385  家用电力器具制造</t>
    <phoneticPr fontId="51" type="noConversion"/>
  </si>
  <si>
    <t>386</t>
  </si>
  <si>
    <t>386  非电力家用器具制造</t>
    <phoneticPr fontId="51" type="noConversion"/>
  </si>
  <si>
    <t>387</t>
  </si>
  <si>
    <t>387  照明器具制造</t>
    <phoneticPr fontId="51" type="noConversion"/>
  </si>
  <si>
    <t>389</t>
  </si>
  <si>
    <t>389  其他电气机械及器材制造</t>
    <phoneticPr fontId="51" type="noConversion"/>
  </si>
  <si>
    <t>391</t>
  </si>
  <si>
    <t>391  计算机制造</t>
    <phoneticPr fontId="51" type="noConversion"/>
  </si>
  <si>
    <t>392  通信设备制造</t>
    <phoneticPr fontId="51" type="noConversion"/>
  </si>
  <si>
    <t>393</t>
  </si>
  <si>
    <t>393  广播电视设备制造</t>
    <phoneticPr fontId="51" type="noConversion"/>
  </si>
  <si>
    <t>394</t>
  </si>
  <si>
    <t>394  雷达及配套设备制造</t>
    <phoneticPr fontId="51" type="noConversion"/>
  </si>
  <si>
    <t>395</t>
  </si>
  <si>
    <t>395  视听设备制造</t>
    <phoneticPr fontId="51" type="noConversion"/>
  </si>
  <si>
    <t>396</t>
  </si>
  <si>
    <t>396  电子器件制造</t>
    <phoneticPr fontId="51" type="noConversion"/>
  </si>
  <si>
    <t>397</t>
  </si>
  <si>
    <t>397  电子元件制造</t>
    <phoneticPr fontId="51" type="noConversion"/>
  </si>
  <si>
    <t>399</t>
  </si>
  <si>
    <t>399  其他电子设备制造</t>
    <phoneticPr fontId="51" type="noConversion"/>
  </si>
  <si>
    <t>401</t>
  </si>
  <si>
    <t>401  通用仪器仪表制造</t>
    <phoneticPr fontId="51" type="noConversion"/>
  </si>
  <si>
    <t>402</t>
  </si>
  <si>
    <t>402  专用仪器仪表制造</t>
    <phoneticPr fontId="51" type="noConversion"/>
  </si>
  <si>
    <t>403</t>
  </si>
  <si>
    <t>403  钟表与计时仪器制造</t>
    <phoneticPr fontId="51" type="noConversion"/>
  </si>
  <si>
    <t>404  光学仪器及眼镜制造</t>
    <phoneticPr fontId="51" type="noConversion"/>
  </si>
  <si>
    <t>409</t>
  </si>
  <si>
    <t>409  其他仪器仪表制造业</t>
    <phoneticPr fontId="51" type="noConversion"/>
  </si>
  <si>
    <t>631</t>
  </si>
  <si>
    <t>631  电信</t>
    <phoneticPr fontId="51" type="noConversion"/>
  </si>
  <si>
    <t>632</t>
  </si>
  <si>
    <t>632  广播电视传输服务</t>
    <phoneticPr fontId="51" type="noConversion"/>
  </si>
  <si>
    <t>633</t>
  </si>
  <si>
    <t>633  卫星传输服务</t>
    <phoneticPr fontId="51" type="noConversion"/>
  </si>
  <si>
    <t>641</t>
  </si>
  <si>
    <t>641  互联网接入及相关服务</t>
    <phoneticPr fontId="51" type="noConversion"/>
  </si>
  <si>
    <t>642  互联网信息服务</t>
    <phoneticPr fontId="51" type="noConversion"/>
  </si>
  <si>
    <t>649</t>
  </si>
  <si>
    <t>649  其他互联网服务</t>
    <phoneticPr fontId="51" type="noConversion"/>
  </si>
  <si>
    <t>651</t>
  </si>
  <si>
    <t>651  软件开发</t>
    <phoneticPr fontId="51" type="noConversion"/>
  </si>
  <si>
    <t>652  信息系统集成服务</t>
    <phoneticPr fontId="51" type="noConversion"/>
  </si>
  <si>
    <t>653</t>
  </si>
  <si>
    <t>653  信息技术咨询服务</t>
    <phoneticPr fontId="51" type="noConversion"/>
  </si>
  <si>
    <t>654  数据处理和存储服务</t>
    <phoneticPr fontId="51" type="noConversion"/>
  </si>
  <si>
    <t>655</t>
  </si>
  <si>
    <t>655  集成电路设计</t>
    <phoneticPr fontId="51" type="noConversion"/>
  </si>
  <si>
    <t>659  其他信息技术服务业</t>
    <phoneticPr fontId="51" type="noConversion"/>
  </si>
  <si>
    <t>第15行＝表A100000第21行。</t>
  </si>
  <si>
    <t>本行=表A100000第19-20-22行-本表第13行，若小于0，则填报0。</t>
    <phoneticPr fontId="51" type="noConversion"/>
  </si>
  <si>
    <t>第3行=表A107041第29行</t>
  </si>
  <si>
    <t>2</t>
  </si>
  <si>
    <t>3</t>
  </si>
  <si>
    <t>4</t>
  </si>
  <si>
    <t>5</t>
  </si>
  <si>
    <t>6</t>
  </si>
  <si>
    <t>7</t>
  </si>
  <si>
    <t>8</t>
  </si>
  <si>
    <t>9</t>
  </si>
  <si>
    <t>22</t>
  </si>
  <si>
    <t>23</t>
  </si>
  <si>
    <t>24</t>
  </si>
  <si>
    <t>25</t>
  </si>
  <si>
    <t>26</t>
  </si>
  <si>
    <t>27</t>
  </si>
  <si>
    <t>28</t>
  </si>
  <si>
    <t>29</t>
  </si>
  <si>
    <t>91350200776046719Q</t>
  </si>
  <si>
    <t>A105081</t>
    <phoneticPr fontId="51" type="noConversion"/>
  </si>
  <si>
    <t>SSJZ6101.2</t>
    <phoneticPr fontId="51" type="noConversion"/>
  </si>
  <si>
    <t>叶瑞卿</t>
  </si>
  <si>
    <t>陈酉凤</t>
  </si>
  <si>
    <t>直接核销法</t>
  </si>
  <si>
    <t>月末一次加权平均法</t>
  </si>
  <si>
    <t>比例(%)</t>
  </si>
  <si>
    <t>投资比例(%)</t>
    <phoneticPr fontId="51" type="noConversion"/>
  </si>
  <si>
    <t>减少投资比例(%)</t>
    <phoneticPr fontId="51" type="noConversion"/>
  </si>
  <si>
    <t>投资比例(%)</t>
    <phoneticPr fontId="51" type="noConversion"/>
  </si>
  <si>
    <t>减少投资比例(%)</t>
    <phoneticPr fontId="51" type="noConversion"/>
  </si>
  <si>
    <t>综合利用的资源占生产产品材料的比例(%)</t>
    <phoneticPr fontId="51" type="noConversion"/>
  </si>
  <si>
    <t>十、本年研发费用占销售（营业）收入比例(%)</t>
    <phoneticPr fontId="51" type="noConversion"/>
  </si>
  <si>
    <t>十八、研究开发费用总额占企业销售（营业）收入总额的比例(%)</t>
    <phoneticPr fontId="51" type="noConversion"/>
  </si>
  <si>
    <t>（三）企业所得税年度纳税申报表填报表单'!A1</t>
  </si>
  <si>
    <t>（四）企业各税（费）审核汇总表</t>
    <phoneticPr fontId="51" type="noConversion"/>
  </si>
  <si>
    <t>（五）社会保险费明细表</t>
    <phoneticPr fontId="51" type="noConversion"/>
  </si>
  <si>
    <t>中汇百邦（厦门）税务师事务所有限公司</t>
    <phoneticPr fontId="51" type="noConversion"/>
  </si>
  <si>
    <t>2017年3月16日</t>
    <phoneticPr fontId="51" type="noConversion"/>
  </si>
  <si>
    <t>2017年5月4日</t>
    <phoneticPr fontId="51" type="noConversion"/>
  </si>
  <si>
    <t>甲方（委托方）：</t>
    <phoneticPr fontId="51" type="noConversion"/>
  </si>
  <si>
    <t>统一社会信用代码</t>
    <phoneticPr fontId="51" type="noConversion"/>
  </si>
  <si>
    <t>甲方税务登记号：</t>
    <phoneticPr fontId="51" type="noConversion"/>
  </si>
  <si>
    <t>中汇百邦（厦门）税务师事务所有限公司</t>
  </si>
  <si>
    <t>身份证号</t>
    <phoneticPr fontId="51" type="noConversion"/>
  </si>
  <si>
    <t>350204197509302051</t>
  </si>
  <si>
    <t>350204196207020038</t>
  </si>
  <si>
    <t>黄培城</t>
  </si>
  <si>
    <t>35062819720320008X</t>
  </si>
  <si>
    <t>卢丽平</t>
  </si>
  <si>
    <t>350302197907030015</t>
  </si>
  <si>
    <t>林向武</t>
  </si>
  <si>
    <t>350423197810050017</t>
  </si>
  <si>
    <t>罗征洪</t>
  </si>
  <si>
    <t>350321197410140779</t>
  </si>
  <si>
    <t>肖恒山</t>
  </si>
  <si>
    <t>350205197504141048</t>
  </si>
  <si>
    <t>邱丽宏</t>
  </si>
  <si>
    <t>352103197906162523</t>
  </si>
  <si>
    <t>徐东莲</t>
  </si>
  <si>
    <t>350302197910140047</t>
  </si>
  <si>
    <t>陈丽珊</t>
  </si>
  <si>
    <t>350221197708092567</t>
  </si>
  <si>
    <t>310110196809058038</t>
  </si>
  <si>
    <t>郑永锋</t>
  </si>
  <si>
    <t>220104197210246759</t>
  </si>
  <si>
    <t>武景义</t>
  </si>
  <si>
    <t>35020519751105003X</t>
  </si>
  <si>
    <t>陈平</t>
  </si>
  <si>
    <t>350212198211085036</t>
  </si>
  <si>
    <t>陈金盾</t>
  </si>
  <si>
    <t>350203196610314099</t>
  </si>
  <si>
    <t>王泉升</t>
  </si>
  <si>
    <t>352627197511190237</t>
  </si>
  <si>
    <t>李书斌</t>
  </si>
  <si>
    <t>350603198206220024</t>
  </si>
  <si>
    <t>林艺平</t>
  </si>
  <si>
    <t>350784197902181021</t>
  </si>
  <si>
    <t>350623198105204207</t>
  </si>
  <si>
    <t>欧国良</t>
    <phoneticPr fontId="51" type="noConversion"/>
  </si>
  <si>
    <t>身份证号</t>
    <phoneticPr fontId="51" type="noConversion"/>
  </si>
  <si>
    <t>税务师事务所（盖章）</t>
    <phoneticPr fontId="51" type="noConversion"/>
  </si>
  <si>
    <t>申报日期</t>
    <phoneticPr fontId="51" type="noConversion"/>
  </si>
  <si>
    <t>征收项目</t>
    <phoneticPr fontId="51" type="noConversion"/>
  </si>
  <si>
    <t>征收品目</t>
    <phoneticPr fontId="51" type="noConversion"/>
  </si>
  <si>
    <t>征收子目</t>
    <phoneticPr fontId="51" type="noConversion"/>
  </si>
  <si>
    <t>税款所属期</t>
    <phoneticPr fontId="51" type="noConversion"/>
  </si>
  <si>
    <t>计税金额</t>
    <phoneticPr fontId="51" type="noConversion"/>
  </si>
  <si>
    <t>税率</t>
    <phoneticPr fontId="51" type="noConversion"/>
  </si>
  <si>
    <t>应纳税额</t>
    <phoneticPr fontId="51" type="noConversion"/>
  </si>
  <si>
    <t>已缴税额</t>
    <phoneticPr fontId="51" type="noConversion"/>
  </si>
  <si>
    <t>减免税额</t>
    <phoneticPr fontId="51" type="noConversion"/>
  </si>
  <si>
    <t>实际应缴税额</t>
    <phoneticPr fontId="51" type="noConversion"/>
  </si>
  <si>
    <t>入库日期</t>
    <phoneticPr fontId="51" type="noConversion"/>
  </si>
  <si>
    <t>10203</t>
  </si>
  <si>
    <t>102039971</t>
  </si>
  <si>
    <t>10201</t>
  </si>
  <si>
    <t>102019971</t>
  </si>
  <si>
    <t>10205</t>
  </si>
  <si>
    <t>102050101</t>
  </si>
  <si>
    <t>10202</t>
  </si>
  <si>
    <t>102029971</t>
  </si>
  <si>
    <t>10204</t>
  </si>
  <si>
    <t>102040101</t>
  </si>
  <si>
    <t>10109</t>
  </si>
  <si>
    <t>101090101</t>
  </si>
  <si>
    <t>30203</t>
  </si>
  <si>
    <t>302030100</t>
  </si>
  <si>
    <t>30216</t>
  </si>
  <si>
    <t>302160100</t>
  </si>
  <si>
    <t>10111</t>
  </si>
  <si>
    <t>101110101</t>
  </si>
  <si>
    <t>39900</t>
  </si>
  <si>
    <t>399001020</t>
  </si>
  <si>
    <t>30218</t>
  </si>
  <si>
    <t>302180100</t>
  </si>
  <si>
    <t>10106</t>
  </si>
  <si>
    <t>101060100</t>
  </si>
  <si>
    <t>zsxm_dm</t>
  </si>
  <si>
    <t>征收项目名称</t>
  </si>
  <si>
    <t>10101</t>
  </si>
  <si>
    <t>10102</t>
  </si>
  <si>
    <t>10103</t>
  </si>
  <si>
    <t>10104</t>
  </si>
  <si>
    <t>10105</t>
  </si>
  <si>
    <t>企业所得税退税</t>
  </si>
  <si>
    <t>10107</t>
  </si>
  <si>
    <t>10110</t>
  </si>
  <si>
    <t>10112</t>
  </si>
  <si>
    <t>10113</t>
  </si>
  <si>
    <t>10114</t>
  </si>
  <si>
    <t>10115</t>
  </si>
  <si>
    <t>船舶吨税</t>
  </si>
  <si>
    <t>10116</t>
  </si>
  <si>
    <t>车辆购置税</t>
  </si>
  <si>
    <t>10117</t>
  </si>
  <si>
    <t>关税</t>
  </si>
  <si>
    <t>10118</t>
  </si>
  <si>
    <t>耕地占用税</t>
  </si>
  <si>
    <t>10119</t>
  </si>
  <si>
    <t>10120</t>
  </si>
  <si>
    <t>烟叶税</t>
  </si>
  <si>
    <t>10125</t>
  </si>
  <si>
    <t>屠宰税（废止）</t>
  </si>
  <si>
    <t>10199</t>
  </si>
  <si>
    <t>其他税收收入</t>
  </si>
  <si>
    <t>企业职工基本养老保险基金收入</t>
  </si>
  <si>
    <t>失业保险基金收入</t>
  </si>
  <si>
    <t>基本医疗保险基金收入</t>
  </si>
  <si>
    <t>工伤保险基金收入</t>
  </si>
  <si>
    <t>生育保险基金收入</t>
  </si>
  <si>
    <t>10206</t>
  </si>
  <si>
    <t>新型农村合作医疗基金收入</t>
  </si>
  <si>
    <t>10207</t>
  </si>
  <si>
    <t>城镇居民基本医疗保险基金收入</t>
  </si>
  <si>
    <t>10210</t>
  </si>
  <si>
    <t>城乡居民基本养老保险基金收入</t>
  </si>
  <si>
    <t>10211</t>
  </si>
  <si>
    <t>机关事业单位基本养老保险基金收入</t>
  </si>
  <si>
    <t>10291</t>
  </si>
  <si>
    <t>机关事业单位职业年金</t>
  </si>
  <si>
    <t>10299</t>
  </si>
  <si>
    <t>其他社会保险基金收入</t>
  </si>
  <si>
    <t>30144</t>
  </si>
  <si>
    <t>城市公用事业附加收入</t>
  </si>
  <si>
    <t>30150</t>
  </si>
  <si>
    <t>大中型水库库区基金</t>
  </si>
  <si>
    <t>30158</t>
  </si>
  <si>
    <t>国家重大水利工程建设基金收入</t>
  </si>
  <si>
    <t>30175</t>
  </si>
  <si>
    <t>废弃电器电子产品处理基金收入</t>
  </si>
  <si>
    <t>30176</t>
  </si>
  <si>
    <t>水土保持补偿费收入</t>
  </si>
  <si>
    <t>30199</t>
  </si>
  <si>
    <t>其他政府性基金收入</t>
  </si>
  <si>
    <t>30201</t>
  </si>
  <si>
    <t>排污费收入</t>
  </si>
  <si>
    <t>30202</t>
  </si>
  <si>
    <t>水资源费收入</t>
  </si>
  <si>
    <t>30217</t>
  </si>
  <si>
    <t>残疾人就业保障金</t>
  </si>
  <si>
    <t>30221</t>
  </si>
  <si>
    <t>水利建设专项收入</t>
  </si>
  <si>
    <t>30299</t>
  </si>
  <si>
    <t>其他专项收入</t>
  </si>
  <si>
    <t>30407</t>
  </si>
  <si>
    <t>财政行政事业性收费收入</t>
  </si>
  <si>
    <t>30408</t>
  </si>
  <si>
    <t>税务行政事业性收费收入</t>
  </si>
  <si>
    <t>30432</t>
  </si>
  <si>
    <t>国土资源行政事业性收费收入</t>
  </si>
  <si>
    <t>30446</t>
  </si>
  <si>
    <t>水利行政事业性收费收入</t>
  </si>
  <si>
    <t>30499</t>
  </si>
  <si>
    <t>其他行政事业性收费收入</t>
  </si>
  <si>
    <t>30501</t>
  </si>
  <si>
    <t>税务部门罚没收入</t>
  </si>
  <si>
    <t>30701</t>
  </si>
  <si>
    <t>海上石油矿区使用费</t>
  </si>
  <si>
    <t>30702</t>
  </si>
  <si>
    <t>陆上石油矿区使用费</t>
  </si>
  <si>
    <t>30703</t>
  </si>
  <si>
    <t>场地使用费收入</t>
  </si>
  <si>
    <t>30705</t>
  </si>
  <si>
    <t>利息收入</t>
  </si>
  <si>
    <t>30799</t>
  </si>
  <si>
    <t>其他国有资源（产）有偿使用收入</t>
  </si>
  <si>
    <t>zspm_dm</t>
  </si>
  <si>
    <t>征收品目名称</t>
  </si>
  <si>
    <t>101010101</t>
  </si>
  <si>
    <t>卷烟</t>
  </si>
  <si>
    <t>101010102</t>
  </si>
  <si>
    <t>雪茄烟</t>
  </si>
  <si>
    <t>101010103</t>
  </si>
  <si>
    <t>烟丝</t>
  </si>
  <si>
    <t>101010104</t>
  </si>
  <si>
    <t>烟叶</t>
  </si>
  <si>
    <t>101010199</t>
  </si>
  <si>
    <t>其他烟草加工业</t>
  </si>
  <si>
    <t>101010201</t>
  </si>
  <si>
    <t>白酒</t>
  </si>
  <si>
    <t>101010202</t>
  </si>
  <si>
    <t>黄酒</t>
  </si>
  <si>
    <t>101010203</t>
  </si>
  <si>
    <t>啤酒</t>
  </si>
  <si>
    <t>101010204</t>
  </si>
  <si>
    <t>其他酒</t>
  </si>
  <si>
    <t>101010205</t>
  </si>
  <si>
    <t>酒精</t>
  </si>
  <si>
    <t>101010206</t>
  </si>
  <si>
    <t>饮料</t>
  </si>
  <si>
    <t>101010207</t>
  </si>
  <si>
    <t>茶（17%）</t>
  </si>
  <si>
    <t>101010208</t>
  </si>
  <si>
    <t>茶（13%）</t>
  </si>
  <si>
    <t>101010301</t>
  </si>
  <si>
    <t>粮食、饲料</t>
  </si>
  <si>
    <t>101010302</t>
  </si>
  <si>
    <t>食用植物油</t>
  </si>
  <si>
    <t>101010303</t>
  </si>
  <si>
    <t>糖</t>
  </si>
  <si>
    <t>101010398</t>
  </si>
  <si>
    <t>其他食品加工制造业（17%）</t>
  </si>
  <si>
    <t>101010399</t>
  </si>
  <si>
    <t>其他食品加工制造业（13%）</t>
  </si>
  <si>
    <t>101010401</t>
  </si>
  <si>
    <t>棉纺织品</t>
  </si>
  <si>
    <t>101010402</t>
  </si>
  <si>
    <t>毛纺织品</t>
  </si>
  <si>
    <t>101010403</t>
  </si>
  <si>
    <t>丝织品</t>
  </si>
  <si>
    <t>101010404</t>
  </si>
  <si>
    <t>针织品</t>
  </si>
  <si>
    <t>101010405</t>
  </si>
  <si>
    <t>化纤织品</t>
  </si>
  <si>
    <t>101010499</t>
  </si>
  <si>
    <t>其他纺织业</t>
  </si>
  <si>
    <t>101010501</t>
  </si>
  <si>
    <t>机制纸</t>
  </si>
  <si>
    <t>101010502</t>
  </si>
  <si>
    <t>纸板</t>
  </si>
  <si>
    <t>101010599</t>
  </si>
  <si>
    <t>其他造纸及纸制品业</t>
  </si>
  <si>
    <t>101010601</t>
  </si>
  <si>
    <t>服装</t>
  </si>
  <si>
    <t>101010602</t>
  </si>
  <si>
    <t>皮革、毛皮</t>
  </si>
  <si>
    <t>101010699</t>
  </si>
  <si>
    <t>其他服装及其他制品业</t>
  </si>
  <si>
    <t>101010701</t>
  </si>
  <si>
    <t>成品油</t>
  </si>
  <si>
    <t>101010799</t>
  </si>
  <si>
    <t>其他石油加工及炼焦业</t>
  </si>
  <si>
    <t>101010801</t>
  </si>
  <si>
    <t>化学化工产品</t>
  </si>
  <si>
    <t>101010802</t>
  </si>
  <si>
    <t>化肥</t>
  </si>
  <si>
    <t>101010803</t>
  </si>
  <si>
    <t>农药</t>
  </si>
  <si>
    <t>101010804</t>
  </si>
  <si>
    <t>化妆品</t>
  </si>
  <si>
    <t>101010805</t>
  </si>
  <si>
    <t>护肤护发品</t>
  </si>
  <si>
    <t>101010899</t>
  </si>
  <si>
    <t>其他化学原料及化学制品业</t>
  </si>
  <si>
    <t>101010901</t>
  </si>
  <si>
    <t>汽车轮胎</t>
  </si>
  <si>
    <t>101010999</t>
  </si>
  <si>
    <t>其他橡胶制品业</t>
  </si>
  <si>
    <t>101011001</t>
  </si>
  <si>
    <t>水泥</t>
  </si>
  <si>
    <t>101011002</t>
  </si>
  <si>
    <t>水泥制品</t>
  </si>
  <si>
    <t>101011003</t>
  </si>
  <si>
    <t>平板玻璃</t>
  </si>
  <si>
    <t>101011004</t>
  </si>
  <si>
    <t>陶瓷制品</t>
  </si>
  <si>
    <t>101011099</t>
  </si>
  <si>
    <t>其他非金属矿物制品业</t>
  </si>
  <si>
    <t>101011101</t>
  </si>
  <si>
    <t>生铁</t>
  </si>
  <si>
    <t>101011102</t>
  </si>
  <si>
    <t>钢坯</t>
  </si>
  <si>
    <t>101011103</t>
  </si>
  <si>
    <t>钢材</t>
  </si>
  <si>
    <t>101011199</t>
  </si>
  <si>
    <t>其他黑色金属冶炼及压延加工业</t>
  </si>
  <si>
    <t>101011201</t>
  </si>
  <si>
    <t>常用金属</t>
  </si>
  <si>
    <t>101011202</t>
  </si>
  <si>
    <t>贵金属</t>
  </si>
  <si>
    <t>101011299</t>
  </si>
  <si>
    <t>稀有稀土金属</t>
  </si>
  <si>
    <t>101011301</t>
  </si>
  <si>
    <t>汽车</t>
  </si>
  <si>
    <t>101011302</t>
  </si>
  <si>
    <t>摩托车</t>
  </si>
  <si>
    <t>101011303</t>
  </si>
  <si>
    <t>飞机</t>
  </si>
  <si>
    <t>101011304</t>
  </si>
  <si>
    <t>机动船舶</t>
  </si>
  <si>
    <t>101011305</t>
  </si>
  <si>
    <t>自行车</t>
  </si>
  <si>
    <t>101011306</t>
  </si>
  <si>
    <t>通用设备</t>
  </si>
  <si>
    <t>101011307</t>
  </si>
  <si>
    <t>专用设备（17%）</t>
  </si>
  <si>
    <t>101011308</t>
  </si>
  <si>
    <t>专用设备（13%）</t>
  </si>
  <si>
    <t>101011398</t>
  </si>
  <si>
    <t>其他交通运输工具（17%）</t>
  </si>
  <si>
    <t>101011399</t>
  </si>
  <si>
    <t>其他交通运输工具（13%）</t>
  </si>
  <si>
    <t>101011401</t>
  </si>
  <si>
    <t>家用电器</t>
  </si>
  <si>
    <t>101011402</t>
  </si>
  <si>
    <t>电机</t>
  </si>
  <si>
    <t>101011403</t>
  </si>
  <si>
    <t>电线电缆</t>
  </si>
  <si>
    <t>101011499</t>
  </si>
  <si>
    <t>其他电气机械及器材制造业</t>
  </si>
  <si>
    <t>101011501</t>
  </si>
  <si>
    <t>通信设备</t>
  </si>
  <si>
    <t>101011502</t>
  </si>
  <si>
    <t>电子计算机</t>
  </si>
  <si>
    <t>101011503</t>
  </si>
  <si>
    <t>家用视听设备</t>
  </si>
  <si>
    <t>101011599</t>
  </si>
  <si>
    <t>其他电子通信设备制造业</t>
  </si>
  <si>
    <t>101011600</t>
  </si>
  <si>
    <t>家具制造业</t>
  </si>
  <si>
    <t>101011701</t>
  </si>
  <si>
    <t>中药原药制造业</t>
  </si>
  <si>
    <t>101011799</t>
  </si>
  <si>
    <t>其他医药制造业</t>
  </si>
  <si>
    <t>101011801</t>
  </si>
  <si>
    <t>贵重首饰</t>
  </si>
  <si>
    <t>101011898</t>
  </si>
  <si>
    <t>其他制造业（17%）</t>
  </si>
  <si>
    <t>101011899</t>
  </si>
  <si>
    <t>其他制造业（13%）</t>
  </si>
  <si>
    <t>101012100</t>
  </si>
  <si>
    <t>原煤</t>
  </si>
  <si>
    <t>101012200</t>
  </si>
  <si>
    <t>洗煤</t>
  </si>
  <si>
    <t>101012301</t>
  </si>
  <si>
    <t>工业盐</t>
  </si>
  <si>
    <t>101012302</t>
  </si>
  <si>
    <t>食用盐</t>
  </si>
  <si>
    <t>101012400</t>
  </si>
  <si>
    <t>原油</t>
  </si>
  <si>
    <t>101012500</t>
  </si>
  <si>
    <t>天然气</t>
  </si>
  <si>
    <t>101012600</t>
  </si>
  <si>
    <t>黑色金属矿产品</t>
  </si>
  <si>
    <t>101012700</t>
  </si>
  <si>
    <t>有色金属矿产品</t>
  </si>
  <si>
    <t>101012800</t>
  </si>
  <si>
    <t>非金属矿产品</t>
  </si>
  <si>
    <t>101012900</t>
  </si>
  <si>
    <t>101013100</t>
  </si>
  <si>
    <t>发电</t>
  </si>
  <si>
    <t>101013200</t>
  </si>
  <si>
    <t>供电</t>
  </si>
  <si>
    <t>101013300</t>
  </si>
  <si>
    <t>煤气</t>
  </si>
  <si>
    <t>101013400</t>
  </si>
  <si>
    <t>燃气</t>
  </si>
  <si>
    <t>101013500</t>
  </si>
  <si>
    <t>自来水</t>
  </si>
  <si>
    <t>101013600</t>
  </si>
  <si>
    <t>暖气、热水、冷气等气及水的生产和供应</t>
  </si>
  <si>
    <t>101013901</t>
  </si>
  <si>
    <t>其他电力煤气及水的生产和供应业（17%）</t>
  </si>
  <si>
    <t>101013902</t>
  </si>
  <si>
    <t>其他电力煤气及水的生产和供应业（13%）</t>
  </si>
  <si>
    <t>101014001</t>
  </si>
  <si>
    <t>商业(17%)</t>
  </si>
  <si>
    <t>101014002</t>
  </si>
  <si>
    <t>商业(13%)</t>
  </si>
  <si>
    <t>101014003</t>
  </si>
  <si>
    <t>商业(6%)</t>
  </si>
  <si>
    <t>101014004</t>
  </si>
  <si>
    <t>商业(4%)</t>
  </si>
  <si>
    <t>101014006</t>
  </si>
  <si>
    <t>商业(3%)</t>
  </si>
  <si>
    <t>101015000</t>
  </si>
  <si>
    <t>软件、集成电路</t>
  </si>
  <si>
    <t>101016101</t>
  </si>
  <si>
    <t>陆路货物运输服务</t>
  </si>
  <si>
    <t>101016102</t>
  </si>
  <si>
    <t>水路运输服务</t>
  </si>
  <si>
    <t>101016103</t>
  </si>
  <si>
    <t>航空运输服务</t>
  </si>
  <si>
    <t>101016104</t>
  </si>
  <si>
    <t>管道运输服务</t>
  </si>
  <si>
    <t>101016105</t>
  </si>
  <si>
    <t>铁路运输服务</t>
  </si>
  <si>
    <t>101016106</t>
  </si>
  <si>
    <t>陆路旅客运输服务</t>
  </si>
  <si>
    <t>101016201</t>
  </si>
  <si>
    <t>研发服务</t>
  </si>
  <si>
    <t>101016204</t>
  </si>
  <si>
    <t>合同能源管理服务</t>
  </si>
  <si>
    <t>101016205</t>
  </si>
  <si>
    <t>工程勘察勘探服务</t>
  </si>
  <si>
    <t>101016206</t>
  </si>
  <si>
    <t>专业技术服务</t>
  </si>
  <si>
    <t>101016301</t>
  </si>
  <si>
    <t>软件服务</t>
  </si>
  <si>
    <t>101016302</t>
  </si>
  <si>
    <t>电路设计及测试服务</t>
  </si>
  <si>
    <t>101016303</t>
  </si>
  <si>
    <t>信息系统服务</t>
  </si>
  <si>
    <t>101016304</t>
  </si>
  <si>
    <t>业务流程管理服务</t>
  </si>
  <si>
    <t>101016305</t>
  </si>
  <si>
    <t>信息系统增值服务</t>
  </si>
  <si>
    <t>101016401</t>
  </si>
  <si>
    <t>设计服务</t>
  </si>
  <si>
    <t>101016403</t>
  </si>
  <si>
    <t>101016404</t>
  </si>
  <si>
    <t>广告服务</t>
  </si>
  <si>
    <t>101016405</t>
  </si>
  <si>
    <t>会议展览服务</t>
  </si>
  <si>
    <t>101016502</t>
  </si>
  <si>
    <t>航空服务</t>
  </si>
  <si>
    <t>101016503</t>
  </si>
  <si>
    <t>港口码头服务</t>
  </si>
  <si>
    <t>101016504</t>
  </si>
  <si>
    <t>货运客运场站服务</t>
  </si>
  <si>
    <t>101016505</t>
  </si>
  <si>
    <t>打捞救助服务</t>
  </si>
  <si>
    <t>101016508</t>
  </si>
  <si>
    <t>仓储服务</t>
  </si>
  <si>
    <t>101016509</t>
  </si>
  <si>
    <t>装卸搬运服务</t>
  </si>
  <si>
    <t>101016510</t>
  </si>
  <si>
    <t>收派服务</t>
  </si>
  <si>
    <t>101016601</t>
  </si>
  <si>
    <t>有形动产融资租赁</t>
  </si>
  <si>
    <t>101016602</t>
  </si>
  <si>
    <t>有形动产经营租赁</t>
  </si>
  <si>
    <t>101016603</t>
  </si>
  <si>
    <t>不动产融资租赁（11%、3%）</t>
  </si>
  <si>
    <t>101016604</t>
  </si>
  <si>
    <t>不动产融资租赁（11%、5%）</t>
  </si>
  <si>
    <t>101016605</t>
  </si>
  <si>
    <t>不动产经营租赁（11%、3%）</t>
  </si>
  <si>
    <t>101016606</t>
  </si>
  <si>
    <t>不动产经营租赁（11%、5%）</t>
  </si>
  <si>
    <t>101016701</t>
  </si>
  <si>
    <t>认证服务</t>
  </si>
  <si>
    <t>101016702</t>
  </si>
  <si>
    <t>鉴证服务</t>
  </si>
  <si>
    <t>101016703</t>
  </si>
  <si>
    <t>咨询服务</t>
  </si>
  <si>
    <t>101016801</t>
  </si>
  <si>
    <t>广播影视节目（作品）制作服务</t>
  </si>
  <si>
    <t>101016802</t>
  </si>
  <si>
    <t>广播影视节目（作品）发行服务</t>
  </si>
  <si>
    <t>101016803</t>
  </si>
  <si>
    <t>广播影视节目（作品）播映服务</t>
  </si>
  <si>
    <t>101016901</t>
  </si>
  <si>
    <t>邮政普遍服务</t>
  </si>
  <si>
    <t>101016902</t>
  </si>
  <si>
    <t>邮政特殊服务</t>
  </si>
  <si>
    <t>101016903</t>
  </si>
  <si>
    <t>其他邮政服务</t>
  </si>
  <si>
    <t>101017001</t>
  </si>
  <si>
    <t>基础电信服务</t>
  </si>
  <si>
    <t>101017002</t>
  </si>
  <si>
    <t>增值电信服务</t>
  </si>
  <si>
    <t>101017101</t>
  </si>
  <si>
    <t>工程服务</t>
  </si>
  <si>
    <t>101017102</t>
  </si>
  <si>
    <t>安装服务</t>
  </si>
  <si>
    <t>101017103</t>
  </si>
  <si>
    <t>修缮服务</t>
  </si>
  <si>
    <t>101017104</t>
  </si>
  <si>
    <t>装饰服务</t>
  </si>
  <si>
    <t>101017190</t>
  </si>
  <si>
    <t>其他建筑服务</t>
  </si>
  <si>
    <t>101017201</t>
  </si>
  <si>
    <t>贷款服务</t>
  </si>
  <si>
    <t>101017202</t>
  </si>
  <si>
    <t>直接收费金融服务</t>
  </si>
  <si>
    <t>101017203</t>
  </si>
  <si>
    <t>人身保险服务</t>
  </si>
  <si>
    <t>101017204</t>
  </si>
  <si>
    <t>财产保险服务</t>
  </si>
  <si>
    <t>101017205</t>
  </si>
  <si>
    <t>金融商品转让</t>
  </si>
  <si>
    <t>101017301</t>
  </si>
  <si>
    <t>企业管理服务</t>
  </si>
  <si>
    <t>101017302</t>
  </si>
  <si>
    <t>经纪代理服务（6%、3%）</t>
  </si>
  <si>
    <t>101017303</t>
  </si>
  <si>
    <t>人力资源服务（6%、3%）</t>
  </si>
  <si>
    <t>101017304</t>
  </si>
  <si>
    <t>安全保护服务（3%）</t>
  </si>
  <si>
    <t>101017305</t>
  </si>
  <si>
    <t>人力资源服务（6%、5%）</t>
  </si>
  <si>
    <t>101017306</t>
  </si>
  <si>
    <t>经纪代理服务（6%、5%）</t>
  </si>
  <si>
    <t>101017307</t>
  </si>
  <si>
    <t>安全保护服务（5%）</t>
  </si>
  <si>
    <t>101017490</t>
  </si>
  <si>
    <t>其他现代服务</t>
  </si>
  <si>
    <t>101017510</t>
  </si>
  <si>
    <t>文化服务</t>
  </si>
  <si>
    <t>101017520</t>
  </si>
  <si>
    <t>体育服务</t>
  </si>
  <si>
    <t>101017530</t>
  </si>
  <si>
    <t>教育服务</t>
  </si>
  <si>
    <t>101017540</t>
  </si>
  <si>
    <t>医疗服务</t>
  </si>
  <si>
    <t>101017550</t>
  </si>
  <si>
    <t>旅游服务</t>
  </si>
  <si>
    <t>101017560</t>
  </si>
  <si>
    <t>娱乐服务</t>
  </si>
  <si>
    <t>101017570</t>
  </si>
  <si>
    <t>餐饮服务</t>
  </si>
  <si>
    <t>101017580</t>
  </si>
  <si>
    <t>住宿服务</t>
  </si>
  <si>
    <t>101017590</t>
  </si>
  <si>
    <t>居民日常服务</t>
  </si>
  <si>
    <t>101017599</t>
  </si>
  <si>
    <t>其他生活服务</t>
  </si>
  <si>
    <t>101017601</t>
  </si>
  <si>
    <t>专利或非专利技术</t>
  </si>
  <si>
    <t>101017602</t>
  </si>
  <si>
    <t>商标和著作权</t>
  </si>
  <si>
    <t>101017603</t>
  </si>
  <si>
    <t>土地使用权（11%、3%）</t>
  </si>
  <si>
    <t>101017604</t>
  </si>
  <si>
    <t>土地使用权（11%、5%）</t>
  </si>
  <si>
    <t>101017680</t>
  </si>
  <si>
    <t>其他自然资源使用权</t>
  </si>
  <si>
    <t>101017690</t>
  </si>
  <si>
    <t>其他权益性无形资产</t>
  </si>
  <si>
    <t>101017711</t>
  </si>
  <si>
    <t>建筑物（11%、3%）-增量房</t>
  </si>
  <si>
    <t>101017712</t>
  </si>
  <si>
    <t>建筑物（11%、3%）-二手房</t>
  </si>
  <si>
    <t>101017713</t>
  </si>
  <si>
    <t>建筑物（11%、5%）-增量房</t>
  </si>
  <si>
    <t>101017714</t>
  </si>
  <si>
    <t>建筑物（11%、5%）-二手房</t>
  </si>
  <si>
    <t>101017721</t>
  </si>
  <si>
    <t>构筑物（11%、3%）-增量房</t>
  </si>
  <si>
    <t>101017722</t>
  </si>
  <si>
    <t>构筑物（11%、3%）-二手房</t>
  </si>
  <si>
    <t>101017723</t>
  </si>
  <si>
    <t>构筑物（11%、5%）-增量房</t>
  </si>
  <si>
    <t>101017724</t>
  </si>
  <si>
    <t>构筑物（11%、5%）-二手房</t>
  </si>
  <si>
    <t>101017801</t>
  </si>
  <si>
    <t>铁建设基金（中央）</t>
  </si>
  <si>
    <t>101019001</t>
  </si>
  <si>
    <t>其他行业（17%）</t>
  </si>
  <si>
    <t>101019002</t>
  </si>
  <si>
    <t>其他行业（13%）</t>
  </si>
  <si>
    <t>101019901</t>
  </si>
  <si>
    <t>滞纳金</t>
  </si>
  <si>
    <t>101019902</t>
  </si>
  <si>
    <t>罚款</t>
  </si>
  <si>
    <t>101020101</t>
  </si>
  <si>
    <t>卷烟（调拨价70元（不含增值税）/条以上（含70元）从价计算）</t>
  </si>
  <si>
    <t>101020102</t>
  </si>
  <si>
    <t>卷烟（调拨价70元（不含增值税）/条以下从价计算）</t>
  </si>
  <si>
    <t>101020104</t>
  </si>
  <si>
    <t>卷烟（调拨价70元（不含增值税）/条以上（含70元）从量计算）</t>
  </si>
  <si>
    <t>101020105</t>
  </si>
  <si>
    <t>卷烟（调拨价70元（不含增值税）/条以下从量计算）</t>
  </si>
  <si>
    <t>101020106</t>
  </si>
  <si>
    <t>卷烟（商业批发从价计算）</t>
  </si>
  <si>
    <t>101020107</t>
  </si>
  <si>
    <t>101020108</t>
  </si>
  <si>
    <t>101020109</t>
  </si>
  <si>
    <t>卷烟（商业批发从量计算）</t>
  </si>
  <si>
    <t>101020201</t>
  </si>
  <si>
    <t>粮食白酒（从价计算）</t>
  </si>
  <si>
    <t>101020202</t>
  </si>
  <si>
    <t>粮食白酒（从量计算）</t>
  </si>
  <si>
    <t>101020203</t>
  </si>
  <si>
    <t>薯类白酒（从价计算）</t>
  </si>
  <si>
    <t>101020204</t>
  </si>
  <si>
    <t>薯类白酒（从量计算）</t>
  </si>
  <si>
    <t>101020205</t>
  </si>
  <si>
    <t>101020206</t>
  </si>
  <si>
    <t>啤酒（3000元/吨以上）</t>
  </si>
  <si>
    <t>101020207</t>
  </si>
  <si>
    <t>啤酒（3000元/吨以下）</t>
  </si>
  <si>
    <t>101020299</t>
  </si>
  <si>
    <t>101020300</t>
  </si>
  <si>
    <t>101020401</t>
  </si>
  <si>
    <t>金银首饰（铂金首饰、钻石及钻石饰品）</t>
  </si>
  <si>
    <t>101020499</t>
  </si>
  <si>
    <t>其他金银首饰及珠宝玉石</t>
  </si>
  <si>
    <t>101020500</t>
  </si>
  <si>
    <t>鞭炮、焰火</t>
  </si>
  <si>
    <t>101020603</t>
  </si>
  <si>
    <t>柴油</t>
  </si>
  <si>
    <t>101020604</t>
  </si>
  <si>
    <t>航空煤油</t>
  </si>
  <si>
    <t>101020605</t>
  </si>
  <si>
    <t>石脑油</t>
  </si>
  <si>
    <t>101020606</t>
  </si>
  <si>
    <t>溶剂油</t>
  </si>
  <si>
    <t>101020607</t>
  </si>
  <si>
    <t>润滑油</t>
  </si>
  <si>
    <t>101020608</t>
  </si>
  <si>
    <t>燃料油</t>
  </si>
  <si>
    <t>101020609</t>
  </si>
  <si>
    <t>汽油</t>
  </si>
  <si>
    <t>101020802</t>
  </si>
  <si>
    <t>250毫升（不含）以上摩托车</t>
  </si>
  <si>
    <t>101020803</t>
  </si>
  <si>
    <t>250毫升摩托车</t>
  </si>
  <si>
    <t>101020901</t>
  </si>
  <si>
    <t>1.0升（含）以下的乘用车</t>
  </si>
  <si>
    <t>101020902</t>
  </si>
  <si>
    <t>1.0升以上至1.5升(含)的乘用车</t>
  </si>
  <si>
    <t>101020903</t>
  </si>
  <si>
    <t>1.5升以上至2.0升(含)的乘用车</t>
  </si>
  <si>
    <t>101020904</t>
  </si>
  <si>
    <t>2.0升以上至2.5升(含)的乘用车</t>
  </si>
  <si>
    <t>101020905</t>
  </si>
  <si>
    <t>2.5升以上至3.0升(含)的乘用车</t>
  </si>
  <si>
    <t>101020906</t>
  </si>
  <si>
    <t>3.0升以上至4.0升(含)的乘用车</t>
  </si>
  <si>
    <t>101020907</t>
  </si>
  <si>
    <t>4.0升以上的乘用车</t>
  </si>
  <si>
    <t>101021000</t>
  </si>
  <si>
    <t>中轻型商用客车</t>
  </si>
  <si>
    <t>101021100</t>
  </si>
  <si>
    <t>高尔夫球及球具</t>
  </si>
  <si>
    <t>101021200</t>
  </si>
  <si>
    <t>高档手表</t>
  </si>
  <si>
    <t>101021300</t>
  </si>
  <si>
    <t>游艇</t>
  </si>
  <si>
    <t>101021400</t>
  </si>
  <si>
    <t>木制一次性筷子</t>
  </si>
  <si>
    <t>101021500</t>
  </si>
  <si>
    <t>实木地板</t>
  </si>
  <si>
    <t>101021601</t>
  </si>
  <si>
    <t>电池（不含铅蓄电池）</t>
  </si>
  <si>
    <t>101021699</t>
  </si>
  <si>
    <t>铅蓄电池</t>
  </si>
  <si>
    <t>101021700</t>
  </si>
  <si>
    <t>涂料</t>
  </si>
  <si>
    <t>101021800</t>
  </si>
  <si>
    <t>高档化妆品</t>
  </si>
  <si>
    <t>101021901</t>
  </si>
  <si>
    <t>超豪华乘用车</t>
  </si>
  <si>
    <t>101021902</t>
  </si>
  <si>
    <t>超豪华中轻型商用客车</t>
  </si>
  <si>
    <t>101029901</t>
  </si>
  <si>
    <t>101029902</t>
  </si>
  <si>
    <t>101030101</t>
  </si>
  <si>
    <t>陆路运输</t>
  </si>
  <si>
    <t>101030102</t>
  </si>
  <si>
    <t>水路运输</t>
  </si>
  <si>
    <t>101030103</t>
  </si>
  <si>
    <t>航空运</t>
  </si>
  <si>
    <t>101030104</t>
  </si>
  <si>
    <t>管道运输</t>
  </si>
  <si>
    <t>101030105</t>
  </si>
  <si>
    <t>101030201</t>
  </si>
  <si>
    <t>建筑</t>
  </si>
  <si>
    <t>101030202</t>
  </si>
  <si>
    <t>安装</t>
  </si>
  <si>
    <t>101030203</t>
  </si>
  <si>
    <t>修缮</t>
  </si>
  <si>
    <t>101030204</t>
  </si>
  <si>
    <t>装饰</t>
  </si>
  <si>
    <t>101030299</t>
  </si>
  <si>
    <t>其他工程作业</t>
  </si>
  <si>
    <t>101030301</t>
  </si>
  <si>
    <t>金融</t>
  </si>
  <si>
    <t>101030302</t>
  </si>
  <si>
    <t>保险</t>
  </si>
  <si>
    <t>101030303</t>
  </si>
  <si>
    <t>证券</t>
  </si>
  <si>
    <t>101030401</t>
  </si>
  <si>
    <t>邮政</t>
  </si>
  <si>
    <t>101030402</t>
  </si>
  <si>
    <t>电信</t>
  </si>
  <si>
    <t>101030501</t>
  </si>
  <si>
    <t>文化业</t>
  </si>
  <si>
    <t>101030502</t>
  </si>
  <si>
    <t>体育业</t>
  </si>
  <si>
    <t>101030601</t>
  </si>
  <si>
    <t>音乐茶座</t>
  </si>
  <si>
    <t>101030602</t>
  </si>
  <si>
    <t>台球</t>
  </si>
  <si>
    <t>101030603</t>
  </si>
  <si>
    <t>高尔夫球</t>
  </si>
  <si>
    <t>101030604</t>
  </si>
  <si>
    <t>保龄球</t>
  </si>
  <si>
    <t>101030605</t>
  </si>
  <si>
    <t>游艺厅</t>
  </si>
  <si>
    <t>101030606</t>
  </si>
  <si>
    <t>网吧</t>
  </si>
  <si>
    <t>101030607</t>
  </si>
  <si>
    <t>舞厅</t>
  </si>
  <si>
    <t>101030608</t>
  </si>
  <si>
    <t>歌厅</t>
  </si>
  <si>
    <t>101030609</t>
  </si>
  <si>
    <t>卡拉OK舞厅</t>
  </si>
  <si>
    <t>101030699</t>
  </si>
  <si>
    <t>101030701</t>
  </si>
  <si>
    <t>代理业</t>
  </si>
  <si>
    <t>101030702</t>
  </si>
  <si>
    <t>旅店业</t>
  </si>
  <si>
    <t>101030703</t>
  </si>
  <si>
    <t>饮食业</t>
  </si>
  <si>
    <t>101030704</t>
  </si>
  <si>
    <t>旅游业</t>
  </si>
  <si>
    <t>101030705</t>
  </si>
  <si>
    <t>仓储业</t>
  </si>
  <si>
    <t>101030706</t>
  </si>
  <si>
    <t>租赁业</t>
  </si>
  <si>
    <t>101030707</t>
  </si>
  <si>
    <t>房屋租赁</t>
  </si>
  <si>
    <t>101030708</t>
  </si>
  <si>
    <t>101030799</t>
  </si>
  <si>
    <t>其他服务业</t>
  </si>
  <si>
    <t>101030801</t>
  </si>
  <si>
    <t>转让土地使用权</t>
  </si>
  <si>
    <t>101030802</t>
  </si>
  <si>
    <t>转让商标权</t>
  </si>
  <si>
    <t>101030803</t>
  </si>
  <si>
    <t>转让专利权</t>
  </si>
  <si>
    <t>101030804</t>
  </si>
  <si>
    <t>转让非专利权</t>
  </si>
  <si>
    <t>101030805</t>
  </si>
  <si>
    <t>转让著作权</t>
  </si>
  <si>
    <t>101030806</t>
  </si>
  <si>
    <t>转让商誉</t>
  </si>
  <si>
    <t>101030807</t>
  </si>
  <si>
    <t>转让动漫版权</t>
  </si>
  <si>
    <t>101030808</t>
  </si>
  <si>
    <t>转让自然资源使用权</t>
  </si>
  <si>
    <t>101030899</t>
  </si>
  <si>
    <t>其他转让无形资产</t>
  </si>
  <si>
    <t>101030901</t>
  </si>
  <si>
    <t>销售建筑物或构筑物</t>
  </si>
  <si>
    <t>101030902</t>
  </si>
  <si>
    <t>销售其他土地附着物</t>
  </si>
  <si>
    <t>101030999</t>
  </si>
  <si>
    <t>其他销售不动产</t>
  </si>
  <si>
    <t>101039901</t>
  </si>
  <si>
    <t>101039902</t>
  </si>
  <si>
    <t>101040001</t>
  </si>
  <si>
    <t>应纳税所得额</t>
  </si>
  <si>
    <t>101049901</t>
  </si>
  <si>
    <t>101049902</t>
  </si>
  <si>
    <t>101049903</t>
  </si>
  <si>
    <t>101050000</t>
  </si>
  <si>
    <t>工资薪金所得</t>
  </si>
  <si>
    <t>101060200</t>
  </si>
  <si>
    <t>个体户生产经营所得</t>
  </si>
  <si>
    <t>101060300</t>
  </si>
  <si>
    <t>企事业承包承租经营所得</t>
  </si>
  <si>
    <t>101060400</t>
  </si>
  <si>
    <t>劳务报酬所得</t>
  </si>
  <si>
    <t>101060500</t>
  </si>
  <si>
    <t>稿酬所得</t>
  </si>
  <si>
    <t>101060600</t>
  </si>
  <si>
    <t>101060701</t>
  </si>
  <si>
    <t>储蓄存款利息所得</t>
  </si>
  <si>
    <t>101060799</t>
  </si>
  <si>
    <t>其他利息、股息、红利所得</t>
  </si>
  <si>
    <t>101060801</t>
  </si>
  <si>
    <t>个人房屋出租</t>
  </si>
  <si>
    <t>101060899</t>
  </si>
  <si>
    <t>其他财产租赁所得</t>
  </si>
  <si>
    <t>101060901</t>
  </si>
  <si>
    <t>限售股转让所得</t>
  </si>
  <si>
    <t>101060902</t>
  </si>
  <si>
    <t>房屋转让所得</t>
  </si>
  <si>
    <t>101060903</t>
  </si>
  <si>
    <t>财产拍卖所得及回流文物拍卖所得</t>
  </si>
  <si>
    <t>101060999</t>
  </si>
  <si>
    <t>其他转让所得</t>
  </si>
  <si>
    <t>101061000</t>
  </si>
  <si>
    <t>偶然所得</t>
  </si>
  <si>
    <t>101061100</t>
  </si>
  <si>
    <t>101069901</t>
  </si>
  <si>
    <t>101069902</t>
  </si>
  <si>
    <t>101070100</t>
  </si>
  <si>
    <t>101070200</t>
  </si>
  <si>
    <t>101070303</t>
  </si>
  <si>
    <t>101070304</t>
  </si>
  <si>
    <t>洗选煤</t>
  </si>
  <si>
    <t>101070401</t>
  </si>
  <si>
    <t>玉石</t>
  </si>
  <si>
    <t>101070402</t>
  </si>
  <si>
    <t>硅藻土</t>
  </si>
  <si>
    <t>101070403</t>
  </si>
  <si>
    <t>高铝粘土</t>
  </si>
  <si>
    <t>101070404</t>
  </si>
  <si>
    <t>焦宝石</t>
  </si>
  <si>
    <t>101070405</t>
  </si>
  <si>
    <t>萤石</t>
  </si>
  <si>
    <t>101070406</t>
  </si>
  <si>
    <t>磷矿石</t>
  </si>
  <si>
    <t>101070407</t>
  </si>
  <si>
    <t>膨润土</t>
  </si>
  <si>
    <t>101070408</t>
  </si>
  <si>
    <t>沸石</t>
  </si>
  <si>
    <t>101070409</t>
  </si>
  <si>
    <t>珍珠岩</t>
  </si>
  <si>
    <t>101070410</t>
  </si>
  <si>
    <t>宝石</t>
  </si>
  <si>
    <t>101070411</t>
  </si>
  <si>
    <t>宝石级金刚石</t>
  </si>
  <si>
    <t>101070412</t>
  </si>
  <si>
    <t>耐火粘土</t>
  </si>
  <si>
    <t>101070413</t>
  </si>
  <si>
    <t>石墨</t>
  </si>
  <si>
    <t>101070414</t>
  </si>
  <si>
    <t>石英砂</t>
  </si>
  <si>
    <t>101070415</t>
  </si>
  <si>
    <t>重晶石</t>
  </si>
  <si>
    <t>101070416</t>
  </si>
  <si>
    <t>毒重石</t>
  </si>
  <si>
    <t>101070417</t>
  </si>
  <si>
    <t>蛭石</t>
  </si>
  <si>
    <t>101070418</t>
  </si>
  <si>
    <t>长石</t>
  </si>
  <si>
    <t>101070419</t>
  </si>
  <si>
    <t>滑石</t>
  </si>
  <si>
    <t>101070420</t>
  </si>
  <si>
    <t>白云石</t>
  </si>
  <si>
    <t>101070421</t>
  </si>
  <si>
    <t>硅灰石</t>
  </si>
  <si>
    <t>101070422</t>
  </si>
  <si>
    <t>凹凸棒石粘土</t>
  </si>
  <si>
    <t>101070423</t>
  </si>
  <si>
    <t>高岭土（瓷土）</t>
  </si>
  <si>
    <t>101070424</t>
  </si>
  <si>
    <t>云母</t>
  </si>
  <si>
    <t>101070425</t>
  </si>
  <si>
    <t>菱镁矿</t>
  </si>
  <si>
    <t>101070426</t>
  </si>
  <si>
    <t>天然碱</t>
  </si>
  <si>
    <t>101070427</t>
  </si>
  <si>
    <t>石膏</t>
  </si>
  <si>
    <t>101070428</t>
  </si>
  <si>
    <t>硅线石</t>
  </si>
  <si>
    <t>101070429</t>
  </si>
  <si>
    <t>工业用金刚石</t>
  </si>
  <si>
    <t>101070430</t>
  </si>
  <si>
    <t>一等石棉</t>
  </si>
  <si>
    <t>101070431</t>
  </si>
  <si>
    <t>二等石棉</t>
  </si>
  <si>
    <t>101070432</t>
  </si>
  <si>
    <t>三等石棉</t>
  </si>
  <si>
    <t>101070433</t>
  </si>
  <si>
    <t>四等石棉</t>
  </si>
  <si>
    <t>101070434</t>
  </si>
  <si>
    <t>五等石棉</t>
  </si>
  <si>
    <t>101070435</t>
  </si>
  <si>
    <t>六等石棉</t>
  </si>
  <si>
    <t>101070436</t>
  </si>
  <si>
    <t>硫铁矿</t>
  </si>
  <si>
    <t>101070437</t>
  </si>
  <si>
    <t>自然硫</t>
  </si>
  <si>
    <t>101070438</t>
  </si>
  <si>
    <t>磷铁矿</t>
  </si>
  <si>
    <t>101070439</t>
  </si>
  <si>
    <t>石灰石</t>
  </si>
  <si>
    <t>101070440</t>
  </si>
  <si>
    <t>矿泉水、地下水</t>
  </si>
  <si>
    <t>101070499</t>
  </si>
  <si>
    <t>其他未列名非金属矿原矿</t>
  </si>
  <si>
    <t>101070501</t>
  </si>
  <si>
    <t>一等铁矿石（重点矿山入选露天矿）</t>
  </si>
  <si>
    <t>101070502</t>
  </si>
  <si>
    <t>二等铁矿石（重点矿山入选露天矿）</t>
  </si>
  <si>
    <t>101070503</t>
  </si>
  <si>
    <t>三等铁矿石（重点矿山入选露天矿）</t>
  </si>
  <si>
    <t>101070504</t>
  </si>
  <si>
    <t>四等铁矿石（重点矿山入选露天矿）</t>
  </si>
  <si>
    <t>101070505</t>
  </si>
  <si>
    <t>五等铁矿石（重点矿山入选露天矿）</t>
  </si>
  <si>
    <t>101070506</t>
  </si>
  <si>
    <t>六等铁矿石（重点矿山入选露天矿）</t>
  </si>
  <si>
    <t>101070507</t>
  </si>
  <si>
    <t>二等铁矿石（重点矿山入选地下矿）</t>
  </si>
  <si>
    <t>101070508</t>
  </si>
  <si>
    <t>三等铁矿石（重点矿山入选地下矿）</t>
  </si>
  <si>
    <t>101070509</t>
  </si>
  <si>
    <t>四等铁矿石（重点矿山入选地下矿）</t>
  </si>
  <si>
    <t>101070510</t>
  </si>
  <si>
    <t>五等铁矿石（重点矿山入选地下矿）</t>
  </si>
  <si>
    <t>101070511</t>
  </si>
  <si>
    <t>六等铁矿石（重点矿山入选地下矿）</t>
  </si>
  <si>
    <t>101070512</t>
  </si>
  <si>
    <t>一等铁矿石（重点矿山入炉露天矿）</t>
  </si>
  <si>
    <t>101070513</t>
  </si>
  <si>
    <t>二等铁矿石（重点矿山入炉露天矿）</t>
  </si>
  <si>
    <t>101070514</t>
  </si>
  <si>
    <t>三等铁矿石（重点矿山入炉天矿）</t>
  </si>
  <si>
    <t>101070515</t>
  </si>
  <si>
    <t>四等铁矿石（重点矿山入炉露天矿）</t>
  </si>
  <si>
    <t>101070516</t>
  </si>
  <si>
    <t>二等铁矿石（重点矿山入炉地下矿）</t>
  </si>
  <si>
    <t>101070517</t>
  </si>
  <si>
    <t>三等铁矿石（重点矿山入炉地下矿）</t>
  </si>
  <si>
    <t>101070518</t>
  </si>
  <si>
    <t>四等铁矿石（重点矿山入炉地下矿）</t>
  </si>
  <si>
    <t>101070519</t>
  </si>
  <si>
    <t>二等铁矿石（非重点矿山入选露天矿）</t>
  </si>
  <si>
    <t>101070520</t>
  </si>
  <si>
    <t>四等铁矿石（非重点矿山入选露天矿）</t>
  </si>
  <si>
    <t>101070521</t>
  </si>
  <si>
    <t>五等铁矿石（非重点矿山入选露天矿）</t>
  </si>
  <si>
    <t>101070522</t>
  </si>
  <si>
    <t>六等铁矿石（非重点矿山入选露天矿）</t>
  </si>
  <si>
    <t>101070523</t>
  </si>
  <si>
    <t>三等铁矿石（非重点矿山入选地下矿）</t>
  </si>
  <si>
    <t>101070524</t>
  </si>
  <si>
    <t>四等铁矿石（非重点矿山入选地下矿）</t>
  </si>
  <si>
    <t>101070525</t>
  </si>
  <si>
    <t>五等铁矿石（非重点矿山入选地下矿）</t>
  </si>
  <si>
    <t>101070526</t>
  </si>
  <si>
    <t>六等铁矿石（非重点矿山入选地下矿）</t>
  </si>
  <si>
    <t>101070527</t>
  </si>
  <si>
    <t>二等铁矿石（非重点矿山入炉露天矿）</t>
  </si>
  <si>
    <t>101070528</t>
  </si>
  <si>
    <t>三等铁矿石（非重点矿山入炉露天矿）</t>
  </si>
  <si>
    <t>101070529</t>
  </si>
  <si>
    <t>四等铁矿石（非重点矿山入炉露天矿）</t>
  </si>
  <si>
    <t>101070530</t>
  </si>
  <si>
    <t>三等铁矿石（非重点矿山入炉地下矿）</t>
  </si>
  <si>
    <t>101070531</t>
  </si>
  <si>
    <t>四等铁矿石（非重点矿山入炉地下矿）</t>
  </si>
  <si>
    <t>101070532</t>
  </si>
  <si>
    <t>锰矿石</t>
  </si>
  <si>
    <t>101070533</t>
  </si>
  <si>
    <t>铬矿石</t>
  </si>
  <si>
    <t>101070601</t>
  </si>
  <si>
    <t>轻稀土矿</t>
  </si>
  <si>
    <t>101070602</t>
  </si>
  <si>
    <t>中重稀土矿</t>
  </si>
  <si>
    <t>101070603</t>
  </si>
  <si>
    <t>一等铜矿石</t>
  </si>
  <si>
    <t>101070604</t>
  </si>
  <si>
    <t>二等铜矿石</t>
  </si>
  <si>
    <t>101070605</t>
  </si>
  <si>
    <t>三等铜矿石</t>
  </si>
  <si>
    <t>101070606</t>
  </si>
  <si>
    <t>四等铜矿石</t>
  </si>
  <si>
    <t>101070607</t>
  </si>
  <si>
    <t>五等铜矿石</t>
  </si>
  <si>
    <t>101070608</t>
  </si>
  <si>
    <t>一等铅锌矿石</t>
  </si>
  <si>
    <t>101070609</t>
  </si>
  <si>
    <t>二等铅锌矿石</t>
  </si>
  <si>
    <t>101070610</t>
  </si>
  <si>
    <t>三等铅锌矿石</t>
  </si>
  <si>
    <t>101070611</t>
  </si>
  <si>
    <t>四等铅锌矿石</t>
  </si>
  <si>
    <t>101070612</t>
  </si>
  <si>
    <t>五等铅锌矿石</t>
  </si>
  <si>
    <t>101070613</t>
  </si>
  <si>
    <t>三等铝土矿</t>
  </si>
  <si>
    <t>101070614</t>
  </si>
  <si>
    <t>三等钨矿石</t>
  </si>
  <si>
    <t>101070615</t>
  </si>
  <si>
    <t>四等钨矿石</t>
  </si>
  <si>
    <t>101070616</t>
  </si>
  <si>
    <t>五等钨矿石</t>
  </si>
  <si>
    <t>101070617</t>
  </si>
  <si>
    <t>一等锡矿石</t>
  </si>
  <si>
    <t>101070618</t>
  </si>
  <si>
    <t>二等锡矿石</t>
  </si>
  <si>
    <t>101070619</t>
  </si>
  <si>
    <t>三等锡矿石</t>
  </si>
  <si>
    <t>101070620</t>
  </si>
  <si>
    <t>四等锡矿石</t>
  </si>
  <si>
    <t>101070621</t>
  </si>
  <si>
    <t>五等锡矿石</t>
  </si>
  <si>
    <t>101070622</t>
  </si>
  <si>
    <t>一等锑矿石</t>
  </si>
  <si>
    <t>101070623</t>
  </si>
  <si>
    <t>二等锑矿石</t>
  </si>
  <si>
    <t>101070624</t>
  </si>
  <si>
    <t>三等锑矿石</t>
  </si>
  <si>
    <t>101070625</t>
  </si>
  <si>
    <t>四等锑矿石</t>
  </si>
  <si>
    <t>101070626</t>
  </si>
  <si>
    <t>五等锑矿石</t>
  </si>
  <si>
    <t>101070627</t>
  </si>
  <si>
    <t>一等钼矿石</t>
  </si>
  <si>
    <t>101070628</t>
  </si>
  <si>
    <t>二等钼矿石</t>
  </si>
  <si>
    <t>101070629</t>
  </si>
  <si>
    <t>三等钼矿石</t>
  </si>
  <si>
    <t>101070630</t>
  </si>
  <si>
    <t>四等钼矿石</t>
  </si>
  <si>
    <t>101070631</t>
  </si>
  <si>
    <t>五等钼矿石</t>
  </si>
  <si>
    <t>101070632</t>
  </si>
  <si>
    <t>二等镍矿石</t>
  </si>
  <si>
    <t>101070633</t>
  </si>
  <si>
    <t>三等镍矿石</t>
  </si>
  <si>
    <t>101070634</t>
  </si>
  <si>
    <t>四等镍矿石</t>
  </si>
  <si>
    <t>101070635</t>
  </si>
  <si>
    <t>五等镍矿石</t>
  </si>
  <si>
    <t>101070636</t>
  </si>
  <si>
    <t>一等岩金矿石</t>
  </si>
  <si>
    <t>101070637</t>
  </si>
  <si>
    <t>二等岩金矿</t>
  </si>
  <si>
    <t>101070638</t>
  </si>
  <si>
    <t>三等岩金矿石</t>
  </si>
  <si>
    <t>101070639</t>
  </si>
  <si>
    <t>四等岩金矿石</t>
  </si>
  <si>
    <t>101070640</t>
  </si>
  <si>
    <t>五等岩金矿石</t>
  </si>
  <si>
    <t>101070641</t>
  </si>
  <si>
    <t>六等岩金矿石</t>
  </si>
  <si>
    <t>101070642</t>
  </si>
  <si>
    <t>七等岩金矿石</t>
  </si>
  <si>
    <t>101070643</t>
  </si>
  <si>
    <t>一等砂金矿</t>
  </si>
  <si>
    <t>101070644</t>
  </si>
  <si>
    <t>二等砂金矿</t>
  </si>
  <si>
    <t>101070645</t>
  </si>
  <si>
    <t>三等砂金矿</t>
  </si>
  <si>
    <t>101070646</t>
  </si>
  <si>
    <t>四等砂金矿</t>
  </si>
  <si>
    <t>101070647</t>
  </si>
  <si>
    <t>五等砂金矿</t>
  </si>
  <si>
    <t>101070648</t>
  </si>
  <si>
    <t>钒矿石</t>
  </si>
  <si>
    <t>101070649</t>
  </si>
  <si>
    <t>钨矿</t>
  </si>
  <si>
    <t>101070650</t>
  </si>
  <si>
    <t>钼矿</t>
  </si>
  <si>
    <t>101070699</t>
  </si>
  <si>
    <t>其他未列名有色金属矿原矿</t>
  </si>
  <si>
    <t>101070701</t>
  </si>
  <si>
    <t>北方海盐</t>
  </si>
  <si>
    <t>101070702</t>
  </si>
  <si>
    <t>南方海盐</t>
  </si>
  <si>
    <t>101070703</t>
  </si>
  <si>
    <t>井矿盐</t>
  </si>
  <si>
    <t>101070704</t>
  </si>
  <si>
    <t>湖盐</t>
  </si>
  <si>
    <t>101070705</t>
  </si>
  <si>
    <t>液体盐</t>
  </si>
  <si>
    <t>101071101</t>
  </si>
  <si>
    <t>煤炭</t>
  </si>
  <si>
    <t>101071102</t>
  </si>
  <si>
    <t>101071103</t>
  </si>
  <si>
    <t>101071104</t>
  </si>
  <si>
    <t>煤层（成）气</t>
  </si>
  <si>
    <t>101071201</t>
  </si>
  <si>
    <t>地热</t>
  </si>
  <si>
    <t>101071202</t>
  </si>
  <si>
    <t>铀矿</t>
  </si>
  <si>
    <t>101071203</t>
  </si>
  <si>
    <t>油页岩</t>
  </si>
  <si>
    <t>101071204</t>
  </si>
  <si>
    <t>石煤</t>
  </si>
  <si>
    <t>101071299</t>
  </si>
  <si>
    <t>其他未列名能源矿</t>
  </si>
  <si>
    <t>101072101</t>
  </si>
  <si>
    <t>铁矿</t>
  </si>
  <si>
    <t>101072102</t>
  </si>
  <si>
    <t>金矿</t>
  </si>
  <si>
    <t>101072103</t>
  </si>
  <si>
    <t>铜矿</t>
  </si>
  <si>
    <t>101072104</t>
  </si>
  <si>
    <t>铝土矿</t>
  </si>
  <si>
    <t>101072105</t>
  </si>
  <si>
    <t>铅锌矿</t>
  </si>
  <si>
    <t>101072106</t>
  </si>
  <si>
    <t>镍矿</t>
  </si>
  <si>
    <t>101072107</t>
  </si>
  <si>
    <t>锡矿</t>
  </si>
  <si>
    <t>101072108</t>
  </si>
  <si>
    <t>101072109</t>
  </si>
  <si>
    <t>101072110</t>
  </si>
  <si>
    <t>101072111</t>
  </si>
  <si>
    <t>101072201</t>
  </si>
  <si>
    <t>锰矿</t>
  </si>
  <si>
    <t>101072202</t>
  </si>
  <si>
    <t>银矿</t>
  </si>
  <si>
    <t>101072203</t>
  </si>
  <si>
    <t>锑矿</t>
  </si>
  <si>
    <t>101072204</t>
  </si>
  <si>
    <t>汞锑矿</t>
  </si>
  <si>
    <t>101072205</t>
  </si>
  <si>
    <t>铬矿</t>
  </si>
  <si>
    <t>101072206</t>
  </si>
  <si>
    <t>锂矿</t>
  </si>
  <si>
    <t>101072207</t>
  </si>
  <si>
    <t>钒矿</t>
  </si>
  <si>
    <t>101072208</t>
  </si>
  <si>
    <t>锶矿</t>
  </si>
  <si>
    <t>101072209</t>
  </si>
  <si>
    <t>钛矿</t>
  </si>
  <si>
    <t>101072210</t>
  </si>
  <si>
    <t>铂矿</t>
  </si>
  <si>
    <t>101072211</t>
  </si>
  <si>
    <t>钛锆矿</t>
  </si>
  <si>
    <t>101072212</t>
  </si>
  <si>
    <t>钽铌矿</t>
  </si>
  <si>
    <t>101072213</t>
  </si>
  <si>
    <t>锗矿</t>
  </si>
  <si>
    <t>101072214</t>
  </si>
  <si>
    <t>铍矿</t>
  </si>
  <si>
    <t>101072215</t>
  </si>
  <si>
    <t>铁铜矿</t>
  </si>
  <si>
    <t>101072299</t>
  </si>
  <si>
    <t>其他未列名金属矿</t>
  </si>
  <si>
    <t>101073101</t>
  </si>
  <si>
    <t>101073102</t>
  </si>
  <si>
    <t>101073103</t>
  </si>
  <si>
    <t>高岭土</t>
  </si>
  <si>
    <t>101073104</t>
  </si>
  <si>
    <t>101073105</t>
  </si>
  <si>
    <t>101073106</t>
  </si>
  <si>
    <t>101073107</t>
  </si>
  <si>
    <t>磷矿</t>
  </si>
  <si>
    <t>101073108</t>
  </si>
  <si>
    <t>氯化钾</t>
  </si>
  <si>
    <t>101073109</t>
  </si>
  <si>
    <t>硫酸钾</t>
  </si>
  <si>
    <t>101073110</t>
  </si>
  <si>
    <t>粘土</t>
  </si>
  <si>
    <t>101073111</t>
  </si>
  <si>
    <t>砂石</t>
  </si>
  <si>
    <t>101073112</t>
  </si>
  <si>
    <t>101073113</t>
  </si>
  <si>
    <t>101073114</t>
  </si>
  <si>
    <t>海盐</t>
  </si>
  <si>
    <t>101073115</t>
  </si>
  <si>
    <t>提取地下卤水晒制的盐</t>
  </si>
  <si>
    <t>101073201</t>
  </si>
  <si>
    <t>矿泉水</t>
  </si>
  <si>
    <t>101073202</t>
  </si>
  <si>
    <t>理岩</t>
  </si>
  <si>
    <t>101073203</t>
  </si>
  <si>
    <t>花岗岩</t>
  </si>
  <si>
    <t>101073204</t>
  </si>
  <si>
    <t>101073205</t>
  </si>
  <si>
    <t>石英岩</t>
  </si>
  <si>
    <t>101073206</t>
  </si>
  <si>
    <t>白云岩</t>
  </si>
  <si>
    <t>101073207</t>
  </si>
  <si>
    <t>101073208</t>
  </si>
  <si>
    <t>101073209</t>
  </si>
  <si>
    <t>101073210</t>
  </si>
  <si>
    <t>101073211</t>
  </si>
  <si>
    <t>玄武岩</t>
  </si>
  <si>
    <t>101073212</t>
  </si>
  <si>
    <t>101073213</t>
  </si>
  <si>
    <t>101073214</t>
  </si>
  <si>
    <t>101073215</t>
  </si>
  <si>
    <t>101073216</t>
  </si>
  <si>
    <t>页岩</t>
  </si>
  <si>
    <t>101073217</t>
  </si>
  <si>
    <t>方解石</t>
  </si>
  <si>
    <t>101073218</t>
  </si>
  <si>
    <t>101073219</t>
  </si>
  <si>
    <t>天然卤水</t>
  </si>
  <si>
    <t>101073220</t>
  </si>
  <si>
    <t>101073221</t>
  </si>
  <si>
    <t>辉绿岩</t>
  </si>
  <si>
    <t>101073222</t>
  </si>
  <si>
    <t>芒硝</t>
  </si>
  <si>
    <t>101073223</t>
  </si>
  <si>
    <t>101073224</t>
  </si>
  <si>
    <t>101073225</t>
  </si>
  <si>
    <t>陶瓷土</t>
  </si>
  <si>
    <t>101073226</t>
  </si>
  <si>
    <t>石棉</t>
  </si>
  <si>
    <t>101073227</t>
  </si>
  <si>
    <t>安山岩</t>
  </si>
  <si>
    <t>101073228</t>
  </si>
  <si>
    <t>101073229</t>
  </si>
  <si>
    <t>矽线石</t>
  </si>
  <si>
    <t>101073230</t>
  </si>
  <si>
    <t>凝灰岩</t>
  </si>
  <si>
    <t>101073231</t>
  </si>
  <si>
    <t>砂岩</t>
  </si>
  <si>
    <t>101073232</t>
  </si>
  <si>
    <t>叶腊石</t>
  </si>
  <si>
    <t>101073233</t>
  </si>
  <si>
    <t>板岩</t>
  </si>
  <si>
    <t>101073234</t>
  </si>
  <si>
    <t>101073235</t>
  </si>
  <si>
    <t>101073236</t>
  </si>
  <si>
    <t>角闪岩</t>
  </si>
  <si>
    <t>101073237</t>
  </si>
  <si>
    <t>脉石英</t>
  </si>
  <si>
    <t>101073238</t>
  </si>
  <si>
    <t>蛇纹岩</t>
  </si>
  <si>
    <t>101073239</t>
  </si>
  <si>
    <t>101073240</t>
  </si>
  <si>
    <t>透辉石</t>
  </si>
  <si>
    <t>101073241</t>
  </si>
  <si>
    <t>101073242</t>
  </si>
  <si>
    <t>硼矿</t>
  </si>
  <si>
    <t>101073243</t>
  </si>
  <si>
    <t>101073244</t>
  </si>
  <si>
    <t>浮石</t>
  </si>
  <si>
    <t>101073245</t>
  </si>
  <si>
    <t>片麻岩</t>
  </si>
  <si>
    <t>101073246</t>
  </si>
  <si>
    <t>101073247</t>
  </si>
  <si>
    <t>麦饭石</t>
  </si>
  <si>
    <t>101073248</t>
  </si>
  <si>
    <t>泥炭</t>
  </si>
  <si>
    <t>101073249</t>
  </si>
  <si>
    <t>闪长岩</t>
  </si>
  <si>
    <t>101073250</t>
  </si>
  <si>
    <t>明矾石</t>
  </si>
  <si>
    <t>101073251</t>
  </si>
  <si>
    <t>石英砂岩</t>
  </si>
  <si>
    <t>101073252</t>
  </si>
  <si>
    <t>橄榄岩</t>
  </si>
  <si>
    <t>101073253</t>
  </si>
  <si>
    <t>红柱石</t>
  </si>
  <si>
    <t>101073254</t>
  </si>
  <si>
    <t>蓝晶石</t>
  </si>
  <si>
    <t>101073255</t>
  </si>
  <si>
    <t>冰洲石</t>
  </si>
  <si>
    <t>101073256</t>
  </si>
  <si>
    <t>二氧化碳</t>
  </si>
  <si>
    <t>101073257</t>
  </si>
  <si>
    <t>海泡石</t>
  </si>
  <si>
    <t>101073258</t>
  </si>
  <si>
    <t>黑矅岩</t>
  </si>
  <si>
    <t>101073259</t>
  </si>
  <si>
    <t>红粒石</t>
  </si>
  <si>
    <t>101073260</t>
  </si>
  <si>
    <t>灰岩</t>
  </si>
  <si>
    <t>101073261</t>
  </si>
  <si>
    <t>辉长岩</t>
  </si>
  <si>
    <t>101073262</t>
  </si>
  <si>
    <t>火山灰</t>
  </si>
  <si>
    <t>101073263</t>
  </si>
  <si>
    <t>金刚石</t>
  </si>
  <si>
    <t>101073264</t>
  </si>
  <si>
    <t>绿泥石</t>
  </si>
  <si>
    <t>101073265</t>
  </si>
  <si>
    <t>玛瑙</t>
  </si>
  <si>
    <t>101073266</t>
  </si>
  <si>
    <t>矸石</t>
  </si>
  <si>
    <t>101073267</t>
  </si>
  <si>
    <t>木纹石</t>
  </si>
  <si>
    <t>101073268</t>
  </si>
  <si>
    <t>钠硝石</t>
  </si>
  <si>
    <t>101073269</t>
  </si>
  <si>
    <t>片岩</t>
  </si>
  <si>
    <t>101073270</t>
  </si>
  <si>
    <t>佘太玉</t>
  </si>
  <si>
    <t>101073271</t>
  </si>
  <si>
    <t>砷矿</t>
  </si>
  <si>
    <t>101073272</t>
  </si>
  <si>
    <t>石榴子石</t>
  </si>
  <si>
    <t>101073273</t>
  </si>
  <si>
    <t>水晶</t>
  </si>
  <si>
    <t>101073274</t>
  </si>
  <si>
    <t>天然沥青矿</t>
  </si>
  <si>
    <t>101073275</t>
  </si>
  <si>
    <t>霞石正长岩</t>
  </si>
  <si>
    <t>101073276</t>
  </si>
  <si>
    <t>皂石</t>
  </si>
  <si>
    <t>101073277</t>
  </si>
  <si>
    <t>黑滑石</t>
  </si>
  <si>
    <t>101073278</t>
  </si>
  <si>
    <t>贺兰石</t>
  </si>
  <si>
    <t>101073279</t>
  </si>
  <si>
    <t>绿松石</t>
  </si>
  <si>
    <t>101073280</t>
  </si>
  <si>
    <t>叶蜡石</t>
  </si>
  <si>
    <t>101073281</t>
  </si>
  <si>
    <t>巴林石</t>
  </si>
  <si>
    <t>101073282</t>
  </si>
  <si>
    <t>火山石</t>
  </si>
  <si>
    <t>101073283</t>
  </si>
  <si>
    <t>黄龙玉</t>
  </si>
  <si>
    <t>101073284</t>
  </si>
  <si>
    <t>水镁</t>
  </si>
  <si>
    <t>101073285</t>
  </si>
  <si>
    <t>天然泉水</t>
  </si>
  <si>
    <t>101073299</t>
  </si>
  <si>
    <t>其他未列名非金属矿</t>
  </si>
  <si>
    <t>101079601</t>
  </si>
  <si>
    <t>停征品目1</t>
  </si>
  <si>
    <t>101079602</t>
  </si>
  <si>
    <t>停征品目2</t>
  </si>
  <si>
    <t>101079603</t>
  </si>
  <si>
    <t>停征品目3</t>
  </si>
  <si>
    <t>101079800</t>
  </si>
  <si>
    <t>101079901</t>
  </si>
  <si>
    <t>101079902</t>
  </si>
  <si>
    <t>101089901</t>
  </si>
  <si>
    <t>101089902</t>
  </si>
  <si>
    <t>101089903</t>
  </si>
  <si>
    <t>固定资产投资方向调节税停征品目</t>
  </si>
  <si>
    <t>市区（增值税附征）</t>
  </si>
  <si>
    <t>101090102</t>
  </si>
  <si>
    <t>市区（营业税附征）</t>
  </si>
  <si>
    <t>101090103</t>
  </si>
  <si>
    <t>市区（消费税附征）</t>
  </si>
  <si>
    <t>101090201</t>
  </si>
  <si>
    <t>县城、镇（增值税附征）</t>
  </si>
  <si>
    <t>101090202</t>
  </si>
  <si>
    <t>县城、镇（营业税附征）</t>
  </si>
  <si>
    <t>101090203</t>
  </si>
  <si>
    <t>县城、镇（消费税附征）</t>
  </si>
  <si>
    <t>101090301</t>
  </si>
  <si>
    <t>非市区、县城、镇（增值税附征）</t>
  </si>
  <si>
    <t>101090302</t>
  </si>
  <si>
    <t>非市区、县城、镇（营业税附征）</t>
  </si>
  <si>
    <t>101090303</t>
  </si>
  <si>
    <t>非市区、县城、镇（消费税附征）</t>
  </si>
  <si>
    <t>101099901</t>
  </si>
  <si>
    <t>101099902</t>
  </si>
  <si>
    <t>101100700</t>
  </si>
  <si>
    <t>从价计征</t>
  </si>
  <si>
    <t>101100800</t>
  </si>
  <si>
    <t>从租计征</t>
  </si>
  <si>
    <t>101100900</t>
  </si>
  <si>
    <t>个人出租住房</t>
  </si>
  <si>
    <t>101109901</t>
  </si>
  <si>
    <t>101109902</t>
  </si>
  <si>
    <t>购销合同</t>
  </si>
  <si>
    <t>101110102</t>
  </si>
  <si>
    <t>加工承揽合同</t>
  </si>
  <si>
    <t>101110103</t>
  </si>
  <si>
    <t>建设工程勘察设计合同</t>
  </si>
  <si>
    <t>101110104</t>
  </si>
  <si>
    <t>建筑安装工程承包合同</t>
  </si>
  <si>
    <t>101110105</t>
  </si>
  <si>
    <t>财产租赁合同</t>
  </si>
  <si>
    <t>101110106</t>
  </si>
  <si>
    <t>货物运输合同(按运输费用万分之五贴花)</t>
  </si>
  <si>
    <t>101110107</t>
  </si>
  <si>
    <t>仓储保管合同</t>
  </si>
  <si>
    <t>101110108</t>
  </si>
  <si>
    <t>借款合同</t>
  </si>
  <si>
    <t>101110109</t>
  </si>
  <si>
    <t>财产保险合同</t>
  </si>
  <si>
    <t>101110110</t>
  </si>
  <si>
    <t>技术合同</t>
  </si>
  <si>
    <t>101110200</t>
  </si>
  <si>
    <t>产权转移书据</t>
  </si>
  <si>
    <t>101110301</t>
  </si>
  <si>
    <t>A种股票</t>
  </si>
  <si>
    <t>101110302</t>
  </si>
  <si>
    <t>B种股票</t>
  </si>
  <si>
    <t>101110303</t>
  </si>
  <si>
    <t>非交易转让股票A种股票</t>
  </si>
  <si>
    <t>101110304</t>
  </si>
  <si>
    <t>非交易转让股票B种股票</t>
  </si>
  <si>
    <t>101110305</t>
  </si>
  <si>
    <t>无偿划拨国有股权的股数</t>
  </si>
  <si>
    <t>101110306</t>
  </si>
  <si>
    <t>社保基金证券交易A种股票印花税</t>
  </si>
  <si>
    <t>101110307</t>
  </si>
  <si>
    <t>社保基金证券交易B种股票印花税</t>
  </si>
  <si>
    <t>101110400</t>
  </si>
  <si>
    <t>权利、许可证照</t>
  </si>
  <si>
    <t>101110501</t>
  </si>
  <si>
    <t>资金账簿</t>
  </si>
  <si>
    <t>101110599</t>
  </si>
  <si>
    <t>其他营业账簿</t>
  </si>
  <si>
    <t>101119800</t>
  </si>
  <si>
    <t>其他凭证</t>
  </si>
  <si>
    <t>101119901</t>
  </si>
  <si>
    <t>101119902</t>
  </si>
  <si>
    <t>101119903</t>
  </si>
  <si>
    <t>101120101</t>
  </si>
  <si>
    <t>城市土地使用税等级1</t>
  </si>
  <si>
    <t>101120102</t>
  </si>
  <si>
    <t>城市土地使用税等级2</t>
  </si>
  <si>
    <t>101120103</t>
  </si>
  <si>
    <t>城市土地使用税等级3</t>
  </si>
  <si>
    <t>101120104</t>
  </si>
  <si>
    <t>城市土地使用税等级4</t>
  </si>
  <si>
    <t>101120105</t>
  </si>
  <si>
    <t>城市土地使用税等级5</t>
  </si>
  <si>
    <t>101120106</t>
  </si>
  <si>
    <t>城市土地使用税等级6</t>
  </si>
  <si>
    <t>101120107</t>
  </si>
  <si>
    <t>城市土地使用税等级7</t>
  </si>
  <si>
    <t>101120108</t>
  </si>
  <si>
    <t>城市土地使用税等级8</t>
  </si>
  <si>
    <t>101120109</t>
  </si>
  <si>
    <t>城市土地使用税等级9</t>
  </si>
  <si>
    <t>101120110</t>
  </si>
  <si>
    <t>城市土地使用税等级10</t>
  </si>
  <si>
    <t>101120111</t>
  </si>
  <si>
    <t>城市土地使用税等级11</t>
  </si>
  <si>
    <t>101120112</t>
  </si>
  <si>
    <t>城市土地使用税等级12</t>
  </si>
  <si>
    <t>101120113</t>
  </si>
  <si>
    <t>城市土地使用税等级13</t>
  </si>
  <si>
    <t>101120114</t>
  </si>
  <si>
    <t>城市土地使用税等级14</t>
  </si>
  <si>
    <t>101120115</t>
  </si>
  <si>
    <t>城市土地使用税等级15</t>
  </si>
  <si>
    <t>101120199</t>
  </si>
  <si>
    <t>城市其他等级</t>
  </si>
  <si>
    <t>101120201</t>
  </si>
  <si>
    <t>县城土地使用税等级1</t>
  </si>
  <si>
    <t>101120202</t>
  </si>
  <si>
    <t>县城土地使用税等级2</t>
  </si>
  <si>
    <t>101120203</t>
  </si>
  <si>
    <t>县城土地使用税等级3</t>
  </si>
  <si>
    <t>101120204</t>
  </si>
  <si>
    <t>县城土地使用税等级4</t>
  </si>
  <si>
    <t>101120205</t>
  </si>
  <si>
    <t>县城土地使用税等级5</t>
  </si>
  <si>
    <t>101120206</t>
  </si>
  <si>
    <t>县城土地使用税等级6</t>
  </si>
  <si>
    <t>101120207</t>
  </si>
  <si>
    <t>县城土地使用税等级7</t>
  </si>
  <si>
    <t>101120208</t>
  </si>
  <si>
    <t>县城土地使用税等级8</t>
  </si>
  <si>
    <t>101120209</t>
  </si>
  <si>
    <t>县城土地使用税等级9</t>
  </si>
  <si>
    <t>101120210</t>
  </si>
  <si>
    <t>县城土地使用税等级10</t>
  </si>
  <si>
    <t>101120211</t>
  </si>
  <si>
    <t>县城土地使用税等级11</t>
  </si>
  <si>
    <t>101120212</t>
  </si>
  <si>
    <t>县城土地使用税等级12</t>
  </si>
  <si>
    <t>101120213</t>
  </si>
  <si>
    <t>县城土地使用税等级13</t>
  </si>
  <si>
    <t>101120214</t>
  </si>
  <si>
    <t>县城土地使用税等级14</t>
  </si>
  <si>
    <t>101120215</t>
  </si>
  <si>
    <t>县城土地使用税等级15</t>
  </si>
  <si>
    <t>101120299</t>
  </si>
  <si>
    <t>县城其他等级</t>
  </si>
  <si>
    <t>101120301</t>
  </si>
  <si>
    <t>建制镇土地使用税等级1</t>
  </si>
  <si>
    <t>101120302</t>
  </si>
  <si>
    <t>建制镇土地使用税等级2</t>
  </si>
  <si>
    <t>101120303</t>
  </si>
  <si>
    <t>建制镇土地使用税等级3</t>
  </si>
  <si>
    <t>101120304</t>
  </si>
  <si>
    <t>建制镇土地使用税等级4</t>
  </si>
  <si>
    <t>101120305</t>
  </si>
  <si>
    <t>建制镇土地使用税等级5</t>
  </si>
  <si>
    <t>101120306</t>
  </si>
  <si>
    <t>建制镇土地使用税等级6</t>
  </si>
  <si>
    <t>101120307</t>
  </si>
  <si>
    <t>建制镇土地使用税等级7</t>
  </si>
  <si>
    <t>101120308</t>
  </si>
  <si>
    <t>建制镇土地使用税等级8</t>
  </si>
  <si>
    <t>101120309</t>
  </si>
  <si>
    <t>建制镇土地使用税等级9</t>
  </si>
  <si>
    <t>101120310</t>
  </si>
  <si>
    <t>建制镇土地使用税等级10</t>
  </si>
  <si>
    <t>101120311</t>
  </si>
  <si>
    <t>建制镇土地使用税等级11</t>
  </si>
  <si>
    <t>101120312</t>
  </si>
  <si>
    <t>建制镇土地使用税等级12</t>
  </si>
  <si>
    <t>101120313</t>
  </si>
  <si>
    <t>建制镇土地使用税等级13</t>
  </si>
  <si>
    <t>101120314</t>
  </si>
  <si>
    <t>建制镇土地使用税等级14</t>
  </si>
  <si>
    <t>101120315</t>
  </si>
  <si>
    <t>建制镇土地使用税等级15</t>
  </si>
  <si>
    <t>101120399</t>
  </si>
  <si>
    <t>建制镇其他等级</t>
  </si>
  <si>
    <t>101120401</t>
  </si>
  <si>
    <t>工矿区土地使用税等级1</t>
  </si>
  <si>
    <t>101120402</t>
  </si>
  <si>
    <t>工矿区土地使用税等级2</t>
  </si>
  <si>
    <t>101120403</t>
  </si>
  <si>
    <t>工矿区土地使用税等级3</t>
  </si>
  <si>
    <t>101120404</t>
  </si>
  <si>
    <t>工矿区土地使用税等级4</t>
  </si>
  <si>
    <t>101120405</t>
  </si>
  <si>
    <t>工矿区土地使用税等级5</t>
  </si>
  <si>
    <t>101120406</t>
  </si>
  <si>
    <t>工矿区土地使用税等级6</t>
  </si>
  <si>
    <t>101120407</t>
  </si>
  <si>
    <t>工矿区土地使用税等级7</t>
  </si>
  <si>
    <t>101120408</t>
  </si>
  <si>
    <t>工矿区土地使用税等级8</t>
  </si>
  <si>
    <t>101120409</t>
  </si>
  <si>
    <t>工矿区土地使用税等级9</t>
  </si>
  <si>
    <t>101120410</t>
  </si>
  <si>
    <t>工矿区土地使用税等级10</t>
  </si>
  <si>
    <t>101120411</t>
  </si>
  <si>
    <t>工矿区土地使用税等级11</t>
  </si>
  <si>
    <t>101120412</t>
  </si>
  <si>
    <t>工矿区土地使用税等级12</t>
  </si>
  <si>
    <t>101120413</t>
  </si>
  <si>
    <t>工矿区土地使用税等级13</t>
  </si>
  <si>
    <t>101120414</t>
  </si>
  <si>
    <t>工矿区土地使用税等级14</t>
  </si>
  <si>
    <t>101120415</t>
  </si>
  <si>
    <t>工矿区土地使用税等级15</t>
  </si>
  <si>
    <t>101120499</t>
  </si>
  <si>
    <t>工矿区其他等级</t>
  </si>
  <si>
    <t>101129901</t>
  </si>
  <si>
    <t>101129902</t>
  </si>
  <si>
    <t>101130500</t>
  </si>
  <si>
    <t>普通住宅</t>
  </si>
  <si>
    <t>101130501</t>
  </si>
  <si>
    <t>普通住宅（预征）</t>
  </si>
  <si>
    <t>101130502</t>
  </si>
  <si>
    <t>非普通住宅（预征）</t>
  </si>
  <si>
    <t>101130503</t>
  </si>
  <si>
    <t>其他类型房地产（预征）</t>
  </si>
  <si>
    <t>101130600</t>
  </si>
  <si>
    <t>非普通住宅</t>
  </si>
  <si>
    <t>101130601</t>
  </si>
  <si>
    <t>普通住宅（清算）</t>
  </si>
  <si>
    <t>101130602</t>
  </si>
  <si>
    <t>非普通住宅（清算）</t>
  </si>
  <si>
    <t>101130603</t>
  </si>
  <si>
    <t>其他类型房地产（清算）</t>
  </si>
  <si>
    <t>101130700</t>
  </si>
  <si>
    <t>旧房转让（非核定方式）</t>
  </si>
  <si>
    <t>101130801</t>
  </si>
  <si>
    <t>普通住宅（尾盘）</t>
  </si>
  <si>
    <t>101130802</t>
  </si>
  <si>
    <t>非普通住宅（尾盘）</t>
  </si>
  <si>
    <t>101130803</t>
  </si>
  <si>
    <t>其他类型房地产（尾盘）</t>
  </si>
  <si>
    <t>101130901</t>
  </si>
  <si>
    <t>普通住宅（核定）</t>
  </si>
  <si>
    <t>101130902</t>
  </si>
  <si>
    <t>非普通住宅（核定）</t>
  </si>
  <si>
    <t>101130903</t>
  </si>
  <si>
    <t>其他类型房地产（核定）</t>
  </si>
  <si>
    <t>101131000</t>
  </si>
  <si>
    <t>整体转让在建工程</t>
  </si>
  <si>
    <t>101131100</t>
  </si>
  <si>
    <t>旧房转让（核定方式）</t>
  </si>
  <si>
    <t>101139901</t>
  </si>
  <si>
    <t>101139902</t>
  </si>
  <si>
    <t>101140101</t>
  </si>
  <si>
    <t>101140102</t>
  </si>
  <si>
    <t>1.0升以上至1.6升(含)的乘用车</t>
  </si>
  <si>
    <t>101140103</t>
  </si>
  <si>
    <t>1.6升以上至2.0升(含)的乘用车</t>
  </si>
  <si>
    <t>101140104</t>
  </si>
  <si>
    <t>101140105</t>
  </si>
  <si>
    <t>101140106</t>
  </si>
  <si>
    <t>101140107</t>
  </si>
  <si>
    <t>101140211</t>
  </si>
  <si>
    <t>核定载客人数20人以下客车</t>
  </si>
  <si>
    <t>101140212</t>
  </si>
  <si>
    <t>核定载客人数20人（含）以上客车</t>
  </si>
  <si>
    <t>101140220</t>
  </si>
  <si>
    <t>货车</t>
  </si>
  <si>
    <t>101140300</t>
  </si>
  <si>
    <t>挂车</t>
  </si>
  <si>
    <t>101140400</t>
  </si>
  <si>
    <t>101140501</t>
  </si>
  <si>
    <t>专用作业车</t>
  </si>
  <si>
    <t>101140502</t>
  </si>
  <si>
    <t>轮式专用机械车</t>
  </si>
  <si>
    <t>101140610</t>
  </si>
  <si>
    <t>101140611</t>
  </si>
  <si>
    <t>净吨位小于或者等于200吨的机动船舶</t>
  </si>
  <si>
    <t>101140612</t>
  </si>
  <si>
    <t>净吨位201吨至2000吨的机动船舶</t>
  </si>
  <si>
    <t>101140613</t>
  </si>
  <si>
    <t>净吨位2001吨至10000吨的机动船舶</t>
  </si>
  <si>
    <t>101140614</t>
  </si>
  <si>
    <t>净吨位10001吨及以上的机动船舶</t>
  </si>
  <si>
    <t>101140620</t>
  </si>
  <si>
    <t>拖船、非机动驳船</t>
  </si>
  <si>
    <t>101140621</t>
  </si>
  <si>
    <t>净吨位不超过200吨的拖船、非机动驳船</t>
  </si>
  <si>
    <t>101140622</t>
  </si>
  <si>
    <t>净吨位超过200吨但不超过2000吨的拖船、非机动驳船</t>
  </si>
  <si>
    <t>101140623</t>
  </si>
  <si>
    <t>净吨位超过2000吨但不超过10000吨的拖船、非机动驳船</t>
  </si>
  <si>
    <t>101140624</t>
  </si>
  <si>
    <t>净吨位超过10000吨的拖船、机动驳船</t>
  </si>
  <si>
    <t>101140630</t>
  </si>
  <si>
    <t>101140631</t>
  </si>
  <si>
    <t>艇身长度不超过10米的游艇</t>
  </si>
  <si>
    <t>101140632</t>
  </si>
  <si>
    <t>艇身长度超过10米但不超过18米的游艇</t>
  </si>
  <si>
    <t>101140633</t>
  </si>
  <si>
    <t>艇身长度超过18米但不超过30米的游艇</t>
  </si>
  <si>
    <t>101140634</t>
  </si>
  <si>
    <t>艇身长度超过30米的游艇</t>
  </si>
  <si>
    <t>101140635</t>
  </si>
  <si>
    <t>辅助动力帆艇</t>
  </si>
  <si>
    <t>101149601</t>
  </si>
  <si>
    <t>101149901</t>
  </si>
  <si>
    <t>101149902</t>
  </si>
  <si>
    <t>101159901</t>
  </si>
  <si>
    <t>101159902</t>
  </si>
  <si>
    <t>101160000</t>
  </si>
  <si>
    <t>101169901</t>
  </si>
  <si>
    <t>101169902</t>
  </si>
  <si>
    <t>101180101</t>
  </si>
  <si>
    <t>耕地（基本农田）</t>
  </si>
  <si>
    <t>101180102</t>
  </si>
  <si>
    <t>耕地（非基本农田）</t>
  </si>
  <si>
    <t>101180200</t>
  </si>
  <si>
    <t>林地</t>
  </si>
  <si>
    <t>101180300</t>
  </si>
  <si>
    <t>牧草地</t>
  </si>
  <si>
    <t>101180400</t>
  </si>
  <si>
    <t>农田水利用地</t>
  </si>
  <si>
    <t>101180501</t>
  </si>
  <si>
    <t>养殖水面</t>
  </si>
  <si>
    <t>101180502</t>
  </si>
  <si>
    <t>渔业水域滩涂</t>
  </si>
  <si>
    <t>101180600</t>
  </si>
  <si>
    <t>园地</t>
  </si>
  <si>
    <t>101180700</t>
  </si>
  <si>
    <t>草地</t>
  </si>
  <si>
    <t>101180800</t>
  </si>
  <si>
    <t>苇田</t>
  </si>
  <si>
    <t>101189800</t>
  </si>
  <si>
    <t>其他农业用地</t>
  </si>
  <si>
    <t>101189901</t>
  </si>
  <si>
    <t>101189902</t>
  </si>
  <si>
    <t>101190101</t>
  </si>
  <si>
    <t>国有土地使用权出让契税</t>
  </si>
  <si>
    <t>101190102</t>
  </si>
  <si>
    <t>居住用地</t>
  </si>
  <si>
    <t>101190103</t>
  </si>
  <si>
    <t>商业用地</t>
  </si>
  <si>
    <t>101190104</t>
  </si>
  <si>
    <t>工业用地</t>
  </si>
  <si>
    <t>101190105</t>
  </si>
  <si>
    <t>综合用地</t>
  </si>
  <si>
    <t>101190190</t>
  </si>
  <si>
    <t>其他用地</t>
  </si>
  <si>
    <t>101190201</t>
  </si>
  <si>
    <t>土地使用权转让(出售、赠与和交换)契税</t>
  </si>
  <si>
    <t>101190211</t>
  </si>
  <si>
    <t>土地使用权出售（居住用地）</t>
  </si>
  <si>
    <t>101190212</t>
  </si>
  <si>
    <t>土地使用权出售（商业用地）</t>
  </si>
  <si>
    <t>101190213</t>
  </si>
  <si>
    <t>土地使用权出售（工业用地）</t>
  </si>
  <si>
    <t>101190214</t>
  </si>
  <si>
    <t>土地使用权出售（综合用地）</t>
  </si>
  <si>
    <t>101190219</t>
  </si>
  <si>
    <t>土地使用权出售（其他用地）</t>
  </si>
  <si>
    <t>101190221</t>
  </si>
  <si>
    <t>土地使用权赠与（居住用地）</t>
  </si>
  <si>
    <t>101190222</t>
  </si>
  <si>
    <t>土地使用权赠与（商业用地）</t>
  </si>
  <si>
    <t>101190223</t>
  </si>
  <si>
    <t>土地使用权赠与（工业用地）</t>
  </si>
  <si>
    <t>101190224</t>
  </si>
  <si>
    <t>土地使用权赠与（综合用地）</t>
  </si>
  <si>
    <t>101190229</t>
  </si>
  <si>
    <t>土地使用权赠与（其他用地）</t>
  </si>
  <si>
    <t>101190231</t>
  </si>
  <si>
    <t>土地使用权交换（居住用地）</t>
  </si>
  <si>
    <t>101190232</t>
  </si>
  <si>
    <t>土地使用权交换（商业用地）</t>
  </si>
  <si>
    <t>101190233</t>
  </si>
  <si>
    <t>土地使用权交换（工业用地）</t>
  </si>
  <si>
    <t>101190234</t>
  </si>
  <si>
    <t>土地使用权交换（综合用地）</t>
  </si>
  <si>
    <t>101190239</t>
  </si>
  <si>
    <t>土地使用权交换（其他用地）</t>
  </si>
  <si>
    <t>101190241</t>
  </si>
  <si>
    <t>土地使用权作价投资、入股（居住用地）</t>
  </si>
  <si>
    <t>101190242</t>
  </si>
  <si>
    <t>土地使用权作价投资、入股（商业用地）</t>
  </si>
  <si>
    <t>101190243</t>
  </si>
  <si>
    <t>土地使用权作价投资、入股（工业用地）</t>
  </si>
  <si>
    <t>101190244</t>
  </si>
  <si>
    <t>土地使用权作价投资、入股（综合用地）</t>
  </si>
  <si>
    <t>101190249</t>
  </si>
  <si>
    <t>土地使用权作价投资、入股（其他用地）</t>
  </si>
  <si>
    <t>101190301</t>
  </si>
  <si>
    <t>住房买卖</t>
  </si>
  <si>
    <t>101190302</t>
  </si>
  <si>
    <t>他房屋买卖</t>
  </si>
  <si>
    <t>101190303</t>
  </si>
  <si>
    <t>其他买卖</t>
  </si>
  <si>
    <t>101190401</t>
  </si>
  <si>
    <t>住房赠与</t>
  </si>
  <si>
    <t>101190402</t>
  </si>
  <si>
    <t>其他房屋赠与</t>
  </si>
  <si>
    <t>101190403</t>
  </si>
  <si>
    <t>其他赠与</t>
  </si>
  <si>
    <t>101190501</t>
  </si>
  <si>
    <t>住房交换</t>
  </si>
  <si>
    <t>101190502</t>
  </si>
  <si>
    <t>其他房屋交换</t>
  </si>
  <si>
    <t>101190503</t>
  </si>
  <si>
    <t>其他交换</t>
  </si>
  <si>
    <t>101191111</t>
  </si>
  <si>
    <t>增量房（商品住房买卖）</t>
  </si>
  <si>
    <t>101191112</t>
  </si>
  <si>
    <t>增量房（保障性住房买卖）</t>
  </si>
  <si>
    <t>101191119</t>
  </si>
  <si>
    <t>增量房（其他住房买卖）</t>
  </si>
  <si>
    <t>101191121</t>
  </si>
  <si>
    <t>增量房非住房买卖（商业）</t>
  </si>
  <si>
    <t>101191122</t>
  </si>
  <si>
    <t>增量房非住房买卖（办公）</t>
  </si>
  <si>
    <t>101191123</t>
  </si>
  <si>
    <t>增量房非住房买卖（商住）</t>
  </si>
  <si>
    <t>101191124</t>
  </si>
  <si>
    <t>增量房非住房买卖（附属建筑）</t>
  </si>
  <si>
    <t>101191125</t>
  </si>
  <si>
    <t>增量房非住房买卖（工业）</t>
  </si>
  <si>
    <t>101191129</t>
  </si>
  <si>
    <t>增量房非住房买卖（其他）</t>
  </si>
  <si>
    <t>101191211</t>
  </si>
  <si>
    <t>存量房（商品住房买卖）</t>
  </si>
  <si>
    <t>101191212</t>
  </si>
  <si>
    <t>存量房（保障性住房买卖）</t>
  </si>
  <si>
    <t>101191219</t>
  </si>
  <si>
    <t>存量房（其他住房买卖）</t>
  </si>
  <si>
    <t>101191221</t>
  </si>
  <si>
    <t>存量房非住房买卖（商业）</t>
  </si>
  <si>
    <t>101191222</t>
  </si>
  <si>
    <t>存量房非住房买卖（办公）</t>
  </si>
  <si>
    <t>101191223</t>
  </si>
  <si>
    <t>存量房非住房买卖（商住）</t>
  </si>
  <si>
    <t>101191224</t>
  </si>
  <si>
    <t>存量房非住房买卖（附属建筑）</t>
  </si>
  <si>
    <t>101191225</t>
  </si>
  <si>
    <t>存量房非住房买卖（工业）</t>
  </si>
  <si>
    <t>101191229</t>
  </si>
  <si>
    <t>存量房非住房买卖（其他）</t>
  </si>
  <si>
    <t>101192111</t>
  </si>
  <si>
    <t>增量房（商品住房赠与）</t>
  </si>
  <si>
    <t>101192112</t>
  </si>
  <si>
    <t>增量房（保障性住房赠与）</t>
  </si>
  <si>
    <t>101192119</t>
  </si>
  <si>
    <t>增量房（其他住房赠与）</t>
  </si>
  <si>
    <t>101192121</t>
  </si>
  <si>
    <t>增量房非住房赠与（商业）</t>
  </si>
  <si>
    <t>101192122</t>
  </si>
  <si>
    <t>增量房非住房赠与（办公）</t>
  </si>
  <si>
    <t>101192123</t>
  </si>
  <si>
    <t>增量房非住房赠与（商住）</t>
  </si>
  <si>
    <t>101192124</t>
  </si>
  <si>
    <t>增量房非住房赠与（附属建筑）</t>
  </si>
  <si>
    <t>101192125</t>
  </si>
  <si>
    <t>增量房非住房赠与（工业）</t>
  </si>
  <si>
    <t>101192129</t>
  </si>
  <si>
    <t>增量房非住房赠与（其他）</t>
  </si>
  <si>
    <t>101192211</t>
  </si>
  <si>
    <t>存量房（商品住房赠与）</t>
  </si>
  <si>
    <t>101192212</t>
  </si>
  <si>
    <t>存量房（保障性住房赠与）</t>
  </si>
  <si>
    <t>101192219</t>
  </si>
  <si>
    <t>存量房（其他住房赠与）</t>
  </si>
  <si>
    <t>101192221</t>
  </si>
  <si>
    <t>存量房非住房赠与（商业）</t>
  </si>
  <si>
    <t>101192222</t>
  </si>
  <si>
    <t>存量房非住房赠与（办公）</t>
  </si>
  <si>
    <t>101192223</t>
  </si>
  <si>
    <t>存量房非住房赠与（商住）</t>
  </si>
  <si>
    <t>101192224</t>
  </si>
  <si>
    <t>存量房非住房赠与（附属建筑）</t>
  </si>
  <si>
    <t>101192225</t>
  </si>
  <si>
    <t>存量房非住房赠与（工业）</t>
  </si>
  <si>
    <t>101192229</t>
  </si>
  <si>
    <t>存量房非住房赠与（其他）</t>
  </si>
  <si>
    <t>101193000</t>
  </si>
  <si>
    <t>房屋交换</t>
  </si>
  <si>
    <t>101194100</t>
  </si>
  <si>
    <t>住房作价入股</t>
  </si>
  <si>
    <t>101194201</t>
  </si>
  <si>
    <t>非住房作价入股（商业）</t>
  </si>
  <si>
    <t>101194202</t>
  </si>
  <si>
    <t>非住房作价入股（办公）</t>
  </si>
  <si>
    <t>101194203</t>
  </si>
  <si>
    <t>非住房作价入股（商住）</t>
  </si>
  <si>
    <t>101194204</t>
  </si>
  <si>
    <t>非住房作价入股（附属建筑）</t>
  </si>
  <si>
    <t>101194205</t>
  </si>
  <si>
    <t>非住房作价入股（工业）</t>
  </si>
  <si>
    <t>101194290</t>
  </si>
  <si>
    <t>非住房作价入股（其他）</t>
  </si>
  <si>
    <t>101195000</t>
  </si>
  <si>
    <t>房屋其他权属转移方式</t>
  </si>
  <si>
    <t>101199901</t>
  </si>
  <si>
    <t>101199902</t>
  </si>
  <si>
    <t>101200100</t>
  </si>
  <si>
    <t>晾晒烟叶</t>
  </si>
  <si>
    <t>101200200</t>
  </si>
  <si>
    <t>烤烟叶</t>
  </si>
  <si>
    <t>101209901</t>
  </si>
  <si>
    <t>101209902</t>
  </si>
  <si>
    <t>101259601</t>
  </si>
  <si>
    <t>屠宰税废止品目</t>
  </si>
  <si>
    <t>101999901</t>
  </si>
  <si>
    <t>101999902</t>
  </si>
  <si>
    <t>102011101</t>
  </si>
  <si>
    <t>职工基本养老保险(单位缴纳)</t>
  </si>
  <si>
    <t>102011102</t>
  </si>
  <si>
    <t>职工基本养老保险(个人缴纳)</t>
  </si>
  <si>
    <t>102011103</t>
  </si>
  <si>
    <t>职工基本养老保险(单位缴纳)利息</t>
  </si>
  <si>
    <t>102011104</t>
  </si>
  <si>
    <t>职工基本养老保险(个人缴纳)利息</t>
  </si>
  <si>
    <t>102011105</t>
  </si>
  <si>
    <t>职工基本养老保险(单位缴纳)滞纳金</t>
  </si>
  <si>
    <t>102011106</t>
  </si>
  <si>
    <t>职工基本养老保险(个人缴纳)滞纳金</t>
  </si>
  <si>
    <t>102011107</t>
  </si>
  <si>
    <t>职工基本养老保险罚款</t>
  </si>
  <si>
    <t>102011201</t>
  </si>
  <si>
    <t>个人身份基本养老保险</t>
  </si>
  <si>
    <t>102011202</t>
  </si>
  <si>
    <t>个人身份基本养老保险利息</t>
  </si>
  <si>
    <t>102011301</t>
  </si>
  <si>
    <t>机关事业单位人员养老保险(单位缴纳)</t>
  </si>
  <si>
    <t>102011302</t>
  </si>
  <si>
    <t>机关事业单位人员养老保险(个人缴纳)</t>
  </si>
  <si>
    <t>102011303</t>
  </si>
  <si>
    <t>机关事业单位人员养老保险(单位缴纳)利息</t>
  </si>
  <si>
    <t>102011304</t>
  </si>
  <si>
    <t>机关事业单位人员养老保险(个人缴纳)利息</t>
  </si>
  <si>
    <t>102011305</t>
  </si>
  <si>
    <t>机关事业单位人员养老保险(单位缴纳)滞纳金</t>
  </si>
  <si>
    <t>102011306</t>
  </si>
  <si>
    <t>机关事业单位人员养老保险(个人缴纳)滞纳金</t>
  </si>
  <si>
    <t>102011307</t>
  </si>
  <si>
    <t>机关事业单位人员养老保险罚款</t>
  </si>
  <si>
    <t>102011401</t>
  </si>
  <si>
    <t>新型农村社会养老保险</t>
  </si>
  <si>
    <t>102011402</t>
  </si>
  <si>
    <t>新型农村社会养老保险利息</t>
  </si>
  <si>
    <t>102011403</t>
  </si>
  <si>
    <t>新型农村社会养老保险滞纳金</t>
  </si>
  <si>
    <t>102011501</t>
  </si>
  <si>
    <t>城镇居民社会养老保险</t>
  </si>
  <si>
    <t>102011502</t>
  </si>
  <si>
    <t>城镇居民社会养老保险利息</t>
  </si>
  <si>
    <t>102011601</t>
  </si>
  <si>
    <t>超龄人员养老保险</t>
  </si>
  <si>
    <t>102011602</t>
  </si>
  <si>
    <t>超龄人员养老保险利息</t>
  </si>
  <si>
    <t>102011603</t>
  </si>
  <si>
    <t>超龄人员养老保险滞纳金</t>
  </si>
  <si>
    <t>102011701</t>
  </si>
  <si>
    <t>被征地农转非人员基本养老保险（单位缴纳）</t>
  </si>
  <si>
    <t>102011702</t>
  </si>
  <si>
    <t>被征地农转非人员基本养老保险（个人缴纳）</t>
  </si>
  <si>
    <t>102011703</t>
  </si>
  <si>
    <t>被征地农转非人员基本养老保险（单位缴纳）利息</t>
  </si>
  <si>
    <t>102011704</t>
  </si>
  <si>
    <t>被征地农转非人员基本养老保险（个人缴纳）利息</t>
  </si>
  <si>
    <t>102011705</t>
  </si>
  <si>
    <t>被征地农转非人员基本养老保险（单位缴纳）滞纳金</t>
  </si>
  <si>
    <t>102011706</t>
  </si>
  <si>
    <t>被征地农转非人员基本养老保险（个人缴纳）滞纳金</t>
  </si>
  <si>
    <t>102011801</t>
  </si>
  <si>
    <t>行业统筹企业基本养老保险（单位缴纳）</t>
  </si>
  <si>
    <t>102011802</t>
  </si>
  <si>
    <t>行业统筹企业基本养老保险（个人缴纳）</t>
  </si>
  <si>
    <t>102011803</t>
  </si>
  <si>
    <t>行业统筹企业基本养老保险（单位缴纳）利息</t>
  </si>
  <si>
    <t>102011804</t>
  </si>
  <si>
    <t>行业统筹企业基本养老保险（个人缴纳）利息</t>
  </si>
  <si>
    <t>102011805</t>
  </si>
  <si>
    <t>行业统筹企业基本养老保险（单位缴纳）滞纳金</t>
  </si>
  <si>
    <t>102011806</t>
  </si>
  <si>
    <t>行业统筹企业基本养老保险（个人缴纳）滞纳金</t>
  </si>
  <si>
    <t>102011807</t>
  </si>
  <si>
    <t>行业统筹企业基本养老保险罚款</t>
  </si>
  <si>
    <t>102011901</t>
  </si>
  <si>
    <t>机关事业单位职业年金（单位缴费）</t>
  </si>
  <si>
    <t>102011902</t>
  </si>
  <si>
    <t>机关事业单位职业年金（个人缴费）</t>
  </si>
  <si>
    <t>102011903</t>
  </si>
  <si>
    <t>机关事业单位职业年金缴费利息（单位）</t>
  </si>
  <si>
    <t>102011904</t>
  </si>
  <si>
    <t>机关事业单位职业年金缴费利息（个人）</t>
  </si>
  <si>
    <t>102011905</t>
  </si>
  <si>
    <t>机关事业单位职业年金缴费滞纳金（单位）</t>
  </si>
  <si>
    <t>102011906</t>
  </si>
  <si>
    <t>机关事业单位职业年金缴费滞纳金（个人）</t>
  </si>
  <si>
    <t>102019901</t>
  </si>
  <si>
    <t>养老保险职业年金</t>
  </si>
  <si>
    <t>102019903</t>
  </si>
  <si>
    <t>养老保险职业年金利息</t>
  </si>
  <si>
    <t>102019905</t>
  </si>
  <si>
    <t>养老保险职业年金滞纳金</t>
  </si>
  <si>
    <t>102019907</t>
  </si>
  <si>
    <t>养老保险职业年金罚款</t>
  </si>
  <si>
    <t>其他养老保险</t>
  </si>
  <si>
    <t>102019973</t>
  </si>
  <si>
    <t>其他养老保险利息</t>
  </si>
  <si>
    <t>102019975</t>
  </si>
  <si>
    <t>其他养老保险滞纳金</t>
  </si>
  <si>
    <t>102019977</t>
  </si>
  <si>
    <t>其他养老保险罚款</t>
  </si>
  <si>
    <t>102020101</t>
  </si>
  <si>
    <t>失业保险(单位缴纳)</t>
  </si>
  <si>
    <t>102020102</t>
  </si>
  <si>
    <t>失业保险(个人缴纳)</t>
  </si>
  <si>
    <t>102020103</t>
  </si>
  <si>
    <t>失业保险(单位缴纳)利息</t>
  </si>
  <si>
    <t>102020104</t>
  </si>
  <si>
    <t>失业保险(个人缴纳)利息</t>
  </si>
  <si>
    <t>102020105</t>
  </si>
  <si>
    <t>失业保险(单位缴纳)滞纳金</t>
  </si>
  <si>
    <t>102020106</t>
  </si>
  <si>
    <t>失业保险(个人缴纳)滞纳金</t>
  </si>
  <si>
    <t>102020107</t>
  </si>
  <si>
    <t>失业保险罚款</t>
  </si>
  <si>
    <t>其他失业保险</t>
  </si>
  <si>
    <t>102029973</t>
  </si>
  <si>
    <t>其他失业保险利息</t>
  </si>
  <si>
    <t>102029975</t>
  </si>
  <si>
    <t>其他失业保险滞纳金</t>
  </si>
  <si>
    <t>102029977</t>
  </si>
  <si>
    <t>其他失业保险罚款</t>
  </si>
  <si>
    <t>102031101</t>
  </si>
  <si>
    <t>职工基本医疗保险(单位缴纳)</t>
  </si>
  <si>
    <t>102031102</t>
  </si>
  <si>
    <t>职工基本医疗保险(个人缴纳)</t>
  </si>
  <si>
    <t>102031103</t>
  </si>
  <si>
    <t>职工基本医疗保险(单位缴纳)利息</t>
  </si>
  <si>
    <t>102031104</t>
  </si>
  <si>
    <t>职工基本医疗保险(个人缴纳)利息</t>
  </si>
  <si>
    <t>102031105</t>
  </si>
  <si>
    <t>职工基本医疗保险(单位缴纳)滞纳金</t>
  </si>
  <si>
    <t>102031106</t>
  </si>
  <si>
    <t>职工基本医疗保险(个人缴纳)滞纳金</t>
  </si>
  <si>
    <t>102031107</t>
  </si>
  <si>
    <t>职工基本医疗保险罚款</t>
  </si>
  <si>
    <t>102031201</t>
  </si>
  <si>
    <t>个人身份基本医疗保险</t>
  </si>
  <si>
    <t>102031202</t>
  </si>
  <si>
    <t>个人身份基本医疗保险利息</t>
  </si>
  <si>
    <t>102031301</t>
  </si>
  <si>
    <t>新型农村合作医疗</t>
  </si>
  <si>
    <t>102031302</t>
  </si>
  <si>
    <t>新型农村合作医疗利息</t>
  </si>
  <si>
    <t>102031501</t>
  </si>
  <si>
    <t>住院医疗保险</t>
  </si>
  <si>
    <t>102031502</t>
  </si>
  <si>
    <t>住院医疗保险利息</t>
  </si>
  <si>
    <t>102031503</t>
  </si>
  <si>
    <t>住院医疗保险滞纳金</t>
  </si>
  <si>
    <t>102031601</t>
  </si>
  <si>
    <t>职工大额医疗互助保险(单位缴纳)</t>
  </si>
  <si>
    <t>102031602</t>
  </si>
  <si>
    <t>职工大额医疗互助保险(个人缴纳)</t>
  </si>
  <si>
    <t>102031605</t>
  </si>
  <si>
    <t>职工大额医疗互助保险利息（单位）</t>
  </si>
  <si>
    <t>102031606</t>
  </si>
  <si>
    <t>职工大额医疗互助保险利息（个人）</t>
  </si>
  <si>
    <t>102031607</t>
  </si>
  <si>
    <t>职工大额医疗互助保险滞纳金（单位）</t>
  </si>
  <si>
    <t>102031608</t>
  </si>
  <si>
    <t>职工大额医疗互助保险滞纳金（个人）</t>
  </si>
  <si>
    <t>102031701</t>
  </si>
  <si>
    <t>个人身份职工大额医疗互助保险</t>
  </si>
  <si>
    <t>102031702</t>
  </si>
  <si>
    <t>个人身份职工大额医疗互助保险利息</t>
  </si>
  <si>
    <t>102031801</t>
  </si>
  <si>
    <t>单建统筹医疗保险</t>
  </si>
  <si>
    <t>102031802</t>
  </si>
  <si>
    <t>单建统筹医疗保险滞纳金</t>
  </si>
  <si>
    <t>102031803</t>
  </si>
  <si>
    <t>单建统筹医疗保利息</t>
  </si>
  <si>
    <t>102039901</t>
  </si>
  <si>
    <t>公务员医疗补助</t>
  </si>
  <si>
    <t>102039903</t>
  </si>
  <si>
    <t>公务员医疗补助利息</t>
  </si>
  <si>
    <t>102039904</t>
  </si>
  <si>
    <t>其他医疗保险滞纳金</t>
  </si>
  <si>
    <t>102039905</t>
  </si>
  <si>
    <t>公务员医疗补助滞纳金</t>
  </si>
  <si>
    <t>102039907</t>
  </si>
  <si>
    <t>公务员医疗补助罚款</t>
  </si>
  <si>
    <t>其他医疗保险</t>
  </si>
  <si>
    <t>102039973</t>
  </si>
  <si>
    <t>其他医疗保险利息</t>
  </si>
  <si>
    <t>102039977</t>
  </si>
  <si>
    <t>其他医疗保险罚款</t>
  </si>
  <si>
    <t>工伤保险</t>
  </si>
  <si>
    <t>102040102</t>
  </si>
  <si>
    <t>工伤保险利息</t>
  </si>
  <si>
    <t>102040103</t>
  </si>
  <si>
    <t>工伤保险滞纳金</t>
  </si>
  <si>
    <t>102040104</t>
  </si>
  <si>
    <t>工伤保险罚款</t>
  </si>
  <si>
    <t>102049900</t>
  </si>
  <si>
    <t>其他工伤保险</t>
  </si>
  <si>
    <t>生育保险</t>
  </si>
  <si>
    <t>102050102</t>
  </si>
  <si>
    <t>生育保险利息</t>
  </si>
  <si>
    <t>102050103</t>
  </si>
  <si>
    <t>生育保险滞纳金</t>
  </si>
  <si>
    <t>102050104</t>
  </si>
  <si>
    <t>生育保险罚款</t>
  </si>
  <si>
    <t>102059900</t>
  </si>
  <si>
    <t>其他生育保险</t>
  </si>
  <si>
    <t>102070101</t>
  </si>
  <si>
    <t>城镇居民基本医疗保险</t>
  </si>
  <si>
    <t>102070102</t>
  </si>
  <si>
    <t>城镇居民基本医疗保险利息</t>
  </si>
  <si>
    <t>102100000</t>
  </si>
  <si>
    <t>102110101</t>
  </si>
  <si>
    <t>机关事业单位基本养老保险费收入（单位缴纳）</t>
  </si>
  <si>
    <t>102110102</t>
  </si>
  <si>
    <t>机关事业单位基本养老保险费收入（个人缴纳）</t>
  </si>
  <si>
    <t>102110103</t>
  </si>
  <si>
    <t>机关事业单位基本养老保险费收入（单位缴纳）利息</t>
  </si>
  <si>
    <t>102110104</t>
  </si>
  <si>
    <t>机关事业单位基本养老保险费收入（个人缴纳）利息</t>
  </si>
  <si>
    <t>102110105</t>
  </si>
  <si>
    <t>机关事业单位基本养老保险费收入（单位缴纳）滞纳金</t>
  </si>
  <si>
    <t>102110106</t>
  </si>
  <si>
    <t>机关事业单位基本养老保险费收入（个人缴纳）滞纳金</t>
  </si>
  <si>
    <t>102110107</t>
  </si>
  <si>
    <t>机关事业单位基本养老保险费收入罚款</t>
  </si>
  <si>
    <t>102112101</t>
  </si>
  <si>
    <t>102112102</t>
  </si>
  <si>
    <t>102112103</t>
  </si>
  <si>
    <t>102112104</t>
  </si>
  <si>
    <t>102112105</t>
  </si>
  <si>
    <t>102112106</t>
  </si>
  <si>
    <t>102119900</t>
  </si>
  <si>
    <t>其他机关事业单位基本养老保险基金收入</t>
  </si>
  <si>
    <t>102910001</t>
  </si>
  <si>
    <t>102910002</t>
  </si>
  <si>
    <t>102910003</t>
  </si>
  <si>
    <t>102910004</t>
  </si>
  <si>
    <t>102910005</t>
  </si>
  <si>
    <t>102910006</t>
  </si>
  <si>
    <t>102990501</t>
  </si>
  <si>
    <t>离休干部医药费统筹</t>
  </si>
  <si>
    <t>102990502</t>
  </si>
  <si>
    <t>离休干部医药费统筹滞纳金</t>
  </si>
  <si>
    <t>102990503</t>
  </si>
  <si>
    <t>离休干部医药费统筹罚款</t>
  </si>
  <si>
    <t>102990591</t>
  </si>
  <si>
    <t>地方性社会保险基金</t>
  </si>
  <si>
    <t>102990592</t>
  </si>
  <si>
    <t>102990593</t>
  </si>
  <si>
    <t>301440101</t>
  </si>
  <si>
    <t>301500100</t>
  </si>
  <si>
    <t>中央大中型水库库区基金</t>
  </si>
  <si>
    <t>301500200</t>
  </si>
  <si>
    <t>地方大中型水库库区基金</t>
  </si>
  <si>
    <t>301509800</t>
  </si>
  <si>
    <t>大中型水库库区基金滞纳金</t>
  </si>
  <si>
    <t>301580100</t>
  </si>
  <si>
    <t>南水北调工程建设资金</t>
  </si>
  <si>
    <t>301580200</t>
  </si>
  <si>
    <t>三峡工程后续工作资金</t>
  </si>
  <si>
    <t>301580300</t>
  </si>
  <si>
    <t>省级重大水利工程建设资金</t>
  </si>
  <si>
    <t>301589901</t>
  </si>
  <si>
    <t>301589902</t>
  </si>
  <si>
    <t>301750100</t>
  </si>
  <si>
    <t>电视机</t>
  </si>
  <si>
    <t>301750200</t>
  </si>
  <si>
    <t>电冰箱</t>
  </si>
  <si>
    <t>301750300</t>
  </si>
  <si>
    <t>洗衣机</t>
  </si>
  <si>
    <t>301750400</t>
  </si>
  <si>
    <t>空气调节器</t>
  </si>
  <si>
    <t>301750500</t>
  </si>
  <si>
    <t>微型计算机</t>
  </si>
  <si>
    <t>301759901</t>
  </si>
  <si>
    <t>基金滞纳金</t>
  </si>
  <si>
    <t>301759902</t>
  </si>
  <si>
    <t>基金罚款</t>
  </si>
  <si>
    <t>301760101</t>
  </si>
  <si>
    <t>301769901</t>
  </si>
  <si>
    <t>301769902</t>
  </si>
  <si>
    <t>301990100</t>
  </si>
  <si>
    <t>煤炭价格调节基金</t>
  </si>
  <si>
    <t>301990200</t>
  </si>
  <si>
    <t>价格调节基金</t>
  </si>
  <si>
    <t>301990300</t>
  </si>
  <si>
    <t>散装水泥专项资金</t>
  </si>
  <si>
    <t>301998101</t>
  </si>
  <si>
    <t>价格调节基金（增值税附征）</t>
  </si>
  <si>
    <t>301998102</t>
  </si>
  <si>
    <t>价格调节基金（营业税附征）</t>
  </si>
  <si>
    <t>301998103</t>
  </si>
  <si>
    <t>价格调节基金（消费税附征）</t>
  </si>
  <si>
    <t>301999800</t>
  </si>
  <si>
    <t>302010100</t>
  </si>
  <si>
    <t>污水排污费</t>
  </si>
  <si>
    <t>302010200</t>
  </si>
  <si>
    <t>污水超标准排污费</t>
  </si>
  <si>
    <t>302010300</t>
  </si>
  <si>
    <t>废气排污费</t>
  </si>
  <si>
    <t>302010400</t>
  </si>
  <si>
    <t>噪声超标准排污费</t>
  </si>
  <si>
    <t>302010500</t>
  </si>
  <si>
    <t>固体废物排污费</t>
  </si>
  <si>
    <t>302010600</t>
  </si>
  <si>
    <t>危险废物排污费</t>
  </si>
  <si>
    <t>302019901</t>
  </si>
  <si>
    <t>302019902</t>
  </si>
  <si>
    <t>302020100</t>
  </si>
  <si>
    <t>302020900</t>
  </si>
  <si>
    <t>增值税教育费附加</t>
  </si>
  <si>
    <t>302030200</t>
  </si>
  <si>
    <t>营业税教育费附加</t>
  </si>
  <si>
    <t>302030300</t>
  </si>
  <si>
    <t>消费税教育费附加</t>
  </si>
  <si>
    <t>302039900</t>
  </si>
  <si>
    <t>滞纳金、罚款</t>
  </si>
  <si>
    <t>302039901</t>
  </si>
  <si>
    <t>302039902</t>
  </si>
  <si>
    <t>增值税地方教育附加</t>
  </si>
  <si>
    <t>302160200</t>
  </si>
  <si>
    <t>营业税地方教育附加</t>
  </si>
  <si>
    <t>302160300</t>
  </si>
  <si>
    <t>消费税地方教育附加</t>
  </si>
  <si>
    <t>302169901</t>
  </si>
  <si>
    <t>302169902</t>
  </si>
  <si>
    <t>302170100</t>
  </si>
  <si>
    <t>娱乐业文化事业建设费</t>
  </si>
  <si>
    <t>302170200</t>
  </si>
  <si>
    <t>广告业文化事业建设费</t>
  </si>
  <si>
    <t>302179901</t>
  </si>
  <si>
    <t>302179902</t>
  </si>
  <si>
    <t>302189800</t>
  </si>
  <si>
    <t>残疾人就业保障金滞纳金</t>
  </si>
  <si>
    <t>302210100</t>
  </si>
  <si>
    <t>中央水利建设基金划转收入</t>
  </si>
  <si>
    <t>302210200</t>
  </si>
  <si>
    <t>中央其他水利建设基金</t>
  </si>
  <si>
    <t>302210300</t>
  </si>
  <si>
    <t>地方水利建设基金划转收入</t>
  </si>
  <si>
    <t>302210400</t>
  </si>
  <si>
    <t>地方水利建设基金</t>
  </si>
  <si>
    <t>302218101</t>
  </si>
  <si>
    <t>地方水利建设基金（增值税附征）</t>
  </si>
  <si>
    <t>302218102</t>
  </si>
  <si>
    <t>地方水利建设基金（营业税附征）</t>
  </si>
  <si>
    <t>302218103</t>
  </si>
  <si>
    <t>地方水利建设基金（消费税附征）</t>
  </si>
  <si>
    <t>302219901</t>
  </si>
  <si>
    <t>水建设专项收入滞纳金</t>
  </si>
  <si>
    <t>302219902</t>
  </si>
  <si>
    <t>水利建设专项收入罚款</t>
  </si>
  <si>
    <t>302990100</t>
  </si>
  <si>
    <t>广告收入</t>
  </si>
  <si>
    <t>302990200</t>
  </si>
  <si>
    <t>城市生活垃圾处置费</t>
  </si>
  <si>
    <t>302990300</t>
  </si>
  <si>
    <t>原生矿产品生态补偿费</t>
  </si>
  <si>
    <t>302999901</t>
  </si>
  <si>
    <t>其他专项收入滞纳金</t>
  </si>
  <si>
    <t>302999902</t>
  </si>
  <si>
    <t>其他专项收入罚款</t>
  </si>
  <si>
    <t>304075001</t>
  </si>
  <si>
    <t>车用天然气加价收入</t>
  </si>
  <si>
    <t>304080100</t>
  </si>
  <si>
    <t>增值税专用发票工本费收入</t>
  </si>
  <si>
    <t>304080200</t>
  </si>
  <si>
    <t>普通发票工本费收入</t>
  </si>
  <si>
    <t>304080300</t>
  </si>
  <si>
    <t>税务登记证工本费收入</t>
  </si>
  <si>
    <t>304320500</t>
  </si>
  <si>
    <t>土地闲置费</t>
  </si>
  <si>
    <t>304460201</t>
  </si>
  <si>
    <t>堤围防护费</t>
  </si>
  <si>
    <t>304460202</t>
  </si>
  <si>
    <t>河道工程修建维护费</t>
  </si>
  <si>
    <t>304468101</t>
  </si>
  <si>
    <t>河道工程修建维护管理费（增值税附征）</t>
  </si>
  <si>
    <t>304468102</t>
  </si>
  <si>
    <t>河道工程修建维护管理费（营业税附征）</t>
  </si>
  <si>
    <t>304468103</t>
  </si>
  <si>
    <t>河道工程修建维护管理费（消费税附征）</t>
  </si>
  <si>
    <t>304469901</t>
  </si>
  <si>
    <t>304469902</t>
  </si>
  <si>
    <t>304994901</t>
  </si>
  <si>
    <t>防洪工程维护费收入（增值税附征）</t>
  </si>
  <si>
    <t>304994902</t>
  </si>
  <si>
    <t>防洪工程维护费收入（消费税附征）</t>
  </si>
  <si>
    <t>304994903</t>
  </si>
  <si>
    <t>防洪工程维护费收入（营业税附征）</t>
  </si>
  <si>
    <t>305010100</t>
  </si>
  <si>
    <t>305010200</t>
  </si>
  <si>
    <t>加处罚款</t>
  </si>
  <si>
    <t>305010300</t>
  </si>
  <si>
    <t>没收违法所得</t>
  </si>
  <si>
    <t>305010400</t>
  </si>
  <si>
    <t>没收非法财物的拍卖款</t>
  </si>
  <si>
    <t>307010101</t>
  </si>
  <si>
    <t>海上原油级次一</t>
  </si>
  <si>
    <t>307010102</t>
  </si>
  <si>
    <t>海上原油级次二</t>
  </si>
  <si>
    <t>307010103</t>
  </si>
  <si>
    <t>海上原油级次三</t>
  </si>
  <si>
    <t>307010104</t>
  </si>
  <si>
    <t>海上原油级次四</t>
  </si>
  <si>
    <t>307010105</t>
  </si>
  <si>
    <t>海上原油级次五</t>
  </si>
  <si>
    <t>307010106</t>
  </si>
  <si>
    <t>海上原油级次六</t>
  </si>
  <si>
    <t>307010201</t>
  </si>
  <si>
    <t>海上天然气级次一</t>
  </si>
  <si>
    <t>307010202</t>
  </si>
  <si>
    <t>海上天然气级次二</t>
  </si>
  <si>
    <t>307010203</t>
  </si>
  <si>
    <t>海上天然气级次三</t>
  </si>
  <si>
    <t>307010204</t>
  </si>
  <si>
    <t>海上天然气级次四</t>
  </si>
  <si>
    <t>307019901</t>
  </si>
  <si>
    <t>307019902</t>
  </si>
  <si>
    <t>307020101</t>
  </si>
  <si>
    <t>陆上原油级次一</t>
  </si>
  <si>
    <t>307020102</t>
  </si>
  <si>
    <t>陆上原油级次二</t>
  </si>
  <si>
    <t>307020103</t>
  </si>
  <si>
    <t>陆上原油级次三</t>
  </si>
  <si>
    <t>307020104</t>
  </si>
  <si>
    <t>陆上原油级次四</t>
  </si>
  <si>
    <t>307020105</t>
  </si>
  <si>
    <t>陆上原油级次五</t>
  </si>
  <si>
    <t>307020106</t>
  </si>
  <si>
    <t>陆上原油级次六</t>
  </si>
  <si>
    <t>307020107</t>
  </si>
  <si>
    <t>陆上原油级次七</t>
  </si>
  <si>
    <t>307020108</t>
  </si>
  <si>
    <t>陆上原油级次八</t>
  </si>
  <si>
    <t>307020109</t>
  </si>
  <si>
    <t>陆上原油级次九</t>
  </si>
  <si>
    <t>307020201</t>
  </si>
  <si>
    <t>陆上天然气级次一</t>
  </si>
  <si>
    <t>307020202</t>
  </si>
  <si>
    <t>陆上天然气级次二</t>
  </si>
  <si>
    <t>307020203</t>
  </si>
  <si>
    <t>陆上天然气级次三</t>
  </si>
  <si>
    <t>307020204</t>
  </si>
  <si>
    <t>陆上天然气级次四</t>
  </si>
  <si>
    <t>307020205</t>
  </si>
  <si>
    <t>陆上天然气级次五</t>
  </si>
  <si>
    <t>307020206</t>
  </si>
  <si>
    <t>陆上天然气级次六</t>
  </si>
  <si>
    <t>307020207</t>
  </si>
  <si>
    <t>陆上天然气级次七</t>
  </si>
  <si>
    <t>307020208</t>
  </si>
  <si>
    <t>陆上天然气级次八</t>
  </si>
  <si>
    <t>307020209</t>
  </si>
  <si>
    <t>陆上天然气级次九</t>
  </si>
  <si>
    <t>307029901</t>
  </si>
  <si>
    <t>307029902</t>
  </si>
  <si>
    <t>307030100</t>
  </si>
  <si>
    <t>中央合资合作企业场地使用费收入</t>
  </si>
  <si>
    <t>307030200</t>
  </si>
  <si>
    <t>中央和地方合资合作企业场地使用费收入</t>
  </si>
  <si>
    <t>307030300</t>
  </si>
  <si>
    <t>地方合资合作企业场地使用费收入</t>
  </si>
  <si>
    <t>307030400</t>
  </si>
  <si>
    <t>港澳台和外商独资企业场地使用费收入</t>
  </si>
  <si>
    <t>307039901</t>
  </si>
  <si>
    <t>307039902</t>
  </si>
  <si>
    <t>307050200</t>
  </si>
  <si>
    <t>财政专户存款利息收入</t>
  </si>
  <si>
    <t>307059900</t>
  </si>
  <si>
    <t>其他利息收入</t>
  </si>
  <si>
    <t>307999901</t>
  </si>
  <si>
    <t>399001010</t>
  </si>
  <si>
    <t>工会筹备金</t>
  </si>
  <si>
    <t>399001910</t>
  </si>
  <si>
    <t>399001920</t>
  </si>
  <si>
    <t>399002000</t>
  </si>
  <si>
    <t>违约金</t>
  </si>
  <si>
    <t>399009900</t>
  </si>
  <si>
    <t>百邦税师</t>
    <phoneticPr fontId="51" type="noConversion"/>
  </si>
  <si>
    <t>明正税师</t>
    <phoneticPr fontId="51" type="noConversion"/>
  </si>
  <si>
    <t>说明：
1、复制时，请复制税款所属期为税审年度的数据（社保数据不引用）
2、操作单元格为A列到L列。（M列（含）及之后的区域请勿操作）
如：2013年度税审粘贴申报期为2013年2月至2014年1月数据。</t>
    <phoneticPr fontId="51" type="noConversion"/>
  </si>
  <si>
    <t>企业所得税年度纳税申报审核</t>
    <phoneticPr fontId="51" type="noConversion"/>
  </si>
  <si>
    <t>涉税审核业务约定书</t>
    <phoneticPr fontId="51" type="noConversion"/>
  </si>
  <si>
    <t>厦门明正税务师事务所有限公司</t>
  </si>
  <si>
    <t>厦中汇百邦税审（2017）第DS/DSX/GS/GSX   号</t>
    <phoneticPr fontId="51" type="noConversion"/>
  </si>
  <si>
    <t>厦中汇百邦专税（2017）第Z   号</t>
    <phoneticPr fontId="51" type="noConversion"/>
  </si>
  <si>
    <r>
      <t xml:space="preserve">    2、经协商，双方确定本项目的业务费用及付款时间为：本约定书成立时，委托方先付</t>
    </r>
    <r>
      <rPr>
        <u/>
        <sz val="10.5"/>
        <rFont val="宋体"/>
        <family val="3"/>
        <charset val="134"/>
      </rPr>
      <t xml:space="preserve">            </t>
    </r>
    <r>
      <rPr>
        <sz val="10.5"/>
        <rFont val="宋体"/>
        <family val="3"/>
        <charset val="134"/>
      </rPr>
      <t>%的费用，其余</t>
    </r>
    <r>
      <rPr>
        <u/>
        <sz val="10.5"/>
        <rFont val="宋体"/>
        <family val="3"/>
        <charset val="134"/>
      </rPr>
      <t xml:space="preserve">            </t>
    </r>
    <r>
      <rPr>
        <sz val="10.5"/>
        <rFont val="宋体"/>
        <family val="3"/>
        <charset val="134"/>
      </rPr>
      <t>%在业务完成后一次付清。</t>
    </r>
    <phoneticPr fontId="51" type="noConversion"/>
  </si>
  <si>
    <t>林志坚</t>
    <phoneticPr fontId="51" type="noConversion"/>
  </si>
  <si>
    <t>350203196211232037</t>
    <phoneticPr fontId="51" type="noConversion"/>
  </si>
  <si>
    <t>郭清洁</t>
    <phoneticPr fontId="51" type="noConversion"/>
  </si>
  <si>
    <t>申爱玲</t>
    <phoneticPr fontId="51" type="noConversion"/>
  </si>
  <si>
    <t>350322197203293816</t>
    <phoneticPr fontId="51" type="noConversion"/>
  </si>
  <si>
    <t>640202195406060042</t>
    <phoneticPr fontId="51" type="noConversion"/>
  </si>
  <si>
    <t>地址：廈門市湖滨南路388號国贸大廈41层</t>
  </si>
  <si>
    <t>ZhongHui BaiBang （XiaMen）Certified Tax Agents Co.,LTD.</t>
  </si>
  <si>
    <t>Guomao Building 41floor, South Hubin Road No.388,Xiamen,</t>
  </si>
  <si>
    <t>Tel：（0592）5881050 5166881</t>
  </si>
  <si>
    <t>Fax：（0592）5881033 5882033</t>
  </si>
  <si>
    <t>電話：（0592）5881050 5166881</t>
  </si>
  <si>
    <t>傳真：（0592）5881033 5882033</t>
  </si>
  <si>
    <t>地址：厦门思明区湖滨南路388号国贸大厦41B3单元</t>
  </si>
  <si>
    <t>邮编：361004</t>
  </si>
  <si>
    <t xml:space="preserve">電話：（0592）2988712   5881050  </t>
  </si>
  <si>
    <t>傳真：（0592）5881033   5882033</t>
  </si>
  <si>
    <t>厦门明正税务师事务所有限公司</t>
    <phoneticPr fontId="51" type="noConversion"/>
  </si>
  <si>
    <t>Xiamen Mingzheng  Certified Tax Agents Co.,LTD.</t>
  </si>
  <si>
    <t>Guomao Building 41 B3  room, South Hubin Road No.388,Xiamen,</t>
  </si>
  <si>
    <t xml:space="preserve">P.C：361004  </t>
  </si>
  <si>
    <t>Tel：（0592）2988712   5881050</t>
  </si>
  <si>
    <t>Fax：（0592）5881033   5882033</t>
  </si>
  <si>
    <t xml:space="preserve">    在审核过程中，我们考虑了与企业所得税相关的审核材料的证据资格和证明能力，对贵单位提供的会计资料及纳税资料等实施了审核、验证、计算和职业推断等必要的审核程序。</t>
    <phoneticPr fontId="51" type="noConversion"/>
  </si>
  <si>
    <t xml:space="preserve">   （一）贵单位与企业所得税有关的内部控制及其有效性。 </t>
    <phoneticPr fontId="51" type="noConversion"/>
  </si>
  <si>
    <t xml:space="preserve">   （二）贵单位与企业所得税有关的各项内部证据和外部证据的相关性和可靠性。 </t>
    <phoneticPr fontId="51" type="noConversion"/>
  </si>
  <si>
    <t xml:space="preserve">   （三）对贵单位提供的会计资料及纳税资料等进行审核、验证、计算和进行职业推断的情况。 </t>
    <phoneticPr fontId="51" type="noConversion"/>
  </si>
  <si>
    <t xml:space="preserve">        我们在审核过程中以职业怀疑态度、有计划地实施必要的审核程序，并根据重要性原则获取与代理对象相关的充分、适当的证据，并及时对制定的计划、实施的程序、获取的相关证据以及得出的结论作出记录。</t>
    <phoneticPr fontId="51" type="noConversion"/>
  </si>
  <si>
    <t>1.利润总额</t>
    <phoneticPr fontId="51" type="noConversion"/>
  </si>
  <si>
    <t>2.减：境外所得</t>
    <phoneticPr fontId="51" type="noConversion"/>
  </si>
  <si>
    <t>3.加：纳税调整增加额</t>
    <phoneticPr fontId="51" type="noConversion"/>
  </si>
  <si>
    <t>4.减：纳税调整减少额</t>
    <phoneticPr fontId="51" type="noConversion"/>
  </si>
  <si>
    <t>5.减：免税、减计收入及加计扣除</t>
    <phoneticPr fontId="51" type="noConversion"/>
  </si>
  <si>
    <t>6.加：境外应税所得抵减境内亏损</t>
    <phoneticPr fontId="51" type="noConversion"/>
  </si>
  <si>
    <t>7.纳税调整后所得</t>
    <phoneticPr fontId="51" type="noConversion"/>
  </si>
  <si>
    <t>8.减：所得减免</t>
    <phoneticPr fontId="51" type="noConversion"/>
  </si>
  <si>
    <t>9.减：抵扣应纳税所得额</t>
    <phoneticPr fontId="51" type="noConversion"/>
  </si>
  <si>
    <t>10.减：弥补以前年度亏损</t>
    <phoneticPr fontId="51" type="noConversion"/>
  </si>
  <si>
    <t>11.应纳税所得额</t>
    <phoneticPr fontId="51" type="noConversion"/>
  </si>
  <si>
    <t>12.税率（25%）</t>
    <phoneticPr fontId="51" type="noConversion"/>
  </si>
  <si>
    <t>13.应纳所得税额</t>
    <phoneticPr fontId="51" type="noConversion"/>
  </si>
  <si>
    <t>14.减：减免所得税额</t>
    <phoneticPr fontId="51" type="noConversion"/>
  </si>
  <si>
    <t>15.减：抵免所得税额</t>
    <phoneticPr fontId="51" type="noConversion"/>
  </si>
  <si>
    <r>
      <t>1</t>
    </r>
    <r>
      <rPr>
        <sz val="10"/>
        <rFont val="宋体"/>
        <family val="3"/>
        <charset val="134"/>
      </rPr>
      <t>6</t>
    </r>
    <r>
      <rPr>
        <sz val="10"/>
        <rFont val="宋体"/>
        <family val="3"/>
        <charset val="134"/>
      </rPr>
      <t>.应纳税额</t>
    </r>
    <phoneticPr fontId="51" type="noConversion"/>
  </si>
  <si>
    <t>17.加：境外所得应纳所得税额</t>
    <phoneticPr fontId="51" type="noConversion"/>
  </si>
  <si>
    <t>18.减：境外所得抵免所得税额</t>
    <phoneticPr fontId="51" type="noConversion"/>
  </si>
  <si>
    <t>19.实际应纳所得税额</t>
    <phoneticPr fontId="51" type="noConversion"/>
  </si>
  <si>
    <t>20.减：本年累计实际已预缴的所得税额</t>
    <phoneticPr fontId="51" type="noConversion"/>
  </si>
  <si>
    <t>21.本年应补（退）所得税额</t>
    <phoneticPr fontId="51" type="noConversion"/>
  </si>
  <si>
    <r>
      <t>22</t>
    </r>
    <r>
      <rPr>
        <sz val="10"/>
        <rFont val="宋体"/>
        <family val="3"/>
        <charset val="134"/>
      </rPr>
      <t>.</t>
    </r>
    <r>
      <rPr>
        <sz val="10"/>
        <rFont val="宋体"/>
        <family val="3"/>
        <charset val="134"/>
      </rPr>
      <t>其中：总机构分摊本年应补（退）所得税额</t>
    </r>
    <phoneticPr fontId="51" type="noConversion"/>
  </si>
  <si>
    <r>
      <t>23</t>
    </r>
    <r>
      <rPr>
        <sz val="10"/>
        <rFont val="宋体"/>
        <family val="3"/>
        <charset val="134"/>
      </rPr>
      <t>.</t>
    </r>
    <r>
      <rPr>
        <sz val="10"/>
        <rFont val="宋体"/>
        <family val="3"/>
        <charset val="134"/>
      </rPr>
      <t>财政集中分配本年应补（退）所得税额</t>
    </r>
    <phoneticPr fontId="51" type="noConversion"/>
  </si>
  <si>
    <r>
      <t>24</t>
    </r>
    <r>
      <rPr>
        <sz val="10"/>
        <rFont val="宋体"/>
        <family val="3"/>
        <charset val="134"/>
      </rPr>
      <t>.</t>
    </r>
    <r>
      <rPr>
        <sz val="10"/>
        <rFont val="宋体"/>
        <family val="3"/>
        <charset val="134"/>
      </rPr>
      <t>总机构主体生产经营部门分摊本年应补（退）所得税额</t>
    </r>
    <phoneticPr fontId="51" type="noConversion"/>
  </si>
  <si>
    <r>
      <t>25</t>
    </r>
    <r>
      <rPr>
        <sz val="10"/>
        <rFont val="宋体"/>
        <family val="3"/>
        <charset val="134"/>
      </rPr>
      <t>.</t>
    </r>
    <r>
      <rPr>
        <sz val="10"/>
        <rFont val="宋体"/>
        <family val="3"/>
        <charset val="134"/>
      </rPr>
      <t>以前年度多缴的所得税额在本年抵减额</t>
    </r>
    <phoneticPr fontId="51" type="noConversion"/>
  </si>
  <si>
    <r>
      <t>26</t>
    </r>
    <r>
      <rPr>
        <sz val="10"/>
        <rFont val="宋体"/>
        <family val="3"/>
        <charset val="134"/>
      </rPr>
      <t>.</t>
    </r>
    <r>
      <rPr>
        <sz val="10"/>
        <rFont val="宋体"/>
        <family val="3"/>
        <charset val="134"/>
      </rPr>
      <t>以前年度应缴未缴在本年入库所得税额</t>
    </r>
    <phoneticPr fontId="51" type="noConversion"/>
  </si>
  <si>
    <t>元；</t>
    <phoneticPr fontId="51" type="noConversion"/>
  </si>
  <si>
    <t xml:space="preserve">        本代理报告的结论和具体纳税调整项目及审核事项、有关优惠明细详见各附件。贵单位可以据此办理企业所得税汇算清缴纳税申报或审批事宜。</t>
    <phoneticPr fontId="51" type="noConversion"/>
  </si>
  <si>
    <t>税务师事务所所长（签名并盖章）：</t>
    <phoneticPr fontId="51" type="noConversion"/>
  </si>
  <si>
    <t xml:space="preserve">      声明：本代理报告电子数据已提交厦门税协网站，报告数据与文本内容一致。</t>
    <phoneticPr fontId="51" type="noConversion"/>
  </si>
  <si>
    <t xml:space="preserve">         声明：本公司未对本代理报告内容进行调整修改，报告内容真实有效。</t>
    <phoneticPr fontId="51" type="noConversion"/>
  </si>
  <si>
    <t>附件: 1.税务师事务所和注册税务师执业证书复印件</t>
    <phoneticPr fontId="51" type="noConversion"/>
  </si>
  <si>
    <t xml:space="preserve">      2.企业基本情况和企业所得税汇算清缴纳税申报审核事项说明</t>
    <phoneticPr fontId="51" type="noConversion"/>
  </si>
  <si>
    <t xml:space="preserve">      3.中华人民共和国企业所得税年度纳税申报表及其附表</t>
    <phoneticPr fontId="51" type="noConversion"/>
  </si>
  <si>
    <t xml:space="preserve">      4.无限期结转扣除项目情况表</t>
    <phoneticPr fontId="51" type="noConversion"/>
  </si>
  <si>
    <t xml:space="preserve">      5.跨年度确认所得情况表</t>
    <phoneticPr fontId="51" type="noConversion"/>
  </si>
  <si>
    <t xml:space="preserve">      6.企业各税（费）审核汇总表</t>
    <phoneticPr fontId="51" type="noConversion"/>
  </si>
  <si>
    <t xml:space="preserve">      7.社会保险费明细表</t>
    <phoneticPr fontId="51" type="noConversion"/>
  </si>
  <si>
    <t xml:space="preserve">税务师（签名并盖章）： </t>
    <phoneticPr fontId="51" type="noConversion"/>
  </si>
  <si>
    <t>企业所得税汇算清缴纳税申报税务审核报告</t>
    <phoneticPr fontId="51" type="noConversion"/>
  </si>
  <si>
    <t xml:space="preserve">    我们的责任是，本着独立、客观、公正的原则，依据《中华人民共和国企业所得税法》及其实施条例、《中华人民共和国税收征收管理法》及其实施细则和有关政策、规定，按照《注册税务师管理暂行办法》、《注册税务师涉税业务基本准则》和《企业所得税年度纳税调整业务规则》等行业规范要求，对贵单位企业所得税年度纳税申报的真实性、准确性、完整性和合法性实施审核，并发表审核意见。</t>
    <phoneticPr fontId="51" type="noConversion"/>
  </si>
  <si>
    <t xml:space="preserve">    企业所得税汇算清缴纳税申报的审核过程及主要实施情况：</t>
    <phoneticPr fontId="51" type="noConversion"/>
  </si>
  <si>
    <t xml:space="preserve">    我们已收集、识别、评价与企业所得税汇算清缴纳税申报相关的会计资料和纳税资料等可靠的内部证据及外部证据。具体包括：企业会计资料及会计处理、财务状况及财务报表、纳税资料及税务处理、有关文件及证明材料等。   </t>
    <phoneticPr fontId="51" type="noConversion"/>
  </si>
  <si>
    <t xml:space="preserve">     委托人纳税人名称（盖章）</t>
    <phoneticPr fontId="117" type="noConversion"/>
  </si>
  <si>
    <t>报告编号：</t>
    <phoneticPr fontId="51" type="noConversion"/>
  </si>
  <si>
    <t>税务登记号：</t>
    <phoneticPr fontId="51" type="noConversion"/>
  </si>
  <si>
    <t>事务所名称：</t>
    <phoneticPr fontId="51" type="noConversion"/>
  </si>
  <si>
    <t>报备日期：</t>
    <phoneticPr fontId="51" type="noConversion"/>
  </si>
  <si>
    <t>事务所电话：</t>
    <phoneticPr fontId="51" type="noConversion"/>
  </si>
  <si>
    <t>通信地址：</t>
    <phoneticPr fontId="51" type="noConversion"/>
  </si>
  <si>
    <t>电子邮件：</t>
    <phoneticPr fontId="51" type="noConversion"/>
  </si>
  <si>
    <t>事务所网址：</t>
    <phoneticPr fontId="51" type="noConversion"/>
  </si>
  <si>
    <t>委托人名称：</t>
    <phoneticPr fontId="51" type="noConversion"/>
  </si>
  <si>
    <t>执业证书号：</t>
    <phoneticPr fontId="51" type="noConversion"/>
  </si>
  <si>
    <t>签名税务师：</t>
    <phoneticPr fontId="51" type="noConversion"/>
  </si>
  <si>
    <t>国税登陆</t>
    <phoneticPr fontId="51" type="noConversion"/>
  </si>
  <si>
    <t>地税登陆</t>
    <phoneticPr fontId="51" type="noConversion"/>
  </si>
  <si>
    <t>执业证书号</t>
    <phoneticPr fontId="51" type="noConversion"/>
  </si>
  <si>
    <t>所长</t>
    <phoneticPr fontId="51" type="noConversion"/>
  </si>
  <si>
    <t>税务登记号</t>
    <phoneticPr fontId="51" type="noConversion"/>
  </si>
  <si>
    <t>电子邮件</t>
    <phoneticPr fontId="51" type="noConversion"/>
  </si>
  <si>
    <t>网站</t>
    <phoneticPr fontId="51" type="noConversion"/>
  </si>
  <si>
    <r>
      <rPr>
        <sz val="12"/>
        <rFont val="宋体"/>
        <family val="3"/>
        <charset val="134"/>
      </rPr>
      <t>16002</t>
    </r>
    <phoneticPr fontId="51" type="noConversion"/>
  </si>
  <si>
    <t>陈金盾</t>
    <phoneticPr fontId="51" type="noConversion"/>
  </si>
  <si>
    <t>91350200705439611X</t>
    <phoneticPr fontId="51" type="noConversion"/>
  </si>
  <si>
    <t>2981045@163.com</t>
    <phoneticPr fontId="51" type="noConversion"/>
  </si>
  <si>
    <t>www.mz-tax.com</t>
    <phoneticPr fontId="51" type="noConversion"/>
  </si>
  <si>
    <t>xm-baibang@163.com</t>
  </si>
  <si>
    <t>www.baibangcpa.com</t>
  </si>
  <si>
    <r>
      <t>0</t>
    </r>
    <r>
      <rPr>
        <sz val="12"/>
        <rFont val="宋体"/>
        <family val="3"/>
        <charset val="134"/>
      </rPr>
      <t>592-</t>
    </r>
    <r>
      <rPr>
        <sz val="12"/>
        <rFont val="宋体"/>
        <family val="3"/>
        <charset val="134"/>
      </rPr>
      <t>5881033</t>
    </r>
    <phoneticPr fontId="51" type="noConversion"/>
  </si>
  <si>
    <r>
      <t>0592-</t>
    </r>
    <r>
      <rPr>
        <sz val="12"/>
        <rFont val="宋体"/>
        <family val="3"/>
        <charset val="134"/>
      </rPr>
      <t>58810</t>
    </r>
    <r>
      <rPr>
        <sz val="12"/>
        <rFont val="宋体"/>
        <family val="3"/>
        <charset val="134"/>
      </rPr>
      <t>50</t>
    </r>
    <phoneticPr fontId="51" type="noConversion"/>
  </si>
  <si>
    <t>0592-2988712</t>
    <phoneticPr fontId="51" type="noConversion"/>
  </si>
  <si>
    <t>厦门市思明区湖滨南路388号国贸大厦41楼B、C单元</t>
    <phoneticPr fontId="51" type="noConversion"/>
  </si>
  <si>
    <t>厦门市思明区湖滨南路388号国贸大厦41B3单元</t>
    <phoneticPr fontId="51" type="noConversion"/>
  </si>
  <si>
    <t>传真：</t>
    <phoneticPr fontId="51" type="noConversion"/>
  </si>
  <si>
    <t>企业所得税年度纳税申报审核报告说明</t>
    <phoneticPr fontId="51" type="noConversion"/>
  </si>
  <si>
    <t>企业所得税汇算清缴纳税申报审核报告</t>
    <phoneticPr fontId="51" type="noConversion"/>
  </si>
  <si>
    <t>社会保障性缴款和住房公积金审核表</t>
    <phoneticPr fontId="51" type="noConversion"/>
  </si>
  <si>
    <t>审核报告意见</t>
  </si>
  <si>
    <t>审核报告意见</t>
    <phoneticPr fontId="51" type="noConversion"/>
  </si>
  <si>
    <t>1、本报告仅供贵单位向主管税务机关办理企业所得税年度纳税申报时使用，不作其他用途。因使用不当造成的后果，与执行本审核业务的税务师事务所及其注册税务师无关。</t>
    <phoneticPr fontId="51" type="noConversion"/>
  </si>
  <si>
    <t>审核调整额</t>
    <phoneticPr fontId="51" type="noConversion"/>
  </si>
  <si>
    <t>审核确认额</t>
    <phoneticPr fontId="51" type="noConversion"/>
  </si>
  <si>
    <t>本期审核后主营业务收入</t>
    <phoneticPr fontId="51" type="noConversion"/>
  </si>
  <si>
    <t>本期审核后其他业务收入</t>
    <phoneticPr fontId="51" type="noConversion"/>
  </si>
  <si>
    <t>本期审核后视同销售收入</t>
    <phoneticPr fontId="51" type="noConversion"/>
  </si>
  <si>
    <t>本期审核后销售（营业）收入</t>
    <phoneticPr fontId="51" type="noConversion"/>
  </si>
  <si>
    <r>
      <t>本期审核后销售（营业）收入</t>
    </r>
    <r>
      <rPr>
        <sz val="10"/>
        <rFont val="Times New Roman"/>
        <family val="1"/>
      </rPr>
      <t>×5‰</t>
    </r>
    <phoneticPr fontId="51" type="noConversion"/>
  </si>
  <si>
    <t>审核提示：                                                                                                                                           1、填报数据来源为“管理费用”或其他成本费用科目二级明细科目记录各类社会保障性缴款和住房公积金支出的会计数据。填报时，应根据各类社会保障性缴款和住房公积金支出本年度累计发生额汇总后，再进行填报。                                                                                         2、税收金额的数据整理情况，在审核说明中列示。                                                                                                     3、对于退休、变动工作单位、死亡等三个限定条件之外的其他原因提取或转移企业年金，应做纳税调整增加处理。
4、超过规定的标准和比例缴付的基本养老保险费、基本医疗保险费、失业保险费和住房公积金，应将超过部分并入个人当期的工资、薪金收入，计征个人所得税。
5、补充养老保险、补充医疗保险分别在不超过职工工资总额5%标准内的部分，在计算应纳税所得额时准予扣除。各省市自行规定不同比例标准的不予认可。</t>
  </si>
  <si>
    <t>审核金额</t>
  </si>
  <si>
    <t>涉税审核业务其他信息</t>
  </si>
  <si>
    <t>审核业务合同号</t>
  </si>
  <si>
    <t>本次审核收费金额（元）</t>
  </si>
  <si>
    <t>企业所得税汇算清缴纳税申报审核报告（其他企业）</t>
  </si>
  <si>
    <t>审核基本情况</t>
    <phoneticPr fontId="51" type="noConversion"/>
  </si>
  <si>
    <t>审核年度</t>
    <phoneticPr fontId="51" type="noConversion"/>
  </si>
  <si>
    <t>进行审核审核时间起</t>
  </si>
  <si>
    <t>进行审核审核时间止</t>
  </si>
  <si>
    <t>审核报告编号</t>
  </si>
  <si>
    <t>二、审核结论</t>
  </si>
  <si>
    <t>企业所得税汇算清缴纳税申报审核报告（保留意见）</t>
  </si>
  <si>
    <t xml:space="preserve">二、审核意见 </t>
  </si>
  <si>
    <t>企业所得税汇算清缴纳税申报审核报告（否定意见）</t>
  </si>
  <si>
    <t xml:space="preserve">    我们在审核过程中以职业怀疑态度、有计划地实施必要的审核程序，并根据重要性原则获取与审核对象相关的充分、适当的证据，并及时对制定的计划、实施的程序、获取的相关证据以及得出的结论作出记录。</t>
  </si>
  <si>
    <t xml:space="preserve">二、审核结论 </t>
  </si>
  <si>
    <t>企业所得税汇算清缴纳税申报审核报告（无保留意见）</t>
  </si>
  <si>
    <t>二、审核意见</t>
  </si>
  <si>
    <t>企业所得税汇算清缴纳税申报审核报告（无法表明意见）</t>
  </si>
  <si>
    <t>国税用户名</t>
    <phoneticPr fontId="51" type="noConversion"/>
  </si>
  <si>
    <t>地税用户名</t>
    <phoneticPr fontId="51" type="noConversion"/>
  </si>
  <si>
    <t>国税密码</t>
    <phoneticPr fontId="51" type="noConversion"/>
  </si>
  <si>
    <t>地税密码</t>
    <phoneticPr fontId="51" type="noConversion"/>
  </si>
  <si>
    <t>对外投资审核表</t>
    <phoneticPr fontId="51" type="noConversion"/>
  </si>
  <si>
    <t>短期投资</t>
    <phoneticPr fontId="51" type="noConversion"/>
  </si>
  <si>
    <t>长期投资</t>
    <phoneticPr fontId="51" type="noConversion"/>
  </si>
  <si>
    <t>股权比例</t>
    <phoneticPr fontId="51" type="noConversion"/>
  </si>
  <si>
    <t>对外投资</t>
    <phoneticPr fontId="51" type="noConversion"/>
  </si>
  <si>
    <t>借款审核表</t>
    <phoneticPr fontId="51" type="noConversion"/>
  </si>
  <si>
    <t>短期借款</t>
    <phoneticPr fontId="51" type="noConversion"/>
  </si>
  <si>
    <t>长期借款</t>
    <phoneticPr fontId="51" type="noConversion"/>
  </si>
  <si>
    <t>借款单位</t>
    <phoneticPr fontId="51" type="noConversion"/>
  </si>
  <si>
    <t>借款金额</t>
    <phoneticPr fontId="51" type="noConversion"/>
  </si>
  <si>
    <t>利率</t>
    <phoneticPr fontId="51" type="noConversion"/>
  </si>
  <si>
    <t>借款时间起</t>
    <phoneticPr fontId="51" type="noConversion"/>
  </si>
  <si>
    <t>借款时间止</t>
    <phoneticPr fontId="51" type="noConversion"/>
  </si>
  <si>
    <t>账载利息</t>
    <phoneticPr fontId="51" type="noConversion"/>
  </si>
  <si>
    <t>差异数</t>
    <phoneticPr fontId="51" type="noConversion"/>
  </si>
  <si>
    <t>本期应付利息</t>
    <phoneticPr fontId="51" type="noConversion"/>
  </si>
  <si>
    <t>期末存在</t>
    <phoneticPr fontId="51" type="noConversion"/>
  </si>
  <si>
    <t>借款</t>
    <phoneticPr fontId="51" type="noConversion"/>
  </si>
  <si>
    <t>长期投资</t>
  </si>
  <si>
    <t>35.序号10.1“其中：准予加计扣除的摊销额”：应当按照以前年度及本年度对应项目的资本化可加计扣除的研发费用率乘以当年度摊销额合计数填报。</t>
    <phoneticPr fontId="51" type="noConversion"/>
  </si>
  <si>
    <r>
      <t>34.序号10“十、研发项目形成无形资产当期摊销额</t>
    </r>
    <r>
      <rPr>
        <b/>
        <sz val="10"/>
        <rFont val="仿宋"/>
        <family val="3"/>
        <charset val="134"/>
      </rPr>
      <t>”：</t>
    </r>
    <r>
      <rPr>
        <sz val="10"/>
        <rFont val="仿宋"/>
        <family val="3"/>
        <charset val="134"/>
      </rPr>
      <t>应当按照以前年度及当期形成无形资产的研发项目当期摊销额填报；</t>
    </r>
    <r>
      <rPr>
        <sz val="11"/>
        <color indexed="8"/>
        <rFont val="宋体"/>
        <family val="3"/>
        <charset val="134"/>
      </rPr>
      <t/>
    </r>
    <phoneticPr fontId="51" type="noConversion"/>
  </si>
  <si>
    <t>33.序号9“九、当期费用化支出可加计扣除总额”：取自《“研发支出”辅助账汇总表》序号9第4行“结转管理费用”；</t>
    <phoneticPr fontId="150" type="noConversion"/>
  </si>
  <si>
    <t>32.序号8“八、允许加计扣除的研发费用中的第1至5类费用合计（1+2+3+4+5）”：取自《“研发支出”辅助账汇总表》序号8第4行“结转管理费用”；</t>
    <phoneticPr fontId="51" type="noConversion"/>
  </si>
  <si>
    <t>31.序号7.1“其中：委托境外进行研发活动所发生的费用（包括存在关联关系的委托研发）”：取自《“研发支出”辅助账汇总表》序号7.1第4行“结转管理费 用”；</t>
    <phoneticPr fontId="51" type="noConversion"/>
  </si>
  <si>
    <t>30.序号7“七、委托外部机构或个人进行研发活动所发生的费用”：取自《“研发支出”辅助账汇总表》序号7第4行“结转管理费 用”；</t>
    <phoneticPr fontId="51" type="noConversion"/>
  </si>
  <si>
    <t>29.序号6明细：取自《“研发支出”辅助账汇总表》序号6第4行“结转管理费用”明细，应当将明细名称一并填入；</t>
    <phoneticPr fontId="150" type="noConversion"/>
  </si>
  <si>
    <t>28.序号6“六、其他相关费用小计”：等于序号6明细的合计；</t>
    <phoneticPr fontId="51" type="noConversion"/>
  </si>
  <si>
    <t>27.序号5.4“勘探开发技术的现场试验费”：取自《“研发支出”辅助账汇总表》序号5.4第4行“结转管理费用”；</t>
    <phoneticPr fontId="150" type="noConversion"/>
  </si>
  <si>
    <t>26.序号5.3“新药研制的临床试验费”：取自《“研发支出”辅助账汇总表》序号5.3第4行“结转管理费用”；</t>
    <phoneticPr fontId="150" type="noConversion"/>
  </si>
  <si>
    <t>25.序号5.2“新工艺规程制定费”：取自《“研发支出”辅助账汇总表》序号5.2第4行“结转管理费用”；</t>
    <phoneticPr fontId="150" type="noConversion"/>
  </si>
  <si>
    <t>24.序号5.1“新产品设计费”：取自《“研发支出”辅助账汇总表》序号5.1第4行“结转管理费用”；</t>
    <phoneticPr fontId="150" type="noConversion"/>
  </si>
  <si>
    <t>23.序号5“五、新产品设计费等小计”：等于序号5.1至5.4的合计；</t>
    <phoneticPr fontId="51" type="noConversion"/>
  </si>
  <si>
    <t>22.序号4.3“用于研发活动的非专利技术（包括许可证、专有技术、设计和计算方法等）的摊销费用”：取自《“研发支出”辅助账汇总表》序号4.3第4行“结转管理费用”；</t>
    <phoneticPr fontId="150" type="noConversion"/>
  </si>
  <si>
    <t>21.序号4.2“用于研发活动的专利权的摊销费用”：取自《“研发支出”辅助账汇总表》序号4.2第4行“结转管理费用”；</t>
    <phoneticPr fontId="150" type="noConversion"/>
  </si>
  <si>
    <t>20.序号4.1“用于研发活动的软件的摊销费用”：取自《“研发支出”辅助账汇总表》序号4.1第4行“结转管理费用”；</t>
    <phoneticPr fontId="150" type="noConversion"/>
  </si>
  <si>
    <t>19.序号4“四、无形资产摊销小计”：等于序号4.1至4.3的合计；</t>
    <phoneticPr fontId="51" type="noConversion"/>
  </si>
  <si>
    <t>18.序号3.2“用于研发活动的设备的折旧费”：取自《“研发支出”辅助账汇总表》序号3.2第4行“结转管理费用”；</t>
    <phoneticPr fontId="150" type="noConversion"/>
  </si>
  <si>
    <t>17.序号3.1“用于研发活动的仪器的折旧费”：取自《“研发支出”辅助账汇总表》序号3.1第4行“结转管理费用”；</t>
    <phoneticPr fontId="150" type="noConversion"/>
  </si>
  <si>
    <t>16.序号3“三、折旧费用小计”：等于序号3.1加3.2；</t>
    <phoneticPr fontId="51" type="noConversion"/>
  </si>
  <si>
    <t>15.序号2.8“通过经营租赁方式租入的用于研发活动的仪器、设备租赁费”：取自《“研发支出”辅助账汇总表》序号2.8第4行“结转管理费用”；</t>
    <phoneticPr fontId="150" type="noConversion"/>
  </si>
  <si>
    <t>14.序号2.7“用于研发活动的仪器、设备的运行维护、调整、检验、维修等费用”：取自《“研发支出”辅助账汇总表》序号2.7第4行“结转管理费用”；</t>
    <phoneticPr fontId="150" type="noConversion"/>
  </si>
  <si>
    <t>13.序号2.6“用于试制产品的检验费”：取自《“研发支出”辅助账汇总表》序号2.6第4行“结转管理费用”；</t>
    <phoneticPr fontId="150" type="noConversion"/>
  </si>
  <si>
    <t>12.序号2.5“用于不构成固定资产的样品、样机及一般测试手段购置费”：取自《“研发支出”辅助账汇总表》序号2.5第4行“结转管理费用”；</t>
    <phoneticPr fontId="150" type="noConversion"/>
  </si>
  <si>
    <t>11.序号2.4“研发活动直接消耗材料用于中间试验和产品试制的模具、工艺装备开发及制造费”：取自《“研发支出”辅助账汇总 表》序号2.4第4行“结转管理费用”；</t>
    <phoneticPr fontId="150" type="noConversion"/>
  </si>
  <si>
    <t>10.序号2.3“研发活动直接消耗动力费用”：取自《“研发支出”辅助账汇总表》序号2.3第4行“结转管理费用”；</t>
    <phoneticPr fontId="150" type="noConversion"/>
  </si>
  <si>
    <t>9.序号2.2“研发活动直接消耗燃料”：取自《“研发支出”辅助账汇总表》序号2.2第4行“结转管理费用”；</t>
    <phoneticPr fontId="150" type="noConversion"/>
  </si>
  <si>
    <t>8.序号2.1“研发活动直接消耗材料”：取自《“研发支出”辅助账汇总表》序号2.1第4行“结转管理费用”；</t>
    <phoneticPr fontId="150" type="noConversion"/>
  </si>
  <si>
    <t>7.序号2“二、直接投入费用小计”：等于序号2.1至2.8的合计；</t>
    <phoneticPr fontId="51" type="noConversion"/>
  </si>
  <si>
    <t>6.序号1.3“2.外聘研发人员的劳务费用”：取自《“研发支出”辅助账汇总表》序号1.3第4行“结转管理费用”；</t>
    <phoneticPr fontId="150" type="noConversion"/>
  </si>
  <si>
    <t>5.序号1.2“1.直接从事研发活动人员五险一金”：取自《“研发支出”辅助账汇总表》序号1.2第4行“结转管理费用”；</t>
    <phoneticPr fontId="150" type="noConversion"/>
  </si>
  <si>
    <t>4.序号1.1“1.直接从事研发活动人员工资薪金”：取自《“研发支出”辅助账汇总表》序号1.1第4行“结转管理费用”；</t>
    <phoneticPr fontId="51" type="noConversion"/>
  </si>
  <si>
    <t>3.序号1“一、人员人工费用小计”：等于序号1.1至1.3的合计；</t>
    <phoneticPr fontId="51" type="noConversion"/>
  </si>
  <si>
    <t>2.本表应当按照“研发支出”辅助账汇总表填报；</t>
    <phoneticPr fontId="51" type="noConversion"/>
  </si>
  <si>
    <t>1.本表在企业所得税汇算清缴时随申报表一并报送；</t>
    <phoneticPr fontId="51" type="noConversion"/>
  </si>
  <si>
    <t>填表说明：</t>
    <phoneticPr fontId="51" type="noConversion"/>
  </si>
  <si>
    <t>十一、当期实际加计扣除总额（9+10.1）×50％</t>
    <phoneticPr fontId="51" type="noConversion"/>
  </si>
  <si>
    <t>其中：准予加计扣除的摊销额</t>
    <phoneticPr fontId="51" type="noConversion"/>
  </si>
  <si>
    <t>十、研发项目形成无形资产当期摊销额</t>
    <phoneticPr fontId="51" type="noConversion"/>
  </si>
  <si>
    <t>九、当期费用化支出可加计扣除总额</t>
    <phoneticPr fontId="51" type="noConversion"/>
  </si>
  <si>
    <t>其他相关费用限额=序号8×10％/(1-10％)</t>
    <phoneticPr fontId="51" type="noConversion"/>
  </si>
  <si>
    <t>八、允许加计扣除的研发费用中的第1至5类费用合计（1+2+3+4+5）</t>
    <phoneticPr fontId="51" type="noConversion"/>
  </si>
  <si>
    <t>其中：委托境外进行研发活动所发生的费用（包括存在关联关系的委托研发）</t>
    <phoneticPr fontId="51" type="noConversion"/>
  </si>
  <si>
    <t>七、委托外部机构或个人进行研发活动所发生的费用</t>
    <phoneticPr fontId="51" type="noConversion"/>
  </si>
  <si>
    <t>6.40</t>
  </si>
  <si>
    <t>6.39</t>
  </si>
  <si>
    <t>6.38</t>
  </si>
  <si>
    <t>6.37</t>
  </si>
  <si>
    <t>6.36</t>
  </si>
  <si>
    <t>6.35</t>
  </si>
  <si>
    <t>6.34</t>
  </si>
  <si>
    <t>6.33</t>
  </si>
  <si>
    <t>6.32</t>
  </si>
  <si>
    <t>6.31</t>
  </si>
  <si>
    <t>6.30</t>
  </si>
  <si>
    <t>6.29</t>
  </si>
  <si>
    <t>6.28</t>
  </si>
  <si>
    <t>6.27</t>
  </si>
  <si>
    <t>6.26</t>
  </si>
  <si>
    <t>6.25</t>
  </si>
  <si>
    <t>6.24</t>
  </si>
  <si>
    <t>6.23</t>
  </si>
  <si>
    <t>6.22</t>
  </si>
  <si>
    <t>6.21</t>
  </si>
  <si>
    <t>6.20</t>
  </si>
  <si>
    <t>6.19</t>
  </si>
  <si>
    <t>6.18</t>
  </si>
  <si>
    <t>6.17</t>
  </si>
  <si>
    <t>6.16</t>
  </si>
  <si>
    <t>6.15</t>
  </si>
  <si>
    <t>6.14</t>
  </si>
  <si>
    <t>6.13</t>
  </si>
  <si>
    <t>6.12</t>
  </si>
  <si>
    <t>6.11</t>
  </si>
  <si>
    <t>6.10</t>
  </si>
  <si>
    <t>6.9</t>
  </si>
  <si>
    <t>6.8</t>
  </si>
  <si>
    <t>6.7</t>
  </si>
  <si>
    <t>6.6</t>
  </si>
  <si>
    <t>6.5</t>
  </si>
  <si>
    <t>6.4</t>
  </si>
  <si>
    <t>6.3</t>
  </si>
  <si>
    <t>6.2</t>
  </si>
  <si>
    <t>6.1</t>
    <phoneticPr fontId="150" type="noConversion"/>
  </si>
  <si>
    <t>六、其他相关费用小计</t>
    <phoneticPr fontId="51" type="noConversion"/>
  </si>
  <si>
    <t>勘探开发技术的现场试验费</t>
    <phoneticPr fontId="51" type="noConversion"/>
  </si>
  <si>
    <t>新药研制的临床试验费</t>
    <phoneticPr fontId="51" type="noConversion"/>
  </si>
  <si>
    <t>新工艺规程制定费</t>
    <phoneticPr fontId="51" type="noConversion"/>
  </si>
  <si>
    <t>新产品设计费</t>
    <phoneticPr fontId="51" type="noConversion"/>
  </si>
  <si>
    <t>五、新产品设计费等小计</t>
    <phoneticPr fontId="51" type="noConversion"/>
  </si>
  <si>
    <t>用于研发活动的非专利技术（包括许可证、专有技术、设计和计算方法等）的摊销费用</t>
    <phoneticPr fontId="51" type="noConversion"/>
  </si>
  <si>
    <t>用于研发活动的专利权的摊销费用</t>
    <phoneticPr fontId="51" type="noConversion"/>
  </si>
  <si>
    <t>用于研发活动的软件的摊销费用</t>
    <phoneticPr fontId="51" type="noConversion"/>
  </si>
  <si>
    <t>四、无形资产摊销小计</t>
    <phoneticPr fontId="51" type="noConversion"/>
  </si>
  <si>
    <t>用于研发活动的设备的折旧费</t>
    <phoneticPr fontId="51" type="noConversion"/>
  </si>
  <si>
    <t>用于研发活动的仪器的折旧费</t>
    <phoneticPr fontId="51" type="noConversion"/>
  </si>
  <si>
    <t>三、折旧费用小计</t>
    <phoneticPr fontId="51" type="noConversion"/>
  </si>
  <si>
    <t>通过经营租赁方式租入的用于研发活动的仪器、设备租赁费</t>
    <phoneticPr fontId="51" type="noConversion"/>
  </si>
  <si>
    <t>用于研发活动的仪器、设备的运行维护、调整、检验、维修等费用</t>
    <phoneticPr fontId="51" type="noConversion"/>
  </si>
  <si>
    <t>用于试制产品的检验费</t>
    <phoneticPr fontId="51" type="noConversion"/>
  </si>
  <si>
    <t>用于不构成固定资产的样品、样机及一般测试手段购置费</t>
    <phoneticPr fontId="51" type="noConversion"/>
  </si>
  <si>
    <t>用于中间试验和产品试制的模具、工艺装备开发及制造费</t>
    <phoneticPr fontId="51" type="noConversion"/>
  </si>
  <si>
    <t>动力费用</t>
    <phoneticPr fontId="51" type="noConversion"/>
  </si>
  <si>
    <t>燃料</t>
    <phoneticPr fontId="51" type="noConversion"/>
  </si>
  <si>
    <t>材料</t>
    <phoneticPr fontId="51" type="noConversion"/>
  </si>
  <si>
    <t>研发活动直接消耗</t>
    <phoneticPr fontId="51" type="noConversion"/>
  </si>
  <si>
    <t>二、直接投入费用小计</t>
    <phoneticPr fontId="51" type="noConversion"/>
  </si>
  <si>
    <t>外聘研发人员的劳务费用</t>
    <phoneticPr fontId="51" type="noConversion"/>
  </si>
  <si>
    <t>五险一金</t>
    <phoneticPr fontId="51" type="noConversion"/>
  </si>
  <si>
    <t>工资薪金</t>
    <phoneticPr fontId="51" type="noConversion"/>
  </si>
  <si>
    <t>直接从事研发活动人员</t>
    <phoneticPr fontId="51" type="noConversion"/>
  </si>
  <si>
    <t>一、人员人工费用小计</t>
    <phoneticPr fontId="51" type="noConversion"/>
  </si>
  <si>
    <t>发生额</t>
    <phoneticPr fontId="51" type="noConversion"/>
  </si>
  <si>
    <t>项目</t>
    <phoneticPr fontId="51" type="noConversion"/>
  </si>
  <si>
    <t>序号</t>
    <phoneticPr fontId="51" type="noConversion"/>
  </si>
  <si>
    <t>金额单位：元(列至角分）</t>
    <phoneticPr fontId="51" type="noConversion"/>
  </si>
  <si>
    <t>研发项目可加计扣除研究开发费用情况归集表</t>
    <phoneticPr fontId="51" type="noConversion"/>
  </si>
  <si>
    <t>十一、当期实际加计扣除总额（9+10.1）×50％</t>
    <phoneticPr fontId="51" type="noConversion"/>
  </si>
  <si>
    <t>其中：准予加计扣除的摊销额</t>
    <phoneticPr fontId="51" type="noConversion"/>
  </si>
  <si>
    <t>十、研发项目形成无形资产当期摊销额</t>
    <phoneticPr fontId="51" type="noConversion"/>
  </si>
  <si>
    <t>九、当期费用化支出可加计扣除总额</t>
    <phoneticPr fontId="51" type="noConversion"/>
  </si>
  <si>
    <t>八、允许加计扣除的研发费用中的第1至5类费用合计（1+2+3+4+5）</t>
    <phoneticPr fontId="51" type="noConversion"/>
  </si>
  <si>
    <t>其中：委托境外进行研发活动所发生的费用（包括存在关联关系的委托研发）</t>
    <phoneticPr fontId="51" type="noConversion"/>
  </si>
  <si>
    <t>6.1</t>
    <phoneticPr fontId="150" type="noConversion"/>
  </si>
  <si>
    <t>六、其他相关费用小计</t>
    <phoneticPr fontId="51" type="noConversion"/>
  </si>
  <si>
    <t>勘探开发技术的现场试验费</t>
    <phoneticPr fontId="51" type="noConversion"/>
  </si>
  <si>
    <t>新药研制的临床试验费</t>
    <phoneticPr fontId="51" type="noConversion"/>
  </si>
  <si>
    <t>新工艺规程制定费</t>
    <phoneticPr fontId="51" type="noConversion"/>
  </si>
  <si>
    <t>新产品设计费</t>
    <phoneticPr fontId="51" type="noConversion"/>
  </si>
  <si>
    <t>五、新产品设计费等小计</t>
    <phoneticPr fontId="51" type="noConversion"/>
  </si>
  <si>
    <t>用于研发活动的非专利技术（包括许可证、专有技术、设计和计算方法等）的摊销费用</t>
    <phoneticPr fontId="51" type="noConversion"/>
  </si>
  <si>
    <t>用于研发活动的软件的摊销费用</t>
    <phoneticPr fontId="51" type="noConversion"/>
  </si>
  <si>
    <t>四、无形资产摊销小计</t>
    <phoneticPr fontId="51" type="noConversion"/>
  </si>
  <si>
    <t>用于研发活动的设备的折旧费</t>
    <phoneticPr fontId="51" type="noConversion"/>
  </si>
  <si>
    <t>用于研发活动的仪器的折旧费</t>
    <phoneticPr fontId="51" type="noConversion"/>
  </si>
  <si>
    <t>通过经营租赁方式租入的用于研发活动的仪器、设备租赁费</t>
    <phoneticPr fontId="51" type="noConversion"/>
  </si>
  <si>
    <t>用于研发活动的仪器、设备的运行维护、调整、检验、维修等费用</t>
    <phoneticPr fontId="51" type="noConversion"/>
  </si>
  <si>
    <t>用于试制产品的检验费</t>
    <phoneticPr fontId="51" type="noConversion"/>
  </si>
  <si>
    <t>用于不构成固定资产的样品、样机及一般测试手段购置费</t>
    <phoneticPr fontId="51" type="noConversion"/>
  </si>
  <si>
    <t>用于中间试验和产品试制的模具、工艺装备开发及制造费</t>
    <phoneticPr fontId="51" type="noConversion"/>
  </si>
  <si>
    <t>燃料</t>
    <phoneticPr fontId="51" type="noConversion"/>
  </si>
  <si>
    <t>材料</t>
    <phoneticPr fontId="51" type="noConversion"/>
  </si>
  <si>
    <t>研发活动直接消耗</t>
    <phoneticPr fontId="51" type="noConversion"/>
  </si>
  <si>
    <t>二、直接投入费用小计</t>
    <phoneticPr fontId="51" type="noConversion"/>
  </si>
  <si>
    <t>外聘研发人员的劳务费用</t>
    <phoneticPr fontId="51" type="noConversion"/>
  </si>
  <si>
    <t>五险一金</t>
    <phoneticPr fontId="51" type="noConversion"/>
  </si>
  <si>
    <t>工资薪金</t>
    <phoneticPr fontId="51" type="noConversion"/>
  </si>
  <si>
    <t>直接从事研发活动人员</t>
    <phoneticPr fontId="51" type="noConversion"/>
  </si>
  <si>
    <t>发生额</t>
    <phoneticPr fontId="51" type="noConversion"/>
  </si>
  <si>
    <t>项目</t>
    <phoneticPr fontId="51" type="noConversion"/>
  </si>
  <si>
    <t>金额单位：元(列至角分）</t>
    <phoneticPr fontId="51" type="noConversion"/>
  </si>
  <si>
    <t>研发项目可加计扣除研究开发费用情况归集表</t>
    <phoneticPr fontId="51" type="noConversion"/>
  </si>
  <si>
    <t>研发加计扣除归集审核表</t>
  </si>
  <si>
    <t>受控外国企业信息报告表</t>
  </si>
  <si>
    <t>非货币性资产投资递延纳税调整明细表</t>
  </si>
  <si>
    <t xml:space="preserve">企业重组所得税特殊性税务处理报告表 </t>
  </si>
  <si>
    <t>研发项目可加计扣除研究开发费用情况归集表</t>
  </si>
  <si>
    <t>企业重组所得税特殊性税务处理报告表</t>
  </si>
  <si>
    <t>研发加计扣除归集审核表</t>
    <phoneticPr fontId="51" type="noConversion"/>
  </si>
  <si>
    <t>V20170422</t>
    <phoneticPr fontId="51" type="noConversion"/>
  </si>
</sst>
</file>

<file path=xl/styles.xml><?xml version="1.0" encoding="utf-8"?>
<styleSheet xmlns="http://schemas.openxmlformats.org/spreadsheetml/2006/main" xmlns:mc="http://schemas.openxmlformats.org/markup-compatibility/2006" xmlns:x14ac="http://schemas.microsoft.com/office/spreadsheetml/2009/9/ac" mc:Ignorable="x14ac">
  <numFmts count="23">
    <numFmt numFmtId="43" formatCode="_ * #,##0.00_ ;_ * \-#,##0.00_ ;_ * &quot;-&quot;??_ ;_ @_ "/>
    <numFmt numFmtId="176" formatCode="_(* #,##0.00_);_(* \(#,##0.00\);_(* &quot;-&quot;??_);_(@_)"/>
    <numFmt numFmtId="177" formatCode="_-* #,##0.00_-;\-* #,##0.00_-;_-* &quot;-&quot;??_-;_-@_-"/>
    <numFmt numFmtId="178" formatCode="_-* #,##0_-;\-* #,##0_-;_-* \-_-;_-@_-"/>
    <numFmt numFmtId="179" formatCode="_-* #,##0.00_-;\-* #,##0.00_-;_-* \-??_-;_-@_-"/>
    <numFmt numFmtId="180" formatCode="_ * #,##0.00_ ;_ * \-#,##0.00_ ;_ * \-??_ ;_ @_ "/>
    <numFmt numFmtId="181" formatCode="_ * #,##0_ ;_ * \-#,##0_ ;_ * \-_ ;_ @_ "/>
    <numFmt numFmtId="182" formatCode="_ &quot;￥&quot;* #,##0.00_ ;_ &quot;￥&quot;* \-#,##0.00_ ;_ &quot;￥&quot;* \-??_ ;_ @_ "/>
    <numFmt numFmtId="183" formatCode="m/d;@"/>
    <numFmt numFmtId="184" formatCode="yyyy&quot;年&quot;m&quot;月&quot;;@"/>
    <numFmt numFmtId="185" formatCode="yyyy\-m\-d"/>
    <numFmt numFmtId="186" formatCode="#,##0.00_ "/>
    <numFmt numFmtId="187" formatCode="yyyy&quot;年&quot;m&quot;月&quot;d&quot;日&quot;;@"/>
    <numFmt numFmtId="188" formatCode="0.00_);[Red]\(0.00\)"/>
    <numFmt numFmtId="189" formatCode="0.00_ "/>
    <numFmt numFmtId="190" formatCode="_ * #,##0.00_ ;_ * \-#,##0.00_ ;_ * \-_ ;_ @_ "/>
    <numFmt numFmtId="191" formatCode="0_ "/>
    <numFmt numFmtId="192" formatCode="0_);[Red]\(0\)"/>
    <numFmt numFmtId="193" formatCode="0.0000_ "/>
    <numFmt numFmtId="194" formatCode="_ * #,##0.0000_ ;_ * \-#,##0.0000_ ;_ * \-??_ ;_ @_ "/>
    <numFmt numFmtId="195" formatCode="_-* #,##0_-;\-* #,##0_-;_-* &quot;-&quot;_-;_-@_-"/>
    <numFmt numFmtId="196" formatCode="yyyy/mm/dd"/>
    <numFmt numFmtId="197" formatCode="[$-F800]dddd\,\ mmmm\ dd\,\ yyyy"/>
  </numFmts>
  <fonts count="158">
    <font>
      <sz val="12"/>
      <name val="宋体"/>
      <charset val="134"/>
    </font>
    <font>
      <sz val="10"/>
      <name val="Arial"/>
      <family val="2"/>
    </font>
    <font>
      <sz val="10"/>
      <name val="宋体"/>
      <family val="3"/>
      <charset val="134"/>
    </font>
    <font>
      <sz val="10"/>
      <name val="Times New Roman"/>
      <family val="1"/>
    </font>
    <font>
      <sz val="12"/>
      <name val="바탕체"/>
      <family val="3"/>
    </font>
    <font>
      <u/>
      <sz val="12"/>
      <name val="宋体"/>
      <family val="3"/>
      <charset val="134"/>
    </font>
    <font>
      <b/>
      <sz val="22"/>
      <name val="宋体"/>
      <family val="3"/>
      <charset val="134"/>
    </font>
    <font>
      <b/>
      <sz val="18"/>
      <name val="宋体"/>
      <family val="3"/>
      <charset val="134"/>
    </font>
    <font>
      <sz val="18"/>
      <name val="宋体"/>
      <family val="3"/>
      <charset val="134"/>
    </font>
    <font>
      <b/>
      <sz val="18"/>
      <name val="楷体_GB2312"/>
      <family val="3"/>
      <charset val="134"/>
    </font>
    <font>
      <b/>
      <sz val="12"/>
      <name val="宋体"/>
      <family val="3"/>
      <charset val="134"/>
    </font>
    <font>
      <sz val="12"/>
      <color indexed="12"/>
      <name val="宋体"/>
      <family val="3"/>
      <charset val="134"/>
    </font>
    <font>
      <u/>
      <sz val="12"/>
      <color indexed="12"/>
      <name val="宋体"/>
      <family val="3"/>
      <charset val="134"/>
    </font>
    <font>
      <sz val="10"/>
      <color indexed="12"/>
      <name val="宋体"/>
      <family val="3"/>
      <charset val="134"/>
    </font>
    <font>
      <sz val="10"/>
      <name val="仿宋_GB2312"/>
      <family val="3"/>
      <charset val="134"/>
    </font>
    <font>
      <sz val="12"/>
      <name val="仿宋_GB2312"/>
      <family val="3"/>
      <charset val="134"/>
    </font>
    <font>
      <sz val="11"/>
      <name val="宋体"/>
      <family val="3"/>
      <charset val="134"/>
    </font>
    <font>
      <b/>
      <sz val="10"/>
      <color indexed="10"/>
      <name val="宋体"/>
      <family val="3"/>
      <charset val="134"/>
    </font>
    <font>
      <sz val="10"/>
      <color indexed="10"/>
      <name val="宋体"/>
      <family val="3"/>
      <charset val="134"/>
    </font>
    <font>
      <sz val="9"/>
      <color indexed="8"/>
      <name val="宋体"/>
      <family val="3"/>
      <charset val="134"/>
    </font>
    <font>
      <sz val="11"/>
      <color indexed="8"/>
      <name val="宋体"/>
      <family val="3"/>
      <charset val="134"/>
    </font>
    <font>
      <b/>
      <sz val="20"/>
      <name val="宋体"/>
      <family val="3"/>
      <charset val="134"/>
    </font>
    <font>
      <sz val="20"/>
      <name val="宋体"/>
      <family val="3"/>
      <charset val="134"/>
    </font>
    <font>
      <sz val="10.5"/>
      <name val="宋体"/>
      <family val="3"/>
      <charset val="134"/>
    </font>
    <font>
      <u/>
      <sz val="10.5"/>
      <name val="宋体"/>
      <family val="3"/>
      <charset val="134"/>
    </font>
    <font>
      <b/>
      <sz val="10"/>
      <name val="宋体"/>
      <family val="3"/>
      <charset val="134"/>
    </font>
    <font>
      <sz val="14"/>
      <name val="宋体"/>
      <family val="3"/>
      <charset val="134"/>
    </font>
    <font>
      <sz val="12"/>
      <name val="楷体_GB2312"/>
      <family val="3"/>
      <charset val="134"/>
    </font>
    <font>
      <sz val="11"/>
      <color indexed="59"/>
      <name val="宋体"/>
      <family val="3"/>
      <charset val="134"/>
    </font>
    <font>
      <sz val="9"/>
      <color indexed="63"/>
      <name val="宋体"/>
      <family val="3"/>
      <charset val="134"/>
    </font>
    <font>
      <sz val="12"/>
      <color indexed="63"/>
      <name val="宋体"/>
      <family val="3"/>
      <charset val="134"/>
    </font>
    <font>
      <b/>
      <sz val="24"/>
      <name val="宋体"/>
      <family val="3"/>
      <charset val="134"/>
    </font>
    <font>
      <sz val="12"/>
      <name val="Times New Roman"/>
      <family val="1"/>
    </font>
    <font>
      <sz val="16"/>
      <name val="宋体"/>
      <family val="3"/>
      <charset val="134"/>
    </font>
    <font>
      <u/>
      <sz val="16"/>
      <name val="宋体"/>
      <family val="3"/>
      <charset val="134"/>
    </font>
    <font>
      <u/>
      <sz val="11"/>
      <color indexed="8"/>
      <name val="Arial"/>
      <family val="2"/>
    </font>
    <font>
      <u/>
      <sz val="12"/>
      <name val="Arial Narrow"/>
      <family val="2"/>
    </font>
    <font>
      <u/>
      <sz val="14"/>
      <name val="宋体"/>
      <family val="3"/>
      <charset val="134"/>
    </font>
    <font>
      <u/>
      <sz val="11"/>
      <color indexed="8"/>
      <name val="宋体"/>
      <family val="3"/>
      <charset val="134"/>
    </font>
    <font>
      <sz val="12"/>
      <name val="Arial Narrow"/>
      <family val="2"/>
    </font>
    <font>
      <sz val="22"/>
      <name val="宋体"/>
      <family val="3"/>
      <charset val="134"/>
    </font>
    <font>
      <b/>
      <u/>
      <sz val="18"/>
      <name val="楷体_GB2312"/>
      <family val="3"/>
      <charset val="134"/>
    </font>
    <font>
      <sz val="10"/>
      <name val="Arial Narrow"/>
      <family val="2"/>
    </font>
    <font>
      <sz val="12"/>
      <color indexed="10"/>
      <name val="宋体"/>
      <family val="3"/>
      <charset val="134"/>
    </font>
    <font>
      <sz val="12"/>
      <color indexed="50"/>
      <name val="宋体"/>
      <family val="3"/>
      <charset val="134"/>
    </font>
    <font>
      <sz val="16"/>
      <color indexed="50"/>
      <name val="楷体_GB2312"/>
      <family val="3"/>
      <charset val="134"/>
    </font>
    <font>
      <sz val="12"/>
      <color indexed="8"/>
      <name val="宋体"/>
      <family val="3"/>
      <charset val="134"/>
    </font>
    <font>
      <u/>
      <sz val="12"/>
      <color indexed="50"/>
      <name val="宋体"/>
      <family val="3"/>
      <charset val="134"/>
    </font>
    <font>
      <sz val="10"/>
      <color indexed="10"/>
      <name val="Arial Narrow"/>
      <family val="2"/>
    </font>
    <font>
      <b/>
      <sz val="22"/>
      <name val="楷体_GB2312"/>
      <family val="3"/>
      <charset val="134"/>
    </font>
    <font>
      <u/>
      <sz val="10"/>
      <color indexed="12"/>
      <name val="宋体"/>
      <family val="3"/>
      <charset val="134"/>
    </font>
    <font>
      <sz val="9"/>
      <name val="宋体"/>
      <family val="3"/>
      <charset val="134"/>
    </font>
    <font>
      <sz val="10"/>
      <name val="Times New Roman"/>
      <family val="1"/>
    </font>
    <font>
      <sz val="10"/>
      <color indexed="8"/>
      <name val="宋体"/>
      <family val="3"/>
      <charset val="134"/>
    </font>
    <font>
      <sz val="10"/>
      <name val="楷体_GB2312"/>
      <family val="3"/>
      <charset val="134"/>
    </font>
    <font>
      <b/>
      <sz val="9"/>
      <name val="宋体"/>
      <family val="3"/>
      <charset val="134"/>
    </font>
    <font>
      <sz val="11"/>
      <name val="楷体_GB2312"/>
      <family val="3"/>
      <charset val="134"/>
    </font>
    <font>
      <sz val="10.5"/>
      <name val="仿宋_GB2312"/>
      <family val="3"/>
      <charset val="134"/>
    </font>
    <font>
      <b/>
      <sz val="18"/>
      <color indexed="10"/>
      <name val="微软雅黑"/>
      <family val="2"/>
      <charset val="134"/>
    </font>
    <font>
      <u/>
      <sz val="12"/>
      <color indexed="10"/>
      <name val="宋体"/>
      <family val="3"/>
      <charset val="134"/>
    </font>
    <font>
      <b/>
      <sz val="12"/>
      <color indexed="10"/>
      <name val="幼圆"/>
      <family val="3"/>
      <charset val="134"/>
    </font>
    <font>
      <sz val="10"/>
      <name val="幼圆"/>
      <family val="3"/>
      <charset val="134"/>
    </font>
    <font>
      <u/>
      <sz val="10"/>
      <color indexed="10"/>
      <name val="宋体"/>
      <family val="3"/>
      <charset val="134"/>
    </font>
    <font>
      <sz val="8"/>
      <name val="宋体"/>
      <family val="3"/>
      <charset val="134"/>
    </font>
    <font>
      <b/>
      <sz val="18"/>
      <color indexed="10"/>
      <name val="楷体_GB2312"/>
      <family val="3"/>
      <charset val="134"/>
    </font>
    <font>
      <sz val="18"/>
      <name val="楷体_GB2312"/>
      <family val="3"/>
      <charset val="134"/>
    </font>
    <font>
      <sz val="10"/>
      <color indexed="10"/>
      <name val="楷体_GB2312"/>
      <family val="3"/>
      <charset val="134"/>
    </font>
    <font>
      <b/>
      <sz val="16"/>
      <name val="宋体"/>
      <family val="3"/>
      <charset val="134"/>
    </font>
    <font>
      <b/>
      <sz val="14"/>
      <name val="宋体"/>
      <family val="3"/>
      <charset val="134"/>
    </font>
    <font>
      <b/>
      <sz val="12"/>
      <color indexed="8"/>
      <name val="宋体"/>
      <family val="3"/>
      <charset val="134"/>
    </font>
    <font>
      <b/>
      <sz val="10"/>
      <color indexed="8"/>
      <name val="宋体"/>
      <family val="3"/>
      <charset val="134"/>
    </font>
    <font>
      <sz val="9"/>
      <name val="Arial Narrow"/>
      <family val="2"/>
    </font>
    <font>
      <sz val="9"/>
      <color indexed="10"/>
      <name val="宋体"/>
      <family val="3"/>
      <charset val="134"/>
    </font>
    <font>
      <b/>
      <sz val="10"/>
      <name val="Arial Narrow"/>
      <family val="2"/>
    </font>
    <font>
      <sz val="12"/>
      <name val="宋体"/>
      <family val="3"/>
      <charset val="134"/>
    </font>
    <font>
      <sz val="10"/>
      <name val="宋体"/>
      <family val="3"/>
      <charset val="134"/>
    </font>
    <font>
      <u/>
      <sz val="10"/>
      <color indexed="12"/>
      <name val="Arial Narrow"/>
      <family val="2"/>
    </font>
    <font>
      <sz val="10"/>
      <name val="宋体"/>
      <family val="3"/>
      <charset val="134"/>
    </font>
    <font>
      <sz val="9"/>
      <name val="宋体"/>
      <family val="3"/>
      <charset val="134"/>
    </font>
    <font>
      <u/>
      <sz val="12"/>
      <color indexed="12"/>
      <name val="宋体"/>
      <family val="3"/>
      <charset val="134"/>
    </font>
    <font>
      <sz val="10.5"/>
      <name val="Times New Roman"/>
      <family val="1"/>
    </font>
    <font>
      <b/>
      <sz val="18"/>
      <name val="仿宋_GB2312"/>
      <family val="3"/>
      <charset val="134"/>
    </font>
    <font>
      <sz val="11"/>
      <color indexed="10"/>
      <name val="宋体"/>
      <family val="3"/>
      <charset val="134"/>
    </font>
    <font>
      <b/>
      <sz val="10"/>
      <color indexed="12"/>
      <name val="宋体"/>
      <family val="3"/>
      <charset val="134"/>
    </font>
    <font>
      <sz val="11"/>
      <color rgb="FF006100"/>
      <name val="宋体"/>
      <family val="2"/>
      <charset val="134"/>
      <scheme val="minor"/>
    </font>
    <font>
      <sz val="11"/>
      <color rgb="FF9C0006"/>
      <name val="宋体"/>
      <family val="2"/>
      <charset val="134"/>
      <scheme val="minor"/>
    </font>
    <font>
      <sz val="11"/>
      <color rgb="FF9C6500"/>
      <name val="宋体"/>
      <family val="2"/>
      <charset val="134"/>
      <scheme val="minor"/>
    </font>
    <font>
      <sz val="11"/>
      <color rgb="FF006100"/>
      <name val="宋体"/>
      <family val="3"/>
      <charset val="134"/>
      <scheme val="minor"/>
    </font>
    <font>
      <sz val="11"/>
      <color rgb="FF9C0006"/>
      <name val="宋体"/>
      <family val="3"/>
      <charset val="134"/>
      <scheme val="minor"/>
    </font>
    <font>
      <sz val="11"/>
      <color theme="1"/>
      <name val="宋体"/>
      <family val="3"/>
      <charset val="134"/>
      <scheme val="minor"/>
    </font>
    <font>
      <b/>
      <sz val="16"/>
      <color indexed="8"/>
      <name val="宋体"/>
      <family val="3"/>
      <charset val="134"/>
    </font>
    <font>
      <b/>
      <sz val="11"/>
      <color indexed="8"/>
      <name val="宋体"/>
      <family val="3"/>
      <charset val="134"/>
    </font>
    <font>
      <sz val="10"/>
      <color indexed="12"/>
      <name val="Times New Roman"/>
      <family val="1"/>
    </font>
    <font>
      <b/>
      <sz val="16"/>
      <color indexed="8"/>
      <name val="黑体"/>
      <family val="3"/>
      <charset val="134"/>
    </font>
    <font>
      <sz val="10.5"/>
      <color indexed="8"/>
      <name val="宋体"/>
      <family val="3"/>
      <charset val="134"/>
    </font>
    <font>
      <sz val="10.5"/>
      <color indexed="8"/>
      <name val="Times New Roman"/>
      <family val="1"/>
    </font>
    <font>
      <b/>
      <sz val="16"/>
      <name val="黑体"/>
      <family val="3"/>
      <charset val="134"/>
    </font>
    <font>
      <sz val="22"/>
      <name val="华文琥珀"/>
      <family val="3"/>
      <charset val="134"/>
    </font>
    <font>
      <sz val="12"/>
      <color rgb="FFFF0000"/>
      <name val="宋体"/>
      <family val="3"/>
      <charset val="134"/>
    </font>
    <font>
      <sz val="12"/>
      <color theme="8" tint="-0.499984740745262"/>
      <name val="宋体"/>
      <family val="3"/>
      <charset val="134"/>
    </font>
    <font>
      <sz val="12"/>
      <color theme="9" tint="-0.499984740745262"/>
      <name val="宋体"/>
      <family val="3"/>
      <charset val="134"/>
    </font>
    <font>
      <sz val="12"/>
      <color theme="9" tint="-0.249977111117893"/>
      <name val="宋体"/>
      <family val="3"/>
      <charset val="134"/>
    </font>
    <font>
      <sz val="12"/>
      <color theme="8" tint="-0.249977111117893"/>
      <name val="宋体"/>
      <family val="3"/>
      <charset val="134"/>
    </font>
    <font>
      <sz val="36"/>
      <color rgb="FF9C0006"/>
      <name val="宋体"/>
      <family val="2"/>
      <charset val="134"/>
      <scheme val="minor"/>
    </font>
    <font>
      <sz val="11"/>
      <name val="宋体"/>
      <family val="2"/>
      <charset val="134"/>
      <scheme val="minor"/>
    </font>
    <font>
      <sz val="11"/>
      <color rgb="FFFF0000"/>
      <name val="宋体"/>
      <family val="2"/>
      <charset val="134"/>
      <scheme val="minor"/>
    </font>
    <font>
      <b/>
      <sz val="12"/>
      <name val="Times New Roman"/>
      <family val="1"/>
    </font>
    <font>
      <sz val="14"/>
      <color indexed="8"/>
      <name val="宋体"/>
      <family val="3"/>
      <charset val="134"/>
    </font>
    <font>
      <sz val="14"/>
      <name val="Arial"/>
      <family val="2"/>
    </font>
    <font>
      <sz val="10"/>
      <color rgb="FFFF0000"/>
      <name val="宋体"/>
      <family val="3"/>
      <charset val="134"/>
    </font>
    <font>
      <sz val="12"/>
      <color theme="0"/>
      <name val="宋体"/>
      <family val="3"/>
      <charset val="134"/>
    </font>
    <font>
      <b/>
      <sz val="11"/>
      <name val="宋体"/>
      <family val="3"/>
      <charset val="134"/>
      <scheme val="minor"/>
    </font>
    <font>
      <sz val="10"/>
      <name val="宋体"/>
      <family val="3"/>
      <charset val="134"/>
      <scheme val="minor"/>
    </font>
    <font>
      <sz val="9"/>
      <color indexed="12"/>
      <name val="宋体"/>
      <family val="3"/>
      <charset val="134"/>
    </font>
    <font>
      <sz val="11"/>
      <color indexed="12"/>
      <name val="宋体"/>
      <family val="3"/>
      <charset val="134"/>
    </font>
    <font>
      <b/>
      <sz val="18"/>
      <color rgb="FFFF0000"/>
      <name val="Courier New"/>
      <family val="3"/>
    </font>
    <font>
      <b/>
      <sz val="18"/>
      <color rgb="FFFF0000"/>
      <name val="宋体"/>
      <family val="3"/>
      <charset val="134"/>
    </font>
    <font>
      <sz val="9"/>
      <name val="宋体"/>
      <family val="2"/>
      <charset val="134"/>
      <scheme val="minor"/>
    </font>
    <font>
      <b/>
      <sz val="18"/>
      <color indexed="8"/>
      <name val="方正小标宋简体"/>
      <family val="3"/>
      <charset val="134"/>
    </font>
    <font>
      <sz val="18"/>
      <color indexed="8"/>
      <name val="方正小标宋简体"/>
      <family val="3"/>
      <charset val="134"/>
    </font>
    <font>
      <b/>
      <sz val="10.5"/>
      <name val="宋体"/>
      <family val="3"/>
      <charset val="134"/>
    </font>
    <font>
      <sz val="12"/>
      <color theme="1"/>
      <name val="宋体"/>
      <family val="3"/>
      <charset val="134"/>
      <scheme val="minor"/>
    </font>
    <font>
      <sz val="10.5"/>
      <color indexed="8"/>
      <name val="仿宋_GB2312"/>
      <family val="3"/>
      <charset val="134"/>
    </font>
    <font>
      <sz val="14"/>
      <color indexed="8"/>
      <name val="仿宋_GB2312"/>
      <family val="3"/>
      <charset val="134"/>
    </font>
    <font>
      <b/>
      <sz val="14"/>
      <color indexed="8"/>
      <name val="仿宋_GB2312"/>
      <family val="3"/>
      <charset val="134"/>
    </font>
    <font>
      <sz val="14"/>
      <color indexed="8"/>
      <name val="Times New Roman"/>
      <family val="1"/>
    </font>
    <font>
      <vertAlign val="superscript"/>
      <sz val="10"/>
      <color indexed="12"/>
      <name val="宋体"/>
      <family val="3"/>
      <charset val="134"/>
    </font>
    <font>
      <b/>
      <sz val="14"/>
      <name val="楷体_GB2312"/>
      <family val="3"/>
      <charset val="134"/>
    </font>
    <font>
      <sz val="14"/>
      <name val="楷体_GB2312"/>
      <family val="3"/>
      <charset val="134"/>
    </font>
    <font>
      <u/>
      <sz val="12"/>
      <name val="仿宋_GB2312"/>
      <family val="3"/>
      <charset val="134"/>
    </font>
    <font>
      <sz val="14"/>
      <name val="仿宋_GB2312"/>
      <family val="3"/>
      <charset val="134"/>
    </font>
    <font>
      <b/>
      <sz val="12"/>
      <name val="楷体_GB2312"/>
      <family val="3"/>
      <charset val="134"/>
    </font>
    <font>
      <sz val="10"/>
      <color rgb="FFFF0000"/>
      <name val="Arial Narrow"/>
      <family val="2"/>
    </font>
    <font>
      <sz val="12"/>
      <color indexed="10"/>
      <name val="Buxton Sketch"/>
      <family val="4"/>
    </font>
    <font>
      <sz val="9"/>
      <color indexed="81"/>
      <name val="宋体"/>
      <family val="3"/>
      <charset val="134"/>
    </font>
    <font>
      <b/>
      <sz val="9"/>
      <color indexed="81"/>
      <name val="宋体"/>
      <family val="3"/>
      <charset val="134"/>
    </font>
    <font>
      <sz val="9"/>
      <name val="宋体"/>
      <family val="3"/>
      <charset val="134"/>
      <scheme val="minor"/>
    </font>
    <font>
      <sz val="8"/>
      <name val="宋体"/>
      <family val="3"/>
      <charset val="134"/>
      <scheme val="minor"/>
    </font>
    <font>
      <sz val="14"/>
      <color indexed="10"/>
      <name val="楷体_GB2312"/>
      <family val="3"/>
      <charset val="134"/>
    </font>
    <font>
      <b/>
      <sz val="13"/>
      <name val="宋体"/>
      <family val="3"/>
      <charset val="134"/>
    </font>
    <font>
      <sz val="12"/>
      <name val="新宋体"/>
      <family val="3"/>
      <charset val="134"/>
    </font>
    <font>
      <sz val="9"/>
      <name val="新宋体"/>
      <family val="3"/>
      <charset val="134"/>
    </font>
    <font>
      <b/>
      <sz val="18"/>
      <name val="新宋体"/>
      <family val="3"/>
      <charset val="134"/>
    </font>
    <font>
      <sz val="11"/>
      <name val="仿宋_GB2312"/>
      <family val="3"/>
      <charset val="134"/>
    </font>
    <font>
      <sz val="12"/>
      <color indexed="12"/>
      <name val="Times New Roman"/>
      <family val="1"/>
    </font>
    <font>
      <sz val="14"/>
      <name val="新宋体"/>
      <family val="3"/>
      <charset val="134"/>
    </font>
    <font>
      <sz val="11"/>
      <color indexed="8"/>
      <name val="Tahoma"/>
      <family val="2"/>
    </font>
    <font>
      <sz val="12"/>
      <name val="仿宋"/>
      <family val="3"/>
      <charset val="134"/>
    </font>
    <font>
      <sz val="10"/>
      <name val="仿宋"/>
      <family val="3"/>
      <charset val="134"/>
    </font>
    <font>
      <b/>
      <sz val="10"/>
      <name val="仿宋"/>
      <family val="3"/>
      <charset val="134"/>
    </font>
    <font>
      <sz val="9"/>
      <name val="Tahoma"/>
      <family val="2"/>
    </font>
    <font>
      <sz val="10"/>
      <color indexed="63"/>
      <name val="仿宋"/>
      <family val="3"/>
      <charset val="134"/>
    </font>
    <font>
      <b/>
      <sz val="10"/>
      <color indexed="8"/>
      <name val="仿宋"/>
      <family val="3"/>
      <charset val="134"/>
    </font>
    <font>
      <b/>
      <sz val="10"/>
      <color indexed="63"/>
      <name val="仿宋"/>
      <family val="3"/>
      <charset val="134"/>
    </font>
    <font>
      <sz val="10"/>
      <color indexed="8"/>
      <name val="仿宋"/>
      <family val="3"/>
      <charset val="134"/>
    </font>
    <font>
      <b/>
      <u/>
      <sz val="10"/>
      <name val="仿宋"/>
      <family val="3"/>
      <charset val="134"/>
    </font>
    <font>
      <b/>
      <sz val="16"/>
      <name val="仿宋"/>
      <family val="3"/>
      <charset val="134"/>
    </font>
    <font>
      <sz val="16"/>
      <name val="黑体"/>
      <family val="3"/>
      <charset val="134"/>
    </font>
  </fonts>
  <fills count="45">
    <fill>
      <patternFill patternType="none"/>
    </fill>
    <fill>
      <patternFill patternType="gray125"/>
    </fill>
    <fill>
      <patternFill patternType="solid">
        <fgColor indexed="42"/>
        <bgColor indexed="27"/>
      </patternFill>
    </fill>
    <fill>
      <patternFill patternType="solid">
        <fgColor indexed="22"/>
        <bgColor indexed="31"/>
      </patternFill>
    </fill>
    <fill>
      <patternFill patternType="solid">
        <fgColor indexed="9"/>
        <bgColor indexed="26"/>
      </patternFill>
    </fill>
    <fill>
      <patternFill patternType="solid">
        <fgColor indexed="44"/>
        <bgColor indexed="31"/>
      </patternFill>
    </fill>
    <fill>
      <patternFill patternType="solid">
        <fgColor indexed="47"/>
        <bgColor indexed="22"/>
      </patternFill>
    </fill>
    <fill>
      <patternFill patternType="solid">
        <fgColor indexed="19"/>
        <bgColor indexed="23"/>
      </patternFill>
    </fill>
    <fill>
      <patternFill patternType="solid">
        <fgColor indexed="8"/>
        <bgColor indexed="58"/>
      </patternFill>
    </fill>
    <fill>
      <patternFill patternType="solid">
        <fgColor indexed="55"/>
        <bgColor indexed="23"/>
      </patternFill>
    </fill>
    <fill>
      <patternFill patternType="solid">
        <fgColor indexed="45"/>
        <bgColor indexed="29"/>
      </patternFill>
    </fill>
    <fill>
      <patternFill patternType="solid">
        <fgColor indexed="10"/>
        <bgColor indexed="60"/>
      </patternFill>
    </fill>
    <fill>
      <patternFill patternType="solid">
        <fgColor indexed="44"/>
        <bgColor indexed="64"/>
      </patternFill>
    </fill>
    <fill>
      <patternFill patternType="solid">
        <fgColor indexed="22"/>
        <bgColor indexed="64"/>
      </patternFill>
    </fill>
    <fill>
      <patternFill patternType="solid">
        <fgColor indexed="42"/>
        <bgColor indexed="64"/>
      </patternFill>
    </fill>
    <fill>
      <patternFill patternType="solid">
        <fgColor indexed="9"/>
        <bgColor indexed="64"/>
      </patternFill>
    </fill>
    <fill>
      <patternFill patternType="solid">
        <fgColor theme="0" tint="-0.249977111117893"/>
        <bgColor indexed="64"/>
      </patternFill>
    </fill>
    <fill>
      <patternFill patternType="solid">
        <fgColor theme="0" tint="-0.249977111117893"/>
        <bgColor indexed="26"/>
      </patternFill>
    </fill>
    <fill>
      <patternFill patternType="solid">
        <fgColor rgb="FFC6EFCE"/>
      </patternFill>
    </fill>
    <fill>
      <patternFill patternType="solid">
        <fgColor rgb="FFFFC7CE"/>
      </patternFill>
    </fill>
    <fill>
      <patternFill patternType="solid">
        <fgColor rgb="FFFFEB9C"/>
      </patternFill>
    </fill>
    <fill>
      <patternFill patternType="solid">
        <fgColor indexed="29"/>
        <bgColor indexed="64"/>
      </patternFill>
    </fill>
    <fill>
      <patternFill patternType="solid">
        <fgColor rgb="FFFFFF00"/>
        <bgColor indexed="64"/>
      </patternFill>
    </fill>
    <fill>
      <patternFill patternType="solid">
        <fgColor theme="9" tint="0.59999389629810485"/>
        <bgColor indexed="64"/>
      </patternFill>
    </fill>
    <fill>
      <patternFill patternType="solid">
        <fgColor theme="8" tint="0.59999389629810485"/>
        <bgColor indexed="64"/>
      </patternFill>
    </fill>
    <fill>
      <patternFill patternType="solid">
        <fgColor rgb="FF99CCFF"/>
        <bgColor indexed="26"/>
      </patternFill>
    </fill>
    <fill>
      <patternFill patternType="solid">
        <fgColor rgb="FFFF0000"/>
        <bgColor indexed="64"/>
      </patternFill>
    </fill>
    <fill>
      <patternFill patternType="solid">
        <fgColor indexed="13"/>
        <bgColor indexed="64"/>
      </patternFill>
    </fill>
    <fill>
      <patternFill patternType="solid">
        <fgColor theme="0"/>
        <bgColor indexed="31"/>
      </patternFill>
    </fill>
    <fill>
      <patternFill patternType="solid">
        <fgColor theme="1"/>
        <bgColor indexed="64"/>
      </patternFill>
    </fill>
    <fill>
      <patternFill patternType="solid">
        <fgColor rgb="FFC0C0C0"/>
        <bgColor indexed="64"/>
      </patternFill>
    </fill>
    <fill>
      <patternFill patternType="solid">
        <fgColor rgb="FFC0C0C0"/>
        <bgColor indexed="31"/>
      </patternFill>
    </fill>
    <fill>
      <patternFill patternType="solid">
        <fgColor rgb="FF99CCFF"/>
        <bgColor indexed="64"/>
      </patternFill>
    </fill>
    <fill>
      <patternFill patternType="solid">
        <fgColor rgb="FFCCFFCC"/>
        <bgColor indexed="64"/>
      </patternFill>
    </fill>
    <fill>
      <patternFill patternType="solid">
        <fgColor rgb="FF808000"/>
        <bgColor indexed="31"/>
      </patternFill>
    </fill>
    <fill>
      <patternFill patternType="solid">
        <fgColor rgb="FFFFCC99"/>
        <bgColor indexed="64"/>
      </patternFill>
    </fill>
    <fill>
      <patternFill patternType="solid">
        <fgColor theme="0"/>
        <bgColor indexed="64"/>
      </patternFill>
    </fill>
    <fill>
      <patternFill patternType="solid">
        <fgColor rgb="FF808000"/>
        <bgColor indexed="64"/>
      </patternFill>
    </fill>
    <fill>
      <patternFill patternType="solid">
        <fgColor rgb="FF99CCFF"/>
        <bgColor indexed="22"/>
      </patternFill>
    </fill>
    <fill>
      <patternFill patternType="solid">
        <fgColor rgb="FFCCFFCC"/>
        <bgColor indexed="27"/>
      </patternFill>
    </fill>
    <fill>
      <patternFill patternType="solid">
        <fgColor rgb="FFCCFFCC"/>
        <bgColor indexed="26"/>
      </patternFill>
    </fill>
    <fill>
      <patternFill patternType="solid">
        <fgColor rgb="FFCCFFCC"/>
        <bgColor indexed="31"/>
      </patternFill>
    </fill>
    <fill>
      <patternFill patternType="solid">
        <fgColor rgb="FF99CCFF"/>
        <bgColor indexed="31"/>
      </patternFill>
    </fill>
    <fill>
      <patternFill patternType="solid">
        <fgColor indexed="41"/>
        <bgColor indexed="64"/>
      </patternFill>
    </fill>
    <fill>
      <patternFill patternType="solid">
        <fgColor indexed="41"/>
        <bgColor indexed="31"/>
      </patternFill>
    </fill>
  </fills>
  <borders count="238">
    <border>
      <left/>
      <right/>
      <top/>
      <bottom/>
      <diagonal/>
    </border>
    <border>
      <left style="thin">
        <color indexed="8"/>
      </left>
      <right/>
      <top/>
      <bottom/>
      <diagonal/>
    </border>
    <border>
      <left/>
      <right style="thin">
        <color indexed="8"/>
      </right>
      <top/>
      <bottom/>
      <diagonal/>
    </border>
    <border>
      <left style="thin">
        <color indexed="8"/>
      </left>
      <right style="thin">
        <color indexed="8"/>
      </right>
      <top style="thin">
        <color indexed="8"/>
      </top>
      <bottom style="thin">
        <color indexed="8"/>
      </bottom>
      <diagonal/>
    </border>
    <border>
      <left style="thin">
        <color indexed="8"/>
      </left>
      <right style="thin">
        <color indexed="8"/>
      </right>
      <top style="thin">
        <color indexed="8"/>
      </top>
      <bottom/>
      <diagonal/>
    </border>
    <border>
      <left/>
      <right style="thin">
        <color indexed="8"/>
      </right>
      <top style="thin">
        <color indexed="8"/>
      </top>
      <bottom style="thin">
        <color indexed="8"/>
      </bottom>
      <diagonal/>
    </border>
    <border>
      <left style="thin">
        <color indexed="8"/>
      </left>
      <right style="hair">
        <color indexed="8"/>
      </right>
      <top style="thin">
        <color indexed="8"/>
      </top>
      <bottom style="hair">
        <color indexed="8"/>
      </bottom>
      <diagonal/>
    </border>
    <border>
      <left style="thin">
        <color indexed="8"/>
      </left>
      <right style="hair">
        <color indexed="8"/>
      </right>
      <top style="hair">
        <color indexed="8"/>
      </top>
      <bottom style="hair">
        <color indexed="8"/>
      </bottom>
      <diagonal/>
    </border>
    <border>
      <left style="hair">
        <color indexed="8"/>
      </left>
      <right style="hair">
        <color indexed="8"/>
      </right>
      <top style="hair">
        <color indexed="8"/>
      </top>
      <bottom style="hair">
        <color indexed="8"/>
      </bottom>
      <diagonal/>
    </border>
    <border>
      <left style="hair">
        <color indexed="8"/>
      </left>
      <right style="thin">
        <color indexed="8"/>
      </right>
      <top style="hair">
        <color indexed="8"/>
      </top>
      <bottom style="hair">
        <color indexed="8"/>
      </bottom>
      <diagonal/>
    </border>
    <border>
      <left style="thin">
        <color indexed="8"/>
      </left>
      <right style="hair">
        <color indexed="8"/>
      </right>
      <top style="hair">
        <color indexed="8"/>
      </top>
      <bottom style="thin">
        <color indexed="8"/>
      </bottom>
      <diagonal/>
    </border>
    <border>
      <left style="hair">
        <color indexed="8"/>
      </left>
      <right style="thin">
        <color indexed="8"/>
      </right>
      <top style="thin">
        <color indexed="8"/>
      </top>
      <bottom style="hair">
        <color indexed="8"/>
      </bottom>
      <diagonal/>
    </border>
    <border>
      <left style="hair">
        <color indexed="8"/>
      </left>
      <right style="hair">
        <color indexed="8"/>
      </right>
      <top style="hair">
        <color indexed="8"/>
      </top>
      <bottom style="thin">
        <color indexed="8"/>
      </bottom>
      <diagonal/>
    </border>
    <border>
      <left style="thin">
        <color indexed="8"/>
      </left>
      <right/>
      <top style="thin">
        <color indexed="8"/>
      </top>
      <bottom style="hair">
        <color indexed="8"/>
      </bottom>
      <diagonal/>
    </border>
    <border>
      <left style="thin">
        <color indexed="8"/>
      </left>
      <right/>
      <top style="hair">
        <color indexed="8"/>
      </top>
      <bottom style="thin">
        <color indexed="8"/>
      </bottom>
      <diagonal/>
    </border>
    <border>
      <left/>
      <right style="hair">
        <color indexed="8"/>
      </right>
      <top style="hair">
        <color indexed="8"/>
      </top>
      <bottom style="hair">
        <color indexed="8"/>
      </bottom>
      <diagonal/>
    </border>
    <border>
      <left/>
      <right style="hair">
        <color indexed="8"/>
      </right>
      <top style="hair">
        <color indexed="8"/>
      </top>
      <bottom style="thin">
        <color indexed="8"/>
      </bottom>
      <diagonal/>
    </border>
    <border>
      <left style="hair">
        <color indexed="8"/>
      </left>
      <right/>
      <top style="hair">
        <color indexed="8"/>
      </top>
      <bottom style="thin">
        <color indexed="8"/>
      </bottom>
      <diagonal/>
    </border>
    <border>
      <left/>
      <right/>
      <top style="hair">
        <color indexed="8"/>
      </top>
      <bottom style="thin">
        <color indexed="8"/>
      </bottom>
      <diagonal/>
    </border>
    <border>
      <left style="hair">
        <color indexed="8"/>
      </left>
      <right style="hair">
        <color indexed="8"/>
      </right>
      <top style="thin">
        <color indexed="8"/>
      </top>
      <bottom style="hair">
        <color indexed="8"/>
      </bottom>
      <diagonal/>
    </border>
    <border>
      <left/>
      <right/>
      <top/>
      <bottom style="thin">
        <color indexed="8"/>
      </bottom>
      <diagonal/>
    </border>
    <border>
      <left/>
      <right/>
      <top style="thin">
        <color indexed="8"/>
      </top>
      <bottom style="thin">
        <color indexed="8"/>
      </bottom>
      <diagonal/>
    </border>
    <border>
      <left style="hair">
        <color indexed="8"/>
      </left>
      <right style="thin">
        <color indexed="8"/>
      </right>
      <top style="hair">
        <color indexed="8"/>
      </top>
      <bottom style="thin">
        <color indexed="8"/>
      </bottom>
      <diagonal/>
    </border>
    <border>
      <left style="hair">
        <color indexed="8"/>
      </left>
      <right/>
      <top style="hair">
        <color indexed="8"/>
      </top>
      <bottom style="hair">
        <color indexed="8"/>
      </bottom>
      <diagonal/>
    </border>
    <border>
      <left/>
      <right/>
      <top style="hair">
        <color indexed="8"/>
      </top>
      <bottom style="hair">
        <color indexed="8"/>
      </bottom>
      <diagonal/>
    </border>
    <border>
      <left/>
      <right style="thin">
        <color indexed="8"/>
      </right>
      <top style="hair">
        <color indexed="8"/>
      </top>
      <bottom style="hair">
        <color indexed="8"/>
      </bottom>
      <diagonal/>
    </border>
    <border>
      <left style="thin">
        <color indexed="8"/>
      </left>
      <right/>
      <top style="thin">
        <color indexed="8"/>
      </top>
      <bottom/>
      <diagonal/>
    </border>
    <border>
      <left/>
      <right/>
      <top style="thin">
        <color indexed="8"/>
      </top>
      <bottom/>
      <diagonal/>
    </border>
    <border>
      <left/>
      <right style="thin">
        <color indexed="8"/>
      </right>
      <top style="thin">
        <color indexed="8"/>
      </top>
      <bottom/>
      <diagonal/>
    </border>
    <border>
      <left style="thin">
        <color indexed="8"/>
      </left>
      <right/>
      <top/>
      <bottom style="thin">
        <color indexed="8"/>
      </bottom>
      <diagonal/>
    </border>
    <border>
      <left style="thin">
        <color indexed="8"/>
      </left>
      <right/>
      <top style="thin">
        <color indexed="8"/>
      </top>
      <bottom style="thin">
        <color indexed="8"/>
      </bottom>
      <diagonal/>
    </border>
    <border>
      <left style="thin">
        <color indexed="8"/>
      </left>
      <right style="thin">
        <color indexed="8"/>
      </right>
      <top/>
      <bottom style="thin">
        <color indexed="8"/>
      </bottom>
      <diagonal/>
    </border>
    <border>
      <left style="thin">
        <color indexed="8"/>
      </left>
      <right style="thin">
        <color indexed="8"/>
      </right>
      <top/>
      <bottom/>
      <diagonal/>
    </border>
    <border>
      <left style="thin">
        <color indexed="8"/>
      </left>
      <right style="hair">
        <color indexed="8"/>
      </right>
      <top style="thin">
        <color indexed="8"/>
      </top>
      <bottom style="thin">
        <color indexed="8"/>
      </bottom>
      <diagonal/>
    </border>
    <border>
      <left style="hair">
        <color indexed="8"/>
      </left>
      <right style="hair">
        <color indexed="8"/>
      </right>
      <top style="thin">
        <color indexed="8"/>
      </top>
      <bottom style="thin">
        <color indexed="8"/>
      </bottom>
      <diagonal/>
    </border>
    <border>
      <left style="hair">
        <color indexed="8"/>
      </left>
      <right style="thin">
        <color indexed="8"/>
      </right>
      <top style="thin">
        <color indexed="8"/>
      </top>
      <bottom style="thin">
        <color indexed="8"/>
      </bottom>
      <diagonal/>
    </border>
    <border>
      <left style="thin">
        <color indexed="8"/>
      </left>
      <right/>
      <top style="hair">
        <color indexed="8"/>
      </top>
      <bottom style="hair">
        <color indexed="8"/>
      </bottom>
      <diagonal/>
    </border>
    <border>
      <left/>
      <right style="thin">
        <color indexed="8"/>
      </right>
      <top/>
      <bottom style="thin">
        <color indexed="8"/>
      </bottom>
      <diagonal/>
    </border>
    <border>
      <left/>
      <right/>
      <top/>
      <bottom style="medium">
        <color indexed="8"/>
      </bottom>
      <diagonal/>
    </border>
    <border>
      <left style="medium">
        <color indexed="8"/>
      </left>
      <right style="thin">
        <color indexed="8"/>
      </right>
      <top style="medium">
        <color indexed="8"/>
      </top>
      <bottom style="medium">
        <color indexed="8"/>
      </bottom>
      <diagonal/>
    </border>
    <border>
      <left/>
      <right style="medium">
        <color indexed="8"/>
      </right>
      <top/>
      <bottom/>
      <diagonal/>
    </border>
    <border>
      <left style="medium">
        <color indexed="8"/>
      </left>
      <right/>
      <top style="medium">
        <color indexed="8"/>
      </top>
      <bottom style="thin">
        <color indexed="8"/>
      </bottom>
      <diagonal/>
    </border>
    <border>
      <left style="thin">
        <color indexed="8"/>
      </left>
      <right style="thin">
        <color indexed="8"/>
      </right>
      <top style="medium">
        <color indexed="8"/>
      </top>
      <bottom style="thin">
        <color indexed="8"/>
      </bottom>
      <diagonal/>
    </border>
    <border>
      <left style="thin">
        <color indexed="8"/>
      </left>
      <right/>
      <top style="medium">
        <color indexed="8"/>
      </top>
      <bottom style="thin">
        <color indexed="8"/>
      </bottom>
      <diagonal/>
    </border>
    <border>
      <left style="thin">
        <color indexed="8"/>
      </left>
      <right style="medium">
        <color indexed="8"/>
      </right>
      <top style="medium">
        <color indexed="8"/>
      </top>
      <bottom style="thin">
        <color indexed="8"/>
      </bottom>
      <diagonal/>
    </border>
    <border>
      <left style="medium">
        <color indexed="8"/>
      </left>
      <right/>
      <top style="thin">
        <color indexed="8"/>
      </top>
      <bottom style="thin">
        <color indexed="8"/>
      </bottom>
      <diagonal/>
    </border>
    <border>
      <left style="thin">
        <color indexed="8"/>
      </left>
      <right style="medium">
        <color indexed="8"/>
      </right>
      <top style="thin">
        <color indexed="8"/>
      </top>
      <bottom style="thin">
        <color indexed="8"/>
      </bottom>
      <diagonal/>
    </border>
    <border>
      <left style="medium">
        <color indexed="8"/>
      </left>
      <right/>
      <top/>
      <bottom/>
      <diagonal/>
    </border>
    <border>
      <left style="medium">
        <color indexed="8"/>
      </left>
      <right/>
      <top/>
      <bottom style="thin">
        <color indexed="8"/>
      </bottom>
      <diagonal/>
    </border>
    <border>
      <left style="thin">
        <color indexed="8"/>
      </left>
      <right style="medium">
        <color indexed="8"/>
      </right>
      <top/>
      <bottom style="thin">
        <color indexed="8"/>
      </bottom>
      <diagonal/>
    </border>
    <border>
      <left style="medium">
        <color indexed="8"/>
      </left>
      <right/>
      <top style="thin">
        <color indexed="8"/>
      </top>
      <bottom style="medium">
        <color indexed="8"/>
      </bottom>
      <diagonal/>
    </border>
    <border>
      <left style="thin">
        <color indexed="8"/>
      </left>
      <right style="thin">
        <color indexed="8"/>
      </right>
      <top style="thin">
        <color indexed="8"/>
      </top>
      <bottom style="medium">
        <color indexed="8"/>
      </bottom>
      <diagonal/>
    </border>
    <border>
      <left style="thin">
        <color indexed="8"/>
      </left>
      <right/>
      <top style="thin">
        <color indexed="8"/>
      </top>
      <bottom style="medium">
        <color indexed="8"/>
      </bottom>
      <diagonal/>
    </border>
    <border>
      <left style="thin">
        <color indexed="8"/>
      </left>
      <right style="medium">
        <color indexed="8"/>
      </right>
      <top style="thin">
        <color indexed="8"/>
      </top>
      <bottom style="medium">
        <color indexed="8"/>
      </bottom>
      <diagonal/>
    </border>
    <border>
      <left style="thin">
        <color indexed="8"/>
      </left>
      <right style="medium">
        <color indexed="8"/>
      </right>
      <top style="thin">
        <color indexed="8"/>
      </top>
      <bottom/>
      <diagonal/>
    </border>
    <border>
      <left style="thin">
        <color indexed="8"/>
      </left>
      <right style="medium">
        <color indexed="8"/>
      </right>
      <top/>
      <bottom/>
      <diagonal/>
    </border>
    <border>
      <left style="medium">
        <color indexed="8"/>
      </left>
      <right/>
      <top style="thin">
        <color indexed="8"/>
      </top>
      <bottom/>
      <diagonal/>
    </border>
    <border>
      <left/>
      <right style="thin">
        <color indexed="8"/>
      </right>
      <top style="medium">
        <color indexed="8"/>
      </top>
      <bottom style="thin">
        <color indexed="8"/>
      </bottom>
      <diagonal/>
    </border>
    <border>
      <left/>
      <right style="thin">
        <color indexed="8"/>
      </right>
      <top style="thin">
        <color indexed="8"/>
      </top>
      <bottom style="medium">
        <color indexed="8"/>
      </bottom>
      <diagonal/>
    </border>
    <border>
      <left style="hair">
        <color indexed="8"/>
      </left>
      <right style="hair">
        <color indexed="8"/>
      </right>
      <top style="thin">
        <color indexed="8"/>
      </top>
      <bottom/>
      <diagonal/>
    </border>
    <border>
      <left style="hair">
        <color indexed="8"/>
      </left>
      <right/>
      <top style="thin">
        <color indexed="8"/>
      </top>
      <bottom/>
      <diagonal/>
    </border>
    <border>
      <left style="hair">
        <color indexed="8"/>
      </left>
      <right/>
      <top style="thin">
        <color indexed="8"/>
      </top>
      <bottom style="hair">
        <color indexed="8"/>
      </bottom>
      <diagonal/>
    </border>
    <border>
      <left style="hair">
        <color indexed="8"/>
      </left>
      <right/>
      <top/>
      <bottom style="hair">
        <color indexed="8"/>
      </bottom>
      <diagonal/>
    </border>
    <border>
      <left style="hair">
        <color indexed="8"/>
      </left>
      <right style="hair">
        <color indexed="8"/>
      </right>
      <top/>
      <bottom style="hair">
        <color indexed="8"/>
      </bottom>
      <diagonal/>
    </border>
    <border>
      <left style="hair">
        <color indexed="8"/>
      </left>
      <right/>
      <top/>
      <bottom/>
      <diagonal/>
    </border>
    <border>
      <left style="hair">
        <color indexed="8"/>
      </left>
      <right/>
      <top/>
      <bottom style="thin">
        <color indexed="8"/>
      </bottom>
      <diagonal/>
    </border>
    <border>
      <left/>
      <right style="hair">
        <color indexed="8"/>
      </right>
      <top style="thin">
        <color indexed="8"/>
      </top>
      <bottom style="hair">
        <color indexed="8"/>
      </bottom>
      <diagonal/>
    </border>
    <border>
      <left style="hair">
        <color indexed="8"/>
      </left>
      <right style="hair">
        <color indexed="8"/>
      </right>
      <top/>
      <bottom/>
      <diagonal/>
    </border>
    <border>
      <left style="hair">
        <color indexed="8"/>
      </left>
      <right style="hair">
        <color indexed="8"/>
      </right>
      <top style="hair">
        <color indexed="8"/>
      </top>
      <bottom/>
      <diagonal/>
    </border>
    <border>
      <left style="thin">
        <color indexed="8"/>
      </left>
      <right style="hair">
        <color indexed="8"/>
      </right>
      <top style="thin">
        <color indexed="8"/>
      </top>
      <bottom/>
      <diagonal/>
    </border>
    <border>
      <left style="hair">
        <color indexed="8"/>
      </left>
      <right style="thin">
        <color indexed="8"/>
      </right>
      <top style="thin">
        <color indexed="8"/>
      </top>
      <bottom/>
      <diagonal/>
    </border>
    <border>
      <left style="thin">
        <color indexed="8"/>
      </left>
      <right style="hair">
        <color indexed="8"/>
      </right>
      <top/>
      <bottom style="hair">
        <color indexed="8"/>
      </bottom>
      <diagonal/>
    </border>
    <border>
      <left style="hair">
        <color indexed="8"/>
      </left>
      <right style="thin">
        <color indexed="8"/>
      </right>
      <top/>
      <bottom style="hair">
        <color indexed="8"/>
      </bottom>
      <diagonal/>
    </border>
    <border>
      <left style="thin">
        <color indexed="8"/>
      </left>
      <right style="hair">
        <color indexed="8"/>
      </right>
      <top style="hair">
        <color indexed="8"/>
      </top>
      <bottom/>
      <diagonal/>
    </border>
    <border>
      <left style="hair">
        <color indexed="8"/>
      </left>
      <right style="thin">
        <color indexed="8"/>
      </right>
      <top style="hair">
        <color indexed="8"/>
      </top>
      <bottom/>
      <diagonal/>
    </border>
    <border>
      <left/>
      <right/>
      <top style="thin">
        <color indexed="8"/>
      </top>
      <bottom style="hair">
        <color indexed="8"/>
      </bottom>
      <diagonal/>
    </border>
    <border>
      <left/>
      <right/>
      <top style="hair">
        <color indexed="8"/>
      </top>
      <bottom/>
      <diagonal/>
    </border>
    <border>
      <left style="hair">
        <color indexed="8"/>
      </left>
      <right/>
      <top style="thin">
        <color indexed="8"/>
      </top>
      <bottom style="thin">
        <color indexed="8"/>
      </bottom>
      <diagonal/>
    </border>
    <border>
      <left style="hair">
        <color indexed="8"/>
      </left>
      <right style="thin">
        <color indexed="8"/>
      </right>
      <top/>
      <bottom/>
      <diagonal/>
    </border>
    <border>
      <left style="hair">
        <color indexed="8"/>
      </left>
      <right/>
      <top style="hair">
        <color indexed="8"/>
      </top>
      <bottom/>
      <diagonal/>
    </border>
    <border>
      <left/>
      <right style="thin">
        <color indexed="8"/>
      </right>
      <top style="thin">
        <color indexed="8"/>
      </top>
      <bottom style="hair">
        <color indexed="8"/>
      </bottom>
      <diagonal/>
    </border>
    <border>
      <left/>
      <right style="thin">
        <color indexed="8"/>
      </right>
      <top style="hair">
        <color indexed="8"/>
      </top>
      <bottom/>
      <diagonal/>
    </border>
    <border>
      <left/>
      <right style="hair">
        <color indexed="8"/>
      </right>
      <top style="thin">
        <color indexed="8"/>
      </top>
      <bottom style="thin">
        <color indexed="8"/>
      </bottom>
      <diagonal/>
    </border>
    <border>
      <left style="medium">
        <color indexed="8"/>
      </left>
      <right style="hair">
        <color indexed="8"/>
      </right>
      <top style="hair">
        <color indexed="8"/>
      </top>
      <bottom style="hair">
        <color indexed="8"/>
      </bottom>
      <diagonal/>
    </border>
    <border>
      <left style="hair">
        <color indexed="8"/>
      </left>
      <right style="medium">
        <color indexed="8"/>
      </right>
      <top style="hair">
        <color indexed="8"/>
      </top>
      <bottom style="hair">
        <color indexed="8"/>
      </bottom>
      <diagonal/>
    </border>
    <border>
      <left style="medium">
        <color indexed="8"/>
      </left>
      <right/>
      <top style="hair">
        <color indexed="8"/>
      </top>
      <bottom style="hair">
        <color indexed="8"/>
      </bottom>
      <diagonal/>
    </border>
    <border>
      <left style="medium">
        <color indexed="8"/>
      </left>
      <right style="hair">
        <color indexed="8"/>
      </right>
      <top style="hair">
        <color indexed="8"/>
      </top>
      <bottom style="medium">
        <color indexed="8"/>
      </bottom>
      <diagonal/>
    </border>
    <border>
      <left style="hair">
        <color indexed="8"/>
      </left>
      <right style="hair">
        <color indexed="8"/>
      </right>
      <top style="hair">
        <color indexed="8"/>
      </top>
      <bottom style="medium">
        <color indexed="8"/>
      </bottom>
      <diagonal/>
    </border>
    <border>
      <left style="hair">
        <color indexed="8"/>
      </left>
      <right style="medium">
        <color indexed="8"/>
      </right>
      <top style="hair">
        <color indexed="8"/>
      </top>
      <bottom style="medium">
        <color indexed="8"/>
      </bottom>
      <diagonal/>
    </border>
    <border>
      <left style="hair">
        <color indexed="8"/>
      </left>
      <right style="hair">
        <color indexed="8"/>
      </right>
      <top/>
      <bottom style="thin">
        <color indexed="8"/>
      </bottom>
      <diagonal/>
    </border>
    <border>
      <left style="hair">
        <color indexed="8"/>
      </left>
      <right style="thin">
        <color indexed="8"/>
      </right>
      <top/>
      <bottom style="thin">
        <color indexed="8"/>
      </bottom>
      <diagonal/>
    </border>
    <border>
      <left style="thin">
        <color indexed="8"/>
      </left>
      <right style="hair">
        <color indexed="8"/>
      </right>
      <top/>
      <bottom/>
      <diagonal/>
    </border>
    <border>
      <left style="medium">
        <color indexed="8"/>
      </left>
      <right style="medium">
        <color indexed="8"/>
      </right>
      <top style="medium">
        <color indexed="8"/>
      </top>
      <bottom style="medium">
        <color indexed="8"/>
      </bottom>
      <diagonal/>
    </border>
    <border>
      <left style="thin">
        <color indexed="64"/>
      </left>
      <right style="thin">
        <color indexed="64"/>
      </right>
      <top style="thin">
        <color indexed="64"/>
      </top>
      <bottom style="thin">
        <color indexed="64"/>
      </bottom>
      <diagonal/>
    </border>
    <border>
      <left style="thin">
        <color indexed="8"/>
      </left>
      <right style="thin">
        <color indexed="8"/>
      </right>
      <top style="hair">
        <color indexed="8"/>
      </top>
      <bottom style="hair">
        <color indexed="8"/>
      </bottom>
      <diagonal/>
    </border>
    <border>
      <left/>
      <right style="thin">
        <color indexed="8"/>
      </right>
      <top style="hair">
        <color indexed="8"/>
      </top>
      <bottom style="thin">
        <color indexed="8"/>
      </bottom>
      <diagonal/>
    </border>
    <border>
      <left style="thin">
        <color indexed="8"/>
      </left>
      <right style="thin">
        <color indexed="8"/>
      </right>
      <top style="thin">
        <color indexed="8"/>
      </top>
      <bottom style="hair">
        <color indexed="8"/>
      </bottom>
      <diagonal/>
    </border>
    <border>
      <left style="thin">
        <color indexed="8"/>
      </left>
      <right/>
      <top style="hair">
        <color indexed="8"/>
      </top>
      <bottom/>
      <diagonal/>
    </border>
    <border>
      <left style="thin">
        <color indexed="8"/>
      </left>
      <right style="thin">
        <color indexed="8"/>
      </right>
      <top style="hair">
        <color indexed="8"/>
      </top>
      <bottom style="thin">
        <color indexed="8"/>
      </bottom>
      <diagonal/>
    </border>
    <border>
      <left style="thin">
        <color indexed="8"/>
      </left>
      <right/>
      <top/>
      <bottom style="hair">
        <color indexed="8"/>
      </bottom>
      <diagonal/>
    </border>
    <border>
      <left style="thin">
        <color indexed="8"/>
      </left>
      <right style="thin">
        <color indexed="8"/>
      </right>
      <top/>
      <bottom style="hair">
        <color indexed="8"/>
      </bottom>
      <diagonal/>
    </border>
    <border>
      <left style="medium">
        <color indexed="8"/>
      </left>
      <right/>
      <top style="medium">
        <color indexed="8"/>
      </top>
      <bottom/>
      <diagonal/>
    </border>
    <border>
      <left style="medium">
        <color indexed="8"/>
      </left>
      <right/>
      <top style="medium">
        <color indexed="8"/>
      </top>
      <bottom style="medium">
        <color indexed="8"/>
      </bottom>
      <diagonal/>
    </border>
    <border>
      <left style="medium">
        <color indexed="8"/>
      </left>
      <right style="thin">
        <color indexed="8"/>
      </right>
      <top style="thin">
        <color indexed="8"/>
      </top>
      <bottom/>
      <diagonal/>
    </border>
    <border>
      <left/>
      <right style="hair">
        <color indexed="8"/>
      </right>
      <top/>
      <bottom style="thin">
        <color indexed="8"/>
      </bottom>
      <diagonal/>
    </border>
    <border>
      <left/>
      <right style="hair">
        <color indexed="8"/>
      </right>
      <top/>
      <bottom/>
      <diagonal/>
    </border>
    <border>
      <left/>
      <right style="hair">
        <color indexed="8"/>
      </right>
      <top style="thin">
        <color indexed="8"/>
      </top>
      <bottom/>
      <diagonal/>
    </border>
    <border>
      <left style="thin">
        <color indexed="8"/>
      </left>
      <right style="hair">
        <color indexed="8"/>
      </right>
      <top/>
      <bottom style="thin">
        <color indexed="8"/>
      </bottom>
      <diagonal/>
    </border>
    <border>
      <left/>
      <right style="thin">
        <color indexed="8"/>
      </right>
      <top/>
      <bottom style="hair">
        <color indexed="8"/>
      </bottom>
      <diagonal/>
    </border>
    <border>
      <left style="thin">
        <color indexed="64"/>
      </left>
      <right/>
      <top style="thin">
        <color indexed="64"/>
      </top>
      <bottom style="thin">
        <color indexed="64"/>
      </bottom>
      <diagonal/>
    </border>
    <border>
      <left/>
      <right style="thin">
        <color indexed="64"/>
      </right>
      <top style="thin">
        <color indexed="64"/>
      </top>
      <bottom style="thin">
        <color indexed="64"/>
      </bottom>
      <diagonal/>
    </border>
    <border>
      <left/>
      <right/>
      <top style="thin">
        <color indexed="64"/>
      </top>
      <bottom style="thin">
        <color indexed="64"/>
      </bottom>
      <diagonal/>
    </border>
    <border>
      <left style="thin">
        <color indexed="8"/>
      </left>
      <right/>
      <top style="thin">
        <color indexed="8"/>
      </top>
      <bottom style="thin">
        <color indexed="64"/>
      </bottom>
      <diagonal/>
    </border>
    <border>
      <left/>
      <right/>
      <top style="thin">
        <color indexed="8"/>
      </top>
      <bottom style="thin">
        <color indexed="64"/>
      </bottom>
      <diagonal/>
    </border>
    <border>
      <left/>
      <right style="thin">
        <color indexed="8"/>
      </right>
      <top style="thin">
        <color indexed="8"/>
      </top>
      <bottom style="thin">
        <color indexed="64"/>
      </bottom>
      <diagonal/>
    </border>
    <border>
      <left style="thin">
        <color indexed="64"/>
      </left>
      <right style="thin">
        <color indexed="64"/>
      </right>
      <top style="thin">
        <color indexed="64"/>
      </top>
      <bottom/>
      <diagonal/>
    </border>
    <border>
      <left style="thin">
        <color indexed="64"/>
      </left>
      <right style="thin">
        <color indexed="64"/>
      </right>
      <top/>
      <bottom style="thin">
        <color indexed="64"/>
      </bottom>
      <diagonal/>
    </border>
    <border>
      <left style="medium">
        <color indexed="8"/>
      </left>
      <right style="hair">
        <color indexed="8"/>
      </right>
      <top style="medium">
        <color indexed="8"/>
      </top>
      <bottom style="hair">
        <color indexed="8"/>
      </bottom>
      <diagonal/>
    </border>
    <border>
      <left style="thin">
        <color indexed="64"/>
      </left>
      <right style="thin">
        <color indexed="64"/>
      </right>
      <top/>
      <bottom/>
      <diagonal/>
    </border>
    <border>
      <left/>
      <right/>
      <top/>
      <bottom style="thin">
        <color indexed="64"/>
      </bottom>
      <diagonal/>
    </border>
    <border>
      <left style="thin">
        <color indexed="64"/>
      </left>
      <right/>
      <top style="thin">
        <color indexed="64"/>
      </top>
      <bottom/>
      <diagonal/>
    </border>
    <border>
      <left/>
      <right/>
      <top style="thin">
        <color indexed="64"/>
      </top>
      <bottom/>
      <diagonal/>
    </border>
    <border>
      <left/>
      <right style="thin">
        <color indexed="64"/>
      </right>
      <top style="thin">
        <color indexed="64"/>
      </top>
      <bottom/>
      <diagonal/>
    </border>
    <border>
      <left style="thin">
        <color indexed="64"/>
      </left>
      <right/>
      <top/>
      <bottom style="thin">
        <color indexed="64"/>
      </bottom>
      <diagonal/>
    </border>
    <border>
      <left/>
      <right style="thin">
        <color indexed="64"/>
      </right>
      <top/>
      <bottom style="thin">
        <color indexed="64"/>
      </bottom>
      <diagonal/>
    </border>
    <border>
      <left style="thin">
        <color indexed="64"/>
      </left>
      <right/>
      <top/>
      <bottom/>
      <diagonal/>
    </border>
    <border>
      <left/>
      <right/>
      <top/>
      <bottom style="medium">
        <color indexed="64"/>
      </bottom>
      <diagonal/>
    </border>
    <border>
      <left style="medium">
        <color indexed="64"/>
      </left>
      <right/>
      <top style="medium">
        <color indexed="64"/>
      </top>
      <bottom/>
      <diagonal/>
    </border>
    <border>
      <left/>
      <right/>
      <top style="medium">
        <color indexed="64"/>
      </top>
      <bottom/>
      <diagonal/>
    </border>
    <border>
      <left style="medium">
        <color indexed="64"/>
      </left>
      <right style="medium">
        <color indexed="64"/>
      </right>
      <top style="medium">
        <color indexed="64"/>
      </top>
      <bottom style="thin">
        <color indexed="64"/>
      </bottom>
      <diagonal/>
    </border>
    <border>
      <left style="medium">
        <color indexed="64"/>
      </left>
      <right style="medium">
        <color indexed="64"/>
      </right>
      <top style="thin">
        <color indexed="64"/>
      </top>
      <bottom/>
      <diagonal/>
    </border>
    <border>
      <left style="medium">
        <color indexed="64"/>
      </left>
      <right style="medium">
        <color indexed="64"/>
      </right>
      <top/>
      <bottom/>
      <diagonal/>
    </border>
    <border>
      <left style="medium">
        <color indexed="64"/>
      </left>
      <right style="thin">
        <color indexed="64"/>
      </right>
      <top style="thin">
        <color indexed="64"/>
      </top>
      <bottom style="thin">
        <color indexed="64"/>
      </bottom>
      <diagonal/>
    </border>
    <border>
      <left style="medium">
        <color indexed="64"/>
      </left>
      <right/>
      <top style="thin">
        <color indexed="64"/>
      </top>
      <bottom style="thin">
        <color indexed="64"/>
      </bottom>
      <diagonal/>
    </border>
    <border>
      <left style="thin">
        <color indexed="64"/>
      </left>
      <right/>
      <top style="thin">
        <color indexed="64"/>
      </top>
      <bottom style="medium">
        <color indexed="64"/>
      </bottom>
      <diagonal/>
    </border>
    <border>
      <left/>
      <right style="thin">
        <color indexed="64"/>
      </right>
      <top style="thin">
        <color indexed="64"/>
      </top>
      <bottom style="medium">
        <color indexed="64"/>
      </bottom>
      <diagonal/>
    </border>
    <border>
      <left style="thin">
        <color indexed="64"/>
      </left>
      <right style="thin">
        <color indexed="64"/>
      </right>
      <top style="thin">
        <color indexed="64"/>
      </top>
      <bottom style="medium">
        <color indexed="64"/>
      </bottom>
      <diagonal/>
    </border>
    <border>
      <left style="medium">
        <color indexed="64"/>
      </left>
      <right style="medium">
        <color indexed="64"/>
      </right>
      <top/>
      <bottom style="medium">
        <color indexed="64"/>
      </bottom>
      <diagonal/>
    </border>
    <border>
      <left/>
      <right style="hair">
        <color indexed="8"/>
      </right>
      <top style="hair">
        <color indexed="8"/>
      </top>
      <bottom/>
      <diagonal/>
    </border>
    <border>
      <left/>
      <right/>
      <top/>
      <bottom style="hair">
        <color indexed="8"/>
      </bottom>
      <diagonal/>
    </border>
    <border>
      <left/>
      <right style="hair">
        <color indexed="8"/>
      </right>
      <top/>
      <bottom style="hair">
        <color indexed="8"/>
      </bottom>
      <diagonal/>
    </border>
    <border>
      <left style="medium">
        <color indexed="8"/>
      </left>
      <right style="hair">
        <color indexed="8"/>
      </right>
      <top style="hair">
        <color indexed="8"/>
      </top>
      <bottom/>
      <diagonal/>
    </border>
    <border>
      <left style="hair">
        <color indexed="8"/>
      </left>
      <right style="medium">
        <color indexed="8"/>
      </right>
      <top style="hair">
        <color indexed="8"/>
      </top>
      <bottom/>
      <diagonal/>
    </border>
    <border>
      <left style="hair">
        <color indexed="8"/>
      </left>
      <right/>
      <top style="medium">
        <color indexed="8"/>
      </top>
      <bottom style="hair">
        <color indexed="8"/>
      </bottom>
      <diagonal/>
    </border>
    <border>
      <left style="hair">
        <color indexed="8"/>
      </left>
      <right/>
      <top style="hair">
        <color indexed="8"/>
      </top>
      <bottom style="medium">
        <color indexed="8"/>
      </bottom>
      <diagonal/>
    </border>
    <border>
      <left style="hair">
        <color indexed="8"/>
      </left>
      <right style="medium">
        <color indexed="8"/>
      </right>
      <top style="medium">
        <color indexed="8"/>
      </top>
      <bottom/>
      <diagonal/>
    </border>
    <border>
      <left style="hair">
        <color indexed="8"/>
      </left>
      <right style="medium">
        <color indexed="8"/>
      </right>
      <top/>
      <bottom style="hair">
        <color indexed="8"/>
      </bottom>
      <diagonal/>
    </border>
    <border>
      <left/>
      <right/>
      <top style="medium">
        <color indexed="8"/>
      </top>
      <bottom style="hair">
        <color indexed="8"/>
      </bottom>
      <diagonal/>
    </border>
    <border>
      <left/>
      <right style="hair">
        <color indexed="8"/>
      </right>
      <top style="medium">
        <color indexed="8"/>
      </top>
      <bottom style="hair">
        <color indexed="8"/>
      </bottom>
      <diagonal/>
    </border>
    <border>
      <left/>
      <right style="hair">
        <color indexed="8"/>
      </right>
      <top style="hair">
        <color indexed="8"/>
      </top>
      <bottom style="medium">
        <color indexed="8"/>
      </bottom>
      <diagonal/>
    </border>
    <border>
      <left style="hair">
        <color indexed="8"/>
      </left>
      <right/>
      <top style="medium">
        <color indexed="8"/>
      </top>
      <bottom/>
      <diagonal/>
    </border>
    <border>
      <left/>
      <right style="hair">
        <color indexed="8"/>
      </right>
      <top style="medium">
        <color indexed="8"/>
      </top>
      <bottom/>
      <diagonal/>
    </border>
    <border>
      <left style="hair">
        <color indexed="64"/>
      </left>
      <right style="hair">
        <color indexed="64"/>
      </right>
      <top style="hair">
        <color indexed="64"/>
      </top>
      <bottom style="hair">
        <color indexed="64"/>
      </bottom>
      <diagonal/>
    </border>
    <border>
      <left style="thin">
        <color indexed="64"/>
      </left>
      <right style="hair">
        <color indexed="64"/>
      </right>
      <top style="thin">
        <color indexed="64"/>
      </top>
      <bottom style="hair">
        <color indexed="64"/>
      </bottom>
      <diagonal/>
    </border>
    <border>
      <left style="hair">
        <color indexed="64"/>
      </left>
      <right style="hair">
        <color indexed="64"/>
      </right>
      <top style="thin">
        <color indexed="64"/>
      </top>
      <bottom style="hair">
        <color indexed="64"/>
      </bottom>
      <diagonal/>
    </border>
    <border>
      <left style="hair">
        <color indexed="64"/>
      </left>
      <right style="thin">
        <color indexed="64"/>
      </right>
      <top style="thin">
        <color indexed="64"/>
      </top>
      <bottom style="hair">
        <color indexed="64"/>
      </bottom>
      <diagonal/>
    </border>
    <border>
      <left style="thin">
        <color indexed="64"/>
      </left>
      <right style="hair">
        <color indexed="64"/>
      </right>
      <top style="hair">
        <color indexed="64"/>
      </top>
      <bottom style="hair">
        <color indexed="64"/>
      </bottom>
      <diagonal/>
    </border>
    <border>
      <left style="hair">
        <color indexed="64"/>
      </left>
      <right style="thin">
        <color indexed="64"/>
      </right>
      <top style="hair">
        <color indexed="64"/>
      </top>
      <bottom style="hair">
        <color indexed="64"/>
      </bottom>
      <diagonal/>
    </border>
    <border>
      <left style="thin">
        <color indexed="64"/>
      </left>
      <right style="hair">
        <color indexed="64"/>
      </right>
      <top style="hair">
        <color indexed="64"/>
      </top>
      <bottom style="thin">
        <color indexed="64"/>
      </bottom>
      <diagonal/>
    </border>
    <border>
      <left style="hair">
        <color indexed="64"/>
      </left>
      <right style="hair">
        <color indexed="64"/>
      </right>
      <top style="hair">
        <color indexed="64"/>
      </top>
      <bottom style="thin">
        <color indexed="64"/>
      </bottom>
      <diagonal/>
    </border>
    <border>
      <left style="hair">
        <color indexed="64"/>
      </left>
      <right style="thin">
        <color indexed="64"/>
      </right>
      <top style="hair">
        <color indexed="64"/>
      </top>
      <bottom style="thin">
        <color indexed="64"/>
      </bottom>
      <diagonal/>
    </border>
    <border>
      <left/>
      <right style="hair">
        <color indexed="64"/>
      </right>
      <top style="thin">
        <color indexed="64"/>
      </top>
      <bottom style="hair">
        <color indexed="64"/>
      </bottom>
      <diagonal/>
    </border>
    <border>
      <left/>
      <right style="hair">
        <color indexed="64"/>
      </right>
      <top style="hair">
        <color indexed="64"/>
      </top>
      <bottom style="hair">
        <color indexed="64"/>
      </bottom>
      <diagonal/>
    </border>
    <border diagonalDown="1">
      <left style="thin">
        <color indexed="64"/>
      </left>
      <right style="thin">
        <color indexed="64"/>
      </right>
      <top style="thin">
        <color indexed="64"/>
      </top>
      <bottom/>
      <diagonal style="thin">
        <color indexed="64"/>
      </diagonal>
    </border>
    <border>
      <left style="thin">
        <color indexed="64"/>
      </left>
      <right style="thin">
        <color indexed="64"/>
      </right>
      <top style="hair">
        <color indexed="64"/>
      </top>
      <bottom style="hair">
        <color indexed="64"/>
      </bottom>
      <diagonal/>
    </border>
    <border>
      <left style="thin">
        <color indexed="64"/>
      </left>
      <right/>
      <top style="hair">
        <color indexed="64"/>
      </top>
      <bottom style="hair">
        <color indexed="64"/>
      </bottom>
      <diagonal/>
    </border>
    <border>
      <left style="thin">
        <color indexed="64"/>
      </left>
      <right/>
      <top style="hair">
        <color indexed="64"/>
      </top>
      <bottom style="thin">
        <color indexed="64"/>
      </bottom>
      <diagonal/>
    </border>
    <border>
      <left/>
      <right style="hair">
        <color indexed="64"/>
      </right>
      <top style="hair">
        <color indexed="64"/>
      </top>
      <bottom style="thin">
        <color indexed="64"/>
      </bottom>
      <diagonal/>
    </border>
    <border>
      <left/>
      <right style="hair">
        <color indexed="64"/>
      </right>
      <top style="hair">
        <color indexed="64"/>
      </top>
      <bottom/>
      <diagonal/>
    </border>
    <border>
      <left style="hair">
        <color indexed="64"/>
      </left>
      <right style="hair">
        <color indexed="64"/>
      </right>
      <top style="hair">
        <color indexed="64"/>
      </top>
      <bottom/>
      <diagonal/>
    </border>
    <border>
      <left style="hair">
        <color indexed="64"/>
      </left>
      <right style="thin">
        <color indexed="64"/>
      </right>
      <top style="hair">
        <color indexed="64"/>
      </top>
      <bottom/>
      <diagonal/>
    </border>
    <border>
      <left style="medium">
        <color indexed="64"/>
      </left>
      <right style="medium">
        <color indexed="64"/>
      </right>
      <top style="medium">
        <color indexed="64"/>
      </top>
      <bottom/>
      <diagonal/>
    </border>
    <border>
      <left/>
      <right style="medium">
        <color indexed="64"/>
      </right>
      <top style="medium">
        <color indexed="64"/>
      </top>
      <bottom/>
      <diagonal/>
    </border>
    <border>
      <left style="medium">
        <color indexed="64"/>
      </left>
      <right/>
      <top/>
      <bottom/>
      <diagonal/>
    </border>
    <border>
      <left/>
      <right style="medium">
        <color indexed="64"/>
      </right>
      <top/>
      <bottom style="medium">
        <color indexed="64"/>
      </bottom>
      <diagonal/>
    </border>
    <border>
      <left style="medium">
        <color indexed="64"/>
      </left>
      <right/>
      <top/>
      <bottom style="medium">
        <color indexed="64"/>
      </bottom>
      <diagonal/>
    </border>
    <border>
      <left style="medium">
        <color indexed="64"/>
      </left>
      <right style="medium">
        <color indexed="64"/>
      </right>
      <top style="medium">
        <color indexed="64"/>
      </top>
      <bottom style="medium">
        <color indexed="64"/>
      </bottom>
      <diagonal/>
    </border>
    <border>
      <left style="medium">
        <color indexed="64"/>
      </left>
      <right/>
      <top style="medium">
        <color indexed="64"/>
      </top>
      <bottom style="medium">
        <color indexed="64"/>
      </bottom>
      <diagonal/>
    </border>
    <border>
      <left/>
      <right style="medium">
        <color indexed="64"/>
      </right>
      <top style="medium">
        <color indexed="64"/>
      </top>
      <bottom style="medium">
        <color indexed="64"/>
      </bottom>
      <diagonal/>
    </border>
    <border>
      <left style="medium">
        <color indexed="64"/>
      </left>
      <right style="thin">
        <color indexed="64"/>
      </right>
      <top style="medium">
        <color indexed="64"/>
      </top>
      <bottom style="medium">
        <color indexed="64"/>
      </bottom>
      <diagonal/>
    </border>
    <border>
      <left style="thin">
        <color indexed="64"/>
      </left>
      <right style="medium">
        <color indexed="64"/>
      </right>
      <top style="medium">
        <color indexed="64"/>
      </top>
      <bottom style="medium">
        <color indexed="64"/>
      </bottom>
      <diagonal/>
    </border>
    <border>
      <left/>
      <right style="medium">
        <color indexed="64"/>
      </right>
      <top/>
      <bottom/>
      <diagonal/>
    </border>
    <border>
      <left style="thin">
        <color indexed="64"/>
      </left>
      <right style="hair">
        <color indexed="64"/>
      </right>
      <top style="thin">
        <color indexed="64"/>
      </top>
      <bottom/>
      <diagonal/>
    </border>
    <border>
      <left style="hair">
        <color indexed="64"/>
      </left>
      <right style="hair">
        <color indexed="64"/>
      </right>
      <top style="thin">
        <color indexed="64"/>
      </top>
      <bottom/>
      <diagonal/>
    </border>
    <border>
      <left style="hair">
        <color indexed="64"/>
      </left>
      <right style="thin">
        <color indexed="64"/>
      </right>
      <top style="thin">
        <color indexed="64"/>
      </top>
      <bottom/>
      <diagonal/>
    </border>
    <border>
      <left style="thin">
        <color indexed="64"/>
      </left>
      <right style="hair">
        <color indexed="64"/>
      </right>
      <top/>
      <bottom/>
      <diagonal/>
    </border>
    <border>
      <left style="hair">
        <color indexed="64"/>
      </left>
      <right style="hair">
        <color indexed="64"/>
      </right>
      <top/>
      <bottom/>
      <diagonal/>
    </border>
    <border>
      <left style="hair">
        <color indexed="64"/>
      </left>
      <right style="thin">
        <color indexed="64"/>
      </right>
      <top/>
      <bottom/>
      <diagonal/>
    </border>
    <border>
      <left style="thin">
        <color indexed="64"/>
      </left>
      <right style="hair">
        <color indexed="64"/>
      </right>
      <top/>
      <bottom style="thin">
        <color indexed="64"/>
      </bottom>
      <diagonal/>
    </border>
    <border>
      <left style="hair">
        <color indexed="64"/>
      </left>
      <right style="hair">
        <color indexed="64"/>
      </right>
      <top/>
      <bottom style="thin">
        <color indexed="64"/>
      </bottom>
      <diagonal/>
    </border>
    <border>
      <left style="hair">
        <color indexed="64"/>
      </left>
      <right style="thin">
        <color indexed="64"/>
      </right>
      <top/>
      <bottom style="thin">
        <color indexed="64"/>
      </bottom>
      <diagonal/>
    </border>
    <border>
      <left style="hair">
        <color indexed="64"/>
      </left>
      <right/>
      <top style="hair">
        <color indexed="64"/>
      </top>
      <bottom style="hair">
        <color indexed="64"/>
      </bottom>
      <diagonal/>
    </border>
    <border>
      <left style="thick">
        <color indexed="64"/>
      </left>
      <right style="thick">
        <color indexed="64"/>
      </right>
      <top style="thick">
        <color indexed="64"/>
      </top>
      <bottom/>
      <diagonal/>
    </border>
    <border>
      <left style="thick">
        <color indexed="64"/>
      </left>
      <right/>
      <top style="thick">
        <color indexed="64"/>
      </top>
      <bottom style="medium">
        <color indexed="64"/>
      </bottom>
      <diagonal/>
    </border>
    <border>
      <left/>
      <right style="thick">
        <color indexed="64"/>
      </right>
      <top style="thick">
        <color indexed="64"/>
      </top>
      <bottom style="medium">
        <color indexed="64"/>
      </bottom>
      <diagonal/>
    </border>
    <border>
      <left style="thick">
        <color indexed="64"/>
      </left>
      <right style="thick">
        <color indexed="64"/>
      </right>
      <top/>
      <bottom style="medium">
        <color indexed="64"/>
      </bottom>
      <diagonal/>
    </border>
    <border>
      <left/>
      <right style="thick">
        <color indexed="64"/>
      </right>
      <top/>
      <bottom style="medium">
        <color indexed="64"/>
      </bottom>
      <diagonal/>
    </border>
    <border>
      <left style="thick">
        <color indexed="64"/>
      </left>
      <right style="thick">
        <color indexed="64"/>
      </right>
      <top/>
      <bottom style="thick">
        <color indexed="64"/>
      </bottom>
      <diagonal/>
    </border>
    <border>
      <left/>
      <right style="medium">
        <color indexed="64"/>
      </right>
      <top/>
      <bottom style="thick">
        <color indexed="64"/>
      </bottom>
      <diagonal/>
    </border>
    <border>
      <left/>
      <right style="thick">
        <color indexed="64"/>
      </right>
      <top/>
      <bottom style="thick">
        <color indexed="64"/>
      </bottom>
      <diagonal/>
    </border>
    <border>
      <left/>
      <right/>
      <top/>
      <bottom style="hair">
        <color auto="1"/>
      </bottom>
      <diagonal/>
    </border>
    <border>
      <left/>
      <right/>
      <top style="hair">
        <color auto="1"/>
      </top>
      <bottom style="hair">
        <color auto="1"/>
      </bottom>
      <diagonal/>
    </border>
    <border>
      <left style="hair">
        <color indexed="8"/>
      </left>
      <right/>
      <top style="thin">
        <color indexed="64"/>
      </top>
      <bottom/>
      <diagonal/>
    </border>
    <border>
      <left/>
      <right style="thin">
        <color indexed="8"/>
      </right>
      <top style="thin">
        <color indexed="64"/>
      </top>
      <bottom/>
      <diagonal/>
    </border>
    <border>
      <left style="thin">
        <color indexed="8"/>
      </left>
      <right/>
      <top/>
      <bottom style="thin">
        <color indexed="64"/>
      </bottom>
      <diagonal/>
    </border>
    <border>
      <left style="medium">
        <color indexed="64"/>
      </left>
      <right style="thin">
        <color indexed="64"/>
      </right>
      <top/>
      <bottom style="thin">
        <color indexed="64"/>
      </bottom>
      <diagonal/>
    </border>
    <border>
      <left/>
      <right style="thin">
        <color indexed="64"/>
      </right>
      <top/>
      <bottom/>
      <diagonal/>
    </border>
    <border>
      <left style="hair">
        <color indexed="64"/>
      </left>
      <right style="hair">
        <color indexed="64"/>
      </right>
      <top style="hair">
        <color indexed="64"/>
      </top>
      <bottom/>
      <diagonal/>
    </border>
    <border>
      <left style="hair">
        <color indexed="64"/>
      </left>
      <right style="hair">
        <color indexed="64"/>
      </right>
      <top/>
      <bottom style="hair">
        <color indexed="64"/>
      </bottom>
      <diagonal/>
    </border>
    <border>
      <left style="hair">
        <color indexed="64"/>
      </left>
      <right style="thin">
        <color indexed="64"/>
      </right>
      <top style="hair">
        <color indexed="64"/>
      </top>
      <bottom/>
      <diagonal/>
    </border>
    <border>
      <left style="thin">
        <color indexed="64"/>
      </left>
      <right style="hair">
        <color indexed="64"/>
      </right>
      <top style="hair">
        <color indexed="64"/>
      </top>
      <bottom/>
      <diagonal/>
    </border>
    <border>
      <left style="thin">
        <color indexed="64"/>
      </left>
      <right/>
      <top style="thin">
        <color indexed="64"/>
      </top>
      <bottom style="hair">
        <color indexed="64"/>
      </bottom>
      <diagonal/>
    </border>
    <border>
      <left/>
      <right/>
      <top style="thin">
        <color indexed="64"/>
      </top>
      <bottom style="hair">
        <color indexed="64"/>
      </bottom>
      <diagonal/>
    </border>
    <border>
      <left/>
      <right style="thin">
        <color indexed="64"/>
      </right>
      <top style="thin">
        <color indexed="64"/>
      </top>
      <bottom style="hair">
        <color indexed="64"/>
      </bottom>
      <diagonal/>
    </border>
    <border>
      <left style="hair">
        <color indexed="64"/>
      </left>
      <right/>
      <top style="thin">
        <color indexed="64"/>
      </top>
      <bottom/>
      <diagonal/>
    </border>
    <border>
      <left style="hair">
        <color indexed="64"/>
      </left>
      <right/>
      <top/>
      <bottom/>
      <diagonal/>
    </border>
    <border>
      <left style="hair">
        <color indexed="64"/>
      </left>
      <right/>
      <top/>
      <bottom style="thin">
        <color indexed="64"/>
      </bottom>
      <diagonal/>
    </border>
    <border>
      <left style="hair">
        <color indexed="8"/>
      </left>
      <right/>
      <top style="hair">
        <color indexed="8"/>
      </top>
      <bottom style="hair">
        <color indexed="8"/>
      </bottom>
      <diagonal/>
    </border>
    <border>
      <left/>
      <right style="thin">
        <color indexed="8"/>
      </right>
      <top style="hair">
        <color indexed="8"/>
      </top>
      <bottom style="hair">
        <color indexed="8"/>
      </bottom>
      <diagonal/>
    </border>
    <border>
      <left style="thin">
        <color indexed="8"/>
      </left>
      <right/>
      <top style="hair">
        <color indexed="8"/>
      </top>
      <bottom style="hair">
        <color indexed="8"/>
      </bottom>
      <diagonal/>
    </border>
    <border>
      <left/>
      <right/>
      <top style="hair">
        <color indexed="8"/>
      </top>
      <bottom style="hair">
        <color indexed="8"/>
      </bottom>
      <diagonal/>
    </border>
    <border>
      <left/>
      <right style="hair">
        <color indexed="64"/>
      </right>
      <top style="hair">
        <color indexed="8"/>
      </top>
      <bottom style="hair">
        <color indexed="8"/>
      </bottom>
      <diagonal/>
    </border>
    <border>
      <left/>
      <right style="thin">
        <color indexed="64"/>
      </right>
      <top style="hair">
        <color indexed="8"/>
      </top>
      <bottom style="hair">
        <color indexed="8"/>
      </bottom>
      <diagonal/>
    </border>
    <border>
      <left style="hair">
        <color indexed="8"/>
      </left>
      <right style="thin">
        <color indexed="8"/>
      </right>
      <top style="hair">
        <color indexed="8"/>
      </top>
      <bottom style="hair">
        <color indexed="8"/>
      </bottom>
      <diagonal/>
    </border>
    <border>
      <left style="hair">
        <color indexed="8"/>
      </left>
      <right style="thin">
        <color indexed="64"/>
      </right>
      <top style="hair">
        <color indexed="8"/>
      </top>
      <bottom style="hair">
        <color indexed="8"/>
      </bottom>
      <diagonal/>
    </border>
    <border>
      <left style="hair">
        <color indexed="8"/>
      </left>
      <right style="hair">
        <color indexed="8"/>
      </right>
      <top style="hair">
        <color indexed="8"/>
      </top>
      <bottom/>
      <diagonal/>
    </border>
    <border>
      <left style="hair">
        <color indexed="8"/>
      </left>
      <right style="hair">
        <color indexed="8"/>
      </right>
      <top style="hair">
        <color indexed="8"/>
      </top>
      <bottom style="thin">
        <color indexed="8"/>
      </bottom>
      <diagonal/>
    </border>
    <border>
      <left style="hair">
        <color indexed="8"/>
      </left>
      <right style="hair">
        <color indexed="8"/>
      </right>
      <top style="hair">
        <color indexed="8"/>
      </top>
      <bottom style="hair">
        <color indexed="8"/>
      </bottom>
      <diagonal/>
    </border>
    <border>
      <left style="hair">
        <color indexed="8"/>
      </left>
      <right style="thin">
        <color indexed="8"/>
      </right>
      <top style="hair">
        <color indexed="8"/>
      </top>
      <bottom style="thin">
        <color indexed="8"/>
      </bottom>
      <diagonal/>
    </border>
    <border>
      <left style="hair">
        <color indexed="8"/>
      </left>
      <right/>
      <top style="hair">
        <color indexed="8"/>
      </top>
      <bottom style="thin">
        <color indexed="8"/>
      </bottom>
      <diagonal/>
    </border>
    <border>
      <left/>
      <right style="hair">
        <color indexed="8"/>
      </right>
      <top style="hair">
        <color indexed="8"/>
      </top>
      <bottom style="thin">
        <color indexed="8"/>
      </bottom>
      <diagonal/>
    </border>
    <border>
      <left style="thin">
        <color indexed="64"/>
      </left>
      <right style="medium">
        <color indexed="64"/>
      </right>
      <top style="thin">
        <color indexed="64"/>
      </top>
      <bottom style="medium">
        <color indexed="64"/>
      </bottom>
      <diagonal/>
    </border>
    <border>
      <left style="medium">
        <color indexed="64"/>
      </left>
      <right style="thin">
        <color indexed="64"/>
      </right>
      <top style="thin">
        <color indexed="64"/>
      </top>
      <bottom style="medium">
        <color indexed="64"/>
      </bottom>
      <diagonal/>
    </border>
    <border>
      <left style="thin">
        <color indexed="64"/>
      </left>
      <right style="medium">
        <color indexed="64"/>
      </right>
      <top style="thin">
        <color indexed="64"/>
      </top>
      <bottom style="thin">
        <color indexed="64"/>
      </bottom>
      <diagonal/>
    </border>
    <border>
      <left style="thin">
        <color indexed="64"/>
      </left>
      <right style="medium">
        <color indexed="64"/>
      </right>
      <top style="medium">
        <color indexed="64"/>
      </top>
      <bottom style="thin">
        <color indexed="64"/>
      </bottom>
      <diagonal/>
    </border>
    <border>
      <left/>
      <right style="thin">
        <color indexed="64"/>
      </right>
      <top style="medium">
        <color indexed="64"/>
      </top>
      <bottom style="thin">
        <color indexed="64"/>
      </bottom>
      <diagonal/>
    </border>
    <border>
      <left style="thin">
        <color indexed="64"/>
      </left>
      <right/>
      <top style="medium">
        <color indexed="64"/>
      </top>
      <bottom style="thin">
        <color indexed="64"/>
      </bottom>
      <diagonal/>
    </border>
    <border>
      <left style="medium">
        <color indexed="64"/>
      </left>
      <right style="thin">
        <color indexed="64"/>
      </right>
      <top style="medium">
        <color indexed="64"/>
      </top>
      <bottom style="thin">
        <color indexed="64"/>
      </bottom>
      <diagonal/>
    </border>
  </borders>
  <cellStyleXfs count="11">
    <xf numFmtId="0" fontId="0" fillId="0" borderId="0">
      <alignment vertical="center"/>
    </xf>
    <xf numFmtId="9" fontId="74" fillId="0" borderId="0" applyFill="0" applyBorder="0" applyProtection="0">
      <alignment vertical="center"/>
    </xf>
    <xf numFmtId="0" fontId="12" fillId="0" borderId="0" applyNumberFormat="0" applyFill="0" applyBorder="0" applyProtection="0">
      <alignment vertical="center"/>
    </xf>
    <xf numFmtId="0" fontId="4" fillId="0" borderId="0"/>
    <xf numFmtId="180" fontId="74" fillId="0" borderId="0" applyFill="0" applyBorder="0" applyProtection="0">
      <alignment vertical="center"/>
    </xf>
    <xf numFmtId="181" fontId="74" fillId="0" borderId="0" applyFill="0" applyBorder="0" applyProtection="0">
      <alignment vertical="center"/>
    </xf>
    <xf numFmtId="0" fontId="84" fillId="18" borderId="0" applyNumberFormat="0" applyBorder="0" applyAlignment="0" applyProtection="0">
      <alignment vertical="center"/>
    </xf>
    <xf numFmtId="0" fontId="85" fillId="19" borderId="0" applyNumberFormat="0" applyBorder="0" applyAlignment="0" applyProtection="0">
      <alignment vertical="center"/>
    </xf>
    <xf numFmtId="0" fontId="86" fillId="20" borderId="0" applyNumberFormat="0" applyBorder="0" applyAlignment="0" applyProtection="0">
      <alignment vertical="center"/>
    </xf>
    <xf numFmtId="0" fontId="146" fillId="0" borderId="0">
      <alignment vertical="center"/>
    </xf>
    <xf numFmtId="43" fontId="146" fillId="0" borderId="0" applyFont="0" applyFill="0" applyBorder="0" applyAlignment="0" applyProtection="0">
      <alignment vertical="center"/>
    </xf>
  </cellStyleXfs>
  <cellXfs count="4120">
    <xf numFmtId="0" fontId="0" fillId="0" borderId="0" xfId="0">
      <alignment vertical="center"/>
    </xf>
    <xf numFmtId="0" fontId="13" fillId="0" borderId="8" xfId="2" applyFont="1" applyBorder="1" applyAlignment="1">
      <alignment horizontal="center" vertical="center"/>
    </xf>
    <xf numFmtId="0" fontId="0" fillId="0" borderId="1" xfId="0" applyBorder="1">
      <alignment vertical="center"/>
    </xf>
    <xf numFmtId="0" fontId="0" fillId="0" borderId="0" xfId="0">
      <alignment vertical="center"/>
    </xf>
    <xf numFmtId="0" fontId="0" fillId="0" borderId="0" xfId="0" applyBorder="1" applyAlignment="1" applyProtection="1">
      <protection locked="0"/>
    </xf>
    <xf numFmtId="0" fontId="0" fillId="0" borderId="0" xfId="0" applyFont="1" applyBorder="1" applyAlignment="1" applyProtection="1">
      <alignment horizontal="right"/>
      <protection locked="0"/>
    </xf>
    <xf numFmtId="0" fontId="0" fillId="0" borderId="0" xfId="0" applyBorder="1" applyProtection="1">
      <alignment vertical="center"/>
      <protection locked="0"/>
    </xf>
    <xf numFmtId="0" fontId="0" fillId="0" borderId="0" xfId="0" applyFont="1" applyBorder="1" applyAlignment="1" applyProtection="1">
      <protection locked="0"/>
    </xf>
    <xf numFmtId="0" fontId="0" fillId="0" borderId="0" xfId="0" applyBorder="1" applyAlignment="1" applyProtection="1">
      <alignment horizontal="center"/>
      <protection locked="0"/>
    </xf>
    <xf numFmtId="0" fontId="8" fillId="0" borderId="0" xfId="0" applyFont="1" applyBorder="1" applyAlignment="1" applyProtection="1">
      <alignment horizontal="left"/>
      <protection locked="0"/>
    </xf>
    <xf numFmtId="0" fontId="0" fillId="0" borderId="2" xfId="0" applyBorder="1" applyAlignment="1" applyProtection="1">
      <protection locked="0"/>
    </xf>
    <xf numFmtId="0" fontId="0" fillId="0" borderId="1" xfId="0" applyBorder="1" applyAlignment="1" applyProtection="1">
      <protection locked="0"/>
    </xf>
    <xf numFmtId="0" fontId="0" fillId="0" borderId="0" xfId="0" applyBorder="1">
      <alignment vertical="center"/>
    </xf>
    <xf numFmtId="0" fontId="0" fillId="0" borderId="0" xfId="0">
      <alignment vertical="center"/>
    </xf>
    <xf numFmtId="0" fontId="0" fillId="0" borderId="0" xfId="0" applyProtection="1">
      <alignment vertical="center"/>
      <protection locked="0"/>
    </xf>
    <xf numFmtId="0" fontId="0" fillId="2" borderId="3" xfId="0" applyFont="1" applyFill="1" applyBorder="1" applyAlignment="1" applyProtection="1">
      <alignment horizontal="center" vertical="center"/>
      <protection locked="0"/>
    </xf>
    <xf numFmtId="0" fontId="10" fillId="2" borderId="3" xfId="0" applyFont="1" applyFill="1" applyBorder="1" applyProtection="1">
      <alignment vertical="center"/>
      <protection locked="0"/>
    </xf>
    <xf numFmtId="0" fontId="0" fillId="2" borderId="3" xfId="0" applyFont="1" applyFill="1" applyBorder="1" applyProtection="1">
      <alignment vertical="center"/>
      <protection locked="0"/>
    </xf>
    <xf numFmtId="183" fontId="0" fillId="0" borderId="3" xfId="0" applyNumberFormat="1" applyFont="1" applyBorder="1" applyProtection="1">
      <alignment vertical="center"/>
      <protection locked="0"/>
    </xf>
    <xf numFmtId="183" fontId="0" fillId="2" borderId="3" xfId="0" applyNumberFormat="1" applyFont="1" applyFill="1" applyBorder="1" applyProtection="1">
      <alignment vertical="center"/>
      <protection locked="0"/>
    </xf>
    <xf numFmtId="49" fontId="0" fillId="0" borderId="3" xfId="0" applyNumberFormat="1" applyFont="1" applyBorder="1" applyAlignment="1" applyProtection="1">
      <alignment horizontal="center" vertical="center"/>
      <protection locked="0"/>
    </xf>
    <xf numFmtId="49" fontId="0" fillId="2" borderId="3" xfId="0" applyNumberFormat="1" applyFont="1" applyFill="1" applyBorder="1" applyAlignment="1" applyProtection="1">
      <alignment horizontal="center" vertical="center"/>
      <protection locked="0"/>
    </xf>
    <xf numFmtId="0" fontId="11" fillId="2" borderId="3" xfId="2" applyNumberFormat="1" applyFont="1" applyFill="1" applyBorder="1" applyProtection="1">
      <alignment vertical="center"/>
      <protection locked="0"/>
    </xf>
    <xf numFmtId="183" fontId="0" fillId="0" borderId="3" xfId="0" applyNumberFormat="1" applyFont="1" applyBorder="1" applyAlignment="1" applyProtection="1">
      <alignment horizontal="center" vertical="center"/>
      <protection locked="0"/>
    </xf>
    <xf numFmtId="0" fontId="0" fillId="0" borderId="3" xfId="0" applyFont="1" applyBorder="1" applyProtection="1">
      <alignment vertical="center"/>
      <protection locked="0"/>
    </xf>
    <xf numFmtId="183" fontId="10" fillId="2" borderId="3" xfId="0" applyNumberFormat="1" applyFont="1" applyFill="1" applyBorder="1" applyProtection="1">
      <alignment vertical="center"/>
      <protection locked="0"/>
    </xf>
    <xf numFmtId="49" fontId="10" fillId="0" borderId="3" xfId="0" applyNumberFormat="1" applyFont="1" applyBorder="1" applyProtection="1">
      <alignment vertical="center"/>
      <protection locked="0"/>
    </xf>
    <xf numFmtId="0" fontId="10" fillId="2" borderId="3" xfId="0" applyFont="1" applyFill="1" applyBorder="1" applyAlignment="1" applyProtection="1">
      <alignment vertical="center"/>
      <protection locked="0"/>
    </xf>
    <xf numFmtId="0" fontId="13" fillId="2" borderId="3" xfId="2" applyNumberFormat="1" applyFont="1" applyFill="1" applyBorder="1" applyProtection="1">
      <alignment vertical="center"/>
      <protection locked="0"/>
    </xf>
    <xf numFmtId="49" fontId="0" fillId="0" borderId="3" xfId="0" applyNumberFormat="1" applyFont="1" applyFill="1" applyBorder="1" applyAlignment="1" applyProtection="1">
      <alignment horizontal="center" vertical="center"/>
      <protection locked="0"/>
    </xf>
    <xf numFmtId="0" fontId="0" fillId="0" borderId="3" xfId="0" applyFont="1" applyFill="1" applyBorder="1" applyProtection="1">
      <alignment vertical="center"/>
      <protection locked="0"/>
    </xf>
    <xf numFmtId="0" fontId="11" fillId="2" borderId="4" xfId="2" applyNumberFormat="1" applyFont="1" applyFill="1" applyBorder="1" applyProtection="1">
      <alignment vertical="center"/>
      <protection locked="0"/>
    </xf>
    <xf numFmtId="49" fontId="0" fillId="0" borderId="4" xfId="0" applyNumberFormat="1" applyFont="1" applyBorder="1" applyAlignment="1" applyProtection="1">
      <alignment horizontal="center" vertical="center"/>
      <protection locked="0"/>
    </xf>
    <xf numFmtId="0" fontId="10" fillId="0" borderId="4" xfId="0" applyFont="1" applyFill="1" applyBorder="1" applyAlignment="1" applyProtection="1">
      <alignment vertical="center"/>
      <protection locked="0"/>
    </xf>
    <xf numFmtId="0" fontId="0" fillId="0" borderId="4" xfId="0" applyFont="1" applyFill="1" applyBorder="1" applyProtection="1">
      <alignment vertical="center"/>
      <protection locked="0"/>
    </xf>
    <xf numFmtId="0" fontId="14" fillId="0" borderId="3" xfId="0" applyFont="1" applyFill="1" applyBorder="1" applyProtection="1">
      <alignment vertical="center"/>
      <protection locked="0"/>
    </xf>
    <xf numFmtId="0" fontId="10" fillId="2" borderId="4" xfId="0" applyFont="1" applyFill="1" applyBorder="1" applyAlignment="1" applyProtection="1">
      <alignment vertical="center"/>
      <protection locked="0"/>
    </xf>
    <xf numFmtId="0" fontId="15" fillId="2" borderId="3" xfId="0" applyFont="1" applyFill="1" applyBorder="1">
      <alignment vertical="center"/>
    </xf>
    <xf numFmtId="0" fontId="14" fillId="0" borderId="5" xfId="0" applyFont="1" applyBorder="1" applyProtection="1">
      <alignment vertical="center"/>
      <protection locked="0"/>
    </xf>
    <xf numFmtId="0" fontId="15" fillId="0" borderId="3" xfId="0" applyFont="1" applyBorder="1">
      <alignment vertical="center"/>
    </xf>
    <xf numFmtId="0" fontId="10" fillId="0" borderId="3" xfId="0" applyFont="1" applyFill="1" applyBorder="1" applyAlignment="1" applyProtection="1">
      <alignment vertical="center"/>
      <protection locked="0"/>
    </xf>
    <xf numFmtId="0" fontId="15" fillId="0" borderId="3" xfId="0" applyFont="1" applyFill="1" applyBorder="1">
      <alignment vertical="center"/>
    </xf>
    <xf numFmtId="183" fontId="15" fillId="0" borderId="0" xfId="0" applyNumberFormat="1" applyFont="1">
      <alignment vertical="center"/>
    </xf>
    <xf numFmtId="0" fontId="15" fillId="0" borderId="0" xfId="0" applyFont="1">
      <alignment vertical="center"/>
    </xf>
    <xf numFmtId="183" fontId="0" fillId="0" borderId="0" xfId="0" applyNumberFormat="1">
      <alignment vertical="center"/>
    </xf>
    <xf numFmtId="0" fontId="0" fillId="0" borderId="0" xfId="0" applyFont="1">
      <alignment vertical="center"/>
    </xf>
    <xf numFmtId="0" fontId="16" fillId="0" borderId="0" xfId="0" applyFont="1">
      <alignment vertical="center"/>
    </xf>
    <xf numFmtId="10" fontId="16" fillId="0" borderId="0" xfId="0" applyNumberFormat="1" applyFont="1">
      <alignment vertical="center"/>
    </xf>
    <xf numFmtId="0" fontId="2" fillId="0" borderId="0" xfId="0" applyFont="1">
      <alignment vertical="center"/>
    </xf>
    <xf numFmtId="0" fontId="2" fillId="0" borderId="0" xfId="0" applyFont="1" applyProtection="1">
      <alignment vertical="center"/>
      <protection locked="0"/>
    </xf>
    <xf numFmtId="0" fontId="16" fillId="0" borderId="0" xfId="0" applyFont="1" applyProtection="1">
      <alignment vertical="center"/>
      <protection locked="0"/>
    </xf>
    <xf numFmtId="0" fontId="16" fillId="3" borderId="6" xfId="0" applyFont="1" applyFill="1" applyBorder="1" applyAlignment="1" applyProtection="1">
      <alignment horizontal="left" vertical="center"/>
    </xf>
    <xf numFmtId="0" fontId="16" fillId="3" borderId="7" xfId="0" applyFont="1" applyFill="1" applyBorder="1" applyAlignment="1" applyProtection="1">
      <alignment horizontal="left" vertical="center"/>
    </xf>
    <xf numFmtId="0" fontId="2" fillId="4" borderId="0" xfId="0" applyFont="1" applyFill="1" applyProtection="1">
      <alignment vertical="center"/>
      <protection locked="0"/>
    </xf>
    <xf numFmtId="0" fontId="16" fillId="4" borderId="0" xfId="0" applyFont="1" applyFill="1" applyProtection="1">
      <alignment vertical="center"/>
      <protection locked="0"/>
    </xf>
    <xf numFmtId="0" fontId="16" fillId="4" borderId="0" xfId="0" applyFont="1" applyFill="1">
      <alignment vertical="center"/>
    </xf>
    <xf numFmtId="0" fontId="2" fillId="3" borderId="0" xfId="0" applyFont="1" applyFill="1" applyProtection="1">
      <alignment vertical="center"/>
      <protection locked="0"/>
    </xf>
    <xf numFmtId="0" fontId="16" fillId="3" borderId="0" xfId="0" applyFont="1" applyFill="1" applyProtection="1">
      <alignment vertical="center"/>
      <protection locked="0"/>
    </xf>
    <xf numFmtId="0" fontId="0" fillId="0" borderId="0" xfId="0" applyFont="1" applyProtection="1">
      <alignment vertical="center"/>
      <protection locked="0"/>
    </xf>
    <xf numFmtId="49" fontId="12" fillId="4" borderId="0" xfId="2" applyNumberFormat="1" applyFont="1" applyFill="1" applyBorder="1" applyProtection="1">
      <alignment vertical="center"/>
      <protection locked="0"/>
    </xf>
    <xf numFmtId="0" fontId="12" fillId="4" borderId="0" xfId="2" applyNumberFormat="1" applyFont="1" applyFill="1" applyBorder="1" applyProtection="1">
      <alignment vertical="center"/>
      <protection locked="0"/>
    </xf>
    <xf numFmtId="0" fontId="17" fillId="4" borderId="0" xfId="0" applyFont="1" applyFill="1" applyProtection="1">
      <alignment vertical="center"/>
      <protection locked="0"/>
    </xf>
    <xf numFmtId="184" fontId="17" fillId="4" borderId="0" xfId="0" applyNumberFormat="1" applyFont="1" applyFill="1" applyProtection="1">
      <alignment vertical="center"/>
      <protection locked="0"/>
    </xf>
    <xf numFmtId="0" fontId="17" fillId="4" borderId="0" xfId="0" applyNumberFormat="1" applyFont="1" applyFill="1" applyProtection="1">
      <alignment vertical="center"/>
      <protection locked="0"/>
    </xf>
    <xf numFmtId="0" fontId="16" fillId="3" borderId="7" xfId="0" applyFont="1" applyFill="1" applyBorder="1" applyAlignment="1" applyProtection="1">
      <alignment horizontal="left"/>
    </xf>
    <xf numFmtId="0" fontId="2" fillId="0" borderId="0" xfId="0" applyNumberFormat="1" applyFont="1" applyProtection="1">
      <alignment vertical="center"/>
      <protection locked="0"/>
    </xf>
    <xf numFmtId="10" fontId="16" fillId="2" borderId="7" xfId="0" applyNumberFormat="1" applyFont="1" applyFill="1" applyBorder="1" applyAlignment="1" applyProtection="1">
      <alignment horizontal="left" vertical="center"/>
      <protection locked="0"/>
    </xf>
    <xf numFmtId="10" fontId="16" fillId="3" borderId="7" xfId="0" applyNumberFormat="1" applyFont="1" applyFill="1" applyBorder="1" applyAlignment="1" applyProtection="1">
      <alignment horizontal="left" vertical="center"/>
    </xf>
    <xf numFmtId="0" fontId="18" fillId="0" borderId="0" xfId="0" applyFont="1" applyProtection="1">
      <alignment vertical="center"/>
      <protection locked="0"/>
    </xf>
    <xf numFmtId="0" fontId="17" fillId="0" borderId="0" xfId="0" applyFont="1" applyProtection="1">
      <alignment vertical="center"/>
      <protection locked="0"/>
    </xf>
    <xf numFmtId="0" fontId="16" fillId="3" borderId="7" xfId="0" applyFont="1" applyFill="1" applyBorder="1" applyAlignment="1" applyProtection="1">
      <alignment horizontal="left" vertical="center"/>
    </xf>
    <xf numFmtId="0" fontId="16" fillId="3" borderId="7" xfId="0" applyFont="1" applyFill="1" applyBorder="1" applyProtection="1">
      <alignment vertical="center"/>
    </xf>
    <xf numFmtId="0" fontId="16" fillId="3" borderId="7" xfId="0" applyFont="1" applyFill="1" applyBorder="1" applyAlignment="1" applyProtection="1">
      <alignment horizontal="left" vertical="center"/>
    </xf>
    <xf numFmtId="0" fontId="20" fillId="3" borderId="7" xfId="0" applyFont="1" applyFill="1" applyBorder="1" applyAlignment="1" applyProtection="1">
      <alignment horizontal="center" vertical="center"/>
    </xf>
    <xf numFmtId="0" fontId="20" fillId="4" borderId="8" xfId="0" applyFont="1" applyFill="1" applyBorder="1" applyAlignment="1" applyProtection="1">
      <alignment horizontal="center" vertical="center"/>
      <protection locked="0"/>
    </xf>
    <xf numFmtId="0" fontId="20" fillId="4" borderId="9" xfId="0" applyFont="1" applyFill="1" applyBorder="1" applyAlignment="1" applyProtection="1">
      <alignment horizontal="center" vertical="center" shrinkToFit="1"/>
      <protection locked="0"/>
    </xf>
    <xf numFmtId="0" fontId="2" fillId="0" borderId="0" xfId="0" applyFont="1" applyAlignment="1" applyProtection="1">
      <alignment vertical="center"/>
      <protection locked="0"/>
    </xf>
    <xf numFmtId="0" fontId="16" fillId="0" borderId="0" xfId="0" applyFont="1" applyAlignment="1" applyProtection="1">
      <alignment vertical="center"/>
      <protection locked="0"/>
    </xf>
    <xf numFmtId="0" fontId="16" fillId="0" borderId="0" xfId="0" applyFont="1" applyAlignment="1">
      <alignment vertical="center"/>
    </xf>
    <xf numFmtId="10" fontId="20" fillId="3" borderId="8" xfId="0" applyNumberFormat="1" applyFont="1" applyFill="1" applyBorder="1" applyProtection="1">
      <alignment vertical="center"/>
    </xf>
    <xf numFmtId="10" fontId="20" fillId="3" borderId="9" xfId="0" applyNumberFormat="1" applyFont="1" applyFill="1" applyBorder="1" applyProtection="1">
      <alignment vertical="center"/>
    </xf>
    <xf numFmtId="0" fontId="20" fillId="3" borderId="7" xfId="0" applyFont="1" applyFill="1" applyBorder="1" applyAlignment="1" applyProtection="1">
      <alignment horizontal="center"/>
    </xf>
    <xf numFmtId="0" fontId="20" fillId="3" borderId="7" xfId="0" applyFont="1" applyFill="1" applyBorder="1" applyAlignment="1" applyProtection="1">
      <alignment horizontal="left" vertical="center"/>
    </xf>
    <xf numFmtId="0" fontId="20" fillId="3" borderId="10" xfId="0" applyFont="1" applyFill="1" applyBorder="1" applyAlignment="1" applyProtection="1">
      <alignment horizontal="left" vertical="center"/>
    </xf>
    <xf numFmtId="0" fontId="0" fillId="0" borderId="0" xfId="0" applyProtection="1">
      <alignment vertical="center"/>
      <protection locked="0"/>
    </xf>
    <xf numFmtId="0" fontId="0" fillId="2" borderId="0" xfId="0" applyFont="1" applyFill="1" applyProtection="1">
      <alignment vertical="center"/>
      <protection locked="0"/>
    </xf>
    <xf numFmtId="49" fontId="0" fillId="2" borderId="11" xfId="0" applyNumberFormat="1" applyFont="1" applyFill="1" applyBorder="1" applyAlignment="1" applyProtection="1">
      <alignment horizontal="center" vertical="center"/>
      <protection locked="0"/>
    </xf>
    <xf numFmtId="0" fontId="0" fillId="2" borderId="10" xfId="0" applyFont="1" applyFill="1" applyBorder="1" applyAlignment="1" applyProtection="1">
      <alignment horizontal="center" vertical="center"/>
      <protection locked="0"/>
    </xf>
    <xf numFmtId="31" fontId="0" fillId="5" borderId="12" xfId="0" applyNumberFormat="1" applyFont="1" applyFill="1" applyBorder="1" applyAlignment="1" applyProtection="1">
      <alignment vertical="center"/>
    </xf>
    <xf numFmtId="0" fontId="0" fillId="2" borderId="12" xfId="0" applyFont="1" applyFill="1" applyBorder="1" applyAlignment="1" applyProtection="1">
      <alignment horizontal="center" vertical="center"/>
      <protection locked="0"/>
    </xf>
    <xf numFmtId="0" fontId="0" fillId="0" borderId="0" xfId="0" applyFont="1" applyProtection="1">
      <alignment vertical="center"/>
      <protection locked="0"/>
    </xf>
    <xf numFmtId="0" fontId="0" fillId="0" borderId="0" xfId="0" applyFont="1" applyAlignment="1">
      <alignment horizontal="center"/>
    </xf>
    <xf numFmtId="0" fontId="0" fillId="0" borderId="0" xfId="0" applyFont="1">
      <alignment vertical="center"/>
    </xf>
    <xf numFmtId="0" fontId="22" fillId="4" borderId="0" xfId="0" applyFont="1" applyFill="1" applyProtection="1">
      <alignment vertical="center"/>
      <protection locked="0"/>
    </xf>
    <xf numFmtId="0" fontId="22" fillId="0" borderId="0" xfId="0" applyFont="1" applyProtection="1">
      <alignment vertical="center"/>
      <protection locked="0"/>
    </xf>
    <xf numFmtId="0" fontId="22" fillId="0" borderId="0" xfId="0" applyFont="1">
      <alignment vertical="center"/>
    </xf>
    <xf numFmtId="0" fontId="2" fillId="5" borderId="0" xfId="0" applyFont="1" applyFill="1" applyAlignment="1" applyProtection="1"/>
    <xf numFmtId="0" fontId="0" fillId="4" borderId="0" xfId="0" applyFont="1" applyFill="1" applyProtection="1">
      <alignment vertical="center"/>
      <protection locked="0"/>
    </xf>
    <xf numFmtId="0" fontId="0" fillId="0" borderId="0" xfId="0" applyFont="1" applyProtection="1">
      <alignment vertical="center"/>
      <protection locked="0"/>
    </xf>
    <xf numFmtId="0" fontId="0" fillId="2" borderId="3" xfId="0" applyFont="1" applyFill="1" applyBorder="1" applyAlignment="1" applyProtection="1">
      <alignment horizontal="center" vertical="center" wrapText="1"/>
      <protection locked="0"/>
    </xf>
    <xf numFmtId="31" fontId="0" fillId="5" borderId="3" xfId="0" applyNumberFormat="1" applyFont="1" applyFill="1" applyBorder="1" applyAlignment="1" applyProtection="1">
      <alignment vertical="center" wrapText="1"/>
    </xf>
    <xf numFmtId="0" fontId="16" fillId="0" borderId="13" xfId="0" applyFont="1" applyFill="1" applyBorder="1" applyAlignment="1" applyProtection="1">
      <alignment wrapText="1"/>
      <protection locked="0"/>
    </xf>
    <xf numFmtId="0" fontId="16" fillId="0" borderId="14" xfId="0" applyFont="1" applyFill="1" applyBorder="1" applyAlignment="1" applyProtection="1">
      <alignment wrapText="1"/>
      <protection locked="0"/>
    </xf>
    <xf numFmtId="0" fontId="0" fillId="0" borderId="0" xfId="0" applyFont="1">
      <alignment vertical="center"/>
    </xf>
    <xf numFmtId="0" fontId="0" fillId="0" borderId="0" xfId="0" applyFont="1" applyProtection="1">
      <alignment vertical="center"/>
      <protection locked="0"/>
    </xf>
    <xf numFmtId="0" fontId="16" fillId="2" borderId="11" xfId="0" applyFont="1" applyFill="1" applyBorder="1" applyAlignment="1" applyProtection="1">
      <alignment horizontal="center" vertical="center"/>
      <protection locked="0"/>
    </xf>
    <xf numFmtId="0" fontId="16" fillId="6" borderId="8" xfId="0" applyFont="1" applyFill="1" applyBorder="1" applyAlignment="1" applyProtection="1">
      <alignment vertical="center"/>
      <protection locked="0"/>
    </xf>
    <xf numFmtId="0" fontId="16" fillId="6" borderId="15" xfId="0" applyFont="1" applyFill="1" applyBorder="1" applyAlignment="1" applyProtection="1">
      <alignment vertical="center"/>
      <protection locked="0"/>
    </xf>
    <xf numFmtId="0" fontId="16" fillId="5" borderId="10" xfId="0" applyFont="1" applyFill="1" applyBorder="1" applyAlignment="1" applyProtection="1">
      <alignment vertical="center"/>
    </xf>
    <xf numFmtId="0" fontId="16" fillId="5" borderId="16" xfId="0" applyFont="1" applyFill="1" applyBorder="1" applyAlignment="1" applyProtection="1">
      <alignment vertical="center"/>
    </xf>
    <xf numFmtId="0" fontId="0" fillId="5" borderId="12" xfId="0" applyFont="1" applyFill="1" applyBorder="1" applyAlignment="1" applyProtection="1">
      <alignment vertical="center"/>
    </xf>
    <xf numFmtId="0" fontId="0" fillId="5" borderId="17" xfId="0" applyFont="1" applyFill="1" applyBorder="1" applyAlignment="1" applyProtection="1">
      <alignment vertical="center"/>
    </xf>
    <xf numFmtId="0" fontId="0" fillId="5" borderId="18" xfId="0" applyFont="1" applyFill="1" applyBorder="1" applyAlignment="1" applyProtection="1">
      <alignment vertical="center"/>
    </xf>
    <xf numFmtId="0" fontId="16" fillId="2" borderId="6" xfId="0" applyFont="1" applyFill="1" applyBorder="1" applyAlignment="1" applyProtection="1">
      <alignment horizontal="center" vertical="center" wrapText="1"/>
      <protection locked="0"/>
    </xf>
    <xf numFmtId="0" fontId="16" fillId="2" borderId="19" xfId="0" applyFont="1" applyFill="1" applyBorder="1" applyAlignment="1" applyProtection="1">
      <alignment horizontal="center" vertical="center" wrapText="1"/>
      <protection locked="0"/>
    </xf>
    <xf numFmtId="0" fontId="16" fillId="2" borderId="11" xfId="0" applyFont="1" applyFill="1" applyBorder="1" applyAlignment="1" applyProtection="1">
      <alignment horizontal="center" vertical="center" wrapText="1"/>
      <protection locked="0"/>
    </xf>
    <xf numFmtId="0" fontId="23" fillId="0" borderId="0" xfId="0" applyFont="1" applyBorder="1" applyAlignment="1" applyProtection="1">
      <protection locked="0"/>
    </xf>
    <xf numFmtId="0" fontId="0" fillId="0" borderId="20" xfId="0" applyFont="1" applyBorder="1" applyProtection="1">
      <alignment vertical="center"/>
      <protection locked="0"/>
    </xf>
    <xf numFmtId="0" fontId="0" fillId="0" borderId="21" xfId="0" applyFont="1" applyBorder="1" applyProtection="1">
      <alignment vertical="center"/>
      <protection locked="0"/>
    </xf>
    <xf numFmtId="0" fontId="23" fillId="0" borderId="0" xfId="0" applyFont="1" applyAlignment="1" applyProtection="1">
      <alignment horizontal="justify"/>
      <protection locked="0"/>
    </xf>
    <xf numFmtId="0" fontId="0" fillId="0" borderId="0" xfId="0" applyFont="1" applyAlignment="1">
      <alignment vertical="center"/>
    </xf>
    <xf numFmtId="0" fontId="9" fillId="0" borderId="0" xfId="0" applyFont="1" applyBorder="1" applyAlignment="1">
      <alignment vertical="center"/>
    </xf>
    <xf numFmtId="0" fontId="0" fillId="0" borderId="0" xfId="0" applyFont="1" applyAlignment="1" applyProtection="1">
      <alignment vertical="center"/>
      <protection locked="0"/>
    </xf>
    <xf numFmtId="0" fontId="23" fillId="0" borderId="0" xfId="0" applyFont="1" applyAlignment="1" applyProtection="1">
      <alignment horizontal="center" vertical="center"/>
      <protection locked="0"/>
    </xf>
    <xf numFmtId="49" fontId="23" fillId="5" borderId="0" xfId="0" applyNumberFormat="1" applyFont="1" applyFill="1" applyAlignment="1" applyProtection="1">
      <alignment horizontal="center" vertical="center"/>
    </xf>
    <xf numFmtId="49" fontId="25" fillId="0" borderId="0" xfId="0" applyNumberFormat="1" applyFont="1" applyAlignment="1">
      <alignment vertical="center"/>
    </xf>
    <xf numFmtId="0" fontId="26" fillId="0" borderId="0" xfId="0" applyFont="1" applyAlignment="1" applyProtection="1">
      <alignment vertical="center"/>
      <protection locked="0"/>
    </xf>
    <xf numFmtId="0" fontId="0" fillId="0" borderId="0" xfId="0" applyFont="1" applyBorder="1" applyAlignment="1">
      <alignment vertical="center"/>
    </xf>
    <xf numFmtId="0" fontId="0" fillId="0" borderId="0" xfId="0" applyFont="1" applyFill="1" applyAlignment="1" applyProtection="1">
      <alignment vertical="center"/>
      <protection locked="0"/>
    </xf>
    <xf numFmtId="49" fontId="0" fillId="5" borderId="0" xfId="0" applyNumberFormat="1" applyFont="1" applyFill="1" applyAlignment="1" applyProtection="1">
      <alignment horizontal="center" vertical="center"/>
    </xf>
    <xf numFmtId="0" fontId="27" fillId="0" borderId="0" xfId="0" applyFont="1">
      <alignment vertical="center"/>
    </xf>
    <xf numFmtId="0" fontId="0" fillId="0" borderId="0" xfId="0" applyBorder="1">
      <alignment vertical="center"/>
    </xf>
    <xf numFmtId="0" fontId="9" fillId="2" borderId="0" xfId="0" applyFont="1" applyFill="1" applyBorder="1" applyAlignment="1" applyProtection="1">
      <alignment horizontal="center" vertical="top"/>
      <protection locked="0"/>
    </xf>
    <xf numFmtId="0" fontId="2" fillId="2" borderId="0" xfId="0" applyFont="1" applyFill="1" applyAlignment="1" applyProtection="1">
      <alignment horizontal="right"/>
      <protection locked="0"/>
    </xf>
    <xf numFmtId="49" fontId="2" fillId="5" borderId="0" xfId="0" applyNumberFormat="1" applyFont="1" applyFill="1" applyBorder="1" applyAlignment="1" applyProtection="1">
      <alignment horizontal="center" vertical="top"/>
    </xf>
    <xf numFmtId="0" fontId="2" fillId="2" borderId="6" xfId="0" applyFont="1" applyFill="1" applyBorder="1" applyAlignment="1" applyProtection="1">
      <alignment horizontal="center" vertical="center"/>
      <protection locked="0"/>
    </xf>
    <xf numFmtId="0" fontId="2" fillId="2" borderId="19" xfId="0" applyFont="1" applyFill="1" applyBorder="1" applyAlignment="1" applyProtection="1">
      <alignment horizontal="center" vertical="center"/>
      <protection locked="0"/>
    </xf>
    <xf numFmtId="0" fontId="2" fillId="7" borderId="11" xfId="0" applyNumberFormat="1" applyFont="1" applyFill="1" applyBorder="1" applyAlignment="1" applyProtection="1">
      <alignment horizontal="center" vertical="center"/>
      <protection locked="0"/>
    </xf>
    <xf numFmtId="0" fontId="2" fillId="2" borderId="10" xfId="0" applyFont="1" applyFill="1" applyBorder="1" applyAlignment="1" applyProtection="1">
      <alignment horizontal="center" vertical="center"/>
      <protection locked="0"/>
    </xf>
    <xf numFmtId="31" fontId="2" fillId="5" borderId="12" xfId="0" applyNumberFormat="1" applyFont="1" applyFill="1" applyBorder="1" applyAlignment="1" applyProtection="1">
      <alignment vertical="center"/>
    </xf>
    <xf numFmtId="0" fontId="2" fillId="2" borderId="12" xfId="0" applyFont="1" applyFill="1" applyBorder="1" applyAlignment="1" applyProtection="1">
      <alignment horizontal="center" vertical="center"/>
      <protection locked="0"/>
    </xf>
    <xf numFmtId="187" fontId="2" fillId="5" borderId="22" xfId="0" applyNumberFormat="1" applyFont="1" applyFill="1" applyBorder="1" applyAlignment="1" applyProtection="1">
      <alignment horizontal="center" vertical="center"/>
      <protection locked="0"/>
    </xf>
    <xf numFmtId="0" fontId="10" fillId="0" borderId="0" xfId="0" applyFont="1" applyBorder="1">
      <alignment vertical="center"/>
    </xf>
    <xf numFmtId="0" fontId="2" fillId="2" borderId="7" xfId="0" applyFont="1" applyFill="1" applyBorder="1" applyAlignment="1" applyProtection="1">
      <alignment horizontal="center" vertical="center"/>
      <protection locked="0"/>
    </xf>
    <xf numFmtId="0" fontId="2" fillId="0" borderId="0" xfId="0" applyFont="1" applyProtection="1">
      <alignment vertical="center"/>
      <protection locked="0"/>
    </xf>
    <xf numFmtId="187" fontId="2" fillId="3" borderId="23" xfId="0" applyNumberFormat="1" applyFont="1" applyFill="1" applyBorder="1" applyAlignment="1" applyProtection="1">
      <alignment vertical="center"/>
      <protection locked="0"/>
    </xf>
    <xf numFmtId="187" fontId="2" fillId="2" borderId="15" xfId="0" applyNumberFormat="1" applyFont="1" applyFill="1" applyBorder="1" applyAlignment="1" applyProtection="1">
      <alignment horizontal="center" vertical="center"/>
      <protection locked="0"/>
    </xf>
    <xf numFmtId="187" fontId="2" fillId="3" borderId="8" xfId="0" applyNumberFormat="1" applyFont="1" applyFill="1" applyBorder="1" applyAlignment="1" applyProtection="1">
      <alignment horizontal="center" vertical="center"/>
      <protection locked="0"/>
    </xf>
    <xf numFmtId="187" fontId="2" fillId="2" borderId="23" xfId="0" applyNumberFormat="1" applyFont="1" applyFill="1" applyBorder="1" applyAlignment="1" applyProtection="1">
      <alignment horizontal="center" vertical="center"/>
      <protection locked="0"/>
    </xf>
    <xf numFmtId="0" fontId="2" fillId="0" borderId="24" xfId="0" applyNumberFormat="1" applyFont="1" applyFill="1" applyBorder="1" applyAlignment="1" applyProtection="1">
      <alignment horizontal="center" vertical="center"/>
      <protection locked="0"/>
    </xf>
    <xf numFmtId="187" fontId="2" fillId="2" borderId="24" xfId="0" applyNumberFormat="1" applyFont="1" applyFill="1" applyBorder="1" applyAlignment="1" applyProtection="1">
      <alignment vertical="center"/>
      <protection locked="0"/>
    </xf>
    <xf numFmtId="0" fontId="2" fillId="3" borderId="24" xfId="0" applyNumberFormat="1" applyFont="1" applyFill="1" applyBorder="1" applyAlignment="1" applyProtection="1">
      <alignment horizontal="center" vertical="center"/>
      <protection locked="0"/>
    </xf>
    <xf numFmtId="187" fontId="2" fillId="2" borderId="25" xfId="0" applyNumberFormat="1" applyFont="1" applyFill="1" applyBorder="1" applyAlignment="1" applyProtection="1">
      <alignment vertical="center"/>
      <protection locked="0"/>
    </xf>
    <xf numFmtId="49" fontId="2" fillId="5" borderId="8" xfId="0" applyNumberFormat="1" applyFont="1" applyFill="1" applyBorder="1" applyAlignment="1" applyProtection="1">
      <alignment horizontal="center" vertical="center"/>
      <protection locked="0"/>
    </xf>
    <xf numFmtId="49" fontId="2" fillId="2" borderId="23" xfId="0" applyNumberFormat="1" applyFont="1" applyFill="1" applyBorder="1" applyAlignment="1" applyProtection="1">
      <alignment vertical="center"/>
      <protection locked="0"/>
    </xf>
    <xf numFmtId="49" fontId="2" fillId="2" borderId="24" xfId="0" applyNumberFormat="1" applyFont="1" applyFill="1" applyBorder="1" applyAlignment="1" applyProtection="1">
      <alignment vertical="center"/>
      <protection locked="0"/>
    </xf>
    <xf numFmtId="49" fontId="2" fillId="2" borderId="25" xfId="0" applyNumberFormat="1" applyFont="1" applyFill="1" applyBorder="1" applyAlignment="1" applyProtection="1">
      <alignment vertical="center"/>
      <protection locked="0"/>
    </xf>
    <xf numFmtId="0" fontId="0" fillId="0" borderId="0" xfId="0" applyAlignment="1">
      <alignment horizontal="center"/>
    </xf>
    <xf numFmtId="0" fontId="2" fillId="2" borderId="8" xfId="0" applyFont="1" applyFill="1" applyBorder="1" applyAlignment="1" applyProtection="1">
      <alignment horizontal="center" vertical="center"/>
      <protection locked="0"/>
    </xf>
    <xf numFmtId="0" fontId="2" fillId="2" borderId="9" xfId="0" applyFont="1" applyFill="1" applyBorder="1" applyAlignment="1" applyProtection="1">
      <alignment horizontal="center" vertical="center"/>
      <protection locked="0"/>
    </xf>
    <xf numFmtId="0" fontId="0" fillId="0" borderId="0" xfId="0" applyAlignment="1" applyProtection="1">
      <alignment horizontal="center"/>
      <protection locked="0"/>
    </xf>
    <xf numFmtId="0" fontId="2" fillId="6" borderId="7" xfId="0" applyFont="1" applyFill="1" applyBorder="1" applyAlignment="1" applyProtection="1">
      <alignment horizontal="center" vertical="center"/>
      <protection locked="0"/>
    </xf>
    <xf numFmtId="0" fontId="2" fillId="6" borderId="8" xfId="0" applyFont="1" applyFill="1" applyBorder="1" applyAlignment="1" applyProtection="1">
      <alignment horizontal="center" vertical="center"/>
      <protection locked="0"/>
    </xf>
    <xf numFmtId="0" fontId="2" fillId="0" borderId="8" xfId="0" applyFont="1" applyFill="1" applyBorder="1" applyAlignment="1" applyProtection="1">
      <alignment horizontal="center" vertical="center"/>
      <protection locked="0"/>
    </xf>
    <xf numFmtId="0" fontId="2" fillId="0" borderId="9" xfId="0" applyFont="1" applyBorder="1" applyAlignment="1" applyProtection="1">
      <alignment vertical="center"/>
      <protection locked="0"/>
    </xf>
    <xf numFmtId="0" fontId="2" fillId="6" borderId="10" xfId="0" applyFont="1" applyFill="1" applyBorder="1" applyAlignment="1" applyProtection="1">
      <alignment horizontal="center" vertical="center"/>
      <protection locked="0"/>
    </xf>
    <xf numFmtId="0" fontId="2" fillId="6" borderId="12" xfId="0" applyFont="1" applyFill="1" applyBorder="1" applyAlignment="1" applyProtection="1">
      <alignment horizontal="center" vertical="center"/>
      <protection locked="0"/>
    </xf>
    <xf numFmtId="0" fontId="2" fillId="0" borderId="22" xfId="0" applyFont="1" applyBorder="1" applyAlignment="1" applyProtection="1">
      <alignment vertical="center"/>
      <protection locked="0"/>
    </xf>
    <xf numFmtId="0" fontId="0" fillId="0" borderId="0" xfId="0">
      <alignment vertical="center"/>
    </xf>
    <xf numFmtId="0" fontId="0" fillId="0" borderId="0" xfId="0" applyProtection="1">
      <alignment vertical="center"/>
      <protection locked="0"/>
    </xf>
    <xf numFmtId="0" fontId="0" fillId="2" borderId="0" xfId="0" applyFill="1" applyProtection="1">
      <alignment vertical="center"/>
      <protection locked="0"/>
    </xf>
    <xf numFmtId="0" fontId="0" fillId="0" borderId="0" xfId="0" applyAlignment="1" applyProtection="1">
      <alignment vertical="center"/>
      <protection locked="0"/>
    </xf>
    <xf numFmtId="0" fontId="0" fillId="0" borderId="0" xfId="0" applyAlignment="1">
      <alignment vertical="center"/>
    </xf>
    <xf numFmtId="0" fontId="0" fillId="2" borderId="22" xfId="0" applyFont="1" applyFill="1" applyBorder="1" applyAlignment="1" applyProtection="1">
      <alignment horizontal="center" vertical="center"/>
      <protection locked="0"/>
    </xf>
    <xf numFmtId="0" fontId="0" fillId="6" borderId="19" xfId="0" applyFill="1" applyBorder="1" applyAlignment="1" applyProtection="1">
      <alignment vertical="center"/>
      <protection locked="0"/>
    </xf>
    <xf numFmtId="0" fontId="0" fillId="6" borderId="11" xfId="0" applyFill="1" applyBorder="1" applyAlignment="1" applyProtection="1">
      <alignment vertical="center"/>
      <protection locked="0"/>
    </xf>
    <xf numFmtId="0" fontId="0" fillId="6" borderId="8" xfId="0" applyFill="1" applyBorder="1" applyAlignment="1" applyProtection="1">
      <alignment vertical="center"/>
      <protection locked="0"/>
    </xf>
    <xf numFmtId="0" fontId="0" fillId="6" borderId="9" xfId="0" applyFill="1" applyBorder="1" applyAlignment="1" applyProtection="1">
      <alignment vertical="center"/>
      <protection locked="0"/>
    </xf>
    <xf numFmtId="0" fontId="28" fillId="0" borderId="0" xfId="0" applyFont="1" applyAlignment="1">
      <alignment horizontal="left" vertical="center"/>
    </xf>
    <xf numFmtId="0" fontId="0" fillId="6" borderId="12" xfId="0" applyFill="1" applyBorder="1" applyAlignment="1" applyProtection="1">
      <alignment vertical="center"/>
      <protection locked="0"/>
    </xf>
    <xf numFmtId="0" fontId="0" fillId="6" borderId="22" xfId="0" applyFill="1" applyBorder="1" applyAlignment="1" applyProtection="1">
      <alignment vertical="center"/>
      <protection locked="0"/>
    </xf>
    <xf numFmtId="0" fontId="0" fillId="2" borderId="0" xfId="0" applyFont="1" applyFill="1" applyBorder="1" applyAlignment="1" applyProtection="1">
      <alignment horizontal="left"/>
      <protection locked="0"/>
    </xf>
    <xf numFmtId="0" fontId="2" fillId="0" borderId="26" xfId="0" applyFont="1" applyBorder="1" applyAlignment="1" applyProtection="1">
      <protection locked="0"/>
    </xf>
    <xf numFmtId="0" fontId="2" fillId="6" borderId="27" xfId="0" applyFont="1" applyFill="1" applyBorder="1" applyAlignment="1" applyProtection="1">
      <protection locked="0"/>
    </xf>
    <xf numFmtId="0" fontId="2" fillId="0" borderId="28" xfId="0" applyFont="1" applyBorder="1" applyAlignment="1" applyProtection="1">
      <protection locked="0"/>
    </xf>
    <xf numFmtId="0" fontId="2" fillId="0" borderId="3" xfId="0" applyFont="1" applyBorder="1" applyAlignment="1" applyProtection="1">
      <protection locked="0"/>
    </xf>
    <xf numFmtId="0" fontId="2" fillId="0" borderId="29" xfId="0" applyFont="1" applyBorder="1" applyAlignment="1" applyProtection="1">
      <protection locked="0"/>
    </xf>
    <xf numFmtId="0" fontId="2" fillId="0" borderId="20" xfId="0" applyFont="1" applyBorder="1" applyAlignment="1" applyProtection="1">
      <protection locked="0"/>
    </xf>
    <xf numFmtId="0" fontId="2" fillId="6" borderId="20" xfId="0" applyFont="1" applyFill="1" applyBorder="1" applyAlignment="1" applyProtection="1">
      <protection locked="0"/>
    </xf>
    <xf numFmtId="0" fontId="2" fillId="0" borderId="30" xfId="0" applyFont="1" applyBorder="1" applyAlignment="1" applyProtection="1">
      <protection locked="0"/>
    </xf>
    <xf numFmtId="0" fontId="2" fillId="6" borderId="21" xfId="0" applyFont="1" applyFill="1" applyBorder="1" applyAlignment="1" applyProtection="1">
      <protection locked="0"/>
    </xf>
    <xf numFmtId="0" fontId="2" fillId="0" borderId="21" xfId="0" applyFont="1" applyBorder="1" applyAlignment="1" applyProtection="1">
      <protection locked="0"/>
    </xf>
    <xf numFmtId="0" fontId="2" fillId="0" borderId="1" xfId="0" applyFont="1" applyBorder="1" applyAlignment="1" applyProtection="1">
      <protection locked="0"/>
    </xf>
    <xf numFmtId="0" fontId="2" fillId="6" borderId="0" xfId="0" applyFont="1" applyFill="1" applyBorder="1" applyAlignment="1" applyProtection="1">
      <protection locked="0"/>
    </xf>
    <xf numFmtId="0" fontId="2" fillId="0" borderId="27" xfId="0" applyFont="1" applyBorder="1" applyAlignment="1" applyProtection="1">
      <protection locked="0"/>
    </xf>
    <xf numFmtId="0" fontId="2" fillId="0" borderId="0" xfId="0" applyFont="1" applyBorder="1" applyAlignment="1" applyProtection="1">
      <protection locked="0"/>
    </xf>
    <xf numFmtId="0" fontId="2" fillId="0" borderId="2" xfId="0" applyFont="1" applyBorder="1" applyAlignment="1" applyProtection="1">
      <protection locked="0"/>
    </xf>
    <xf numFmtId="0" fontId="2" fillId="0" borderId="26" xfId="0" applyFont="1" applyBorder="1" applyAlignment="1" applyProtection="1">
      <alignment vertical="top"/>
      <protection locked="0"/>
    </xf>
    <xf numFmtId="0" fontId="2" fillId="0" borderId="27" xfId="0" applyFont="1" applyBorder="1" applyAlignment="1" applyProtection="1">
      <alignment vertical="top"/>
      <protection locked="0"/>
    </xf>
    <xf numFmtId="0" fontId="2" fillId="6" borderId="27" xfId="0" applyFont="1" applyFill="1" applyBorder="1" applyAlignment="1" applyProtection="1">
      <alignment vertical="top"/>
      <protection locked="0"/>
    </xf>
    <xf numFmtId="0" fontId="2" fillId="0" borderId="28" xfId="0" applyFont="1" applyBorder="1" applyAlignment="1" applyProtection="1">
      <alignment vertical="top"/>
      <protection locked="0"/>
    </xf>
    <xf numFmtId="0" fontId="2" fillId="0" borderId="3" xfId="0" applyFont="1" applyBorder="1" applyAlignment="1" applyProtection="1">
      <alignment vertical="top"/>
      <protection locked="0"/>
    </xf>
    <xf numFmtId="0" fontId="2" fillId="0" borderId="1" xfId="0" applyFont="1" applyBorder="1" applyAlignment="1" applyProtection="1">
      <alignment vertical="top"/>
      <protection locked="0"/>
    </xf>
    <xf numFmtId="0" fontId="2" fillId="0" borderId="0" xfId="0" applyFont="1" applyBorder="1" applyAlignment="1" applyProtection="1">
      <alignment vertical="top"/>
      <protection locked="0"/>
    </xf>
    <xf numFmtId="0" fontId="2" fillId="6" borderId="0" xfId="0" applyFont="1" applyFill="1" applyBorder="1" applyAlignment="1" applyProtection="1">
      <alignment vertical="top"/>
      <protection locked="0"/>
    </xf>
    <xf numFmtId="0" fontId="2" fillId="0" borderId="30" xfId="0" applyFont="1" applyBorder="1" applyAlignment="1" applyProtection="1">
      <alignment vertical="center"/>
      <protection locked="0"/>
    </xf>
    <xf numFmtId="0" fontId="2" fillId="6" borderId="21" xfId="0" applyFont="1" applyFill="1" applyBorder="1" applyAlignment="1" applyProtection="1">
      <alignment vertical="center"/>
      <protection locked="0"/>
    </xf>
    <xf numFmtId="0" fontId="2" fillId="0" borderId="21" xfId="0" applyFont="1" applyBorder="1" applyAlignment="1" applyProtection="1">
      <alignment vertical="center"/>
      <protection locked="0"/>
    </xf>
    <xf numFmtId="0" fontId="2" fillId="0" borderId="28" xfId="0" applyFont="1" applyBorder="1" applyAlignment="1" applyProtection="1">
      <alignment vertical="center"/>
      <protection locked="0"/>
    </xf>
    <xf numFmtId="0" fontId="2" fillId="0" borderId="30" xfId="0" applyFont="1" applyBorder="1" applyAlignment="1" applyProtection="1">
      <alignment vertical="top"/>
      <protection locked="0"/>
    </xf>
    <xf numFmtId="0" fontId="2" fillId="0" borderId="21" xfId="0" applyFont="1" applyBorder="1" applyAlignment="1" applyProtection="1">
      <alignment vertical="top"/>
      <protection locked="0"/>
    </xf>
    <xf numFmtId="0" fontId="2" fillId="6" borderId="20" xfId="0" applyFont="1" applyFill="1" applyBorder="1" applyAlignment="1" applyProtection="1">
      <alignment vertical="center"/>
      <protection locked="0"/>
    </xf>
    <xf numFmtId="0" fontId="2" fillId="0" borderId="1" xfId="0" applyFont="1" applyBorder="1" applyAlignment="1" applyProtection="1">
      <alignment vertical="center"/>
      <protection locked="0"/>
    </xf>
    <xf numFmtId="0" fontId="2" fillId="0" borderId="0" xfId="0" applyFont="1" applyBorder="1" applyAlignment="1" applyProtection="1">
      <alignment vertical="center" wrapText="1"/>
      <protection locked="0"/>
    </xf>
    <xf numFmtId="0" fontId="2" fillId="0" borderId="31" xfId="0" applyFont="1" applyBorder="1" applyAlignment="1" applyProtection="1">
      <alignment vertical="center" wrapText="1"/>
      <protection locked="0"/>
    </xf>
    <xf numFmtId="0" fontId="2" fillId="0" borderId="0" xfId="0" applyFont="1" applyBorder="1" applyAlignment="1" applyProtection="1">
      <alignment vertical="center"/>
      <protection locked="0"/>
    </xf>
    <xf numFmtId="0" fontId="2" fillId="0" borderId="2" xfId="0" applyFont="1" applyBorder="1" applyAlignment="1" applyProtection="1">
      <alignment vertical="center"/>
      <protection locked="0"/>
    </xf>
    <xf numFmtId="0" fontId="2" fillId="0" borderId="3" xfId="0" applyFont="1" applyBorder="1" applyAlignment="1" applyProtection="1">
      <alignment vertical="center" wrapText="1"/>
      <protection locked="0"/>
    </xf>
    <xf numFmtId="0" fontId="2" fillId="0" borderId="29" xfId="0" applyFont="1" applyBorder="1" applyAlignment="1" applyProtection="1">
      <alignment vertical="center"/>
      <protection locked="0"/>
    </xf>
    <xf numFmtId="0" fontId="2" fillId="0" borderId="20" xfId="0" applyFont="1" applyBorder="1" applyAlignment="1" applyProtection="1">
      <alignment vertical="center"/>
      <protection locked="0"/>
    </xf>
    <xf numFmtId="0" fontId="2" fillId="0" borderId="5" xfId="0" applyFont="1" applyBorder="1" applyAlignment="1" applyProtection="1">
      <protection locked="0"/>
    </xf>
    <xf numFmtId="0" fontId="2" fillId="2" borderId="0" xfId="0" applyFont="1" applyFill="1" applyProtection="1">
      <alignment vertical="center"/>
      <protection locked="0"/>
    </xf>
    <xf numFmtId="0" fontId="0" fillId="0" borderId="0" xfId="0">
      <alignment vertical="center"/>
    </xf>
    <xf numFmtId="0" fontId="0" fillId="0" borderId="0" xfId="0" applyProtection="1">
      <alignment vertical="center"/>
      <protection locked="0"/>
    </xf>
    <xf numFmtId="0" fontId="0" fillId="2" borderId="0" xfId="0" applyFill="1" applyProtection="1">
      <alignment vertical="center"/>
      <protection locked="0"/>
    </xf>
    <xf numFmtId="0" fontId="0" fillId="2" borderId="3" xfId="0" applyFont="1" applyFill="1" applyBorder="1" applyAlignment="1" applyProtection="1">
      <alignment horizontal="center" vertical="center"/>
      <protection locked="0"/>
    </xf>
    <xf numFmtId="49" fontId="0" fillId="5" borderId="5" xfId="0" applyNumberFormat="1" applyFont="1" applyFill="1" applyBorder="1" applyAlignment="1" applyProtection="1">
      <alignment horizontal="center" vertical="center"/>
    </xf>
    <xf numFmtId="0" fontId="0" fillId="5" borderId="5" xfId="0" applyFont="1" applyFill="1" applyBorder="1" applyAlignment="1" applyProtection="1">
      <alignment horizontal="center" vertical="center" wrapText="1"/>
    </xf>
    <xf numFmtId="0" fontId="0" fillId="0" borderId="3" xfId="0" applyFont="1" applyFill="1" applyBorder="1" applyAlignment="1" applyProtection="1">
      <alignment vertical="center"/>
      <protection locked="0"/>
    </xf>
    <xf numFmtId="0" fontId="0" fillId="5" borderId="4" xfId="0" applyNumberFormat="1" applyFont="1" applyFill="1" applyBorder="1" applyAlignment="1" applyProtection="1">
      <alignment horizontal="center" vertical="center"/>
    </xf>
    <xf numFmtId="0" fontId="0" fillId="2" borderId="32" xfId="0" applyFont="1" applyFill="1" applyBorder="1" applyAlignment="1" applyProtection="1">
      <alignment horizontal="center" vertical="center"/>
      <protection locked="0"/>
    </xf>
    <xf numFmtId="31" fontId="0" fillId="5" borderId="3" xfId="0" applyNumberFormat="1" applyFont="1" applyFill="1" applyBorder="1" applyAlignment="1" applyProtection="1">
      <alignment horizontal="center" vertical="center" wrapText="1"/>
    </xf>
    <xf numFmtId="0" fontId="12" fillId="0" borderId="0" xfId="2" applyNumberFormat="1" applyFont="1" applyFill="1" applyBorder="1" applyProtection="1">
      <alignment vertical="center"/>
      <protection locked="0"/>
    </xf>
    <xf numFmtId="0" fontId="29" fillId="0" borderId="0" xfId="0" applyFont="1" applyProtection="1">
      <alignment vertical="center"/>
      <protection locked="0"/>
    </xf>
    <xf numFmtId="0" fontId="30" fillId="0" borderId="0" xfId="0" applyFont="1" applyProtection="1">
      <alignment vertical="center"/>
      <protection locked="0"/>
    </xf>
    <xf numFmtId="0" fontId="2" fillId="0" borderId="0" xfId="0" applyFont="1">
      <alignment vertical="center"/>
    </xf>
    <xf numFmtId="0" fontId="25" fillId="0" borderId="0" xfId="0" applyFont="1" applyProtection="1">
      <alignment vertical="center"/>
      <protection locked="0"/>
    </xf>
    <xf numFmtId="0" fontId="21" fillId="0" borderId="0" xfId="0" applyFont="1" applyAlignment="1" applyProtection="1">
      <alignment horizontal="center"/>
      <protection locked="0"/>
    </xf>
    <xf numFmtId="0" fontId="25" fillId="0" borderId="0" xfId="0" applyFont="1">
      <alignment vertical="center"/>
    </xf>
    <xf numFmtId="0" fontId="16" fillId="2" borderId="33" xfId="0" applyFont="1" applyFill="1" applyBorder="1" applyAlignment="1" applyProtection="1">
      <alignment horizontal="center" vertical="center"/>
      <protection locked="0"/>
    </xf>
    <xf numFmtId="0" fontId="16" fillId="2" borderId="34" xfId="0" applyFont="1" applyFill="1" applyBorder="1" applyAlignment="1" applyProtection="1">
      <alignment horizontal="center" vertical="center"/>
      <protection locked="0"/>
    </xf>
    <xf numFmtId="49" fontId="16" fillId="5" borderId="35" xfId="0" applyNumberFormat="1" applyFont="1" applyFill="1" applyBorder="1" applyAlignment="1" applyProtection="1">
      <alignment horizontal="center" vertical="center"/>
    </xf>
    <xf numFmtId="0" fontId="16" fillId="0" borderId="0" xfId="0" applyFont="1" applyBorder="1" applyAlignment="1" applyProtection="1">
      <alignment horizontal="center" vertical="center"/>
      <protection locked="0"/>
    </xf>
    <xf numFmtId="0" fontId="16" fillId="0" borderId="0" xfId="0" applyFont="1" applyBorder="1" applyAlignment="1" applyProtection="1">
      <alignment vertical="center"/>
      <protection locked="0"/>
    </xf>
    <xf numFmtId="0" fontId="16" fillId="0" borderId="0" xfId="0" applyFont="1" applyBorder="1" applyAlignment="1">
      <alignment vertical="center"/>
    </xf>
    <xf numFmtId="0" fontId="16" fillId="0" borderId="0" xfId="0" applyFont="1" applyAlignment="1" applyProtection="1">
      <alignment vertical="center"/>
      <protection locked="0"/>
    </xf>
    <xf numFmtId="0" fontId="16" fillId="0" borderId="0" xfId="0" applyFont="1" applyAlignment="1">
      <alignment vertical="center"/>
    </xf>
    <xf numFmtId="0" fontId="16" fillId="5" borderId="36" xfId="0" applyFont="1" applyFill="1" applyBorder="1" applyAlignment="1" applyProtection="1">
      <alignment vertical="center"/>
    </xf>
    <xf numFmtId="0" fontId="16" fillId="0" borderId="1" xfId="0" applyFont="1" applyBorder="1" applyAlignment="1" applyProtection="1">
      <alignment vertical="center"/>
      <protection locked="0"/>
    </xf>
    <xf numFmtId="0" fontId="16" fillId="0" borderId="2" xfId="0" applyFont="1" applyBorder="1" applyAlignment="1" applyProtection="1">
      <alignment vertical="center"/>
      <protection locked="0"/>
    </xf>
    <xf numFmtId="0" fontId="16" fillId="0" borderId="1" xfId="0" applyFont="1" applyBorder="1" applyAlignment="1" applyProtection="1">
      <alignment horizontal="center" vertical="center"/>
      <protection locked="0"/>
    </xf>
    <xf numFmtId="0" fontId="16" fillId="0" borderId="29" xfId="0" applyFont="1" applyBorder="1" applyAlignment="1" applyProtection="1">
      <alignment vertical="center"/>
      <protection locked="0"/>
    </xf>
    <xf numFmtId="0" fontId="16" fillId="0" borderId="20" xfId="0" applyFont="1" applyBorder="1" applyAlignment="1" applyProtection="1">
      <alignment vertical="center"/>
      <protection locked="0"/>
    </xf>
    <xf numFmtId="0" fontId="16" fillId="0" borderId="37" xfId="0" applyFont="1" applyBorder="1" applyAlignment="1" applyProtection="1">
      <alignment vertical="center"/>
      <protection locked="0"/>
    </xf>
    <xf numFmtId="0" fontId="0" fillId="0" borderId="0" xfId="0" applyAlignment="1">
      <alignment vertical="center"/>
    </xf>
    <xf numFmtId="0" fontId="0" fillId="0" borderId="0" xfId="0">
      <alignment vertical="center"/>
    </xf>
    <xf numFmtId="0" fontId="0" fillId="0" borderId="0" xfId="0" applyProtection="1">
      <alignment vertical="center"/>
      <protection locked="0"/>
    </xf>
    <xf numFmtId="0" fontId="0" fillId="0" borderId="0" xfId="0" applyBorder="1" applyAlignment="1" applyProtection="1">
      <alignment vertical="center"/>
      <protection locked="0"/>
    </xf>
    <xf numFmtId="0" fontId="0" fillId="0" borderId="0" xfId="0" applyBorder="1" applyAlignment="1" applyProtection="1">
      <alignment horizontal="center" vertical="center"/>
      <protection locked="0"/>
    </xf>
    <xf numFmtId="0" fontId="0" fillId="0" borderId="0" xfId="0" applyBorder="1" applyProtection="1">
      <alignment vertical="center"/>
      <protection locked="0"/>
    </xf>
    <xf numFmtId="49" fontId="0" fillId="5" borderId="38" xfId="0" applyNumberFormat="1" applyFont="1" applyFill="1" applyBorder="1" applyAlignment="1" applyProtection="1">
      <alignment horizontal="center" wrapText="1" shrinkToFit="1"/>
    </xf>
    <xf numFmtId="0" fontId="0" fillId="0" borderId="0" xfId="0" applyAlignment="1" applyProtection="1">
      <protection locked="0"/>
    </xf>
    <xf numFmtId="0" fontId="0" fillId="0" borderId="0" xfId="0" applyAlignment="1"/>
    <xf numFmtId="0" fontId="2" fillId="2" borderId="39" xfId="0" applyFont="1" applyFill="1" applyBorder="1" applyAlignment="1" applyProtection="1">
      <alignment horizontal="center" vertical="center"/>
      <protection locked="0"/>
    </xf>
    <xf numFmtId="0" fontId="2" fillId="2" borderId="40" xfId="0" applyFont="1" applyFill="1" applyBorder="1" applyAlignment="1" applyProtection="1">
      <alignment horizontal="center" vertical="center"/>
      <protection locked="0"/>
    </xf>
    <xf numFmtId="0" fontId="16" fillId="2" borderId="41" xfId="0" applyFont="1" applyFill="1" applyBorder="1" applyAlignment="1" applyProtection="1">
      <alignment vertical="center"/>
      <protection locked="0"/>
    </xf>
    <xf numFmtId="0" fontId="0" fillId="6" borderId="42" xfId="0" applyFill="1" applyBorder="1" applyProtection="1">
      <alignment vertical="center"/>
      <protection locked="0"/>
    </xf>
    <xf numFmtId="0" fontId="0" fillId="6" borderId="43" xfId="0" applyFill="1" applyBorder="1" applyProtection="1">
      <alignment vertical="center"/>
      <protection locked="0"/>
    </xf>
    <xf numFmtId="0" fontId="0" fillId="6" borderId="44" xfId="0" applyFill="1" applyBorder="1" applyProtection="1">
      <alignment vertical="center"/>
      <protection locked="0"/>
    </xf>
    <xf numFmtId="0" fontId="16" fillId="2" borderId="45" xfId="0" applyFont="1" applyFill="1" applyBorder="1" applyAlignment="1" applyProtection="1">
      <alignment vertical="center"/>
      <protection locked="0"/>
    </xf>
    <xf numFmtId="0" fontId="0" fillId="6" borderId="3" xfId="0" applyFill="1" applyBorder="1" applyProtection="1">
      <alignment vertical="center"/>
      <protection locked="0"/>
    </xf>
    <xf numFmtId="0" fontId="0" fillId="6" borderId="30" xfId="0" applyFill="1" applyBorder="1" applyProtection="1">
      <alignment vertical="center"/>
      <protection locked="0"/>
    </xf>
    <xf numFmtId="0" fontId="0" fillId="6" borderId="46" xfId="0" applyFill="1" applyBorder="1" applyProtection="1">
      <alignment vertical="center"/>
      <protection locked="0"/>
    </xf>
    <xf numFmtId="0" fontId="0" fillId="2" borderId="47" xfId="0" applyFill="1" applyBorder="1" applyAlignment="1" applyProtection="1">
      <alignment vertical="center"/>
      <protection locked="0"/>
    </xf>
    <xf numFmtId="0" fontId="16" fillId="2" borderId="48" xfId="0" applyFont="1" applyFill="1" applyBorder="1" applyAlignment="1" applyProtection="1">
      <alignment vertical="center"/>
      <protection locked="0"/>
    </xf>
    <xf numFmtId="0" fontId="0" fillId="6" borderId="31" xfId="0" applyFill="1" applyBorder="1" applyProtection="1">
      <alignment vertical="center"/>
      <protection locked="0"/>
    </xf>
    <xf numFmtId="0" fontId="0" fillId="6" borderId="29" xfId="0" applyFill="1" applyBorder="1" applyProtection="1">
      <alignment vertical="center"/>
      <protection locked="0"/>
    </xf>
    <xf numFmtId="0" fontId="0" fillId="6" borderId="49" xfId="0" applyFill="1" applyBorder="1" applyProtection="1">
      <alignment vertical="center"/>
      <protection locked="0"/>
    </xf>
    <xf numFmtId="0" fontId="16" fillId="2" borderId="50" xfId="0" applyFont="1" applyFill="1" applyBorder="1" applyAlignment="1" applyProtection="1">
      <alignment vertical="center"/>
      <protection locked="0"/>
    </xf>
    <xf numFmtId="0" fontId="0" fillId="6" borderId="51" xfId="0" applyFill="1" applyBorder="1" applyProtection="1">
      <alignment vertical="center"/>
      <protection locked="0"/>
    </xf>
    <xf numFmtId="0" fontId="0" fillId="6" borderId="52" xfId="0" applyFill="1" applyBorder="1" applyProtection="1">
      <alignment vertical="center"/>
      <protection locked="0"/>
    </xf>
    <xf numFmtId="0" fontId="0" fillId="6" borderId="53" xfId="0" applyFill="1" applyBorder="1" applyProtection="1">
      <alignment vertical="center"/>
      <protection locked="0"/>
    </xf>
    <xf numFmtId="0" fontId="0" fillId="6" borderId="4" xfId="0" applyFill="1" applyBorder="1" applyProtection="1">
      <alignment vertical="center"/>
      <protection locked="0"/>
    </xf>
    <xf numFmtId="0" fontId="0" fillId="6" borderId="26" xfId="0" applyFill="1" applyBorder="1" applyProtection="1">
      <alignment vertical="center"/>
      <protection locked="0"/>
    </xf>
    <xf numFmtId="0" fontId="0" fillId="6" borderId="54" xfId="0" applyFill="1" applyBorder="1" applyProtection="1">
      <alignment vertical="center"/>
      <protection locked="0"/>
    </xf>
    <xf numFmtId="0" fontId="0" fillId="6" borderId="32" xfId="0" applyFill="1" applyBorder="1" applyProtection="1">
      <alignment vertical="center"/>
      <protection locked="0"/>
    </xf>
    <xf numFmtId="0" fontId="0" fillId="6" borderId="1" xfId="0" applyFill="1" applyBorder="1" applyProtection="1">
      <alignment vertical="center"/>
      <protection locked="0"/>
    </xf>
    <xf numFmtId="0" fontId="0" fillId="6" borderId="55" xfId="0" applyFill="1" applyBorder="1" applyProtection="1">
      <alignment vertical="center"/>
      <protection locked="0"/>
    </xf>
    <xf numFmtId="0" fontId="16" fillId="2" borderId="56" xfId="0" applyFont="1" applyFill="1" applyBorder="1" applyAlignment="1" applyProtection="1">
      <alignment vertical="center"/>
      <protection locked="0"/>
    </xf>
    <xf numFmtId="0" fontId="16" fillId="0" borderId="57" xfId="0" applyFont="1" applyBorder="1" applyProtection="1">
      <alignment vertical="center"/>
      <protection locked="0"/>
    </xf>
    <xf numFmtId="0" fontId="0" fillId="0" borderId="42" xfId="0" applyBorder="1" applyProtection="1">
      <alignment vertical="center"/>
      <protection locked="0"/>
    </xf>
    <xf numFmtId="0" fontId="0" fillId="0" borderId="43" xfId="0" applyBorder="1" applyProtection="1">
      <alignment vertical="center"/>
      <protection locked="0"/>
    </xf>
    <xf numFmtId="0" fontId="0" fillId="0" borderId="44" xfId="0" applyBorder="1" applyProtection="1">
      <alignment vertical="center"/>
      <protection locked="0"/>
    </xf>
    <xf numFmtId="0" fontId="16" fillId="0" borderId="5" xfId="0" applyFont="1" applyBorder="1" applyProtection="1">
      <alignment vertical="center"/>
      <protection locked="0"/>
    </xf>
    <xf numFmtId="0" fontId="0" fillId="0" borderId="3" xfId="0" applyBorder="1" applyProtection="1">
      <alignment vertical="center"/>
      <protection locked="0"/>
    </xf>
    <xf numFmtId="0" fontId="0" fillId="0" borderId="30" xfId="0" applyBorder="1" applyProtection="1">
      <alignment vertical="center"/>
      <protection locked="0"/>
    </xf>
    <xf numFmtId="0" fontId="0" fillId="0" borderId="46" xfId="0" applyBorder="1" applyProtection="1">
      <alignment vertical="center"/>
      <protection locked="0"/>
    </xf>
    <xf numFmtId="0" fontId="16" fillId="0" borderId="58" xfId="0" applyFont="1" applyBorder="1" applyProtection="1">
      <alignment vertical="center"/>
      <protection locked="0"/>
    </xf>
    <xf numFmtId="0" fontId="0" fillId="0" borderId="51" xfId="0" applyBorder="1" applyProtection="1">
      <alignment vertical="center"/>
      <protection locked="0"/>
    </xf>
    <xf numFmtId="0" fontId="0" fillId="0" borderId="52" xfId="0" applyBorder="1" applyProtection="1">
      <alignment vertical="center"/>
      <protection locked="0"/>
    </xf>
    <xf numFmtId="0" fontId="0" fillId="0" borderId="53" xfId="0" applyBorder="1" applyProtection="1">
      <alignment vertical="center"/>
      <protection locked="0"/>
    </xf>
    <xf numFmtId="0" fontId="0" fillId="0" borderId="0" xfId="0">
      <alignment vertical="center"/>
    </xf>
    <xf numFmtId="0" fontId="0" fillId="0" borderId="0" xfId="0" applyProtection="1">
      <alignment vertical="center"/>
      <protection locked="0"/>
    </xf>
    <xf numFmtId="0" fontId="0" fillId="2" borderId="0" xfId="0" applyFill="1" applyProtection="1">
      <alignment vertical="center"/>
      <protection locked="0"/>
    </xf>
    <xf numFmtId="0" fontId="0" fillId="2" borderId="0" xfId="0" applyFill="1" applyAlignment="1" applyProtection="1">
      <alignment vertical="center"/>
      <protection locked="0"/>
    </xf>
    <xf numFmtId="0" fontId="2" fillId="2" borderId="0" xfId="0" applyFont="1" applyFill="1" applyAlignment="1" applyProtection="1">
      <alignment horizontal="center" vertical="center"/>
      <protection locked="0"/>
    </xf>
    <xf numFmtId="49" fontId="2" fillId="5" borderId="0" xfId="0" applyNumberFormat="1" applyFont="1" applyFill="1" applyAlignment="1" applyProtection="1">
      <alignment horizontal="center" vertical="center"/>
    </xf>
    <xf numFmtId="0" fontId="0" fillId="2" borderId="3" xfId="0" applyFont="1" applyFill="1" applyBorder="1" applyAlignment="1" applyProtection="1">
      <alignment horizontal="center" vertical="center"/>
      <protection locked="0"/>
    </xf>
    <xf numFmtId="0" fontId="0" fillId="7" borderId="3" xfId="0" applyFont="1" applyFill="1" applyBorder="1" applyAlignment="1" applyProtection="1">
      <alignment horizontal="center" vertical="center"/>
    </xf>
    <xf numFmtId="0" fontId="0" fillId="7" borderId="3" xfId="0" applyFont="1" applyFill="1" applyBorder="1" applyAlignment="1" applyProtection="1">
      <alignment vertical="center"/>
    </xf>
    <xf numFmtId="0" fontId="32" fillId="7" borderId="3" xfId="0" applyFont="1" applyFill="1" applyBorder="1" applyAlignment="1" applyProtection="1">
      <alignment horizontal="center" vertical="center"/>
    </xf>
    <xf numFmtId="0" fontId="0" fillId="0" borderId="3" xfId="0" applyFont="1" applyFill="1" applyBorder="1" applyAlignment="1" applyProtection="1">
      <alignment horizontal="center" vertical="center"/>
      <protection locked="0"/>
    </xf>
    <xf numFmtId="0" fontId="0" fillId="0" borderId="3" xfId="0" applyFont="1" applyFill="1" applyBorder="1" applyAlignment="1" applyProtection="1">
      <alignment vertical="center"/>
      <protection locked="0"/>
    </xf>
    <xf numFmtId="0" fontId="0" fillId="0" borderId="3" xfId="0" applyFont="1" applyBorder="1" applyAlignment="1" applyProtection="1">
      <alignment horizontal="center" vertical="center"/>
      <protection locked="0"/>
    </xf>
    <xf numFmtId="0" fontId="0" fillId="0" borderId="3" xfId="0" applyFont="1" applyBorder="1" applyAlignment="1" applyProtection="1">
      <alignment vertical="center"/>
      <protection locked="0"/>
    </xf>
    <xf numFmtId="0" fontId="0" fillId="2" borderId="0" xfId="0" applyFont="1" applyFill="1" applyAlignment="1" applyProtection="1">
      <alignment vertical="center"/>
      <protection locked="0"/>
    </xf>
    <xf numFmtId="0" fontId="0" fillId="0" borderId="0" xfId="0" applyFont="1" applyAlignment="1" applyProtection="1">
      <alignment vertical="center"/>
      <protection locked="0"/>
    </xf>
    <xf numFmtId="0" fontId="0" fillId="0" borderId="0" xfId="0" applyFont="1" applyAlignment="1">
      <alignment vertical="center"/>
    </xf>
    <xf numFmtId="0" fontId="0" fillId="2" borderId="0" xfId="0" applyFont="1" applyFill="1" applyProtection="1">
      <alignment vertical="center"/>
      <protection locked="0"/>
    </xf>
    <xf numFmtId="0" fontId="33" fillId="2" borderId="0" xfId="0" applyFont="1" applyFill="1" applyAlignment="1" applyProtection="1">
      <protection locked="0"/>
    </xf>
    <xf numFmtId="0" fontId="33" fillId="2" borderId="0" xfId="0" applyFont="1" applyFill="1" applyAlignment="1" applyProtection="1">
      <alignment horizontal="left"/>
      <protection locked="0"/>
    </xf>
    <xf numFmtId="0" fontId="20" fillId="0" borderId="0" xfId="0" applyFont="1" applyProtection="1">
      <alignment vertical="center"/>
      <protection locked="0"/>
    </xf>
    <xf numFmtId="0" fontId="35" fillId="3" borderId="0" xfId="0" applyFont="1" applyFill="1" applyAlignment="1" applyProtection="1">
      <alignment horizontal="right" wrapText="1"/>
    </xf>
    <xf numFmtId="179" fontId="36" fillId="7" borderId="0" xfId="0" applyNumberFormat="1" applyFont="1" applyFill="1" applyAlignment="1" applyProtection="1">
      <alignment horizontal="right"/>
      <protection locked="0"/>
    </xf>
    <xf numFmtId="0" fontId="37" fillId="2" borderId="0" xfId="0" applyFont="1" applyFill="1" applyAlignment="1" applyProtection="1">
      <alignment horizontal="justify"/>
      <protection locked="0"/>
    </xf>
    <xf numFmtId="0" fontId="38" fillId="3" borderId="0" xfId="0" applyFont="1" applyFill="1" applyAlignment="1" applyProtection="1">
      <alignment wrapText="1"/>
    </xf>
    <xf numFmtId="0" fontId="26" fillId="2" borderId="0" xfId="0" applyFont="1" applyFill="1" applyProtection="1">
      <alignment vertical="center"/>
      <protection locked="0"/>
    </xf>
    <xf numFmtId="0" fontId="26" fillId="2" borderId="0" xfId="0" applyFont="1" applyFill="1" applyAlignment="1" applyProtection="1">
      <alignment horizontal="right"/>
      <protection locked="0"/>
    </xf>
    <xf numFmtId="0" fontId="26" fillId="0" borderId="0" xfId="0" applyFont="1" applyProtection="1">
      <alignment vertical="center"/>
      <protection locked="0"/>
    </xf>
    <xf numFmtId="0" fontId="26" fillId="0" borderId="0" xfId="0" applyFont="1">
      <alignment vertical="center"/>
    </xf>
    <xf numFmtId="0" fontId="0" fillId="0" borderId="0" xfId="0" applyFont="1" applyAlignment="1">
      <alignment horizontal="right" indent="1"/>
    </xf>
    <xf numFmtId="0" fontId="0" fillId="0" borderId="6" xfId="0" applyFont="1" applyBorder="1" applyAlignment="1" applyProtection="1">
      <alignment horizontal="center" wrapText="1"/>
      <protection locked="0"/>
    </xf>
    <xf numFmtId="0" fontId="0" fillId="0" borderId="19" xfId="0" applyFont="1" applyBorder="1" applyAlignment="1" applyProtection="1">
      <alignment horizontal="center" wrapText="1"/>
      <protection locked="0"/>
    </xf>
    <xf numFmtId="179" fontId="0" fillId="0" borderId="19" xfId="0" applyNumberFormat="1" applyFont="1" applyBorder="1" applyAlignment="1" applyProtection="1">
      <alignment horizontal="center" wrapText="1"/>
      <protection locked="0"/>
    </xf>
    <xf numFmtId="0" fontId="0" fillId="0" borderId="11" xfId="0" applyFont="1" applyBorder="1" applyAlignment="1" applyProtection="1">
      <alignment horizontal="center" wrapText="1"/>
      <protection locked="0"/>
    </xf>
    <xf numFmtId="0" fontId="0" fillId="0" borderId="7" xfId="0" applyFont="1" applyBorder="1" applyAlignment="1" applyProtection="1">
      <alignment horizontal="center" wrapText="1"/>
      <protection locked="0"/>
    </xf>
    <xf numFmtId="0" fontId="0" fillId="0" borderId="8" xfId="0" applyFont="1" applyBorder="1" applyAlignment="1" applyProtection="1">
      <alignment horizontal="center" wrapText="1"/>
      <protection locked="0"/>
    </xf>
    <xf numFmtId="179" fontId="0" fillId="0" borderId="8" xfId="0" applyNumberFormat="1" applyFont="1" applyBorder="1" applyAlignment="1" applyProtection="1">
      <alignment horizontal="center" wrapText="1"/>
      <protection locked="0"/>
    </xf>
    <xf numFmtId="0" fontId="0" fillId="0" borderId="9" xfId="0" applyFont="1" applyBorder="1" applyAlignment="1" applyProtection="1">
      <alignment horizontal="center" wrapText="1"/>
      <protection locked="0"/>
    </xf>
    <xf numFmtId="0" fontId="0" fillId="0" borderId="10" xfId="0" applyFont="1" applyBorder="1" applyAlignment="1" applyProtection="1">
      <alignment horizontal="center" wrapText="1"/>
      <protection locked="0"/>
    </xf>
    <xf numFmtId="0" fontId="0" fillId="0" borderId="12" xfId="0" applyFont="1" applyBorder="1" applyAlignment="1" applyProtection="1">
      <alignment horizontal="center" wrapText="1"/>
      <protection locked="0"/>
    </xf>
    <xf numFmtId="179" fontId="0" fillId="0" borderId="12" xfId="0" applyNumberFormat="1" applyFont="1" applyBorder="1" applyAlignment="1" applyProtection="1">
      <alignment horizontal="center" wrapText="1"/>
      <protection locked="0"/>
    </xf>
    <xf numFmtId="0" fontId="0" fillId="0" borderId="22" xfId="0" applyFont="1" applyBorder="1" applyAlignment="1" applyProtection="1">
      <alignment horizontal="center" wrapText="1"/>
      <protection locked="0"/>
    </xf>
    <xf numFmtId="0" fontId="0" fillId="2" borderId="3" xfId="0" applyFont="1" applyFill="1" applyBorder="1" applyAlignment="1" applyProtection="1">
      <alignment horizontal="center" wrapText="1"/>
      <protection locked="0"/>
    </xf>
    <xf numFmtId="179" fontId="39" fillId="3" borderId="3" xfId="0" applyNumberFormat="1" applyFont="1" applyFill="1" applyBorder="1" applyAlignment="1" applyProtection="1">
      <alignment horizontal="center" wrapText="1"/>
      <protection locked="0"/>
    </xf>
    <xf numFmtId="179" fontId="0" fillId="2" borderId="3" xfId="0" applyNumberFormat="1" applyFont="1" applyFill="1" applyBorder="1" applyAlignment="1" applyProtection="1">
      <alignment horizontal="center" wrapText="1"/>
      <protection locked="0"/>
    </xf>
    <xf numFmtId="0" fontId="0" fillId="0" borderId="0" xfId="0" applyFont="1" applyBorder="1" applyAlignment="1" applyProtection="1">
      <alignment horizontal="center" wrapText="1"/>
      <protection locked="0"/>
    </xf>
    <xf numFmtId="0" fontId="0" fillId="0" borderId="0" xfId="0" applyFont="1" applyBorder="1">
      <alignment vertical="center"/>
    </xf>
    <xf numFmtId="0" fontId="0" fillId="2" borderId="0" xfId="0" applyFont="1" applyFill="1" applyAlignment="1" applyProtection="1">
      <protection locked="0"/>
    </xf>
    <xf numFmtId="0" fontId="40" fillId="2" borderId="0" xfId="0" applyFont="1" applyFill="1" applyAlignment="1" applyProtection="1">
      <alignment horizontal="center"/>
      <protection locked="0"/>
    </xf>
    <xf numFmtId="0" fontId="16" fillId="2" borderId="6" xfId="0" applyFont="1" applyFill="1" applyBorder="1" applyAlignment="1" applyProtection="1">
      <alignment horizontal="center" vertical="center"/>
      <protection locked="0"/>
    </xf>
    <xf numFmtId="0" fontId="16" fillId="2" borderId="19" xfId="0" applyFont="1" applyFill="1" applyBorder="1" applyAlignment="1" applyProtection="1">
      <alignment horizontal="center" vertical="center"/>
      <protection locked="0"/>
    </xf>
    <xf numFmtId="0" fontId="16" fillId="2" borderId="10" xfId="0" applyFont="1" applyFill="1" applyBorder="1" applyAlignment="1" applyProtection="1">
      <alignment horizontal="center" vertical="center"/>
      <protection locked="0"/>
    </xf>
    <xf numFmtId="0" fontId="16" fillId="2" borderId="12" xfId="0" applyFont="1" applyFill="1" applyBorder="1" applyAlignment="1" applyProtection="1">
      <alignment horizontal="center" vertical="center"/>
      <protection locked="0"/>
    </xf>
    <xf numFmtId="0" fontId="16" fillId="0" borderId="26" xfId="0" applyFont="1" applyBorder="1" applyAlignment="1" applyProtection="1">
      <protection locked="0"/>
    </xf>
    <xf numFmtId="0" fontId="16" fillId="0" borderId="27" xfId="0" applyFont="1" applyBorder="1" applyAlignment="1" applyProtection="1">
      <protection locked="0"/>
    </xf>
    <xf numFmtId="0" fontId="16" fillId="0" borderId="28" xfId="0" applyFont="1" applyBorder="1" applyAlignment="1" applyProtection="1">
      <protection locked="0"/>
    </xf>
    <xf numFmtId="0" fontId="16" fillId="0" borderId="1" xfId="0" applyFont="1" applyBorder="1" applyAlignment="1" applyProtection="1">
      <protection locked="0"/>
    </xf>
    <xf numFmtId="0" fontId="16" fillId="0" borderId="0" xfId="0" applyFont="1" applyBorder="1" applyAlignment="1" applyProtection="1">
      <protection locked="0"/>
    </xf>
    <xf numFmtId="0" fontId="16" fillId="0" borderId="2" xfId="0" applyFont="1" applyBorder="1" applyAlignment="1" applyProtection="1">
      <protection locked="0"/>
    </xf>
    <xf numFmtId="0" fontId="16" fillId="0" borderId="29" xfId="0" applyFont="1" applyBorder="1" applyAlignment="1" applyProtection="1">
      <protection locked="0"/>
    </xf>
    <xf numFmtId="0" fontId="16" fillId="0" borderId="20" xfId="0" applyFont="1" applyBorder="1" applyAlignment="1" applyProtection="1">
      <protection locked="0"/>
    </xf>
    <xf numFmtId="0" fontId="16" fillId="0" borderId="37" xfId="0" applyFont="1" applyBorder="1" applyAlignment="1" applyProtection="1">
      <protection locked="0"/>
    </xf>
    <xf numFmtId="0" fontId="16" fillId="6" borderId="37" xfId="0" applyFont="1" applyFill="1" applyBorder="1" applyAlignment="1" applyProtection="1">
      <alignment horizontal="center"/>
      <protection locked="0"/>
    </xf>
    <xf numFmtId="0" fontId="16" fillId="2" borderId="10" xfId="0" applyFont="1" applyFill="1" applyBorder="1" applyAlignment="1" applyProtection="1">
      <alignment vertical="center"/>
      <protection locked="0"/>
    </xf>
    <xf numFmtId="0" fontId="16" fillId="5" borderId="22" xfId="0" applyNumberFormat="1" applyFont="1" applyFill="1" applyBorder="1" applyAlignment="1" applyProtection="1">
      <alignment horizontal="center"/>
    </xf>
    <xf numFmtId="0" fontId="16" fillId="0" borderId="0" xfId="0" applyFont="1">
      <alignment vertical="center"/>
    </xf>
    <xf numFmtId="0" fontId="9" fillId="0" borderId="0" xfId="0" applyFont="1" applyFill="1" applyBorder="1" applyAlignment="1" applyProtection="1">
      <protection locked="0"/>
    </xf>
    <xf numFmtId="0" fontId="2" fillId="2" borderId="6" xfId="0" applyFont="1" applyFill="1" applyBorder="1" applyAlignment="1" applyProtection="1">
      <alignment horizontal="center" vertical="center"/>
      <protection locked="0"/>
    </xf>
    <xf numFmtId="0" fontId="2" fillId="2" borderId="19" xfId="0" applyFont="1" applyFill="1" applyBorder="1" applyAlignment="1" applyProtection="1">
      <alignment horizontal="center" vertical="center"/>
      <protection locked="0"/>
    </xf>
    <xf numFmtId="0" fontId="2" fillId="7" borderId="19" xfId="0" applyNumberFormat="1" applyFont="1" applyFill="1" applyBorder="1" applyAlignment="1" applyProtection="1">
      <alignment horizontal="center" vertical="center"/>
      <protection locked="0"/>
    </xf>
    <xf numFmtId="185" fontId="2" fillId="2" borderId="59" xfId="0" applyNumberFormat="1" applyFont="1" applyFill="1" applyBorder="1" applyAlignment="1" applyProtection="1">
      <alignment horizontal="center" vertical="center"/>
      <protection locked="0"/>
    </xf>
    <xf numFmtId="0" fontId="2" fillId="2" borderId="10" xfId="0" applyFont="1" applyFill="1" applyBorder="1" applyAlignment="1" applyProtection="1">
      <alignment horizontal="center" vertical="center"/>
      <protection locked="0"/>
    </xf>
    <xf numFmtId="0" fontId="2" fillId="2" borderId="12" xfId="0" applyFont="1" applyFill="1" applyBorder="1" applyAlignment="1" applyProtection="1">
      <alignment horizontal="center" vertical="center"/>
      <protection locked="0"/>
    </xf>
    <xf numFmtId="0" fontId="2" fillId="5" borderId="12" xfId="0" applyNumberFormat="1" applyFont="1" applyFill="1" applyBorder="1" applyAlignment="1" applyProtection="1">
      <alignment horizontal="center" vertical="center"/>
    </xf>
    <xf numFmtId="185" fontId="2" fillId="2" borderId="12" xfId="0" applyNumberFormat="1" applyFont="1" applyFill="1" applyBorder="1" applyAlignment="1" applyProtection="1">
      <alignment horizontal="center" vertical="center"/>
      <protection locked="0"/>
    </xf>
    <xf numFmtId="0" fontId="2" fillId="2" borderId="34" xfId="0" applyFont="1" applyFill="1" applyBorder="1" applyAlignment="1" applyProtection="1">
      <alignment horizontal="center" vertical="center" wrapText="1"/>
      <protection locked="0"/>
    </xf>
    <xf numFmtId="0" fontId="2" fillId="2" borderId="17" xfId="0" applyFont="1" applyFill="1" applyBorder="1" applyAlignment="1" applyProtection="1">
      <alignment horizontal="center" vertical="center"/>
      <protection locked="0"/>
    </xf>
    <xf numFmtId="0" fontId="2" fillId="0" borderId="6" xfId="0" applyFont="1" applyBorder="1" applyAlignment="1" applyProtection="1">
      <alignment vertical="center"/>
      <protection locked="0"/>
    </xf>
    <xf numFmtId="0" fontId="2" fillId="0" borderId="19" xfId="0" applyFont="1" applyBorder="1" applyAlignment="1" applyProtection="1">
      <alignment vertical="center"/>
      <protection locked="0"/>
    </xf>
    <xf numFmtId="0" fontId="2" fillId="0" borderId="60" xfId="0" applyFont="1" applyBorder="1" applyAlignment="1" applyProtection="1">
      <alignment vertical="center"/>
      <protection locked="0"/>
    </xf>
    <xf numFmtId="0" fontId="2" fillId="0" borderId="59" xfId="0" applyFont="1" applyBorder="1" applyAlignment="1" applyProtection="1">
      <alignment vertical="center"/>
      <protection locked="0"/>
    </xf>
    <xf numFmtId="0" fontId="42" fillId="0" borderId="61" xfId="0" applyNumberFormat="1" applyFont="1" applyBorder="1" applyAlignment="1" applyProtection="1">
      <alignment horizontal="center" vertical="center"/>
      <protection locked="0"/>
    </xf>
    <xf numFmtId="0" fontId="2" fillId="0" borderId="11" xfId="0" applyFont="1" applyBorder="1" applyAlignment="1" applyProtection="1">
      <alignment vertical="center"/>
      <protection locked="0"/>
    </xf>
    <xf numFmtId="0" fontId="2" fillId="0" borderId="7" xfId="0" applyFont="1" applyBorder="1" applyAlignment="1" applyProtection="1">
      <alignment vertical="center"/>
      <protection locked="0"/>
    </xf>
    <xf numFmtId="0" fontId="2" fillId="0" borderId="8" xfId="0" applyFont="1" applyBorder="1" applyAlignment="1" applyProtection="1">
      <alignment vertical="center"/>
      <protection locked="0"/>
    </xf>
    <xf numFmtId="0" fontId="2" fillId="0" borderId="23" xfId="0" applyFont="1" applyBorder="1" applyAlignment="1" applyProtection="1">
      <alignment vertical="center"/>
      <protection locked="0"/>
    </xf>
    <xf numFmtId="0" fontId="42" fillId="0" borderId="23" xfId="0" applyNumberFormat="1" applyFont="1" applyBorder="1" applyAlignment="1" applyProtection="1">
      <alignment horizontal="center" vertical="center"/>
      <protection locked="0"/>
    </xf>
    <xf numFmtId="0" fontId="2" fillId="0" borderId="9" xfId="0" applyFont="1" applyBorder="1" applyAlignment="1" applyProtection="1">
      <alignment vertical="center"/>
      <protection locked="0"/>
    </xf>
    <xf numFmtId="0" fontId="0" fillId="0" borderId="0" xfId="0" applyFont="1" applyFill="1" applyProtection="1">
      <alignment vertical="center"/>
      <protection locked="0"/>
    </xf>
    <xf numFmtId="0" fontId="0" fillId="0" borderId="0" xfId="0" applyFill="1" applyProtection="1">
      <alignment vertical="center"/>
      <protection locked="0"/>
    </xf>
    <xf numFmtId="0" fontId="0" fillId="3" borderId="0" xfId="0" applyFill="1" applyProtection="1">
      <alignment vertical="center"/>
    </xf>
    <xf numFmtId="0" fontId="0" fillId="3" borderId="0" xfId="0" applyFont="1" applyFill="1" applyProtection="1">
      <alignment vertical="center"/>
    </xf>
    <xf numFmtId="0" fontId="0" fillId="3" borderId="0" xfId="0" applyFill="1" applyProtection="1">
      <alignment vertical="center"/>
      <protection locked="0"/>
    </xf>
    <xf numFmtId="0" fontId="0" fillId="3" borderId="0" xfId="0" applyFont="1" applyFill="1" applyProtection="1">
      <alignment vertical="center"/>
      <protection locked="0"/>
    </xf>
    <xf numFmtId="0" fontId="2" fillId="0" borderId="62" xfId="0" applyFont="1" applyBorder="1" applyAlignment="1" applyProtection="1">
      <alignment vertical="center"/>
      <protection locked="0"/>
    </xf>
    <xf numFmtId="0" fontId="2" fillId="0" borderId="63" xfId="0" applyFont="1" applyBorder="1" applyAlignment="1" applyProtection="1">
      <alignment vertical="center"/>
      <protection locked="0"/>
    </xf>
    <xf numFmtId="0" fontId="0" fillId="0" borderId="0" xfId="0" applyFont="1" applyFill="1" applyBorder="1" applyAlignment="1" applyProtection="1">
      <alignment vertical="center"/>
      <protection locked="0"/>
    </xf>
    <xf numFmtId="0" fontId="2" fillId="0" borderId="22" xfId="0" applyFont="1" applyBorder="1" applyAlignment="1" applyProtection="1">
      <alignment vertical="center"/>
      <protection locked="0"/>
    </xf>
    <xf numFmtId="0" fontId="2" fillId="0" borderId="60" xfId="0" applyFont="1" applyFill="1" applyBorder="1" applyAlignment="1" applyProtection="1">
      <alignment horizontal="center" vertical="center"/>
      <protection locked="0"/>
    </xf>
    <xf numFmtId="0" fontId="2" fillId="0" borderId="64" xfId="0" applyFont="1" applyFill="1" applyBorder="1" applyAlignment="1" applyProtection="1">
      <alignment horizontal="center" vertical="center"/>
      <protection locked="0"/>
    </xf>
    <xf numFmtId="0" fontId="2" fillId="3" borderId="2" xfId="0" applyFont="1" applyFill="1" applyBorder="1" applyAlignment="1" applyProtection="1">
      <alignment vertical="center"/>
    </xf>
    <xf numFmtId="0" fontId="2" fillId="0" borderId="65" xfId="0" applyFont="1" applyFill="1" applyBorder="1" applyAlignment="1" applyProtection="1">
      <alignment horizontal="center" vertical="center"/>
      <protection locked="0"/>
    </xf>
    <xf numFmtId="0" fontId="0" fillId="0" borderId="0" xfId="0" applyFont="1">
      <alignment vertical="center"/>
    </xf>
    <xf numFmtId="0" fontId="0" fillId="0" borderId="27" xfId="0" applyBorder="1">
      <alignment vertical="center"/>
    </xf>
    <xf numFmtId="0" fontId="0" fillId="0" borderId="0" xfId="0" applyBorder="1">
      <alignment vertical="center"/>
    </xf>
    <xf numFmtId="0" fontId="0" fillId="0" borderId="0" xfId="0" applyFont="1" applyAlignment="1" applyProtection="1">
      <alignment wrapText="1"/>
      <protection locked="0"/>
    </xf>
    <xf numFmtId="0" fontId="0" fillId="8" borderId="0" xfId="0" applyFill="1">
      <alignment vertical="center"/>
    </xf>
    <xf numFmtId="0" fontId="44" fillId="8" borderId="0" xfId="0" applyFont="1" applyFill="1" applyAlignment="1">
      <alignment horizontal="left" vertical="top" wrapText="1"/>
    </xf>
    <xf numFmtId="0" fontId="0" fillId="8" borderId="0" xfId="0" applyFill="1" applyProtection="1">
      <alignment vertical="center"/>
      <protection locked="0"/>
    </xf>
    <xf numFmtId="0" fontId="45" fillId="8" borderId="0" xfId="0" applyFont="1" applyFill="1">
      <alignment vertical="center"/>
    </xf>
    <xf numFmtId="0" fontId="0" fillId="8" borderId="0" xfId="0" applyFill="1" applyProtection="1">
      <alignment vertical="center"/>
    </xf>
    <xf numFmtId="0" fontId="45" fillId="8" borderId="0" xfId="0" applyFont="1" applyFill="1" applyAlignment="1">
      <alignment horizontal="left" vertical="top" wrapText="1"/>
    </xf>
    <xf numFmtId="0" fontId="46" fillId="4" borderId="0" xfId="0" applyFont="1" applyFill="1" applyAlignment="1">
      <alignment horizontal="left" vertical="top" wrapText="1"/>
    </xf>
    <xf numFmtId="0" fontId="46" fillId="6" borderId="0" xfId="0" applyFont="1" applyFill="1" applyAlignment="1">
      <alignment horizontal="left" vertical="top" wrapText="1"/>
    </xf>
    <xf numFmtId="0" fontId="46" fillId="9" borderId="0" xfId="0" applyFont="1" applyFill="1" applyAlignment="1">
      <alignment horizontal="left" vertical="top" wrapText="1"/>
    </xf>
    <xf numFmtId="0" fontId="46" fillId="7" borderId="0" xfId="0" applyFont="1" applyFill="1" applyAlignment="1">
      <alignment horizontal="left" vertical="top" wrapText="1"/>
    </xf>
    <xf numFmtId="0" fontId="46" fillId="5" borderId="0" xfId="0" applyFont="1" applyFill="1" applyAlignment="1">
      <alignment horizontal="left" vertical="top" wrapText="1"/>
    </xf>
    <xf numFmtId="0" fontId="46" fillId="10" borderId="0" xfId="0" applyFont="1" applyFill="1" applyAlignment="1">
      <alignment horizontal="left" vertical="top" wrapText="1"/>
    </xf>
    <xf numFmtId="0" fontId="46" fillId="2" borderId="0" xfId="0" applyFont="1" applyFill="1" applyAlignment="1">
      <alignment horizontal="left" vertical="top" wrapText="1"/>
    </xf>
    <xf numFmtId="0" fontId="46" fillId="8" borderId="0" xfId="0" applyFont="1" applyFill="1" applyAlignment="1">
      <alignment horizontal="left" vertical="top" wrapText="1"/>
    </xf>
    <xf numFmtId="0" fontId="47" fillId="8" borderId="0" xfId="2" applyNumberFormat="1" applyFont="1" applyFill="1" applyBorder="1" applyProtection="1">
      <alignment vertical="center"/>
    </xf>
    <xf numFmtId="0" fontId="0" fillId="0" borderId="0" xfId="0" applyFont="1" applyFill="1">
      <alignment vertical="center"/>
    </xf>
    <xf numFmtId="186" fontId="0" fillId="0" borderId="0" xfId="0" applyNumberFormat="1" applyFont="1">
      <alignment vertical="center"/>
    </xf>
    <xf numFmtId="0" fontId="0" fillId="0" borderId="0" xfId="0" applyFont="1">
      <alignment vertical="center"/>
    </xf>
    <xf numFmtId="0" fontId="2" fillId="2" borderId="0" xfId="0" applyFont="1" applyFill="1" applyAlignment="1">
      <alignment horizontal="left"/>
    </xf>
    <xf numFmtId="186" fontId="2" fillId="2" borderId="0" xfId="0" applyNumberFormat="1" applyFont="1" applyFill="1" applyAlignment="1">
      <alignment horizontal="left"/>
    </xf>
    <xf numFmtId="0" fontId="0" fillId="0" borderId="0" xfId="0" applyFont="1" applyBorder="1" applyAlignment="1" applyProtection="1">
      <protection locked="0"/>
    </xf>
    <xf numFmtId="4" fontId="2" fillId="2" borderId="0" xfId="0" applyNumberFormat="1" applyFont="1" applyFill="1" applyBorder="1" applyAlignment="1" applyProtection="1">
      <alignment horizontal="left" vertical="center"/>
    </xf>
    <xf numFmtId="186" fontId="2" fillId="2" borderId="0" xfId="0" applyNumberFormat="1" applyFont="1" applyFill="1" applyBorder="1" applyAlignment="1" applyProtection="1">
      <alignment horizontal="right" vertical="center"/>
    </xf>
    <xf numFmtId="0" fontId="2" fillId="2" borderId="66" xfId="0" applyFont="1" applyFill="1" applyBorder="1" applyAlignment="1">
      <alignment horizontal="center" vertical="center"/>
    </xf>
    <xf numFmtId="0" fontId="2" fillId="2" borderId="19" xfId="0" applyFont="1" applyFill="1" applyBorder="1" applyAlignment="1" applyProtection="1">
      <alignment horizontal="center" vertical="center"/>
    </xf>
    <xf numFmtId="186" fontId="2" fillId="2" borderId="19" xfId="0" applyNumberFormat="1" applyFont="1" applyFill="1" applyBorder="1" applyAlignment="1" applyProtection="1">
      <alignment horizontal="center" vertical="center"/>
    </xf>
    <xf numFmtId="186" fontId="2" fillId="2" borderId="61" xfId="0" applyNumberFormat="1" applyFont="1" applyFill="1" applyBorder="1" applyAlignment="1" applyProtection="1">
      <alignment horizontal="center" vertical="center"/>
    </xf>
    <xf numFmtId="0" fontId="2" fillId="0" borderId="0" xfId="0" applyFont="1" applyProtection="1">
      <alignment vertical="center"/>
      <protection locked="0"/>
    </xf>
    <xf numFmtId="0" fontId="2" fillId="0" borderId="0" xfId="0" applyFont="1">
      <alignment vertical="center"/>
    </xf>
    <xf numFmtId="0" fontId="2" fillId="2" borderId="15" xfId="0" applyFont="1" applyFill="1" applyBorder="1" applyAlignment="1" applyProtection="1">
      <alignment horizontal="left" vertical="center"/>
    </xf>
    <xf numFmtId="0" fontId="2" fillId="2" borderId="8" xfId="0" applyFont="1" applyFill="1" applyBorder="1" applyAlignment="1" applyProtection="1">
      <alignment horizontal="center" vertical="center"/>
    </xf>
    <xf numFmtId="179" fontId="2" fillId="2" borderId="8" xfId="0" applyNumberFormat="1" applyFont="1" applyFill="1" applyBorder="1" applyAlignment="1" applyProtection="1">
      <alignment vertical="center"/>
    </xf>
    <xf numFmtId="179" fontId="2" fillId="2" borderId="23" xfId="0" applyNumberFormat="1" applyFont="1" applyFill="1" applyBorder="1" applyAlignment="1" applyProtection="1">
      <alignment vertical="center"/>
    </xf>
    <xf numFmtId="0" fontId="13" fillId="2" borderId="15" xfId="2" applyNumberFormat="1" applyFont="1" applyFill="1" applyBorder="1" applyAlignment="1" applyProtection="1">
      <alignment horizontal="left" vertical="center"/>
    </xf>
    <xf numFmtId="0" fontId="2" fillId="2" borderId="8" xfId="0" applyFont="1" applyFill="1" applyBorder="1" applyAlignment="1" applyProtection="1">
      <alignment horizontal="left" vertical="center"/>
    </xf>
    <xf numFmtId="0" fontId="12" fillId="0" borderId="0" xfId="2" applyNumberFormat="1" applyFont="1" applyFill="1" applyBorder="1" applyAlignment="1" applyProtection="1">
      <protection locked="0"/>
    </xf>
    <xf numFmtId="0" fontId="13" fillId="2" borderId="8" xfId="2" applyNumberFormat="1" applyFont="1" applyFill="1" applyBorder="1" applyAlignment="1" applyProtection="1">
      <alignment horizontal="left" vertical="center"/>
    </xf>
    <xf numFmtId="0" fontId="2" fillId="2" borderId="0" xfId="0" applyFont="1" applyFill="1">
      <alignment vertical="center"/>
    </xf>
    <xf numFmtId="0" fontId="2" fillId="2" borderId="15" xfId="0" applyFont="1" applyFill="1" applyBorder="1" applyAlignment="1" applyProtection="1">
      <alignment horizontal="center" vertical="center"/>
    </xf>
    <xf numFmtId="180" fontId="42" fillId="3" borderId="8" xfId="4" applyNumberFormat="1" applyFont="1" applyFill="1" applyBorder="1" applyAlignment="1" applyProtection="1">
      <alignment vertical="center"/>
    </xf>
    <xf numFmtId="180" fontId="42" fillId="3" borderId="23" xfId="4" applyNumberFormat="1" applyFont="1" applyFill="1" applyBorder="1" applyAlignment="1" applyProtection="1">
      <alignment vertical="center"/>
    </xf>
    <xf numFmtId="0" fontId="2" fillId="2" borderId="16" xfId="0" applyFont="1" applyFill="1" applyBorder="1" applyAlignment="1" applyProtection="1">
      <alignment horizontal="center" vertical="center"/>
    </xf>
    <xf numFmtId="0" fontId="2" fillId="2" borderId="12" xfId="0" applyFont="1" applyFill="1" applyBorder="1" applyAlignment="1" applyProtection="1">
      <alignment horizontal="center" vertical="center"/>
    </xf>
    <xf numFmtId="180" fontId="42" fillId="3" borderId="12" xfId="4" applyNumberFormat="1" applyFont="1" applyFill="1" applyBorder="1" applyAlignment="1" applyProtection="1">
      <alignment vertical="center"/>
    </xf>
    <xf numFmtId="180" fontId="48" fillId="3" borderId="31" xfId="0" applyNumberFormat="1" applyFont="1" applyFill="1" applyBorder="1" applyAlignment="1" applyProtection="1"/>
    <xf numFmtId="180" fontId="48" fillId="3" borderId="3" xfId="0" applyNumberFormat="1" applyFont="1" applyFill="1" applyBorder="1" applyAlignment="1" applyProtection="1"/>
    <xf numFmtId="180" fontId="2" fillId="0" borderId="0" xfId="0" applyNumberFormat="1" applyFont="1">
      <alignment vertical="center"/>
    </xf>
    <xf numFmtId="0" fontId="49" fillId="2" borderId="0" xfId="0" applyFont="1" applyFill="1" applyAlignment="1" applyProtection="1">
      <alignment horizontal="center"/>
      <protection locked="0"/>
    </xf>
    <xf numFmtId="0" fontId="2" fillId="2" borderId="0" xfId="0" applyFont="1" applyFill="1" applyAlignment="1" applyProtection="1">
      <alignment horizontal="left"/>
      <protection locked="0"/>
    </xf>
    <xf numFmtId="0" fontId="2" fillId="2" borderId="0" xfId="0" applyFont="1" applyFill="1" applyAlignment="1" applyProtection="1">
      <protection locked="0"/>
    </xf>
    <xf numFmtId="186" fontId="2" fillId="2" borderId="0" xfId="0" applyNumberFormat="1" applyFont="1" applyFill="1" applyBorder="1" applyAlignment="1" applyProtection="1">
      <alignment horizontal="right"/>
      <protection locked="0"/>
    </xf>
    <xf numFmtId="0" fontId="2" fillId="2" borderId="66" xfId="0" applyFont="1" applyFill="1" applyBorder="1" applyAlignment="1" applyProtection="1">
      <alignment horizontal="left" vertical="center"/>
      <protection locked="0"/>
    </xf>
    <xf numFmtId="0" fontId="2" fillId="2" borderId="19" xfId="0" applyFont="1" applyFill="1" applyBorder="1" applyAlignment="1" applyProtection="1">
      <alignment horizontal="center" vertical="center"/>
      <protection locked="0"/>
    </xf>
    <xf numFmtId="186" fontId="2" fillId="2" borderId="19" xfId="0" applyNumberFormat="1" applyFont="1" applyFill="1" applyBorder="1" applyAlignment="1" applyProtection="1">
      <alignment horizontal="center" vertical="center"/>
      <protection locked="0"/>
    </xf>
    <xf numFmtId="186" fontId="2" fillId="2" borderId="61" xfId="0" applyNumberFormat="1" applyFont="1" applyFill="1" applyBorder="1" applyAlignment="1" applyProtection="1">
      <alignment horizontal="center" vertical="center"/>
      <protection locked="0"/>
    </xf>
    <xf numFmtId="0" fontId="0" fillId="0" borderId="0" xfId="0" applyFont="1" applyAlignment="1" applyProtection="1">
      <alignment horizontal="left"/>
      <protection locked="0"/>
    </xf>
    <xf numFmtId="0" fontId="0" fillId="0" borderId="0" xfId="0" applyFont="1" applyAlignment="1" applyProtection="1">
      <alignment horizontal="center"/>
      <protection locked="0"/>
    </xf>
    <xf numFmtId="0" fontId="0" fillId="0" borderId="0" xfId="0" applyFont="1" applyAlignment="1">
      <alignment horizontal="center"/>
    </xf>
    <xf numFmtId="0" fontId="13" fillId="2" borderId="15" xfId="2" applyNumberFormat="1" applyFont="1" applyFill="1" applyBorder="1" applyAlignment="1" applyProtection="1">
      <alignment horizontal="left" vertical="center"/>
      <protection locked="0"/>
    </xf>
    <xf numFmtId="0" fontId="2" fillId="2" borderId="8" xfId="0" applyFont="1" applyFill="1" applyBorder="1" applyAlignment="1" applyProtection="1">
      <alignment horizontal="center" vertical="center"/>
      <protection locked="0"/>
    </xf>
    <xf numFmtId="0" fontId="2" fillId="2" borderId="8" xfId="0" applyFont="1" applyFill="1" applyBorder="1" applyAlignment="1" applyProtection="1">
      <alignment horizontal="left" vertical="center"/>
      <protection locked="0"/>
    </xf>
    <xf numFmtId="0" fontId="2" fillId="2" borderId="15" xfId="0" applyFont="1" applyFill="1" applyBorder="1" applyAlignment="1" applyProtection="1">
      <alignment horizontal="left" vertical="center"/>
      <protection locked="0"/>
    </xf>
    <xf numFmtId="0" fontId="2" fillId="2" borderId="15" xfId="2" applyNumberFormat="1" applyFont="1" applyFill="1" applyBorder="1" applyAlignment="1" applyProtection="1">
      <alignment horizontal="left" vertical="center"/>
      <protection locked="0"/>
    </xf>
    <xf numFmtId="0" fontId="2" fillId="2" borderId="0" xfId="0" applyFont="1" applyFill="1" applyProtection="1">
      <alignment vertical="center"/>
      <protection locked="0"/>
    </xf>
    <xf numFmtId="186" fontId="0" fillId="0" borderId="0" xfId="0" applyNumberFormat="1" applyFont="1" applyProtection="1">
      <alignment vertical="center"/>
      <protection locked="0"/>
    </xf>
    <xf numFmtId="0" fontId="2" fillId="2" borderId="16" xfId="0" applyFont="1" applyFill="1" applyBorder="1" applyAlignment="1" applyProtection="1">
      <alignment horizontal="left" vertical="center"/>
      <protection locked="0"/>
    </xf>
    <xf numFmtId="0" fontId="2" fillId="2" borderId="12" xfId="0" applyFont="1" applyFill="1" applyBorder="1" applyAlignment="1" applyProtection="1">
      <alignment horizontal="center" vertical="center"/>
      <protection locked="0"/>
    </xf>
    <xf numFmtId="0" fontId="50" fillId="2" borderId="12" xfId="2" applyNumberFormat="1" applyFont="1" applyFill="1" applyBorder="1" applyProtection="1">
      <alignment vertical="center"/>
      <protection locked="0"/>
    </xf>
    <xf numFmtId="0" fontId="2" fillId="0" borderId="0" xfId="0" applyFont="1" applyProtection="1">
      <alignment vertical="center"/>
    </xf>
    <xf numFmtId="0" fontId="2" fillId="4" borderId="0" xfId="0" applyFont="1" applyFill="1" applyAlignment="1">
      <alignment horizontal="left"/>
    </xf>
    <xf numFmtId="0" fontId="0" fillId="4" borderId="0" xfId="0" applyFont="1" applyFill="1">
      <alignment vertical="center"/>
    </xf>
    <xf numFmtId="179" fontId="0" fillId="4" borderId="0" xfId="0" applyNumberFormat="1" applyFont="1" applyFill="1">
      <alignment vertical="center"/>
    </xf>
    <xf numFmtId="0" fontId="0" fillId="0" borderId="0" xfId="0" applyFont="1" applyAlignment="1">
      <alignment horizontal="left"/>
    </xf>
    <xf numFmtId="0" fontId="0" fillId="0" borderId="0" xfId="0" applyAlignment="1" applyProtection="1">
      <alignment vertical="center"/>
      <protection locked="0"/>
    </xf>
    <xf numFmtId="0" fontId="2" fillId="2" borderId="0" xfId="0" applyFont="1" applyFill="1" applyBorder="1" applyAlignment="1" applyProtection="1">
      <alignment horizontal="center" vertical="center"/>
      <protection locked="0"/>
    </xf>
    <xf numFmtId="0" fontId="25" fillId="2" borderId="0" xfId="0" applyFont="1" applyFill="1" applyBorder="1" applyAlignment="1" applyProtection="1">
      <alignment horizontal="center" vertical="center"/>
      <protection locked="0"/>
    </xf>
    <xf numFmtId="0" fontId="0" fillId="2" borderId="0" xfId="0" applyFill="1" applyProtection="1">
      <alignment vertical="center"/>
      <protection locked="0"/>
    </xf>
    <xf numFmtId="0" fontId="2" fillId="0" borderId="0" xfId="0" applyFont="1" applyFill="1" applyProtection="1">
      <alignment vertical="center"/>
      <protection locked="0"/>
    </xf>
    <xf numFmtId="0" fontId="2" fillId="2" borderId="11" xfId="0" applyFont="1" applyFill="1" applyBorder="1" applyAlignment="1" applyProtection="1">
      <alignment horizontal="center" vertical="center"/>
      <protection locked="0"/>
    </xf>
    <xf numFmtId="0" fontId="2" fillId="2" borderId="8" xfId="0" applyFont="1" applyFill="1" applyBorder="1" applyAlignment="1" applyProtection="1">
      <alignment horizontal="center" vertical="center"/>
      <protection locked="0"/>
    </xf>
    <xf numFmtId="0" fontId="2" fillId="2" borderId="9" xfId="0" applyFont="1" applyFill="1" applyBorder="1" applyAlignment="1" applyProtection="1">
      <alignment horizontal="center" vertical="center"/>
      <protection locked="0"/>
    </xf>
    <xf numFmtId="0" fontId="2" fillId="2" borderId="7" xfId="0" applyFont="1" applyFill="1" applyBorder="1" applyAlignment="1" applyProtection="1">
      <alignment horizontal="center" vertical="center" textRotation="255"/>
      <protection locked="0"/>
    </xf>
    <xf numFmtId="0" fontId="2" fillId="2" borderId="8" xfId="0" applyFont="1" applyFill="1" applyBorder="1" applyAlignment="1" applyProtection="1">
      <alignment horizontal="left" vertical="center"/>
      <protection locked="0"/>
    </xf>
    <xf numFmtId="180" fontId="2" fillId="2" borderId="8" xfId="0" applyNumberFormat="1" applyFont="1" applyFill="1" applyBorder="1" applyAlignment="1" applyProtection="1">
      <alignment horizontal="center" vertical="center" shrinkToFit="1"/>
      <protection locked="0"/>
    </xf>
    <xf numFmtId="180" fontId="42" fillId="7" borderId="8" xfId="0" applyNumberFormat="1" applyFont="1" applyFill="1" applyBorder="1" applyAlignment="1" applyProtection="1">
      <alignment vertical="center" shrinkToFit="1"/>
      <protection locked="0"/>
    </xf>
    <xf numFmtId="0" fontId="2" fillId="3" borderId="8" xfId="0" applyFont="1" applyFill="1" applyBorder="1" applyAlignment="1" applyProtection="1">
      <alignment horizontal="left" vertical="center"/>
    </xf>
    <xf numFmtId="0" fontId="12" fillId="0" borderId="0" xfId="2" applyNumberFormat="1" applyFont="1" applyFill="1" applyBorder="1" applyAlignment="1" applyProtection="1">
      <alignment vertical="center"/>
      <protection locked="0"/>
    </xf>
    <xf numFmtId="0" fontId="2" fillId="3" borderId="8" xfId="0" applyFont="1" applyFill="1" applyBorder="1" applyAlignment="1" applyProtection="1">
      <alignment vertical="center"/>
    </xf>
    <xf numFmtId="180" fontId="42" fillId="3" borderId="8" xfId="0" applyNumberFormat="1" applyFont="1" applyFill="1" applyBorder="1" applyAlignment="1" applyProtection="1">
      <alignment horizontal="center" vertical="center" shrinkToFit="1"/>
    </xf>
    <xf numFmtId="180" fontId="42" fillId="3" borderId="9" xfId="0" applyNumberFormat="1" applyFont="1" applyFill="1" applyBorder="1" applyProtection="1">
      <alignment vertical="center"/>
    </xf>
    <xf numFmtId="0" fontId="51" fillId="0" borderId="0" xfId="0" applyFont="1" applyProtection="1">
      <alignment vertical="center"/>
      <protection locked="0"/>
    </xf>
    <xf numFmtId="180" fontId="42" fillId="3" borderId="8" xfId="0" applyNumberFormat="1" applyFont="1" applyFill="1" applyBorder="1" applyAlignment="1" applyProtection="1">
      <alignment vertical="center" shrinkToFit="1"/>
    </xf>
    <xf numFmtId="0" fontId="2" fillId="2" borderId="8" xfId="0" applyFont="1" applyFill="1" applyBorder="1" applyAlignment="1" applyProtection="1">
      <alignment horizontal="center" vertical="center" shrinkToFit="1"/>
      <protection locked="0"/>
    </xf>
    <xf numFmtId="0" fontId="0" fillId="2" borderId="0" xfId="0" applyFill="1">
      <alignment vertical="center"/>
    </xf>
    <xf numFmtId="0" fontId="0" fillId="0" borderId="0" xfId="0" applyAlignment="1">
      <alignment vertical="center"/>
    </xf>
    <xf numFmtId="0" fontId="2" fillId="0" borderId="0" xfId="0" applyFont="1">
      <alignment vertical="center"/>
    </xf>
    <xf numFmtId="0" fontId="2" fillId="2" borderId="6" xfId="0" applyFont="1" applyFill="1" applyBorder="1" applyAlignment="1" applyProtection="1">
      <alignment vertical="center" wrapText="1"/>
      <protection locked="0"/>
    </xf>
    <xf numFmtId="0" fontId="2" fillId="2" borderId="19" xfId="0" applyFont="1" applyFill="1" applyBorder="1" applyAlignment="1" applyProtection="1">
      <alignment horizontal="center" vertical="center" wrapText="1"/>
      <protection locked="0"/>
    </xf>
    <xf numFmtId="0" fontId="2" fillId="2" borderId="11" xfId="0" applyFont="1" applyFill="1" applyBorder="1" applyAlignment="1" applyProtection="1">
      <alignment horizontal="center" vertical="center" wrapText="1"/>
      <protection locked="0"/>
    </xf>
    <xf numFmtId="0" fontId="2" fillId="2" borderId="7" xfId="0" applyFont="1" applyFill="1" applyBorder="1" applyAlignment="1" applyProtection="1">
      <alignment horizontal="center" vertical="center" wrapText="1"/>
      <protection locked="0"/>
    </xf>
    <xf numFmtId="0" fontId="2" fillId="2" borderId="8" xfId="0" applyFont="1" applyFill="1" applyBorder="1" applyAlignment="1" applyProtection="1">
      <alignment horizontal="center" vertical="center" wrapText="1"/>
      <protection locked="0"/>
    </xf>
    <xf numFmtId="0" fontId="2" fillId="2" borderId="0" xfId="0" applyFont="1" applyFill="1" applyAlignment="1">
      <alignment horizontal="left" vertical="top" wrapText="1"/>
    </xf>
    <xf numFmtId="0" fontId="2" fillId="2" borderId="19" xfId="0" applyFont="1" applyFill="1" applyBorder="1" applyProtection="1">
      <alignment vertical="center"/>
      <protection locked="0"/>
    </xf>
    <xf numFmtId="0" fontId="2" fillId="7" borderId="8" xfId="0" applyNumberFormat="1" applyFont="1" applyFill="1" applyBorder="1" applyAlignment="1" applyProtection="1">
      <alignment horizontal="center" vertical="center"/>
      <protection locked="0"/>
    </xf>
    <xf numFmtId="0" fontId="2" fillId="5" borderId="8" xfId="0" applyNumberFormat="1" applyFont="1" applyFill="1" applyBorder="1" applyAlignment="1" applyProtection="1">
      <alignment horizontal="center" vertical="center" shrinkToFit="1"/>
    </xf>
    <xf numFmtId="49" fontId="2" fillId="5" borderId="22" xfId="0" applyNumberFormat="1" applyFont="1" applyFill="1" applyBorder="1" applyAlignment="1" applyProtection="1">
      <alignment horizontal="center" vertical="center"/>
    </xf>
    <xf numFmtId="0" fontId="2" fillId="5" borderId="12" xfId="0" applyNumberFormat="1" applyFont="1" applyFill="1" applyBorder="1" applyAlignment="1" applyProtection="1">
      <alignment horizontal="center" vertical="center"/>
    </xf>
    <xf numFmtId="0" fontId="2" fillId="5" borderId="12" xfId="0" applyNumberFormat="1" applyFont="1" applyFill="1" applyBorder="1" applyAlignment="1" applyProtection="1">
      <alignment horizontal="center" vertical="center" shrinkToFit="1"/>
    </xf>
    <xf numFmtId="3" fontId="2" fillId="2" borderId="19" xfId="0" applyNumberFormat="1" applyFont="1" applyFill="1" applyBorder="1" applyAlignment="1" applyProtection="1">
      <alignment horizontal="center" vertical="center"/>
      <protection locked="0"/>
    </xf>
    <xf numFmtId="180" fontId="42" fillId="5" borderId="8" xfId="0" applyNumberFormat="1" applyFont="1" applyFill="1" applyBorder="1" applyAlignment="1" applyProtection="1">
      <alignment horizontal="center" vertical="center"/>
    </xf>
    <xf numFmtId="0" fontId="2" fillId="0" borderId="9" xfId="0" applyFont="1" applyFill="1" applyBorder="1" applyAlignment="1" applyProtection="1">
      <alignment vertical="center"/>
      <protection locked="0"/>
    </xf>
    <xf numFmtId="180" fontId="42" fillId="5" borderId="8" xfId="0" applyNumberFormat="1" applyFont="1" applyFill="1" applyBorder="1" applyAlignment="1" applyProtection="1">
      <alignment vertical="center"/>
    </xf>
    <xf numFmtId="0" fontId="2" fillId="0" borderId="9" xfId="0" applyFont="1" applyBorder="1" applyAlignment="1" applyProtection="1">
      <alignment vertical="top" wrapText="1"/>
      <protection locked="0"/>
    </xf>
    <xf numFmtId="180" fontId="42" fillId="5" borderId="8" xfId="0" applyNumberFormat="1" applyFont="1" applyFill="1" applyBorder="1" applyAlignment="1" applyProtection="1">
      <alignment vertical="center" wrapText="1"/>
    </xf>
    <xf numFmtId="179" fontId="42" fillId="3" borderId="8" xfId="0" applyNumberFormat="1" applyFont="1" applyFill="1" applyBorder="1" applyAlignment="1" applyProtection="1">
      <alignment horizontal="center" vertical="center"/>
    </xf>
    <xf numFmtId="179" fontId="42" fillId="3" borderId="8" xfId="0" applyNumberFormat="1" applyFont="1" applyFill="1" applyBorder="1" applyAlignment="1" applyProtection="1">
      <alignment vertical="center"/>
    </xf>
    <xf numFmtId="0" fontId="2" fillId="0" borderId="1" xfId="0" applyFont="1" applyBorder="1" applyAlignment="1" applyProtection="1">
      <alignment vertical="center" wrapText="1"/>
      <protection locked="0"/>
    </xf>
    <xf numFmtId="180" fontId="42" fillId="3" borderId="8" xfId="0" applyNumberFormat="1" applyFont="1" applyFill="1" applyBorder="1" applyAlignment="1" applyProtection="1">
      <alignment horizontal="center" vertical="center"/>
    </xf>
    <xf numFmtId="180" fontId="42" fillId="3" borderId="8" xfId="0" applyNumberFormat="1" applyFont="1" applyFill="1" applyBorder="1" applyAlignment="1" applyProtection="1">
      <alignment vertical="center"/>
    </xf>
    <xf numFmtId="180" fontId="2" fillId="2" borderId="8" xfId="0" applyNumberFormat="1" applyFont="1" applyFill="1" applyBorder="1" applyAlignment="1" applyProtection="1">
      <alignment horizontal="center" vertical="center"/>
    </xf>
    <xf numFmtId="180" fontId="42" fillId="3" borderId="67" xfId="0" applyNumberFormat="1" applyFont="1" applyFill="1" applyBorder="1" applyAlignment="1" applyProtection="1">
      <alignment horizontal="center" vertical="center"/>
    </xf>
    <xf numFmtId="0" fontId="2" fillId="2" borderId="10" xfId="0" applyFont="1" applyFill="1" applyBorder="1" applyAlignment="1" applyProtection="1">
      <alignment horizontal="center" vertical="center" wrapText="1"/>
      <protection locked="0"/>
    </xf>
    <xf numFmtId="180" fontId="42" fillId="3" borderId="12" xfId="0" applyNumberFormat="1" applyFont="1" applyFill="1" applyBorder="1" applyAlignment="1" applyProtection="1">
      <alignment horizontal="center" vertical="center"/>
    </xf>
    <xf numFmtId="180" fontId="2" fillId="0" borderId="9" xfId="0" applyNumberFormat="1" applyFont="1" applyFill="1" applyBorder="1" applyAlignment="1" applyProtection="1">
      <alignment vertical="center"/>
      <protection locked="0"/>
    </xf>
    <xf numFmtId="180" fontId="42" fillId="3" borderId="9" xfId="0" applyNumberFormat="1" applyFont="1" applyFill="1" applyBorder="1" applyAlignment="1" applyProtection="1">
      <alignment vertical="center" shrinkToFit="1"/>
    </xf>
    <xf numFmtId="0" fontId="2" fillId="2" borderId="33" xfId="0" applyFont="1" applyFill="1" applyBorder="1" applyAlignment="1" applyProtection="1">
      <alignment horizontal="center" vertical="center"/>
      <protection locked="0"/>
    </xf>
    <xf numFmtId="180" fontId="42" fillId="3" borderId="35" xfId="0" applyNumberFormat="1" applyFont="1" applyFill="1" applyBorder="1" applyAlignment="1" applyProtection="1">
      <alignment vertical="center"/>
    </xf>
    <xf numFmtId="0" fontId="19" fillId="0" borderId="0" xfId="0" applyFont="1" applyAlignment="1" applyProtection="1">
      <alignment horizontal="left" vertical="center"/>
      <protection locked="0"/>
    </xf>
    <xf numFmtId="0" fontId="19" fillId="0" borderId="0" xfId="0" applyFont="1" applyAlignment="1">
      <alignment horizontal="left" vertical="center"/>
    </xf>
    <xf numFmtId="0" fontId="0" fillId="0" borderId="0" xfId="0" applyFont="1" applyAlignment="1" applyProtection="1">
      <alignment vertical="center"/>
      <protection locked="0"/>
    </xf>
    <xf numFmtId="0" fontId="0" fillId="2" borderId="19" xfId="0" applyFill="1" applyBorder="1" applyProtection="1">
      <alignment vertical="center"/>
      <protection locked="0"/>
    </xf>
    <xf numFmtId="0" fontId="2" fillId="2" borderId="8" xfId="0" applyFont="1" applyFill="1" applyBorder="1" applyAlignment="1" applyProtection="1">
      <alignment horizontal="center" vertical="center"/>
      <protection locked="0"/>
    </xf>
    <xf numFmtId="0" fontId="2" fillId="7" borderId="8" xfId="0" applyNumberFormat="1" applyFont="1" applyFill="1" applyBorder="1" applyAlignment="1" applyProtection="1">
      <alignment horizontal="center" vertical="center"/>
      <protection locked="0"/>
    </xf>
    <xf numFmtId="0" fontId="2" fillId="3" borderId="8" xfId="0" applyFont="1" applyFill="1" applyBorder="1" applyAlignment="1" applyProtection="1">
      <alignment vertical="center"/>
      <protection locked="0"/>
    </xf>
    <xf numFmtId="49" fontId="2" fillId="5" borderId="22" xfId="0" applyNumberFormat="1" applyFont="1" applyFill="1" applyBorder="1" applyAlignment="1" applyProtection="1">
      <alignment horizontal="center" vertical="center"/>
    </xf>
    <xf numFmtId="0" fontId="2" fillId="3" borderId="12" xfId="0" applyFont="1" applyFill="1" applyBorder="1" applyAlignment="1" applyProtection="1">
      <alignment vertical="center"/>
      <protection locked="0"/>
    </xf>
    <xf numFmtId="0" fontId="54" fillId="0" borderId="0" xfId="0" applyFont="1" applyBorder="1" applyProtection="1">
      <alignment vertical="center"/>
      <protection locked="0"/>
    </xf>
    <xf numFmtId="0" fontId="2" fillId="2" borderId="35" xfId="0" applyFont="1" applyFill="1" applyBorder="1" applyAlignment="1" applyProtection="1">
      <alignment horizontal="center" vertical="center" wrapText="1"/>
      <protection locked="0"/>
    </xf>
    <xf numFmtId="180" fontId="42" fillId="3" borderId="8" xfId="0" applyNumberFormat="1" applyFont="1" applyFill="1" applyBorder="1" applyAlignment="1" applyProtection="1">
      <alignment vertical="center"/>
    </xf>
    <xf numFmtId="0" fontId="0" fillId="0" borderId="0" xfId="0" applyAlignment="1">
      <alignment vertical="center" wrapText="1"/>
    </xf>
    <xf numFmtId="0" fontId="2" fillId="0" borderId="1" xfId="0" applyFont="1" applyBorder="1" applyAlignment="1" applyProtection="1">
      <alignment vertical="center" wrapText="1"/>
      <protection locked="0"/>
    </xf>
    <xf numFmtId="180" fontId="2" fillId="2" borderId="68" xfId="0" applyNumberFormat="1" applyFont="1" applyFill="1" applyBorder="1" applyAlignment="1" applyProtection="1">
      <alignment horizontal="center" vertical="center"/>
    </xf>
    <xf numFmtId="180" fontId="2" fillId="2" borderId="12" xfId="0" applyNumberFormat="1" applyFont="1" applyFill="1" applyBorder="1" applyAlignment="1" applyProtection="1">
      <alignment horizontal="center" vertical="center"/>
    </xf>
    <xf numFmtId="0" fontId="2" fillId="7" borderId="60" xfId="0" applyFont="1" applyFill="1" applyBorder="1" applyAlignment="1" applyProtection="1">
      <alignment horizontal="right" vertical="center"/>
      <protection locked="0"/>
    </xf>
    <xf numFmtId="0" fontId="2" fillId="0" borderId="0" xfId="0" applyFont="1" applyBorder="1" applyAlignment="1" applyProtection="1">
      <alignment vertical="center" wrapText="1"/>
      <protection locked="0"/>
    </xf>
    <xf numFmtId="0" fontId="0" fillId="0" borderId="27" xfId="0" applyBorder="1" applyProtection="1">
      <alignment vertical="center"/>
      <protection locked="0"/>
    </xf>
    <xf numFmtId="0" fontId="0" fillId="0" borderId="0" xfId="0" applyBorder="1" applyProtection="1">
      <alignment vertical="center"/>
      <protection locked="0"/>
    </xf>
    <xf numFmtId="0" fontId="0" fillId="0" borderId="0" xfId="0" applyFont="1">
      <alignment vertical="center"/>
    </xf>
    <xf numFmtId="0" fontId="0" fillId="0" borderId="0" xfId="0" applyFont="1" applyBorder="1" applyAlignment="1" applyProtection="1">
      <alignment horizontal="center" vertical="center"/>
      <protection locked="0"/>
    </xf>
    <xf numFmtId="0" fontId="2" fillId="2" borderId="19" xfId="0" applyFont="1" applyFill="1" applyBorder="1" applyAlignment="1" applyProtection="1">
      <alignment horizontal="right" vertical="center"/>
      <protection locked="0"/>
    </xf>
    <xf numFmtId="0" fontId="54" fillId="0" borderId="0" xfId="0" applyFont="1" applyProtection="1">
      <alignment vertical="center"/>
      <protection locked="0"/>
    </xf>
    <xf numFmtId="0" fontId="54" fillId="0" borderId="0" xfId="0" applyFont="1">
      <alignment vertical="center"/>
    </xf>
    <xf numFmtId="0" fontId="2" fillId="5" borderId="8" xfId="0" applyNumberFormat="1" applyFont="1" applyFill="1" applyBorder="1" applyAlignment="1" applyProtection="1">
      <alignment horizontal="center" vertical="center"/>
    </xf>
    <xf numFmtId="0" fontId="2" fillId="2" borderId="30" xfId="0" applyFont="1" applyFill="1" applyBorder="1" applyAlignment="1" applyProtection="1">
      <alignment horizontal="left" vertical="center"/>
      <protection locked="0"/>
    </xf>
    <xf numFmtId="0" fontId="2" fillId="2" borderId="21" xfId="0" applyFont="1" applyFill="1" applyBorder="1" applyAlignment="1" applyProtection="1">
      <alignment horizontal="left" vertical="center"/>
      <protection locked="0"/>
    </xf>
    <xf numFmtId="0" fontId="2" fillId="2" borderId="21" xfId="0" applyFont="1" applyFill="1" applyBorder="1" applyAlignment="1" applyProtection="1">
      <alignment vertical="center"/>
      <protection locked="0"/>
    </xf>
    <xf numFmtId="0" fontId="2" fillId="2" borderId="21" xfId="0" applyFont="1" applyFill="1" applyBorder="1" applyAlignment="1" applyProtection="1">
      <alignment horizontal="center" vertical="center"/>
      <protection locked="0"/>
    </xf>
    <xf numFmtId="0" fontId="2" fillId="2" borderId="5" xfId="0" applyFont="1" applyFill="1" applyBorder="1" applyAlignment="1" applyProtection="1">
      <alignment horizontal="center" vertical="center"/>
      <protection locked="0"/>
    </xf>
    <xf numFmtId="0" fontId="54" fillId="0" borderId="0" xfId="0" applyFont="1" applyBorder="1">
      <alignment vertical="center"/>
    </xf>
    <xf numFmtId="0" fontId="2" fillId="2" borderId="69" xfId="0" applyFont="1" applyFill="1" applyBorder="1" applyAlignment="1" applyProtection="1">
      <alignment horizontal="center" vertical="center" wrapText="1"/>
      <protection locked="0"/>
    </xf>
    <xf numFmtId="0" fontId="2" fillId="2" borderId="59" xfId="0" applyFont="1" applyFill="1" applyBorder="1" applyAlignment="1" applyProtection="1">
      <alignment horizontal="center" vertical="center"/>
      <protection locked="0"/>
    </xf>
    <xf numFmtId="0" fontId="2" fillId="2" borderId="70" xfId="0" applyFont="1" applyFill="1" applyBorder="1" applyAlignment="1" applyProtection="1">
      <alignment horizontal="center" vertical="center"/>
      <protection locked="0"/>
    </xf>
    <xf numFmtId="0" fontId="2" fillId="2" borderId="19" xfId="0" applyFont="1" applyFill="1" applyBorder="1" applyAlignment="1" applyProtection="1">
      <alignment vertical="center"/>
      <protection locked="0"/>
    </xf>
    <xf numFmtId="0" fontId="2" fillId="2" borderId="11" xfId="0" applyFont="1" applyFill="1" applyBorder="1" applyProtection="1">
      <alignment vertical="center"/>
      <protection locked="0"/>
    </xf>
    <xf numFmtId="0" fontId="2" fillId="3" borderId="63" xfId="0" applyFont="1" applyFill="1" applyBorder="1" applyAlignment="1" applyProtection="1">
      <alignment horizontal="center" vertical="center"/>
    </xf>
    <xf numFmtId="180" fontId="42" fillId="5" borderId="63" xfId="0" applyNumberFormat="1" applyFont="1" applyFill="1" applyBorder="1" applyProtection="1">
      <alignment vertical="center"/>
    </xf>
    <xf numFmtId="180" fontId="42" fillId="5" borderId="8" xfId="0" applyNumberFormat="1" applyFont="1" applyFill="1" applyBorder="1" applyProtection="1">
      <alignment vertical="center"/>
    </xf>
    <xf numFmtId="180" fontId="42" fillId="3" borderId="72" xfId="0" applyNumberFormat="1" applyFont="1" applyFill="1" applyBorder="1" applyProtection="1">
      <alignment vertical="center"/>
    </xf>
    <xf numFmtId="0" fontId="12" fillId="0" borderId="0" xfId="2" applyNumberFormat="1" applyFont="1" applyFill="1" applyBorder="1" applyAlignment="1" applyProtection="1">
      <alignment horizontal="left" vertical="center"/>
      <protection locked="0"/>
    </xf>
    <xf numFmtId="0" fontId="2" fillId="2" borderId="7" xfId="0" applyFont="1" applyFill="1" applyBorder="1" applyProtection="1">
      <alignment vertical="center"/>
      <protection locked="0"/>
    </xf>
    <xf numFmtId="0" fontId="2" fillId="3" borderId="8" xfId="0" applyFont="1" applyFill="1" applyBorder="1" applyAlignment="1" applyProtection="1">
      <alignment horizontal="center" vertical="center"/>
    </xf>
    <xf numFmtId="0" fontId="2" fillId="3" borderId="68" xfId="0" applyFont="1" applyFill="1" applyBorder="1" applyAlignment="1" applyProtection="1">
      <alignment horizontal="center" vertical="center"/>
    </xf>
    <xf numFmtId="180" fontId="42" fillId="5" borderId="68" xfId="0" applyNumberFormat="1" applyFont="1" applyFill="1" applyBorder="1" applyProtection="1">
      <alignment vertical="center"/>
    </xf>
    <xf numFmtId="180" fontId="42" fillId="5" borderId="67" xfId="0" applyNumberFormat="1" applyFont="1" applyFill="1" applyBorder="1" applyProtection="1">
      <alignment vertical="center"/>
    </xf>
    <xf numFmtId="0" fontId="2" fillId="2" borderId="33" xfId="0" applyFont="1" applyFill="1" applyBorder="1" applyProtection="1">
      <alignment vertical="center"/>
      <protection locked="0"/>
    </xf>
    <xf numFmtId="0" fontId="2" fillId="2" borderId="34" xfId="0" applyFont="1" applyFill="1" applyBorder="1" applyAlignment="1" applyProtection="1">
      <alignment horizontal="center" vertical="center"/>
      <protection locked="0"/>
    </xf>
    <xf numFmtId="180" fontId="42" fillId="3" borderId="34" xfId="0" applyNumberFormat="1" applyFont="1" applyFill="1" applyBorder="1" applyAlignment="1" applyProtection="1">
      <alignment horizontal="center" vertical="center"/>
    </xf>
    <xf numFmtId="180" fontId="42" fillId="3" borderId="35" xfId="0" applyNumberFormat="1" applyFont="1" applyFill="1" applyBorder="1" applyAlignment="1" applyProtection="1">
      <alignment horizontal="center" vertical="center"/>
    </xf>
    <xf numFmtId="180" fontId="42" fillId="3" borderId="63" xfId="0" applyNumberFormat="1" applyFont="1" applyFill="1" applyBorder="1" applyProtection="1">
      <alignment vertical="center"/>
    </xf>
    <xf numFmtId="180" fontId="42" fillId="5" borderId="72" xfId="0" applyNumberFormat="1" applyFont="1" applyFill="1" applyBorder="1" applyProtection="1">
      <alignment vertical="center"/>
    </xf>
    <xf numFmtId="0" fontId="2" fillId="0" borderId="0" xfId="0" applyFont="1" applyBorder="1" applyAlignment="1">
      <alignment vertical="center" wrapText="1"/>
    </xf>
    <xf numFmtId="180" fontId="42" fillId="3" borderId="8" xfId="0" applyNumberFormat="1" applyFont="1" applyFill="1" applyBorder="1" applyProtection="1">
      <alignment vertical="center"/>
    </xf>
    <xf numFmtId="180" fontId="42" fillId="3" borderId="68" xfId="0" applyNumberFormat="1" applyFont="1" applyFill="1" applyBorder="1" applyProtection="1">
      <alignment vertical="center"/>
    </xf>
    <xf numFmtId="180" fontId="42" fillId="3" borderId="34" xfId="0" applyNumberFormat="1" applyFont="1" applyFill="1" applyBorder="1" applyAlignment="1" applyProtection="1">
      <alignment vertical="center"/>
    </xf>
    <xf numFmtId="0" fontId="2" fillId="11" borderId="0" xfId="0" applyFont="1" applyFill="1" applyProtection="1">
      <alignment vertical="center"/>
      <protection locked="0"/>
    </xf>
    <xf numFmtId="0" fontId="2" fillId="0" borderId="0" xfId="0" applyFont="1" applyAlignment="1" applyProtection="1">
      <alignment vertical="center" wrapText="1"/>
      <protection locked="0"/>
    </xf>
    <xf numFmtId="0" fontId="2" fillId="2" borderId="63" xfId="0" applyFont="1" applyFill="1" applyBorder="1" applyAlignment="1" applyProtection="1">
      <alignment horizontal="center" vertical="center"/>
      <protection locked="0"/>
    </xf>
    <xf numFmtId="0" fontId="2" fillId="2" borderId="72" xfId="0" applyFont="1" applyFill="1" applyBorder="1" applyAlignment="1" applyProtection="1">
      <alignment horizontal="center" vertical="center"/>
      <protection locked="0"/>
    </xf>
    <xf numFmtId="180" fontId="42" fillId="5" borderId="12" xfId="0" applyNumberFormat="1" applyFont="1" applyFill="1" applyBorder="1" applyAlignment="1" applyProtection="1">
      <alignment vertical="center"/>
    </xf>
    <xf numFmtId="180" fontId="42" fillId="3" borderId="22" xfId="0" applyNumberFormat="1" applyFont="1" applyFill="1" applyBorder="1" applyAlignment="1" applyProtection="1">
      <alignment vertical="center"/>
    </xf>
    <xf numFmtId="0" fontId="2" fillId="2" borderId="6" xfId="0" applyFont="1" applyFill="1" applyBorder="1" applyAlignment="1" applyProtection="1">
      <alignment horizontal="center" vertical="center" wrapText="1"/>
      <protection locked="0"/>
    </xf>
    <xf numFmtId="0" fontId="27" fillId="0" borderId="0" xfId="0" applyFont="1" applyProtection="1">
      <alignment vertical="center"/>
      <protection locked="0"/>
    </xf>
    <xf numFmtId="0" fontId="2" fillId="0" borderId="27" xfId="0" applyFont="1" applyBorder="1" applyAlignment="1">
      <alignment horizontal="right" vertical="center"/>
    </xf>
    <xf numFmtId="180" fontId="2" fillId="0" borderId="0" xfId="0" applyNumberFormat="1" applyFont="1">
      <alignment vertical="center"/>
    </xf>
    <xf numFmtId="185" fontId="2" fillId="0" borderId="0" xfId="0" applyNumberFormat="1" applyFont="1">
      <alignment vertical="center"/>
    </xf>
    <xf numFmtId="0" fontId="2" fillId="2" borderId="75" xfId="0" applyFont="1" applyFill="1" applyBorder="1" applyAlignment="1" applyProtection="1">
      <alignment horizontal="center" vertical="center"/>
      <protection locked="0"/>
    </xf>
    <xf numFmtId="0" fontId="2" fillId="7" borderId="19" xfId="0" applyFont="1" applyFill="1" applyBorder="1" applyAlignment="1" applyProtection="1">
      <alignment horizontal="center" vertical="center"/>
      <protection locked="0"/>
    </xf>
    <xf numFmtId="0" fontId="2" fillId="2" borderId="76" xfId="0" applyFont="1" applyFill="1" applyBorder="1" applyAlignment="1" applyProtection="1">
      <alignment horizontal="center" vertical="center"/>
      <protection locked="0"/>
    </xf>
    <xf numFmtId="0" fontId="2" fillId="2" borderId="68" xfId="0" applyFont="1" applyFill="1" applyBorder="1" applyAlignment="1" applyProtection="1">
      <alignment horizontal="center" vertical="center"/>
      <protection locked="0"/>
    </xf>
    <xf numFmtId="0" fontId="2" fillId="0" borderId="0" xfId="0" applyFont="1" applyAlignment="1" applyProtection="1">
      <alignment vertical="center"/>
      <protection locked="0"/>
    </xf>
    <xf numFmtId="0" fontId="2" fillId="0" borderId="0" xfId="0" applyFont="1" applyAlignment="1">
      <alignment vertical="center"/>
    </xf>
    <xf numFmtId="180" fontId="2" fillId="2" borderId="19" xfId="0" applyNumberFormat="1" applyFont="1" applyFill="1" applyBorder="1" applyAlignment="1" applyProtection="1">
      <alignment horizontal="center" vertical="center" wrapText="1"/>
      <protection locked="0"/>
    </xf>
    <xf numFmtId="185" fontId="2" fillId="2" borderId="63" xfId="0" applyNumberFormat="1" applyFont="1" applyFill="1" applyBorder="1" applyAlignment="1" applyProtection="1">
      <alignment horizontal="center" vertical="center" wrapText="1"/>
      <protection locked="0"/>
    </xf>
    <xf numFmtId="0" fontId="2" fillId="2" borderId="73" xfId="0" applyFont="1" applyFill="1" applyBorder="1" applyAlignment="1" applyProtection="1">
      <alignment horizontal="center" vertical="center" wrapText="1"/>
      <protection locked="0"/>
    </xf>
    <xf numFmtId="0" fontId="2" fillId="2" borderId="68" xfId="0" applyFont="1" applyFill="1" applyBorder="1" applyAlignment="1" applyProtection="1">
      <alignment horizontal="center" vertical="center" wrapText="1"/>
      <protection locked="0"/>
    </xf>
    <xf numFmtId="49" fontId="2" fillId="2" borderId="68" xfId="0" applyNumberFormat="1" applyFont="1" applyFill="1" applyBorder="1" applyAlignment="1" applyProtection="1">
      <alignment horizontal="center" vertical="center" wrapText="1"/>
      <protection locked="0"/>
    </xf>
    <xf numFmtId="185" fontId="2" fillId="2" borderId="67" xfId="0" applyNumberFormat="1" applyFont="1" applyFill="1" applyBorder="1" applyAlignment="1" applyProtection="1">
      <alignment horizontal="center" vertical="center" wrapText="1"/>
      <protection locked="0"/>
    </xf>
    <xf numFmtId="49" fontId="2" fillId="2" borderId="67" xfId="0" applyNumberFormat="1" applyFont="1" applyFill="1" applyBorder="1" applyAlignment="1" applyProtection="1">
      <alignment horizontal="center" vertical="center" wrapText="1"/>
      <protection locked="0"/>
    </xf>
    <xf numFmtId="0" fontId="2" fillId="2" borderId="67" xfId="0" applyFont="1" applyFill="1" applyBorder="1" applyAlignment="1" applyProtection="1">
      <alignment horizontal="center" vertical="center" wrapText="1"/>
      <protection locked="0"/>
    </xf>
    <xf numFmtId="49" fontId="2" fillId="2" borderId="12" xfId="0" applyNumberFormat="1" applyFont="1" applyFill="1" applyBorder="1" applyAlignment="1" applyProtection="1">
      <alignment horizontal="center" vertical="center" wrapText="1"/>
      <protection locked="0"/>
    </xf>
    <xf numFmtId="0" fontId="2" fillId="2" borderId="12" xfId="0" applyFont="1" applyFill="1" applyBorder="1" applyAlignment="1" applyProtection="1">
      <alignment horizontal="center" vertical="center" wrapText="1"/>
      <protection locked="0"/>
    </xf>
    <xf numFmtId="0" fontId="2" fillId="2" borderId="22" xfId="0" applyFont="1" applyFill="1" applyBorder="1" applyAlignment="1" applyProtection="1">
      <alignment horizontal="center" vertical="center" wrapText="1"/>
      <protection locked="0"/>
    </xf>
    <xf numFmtId="180" fontId="42" fillId="3" borderId="34" xfId="0" applyNumberFormat="1" applyFont="1" applyFill="1" applyBorder="1" applyAlignment="1" applyProtection="1">
      <alignment vertical="center" shrinkToFit="1"/>
    </xf>
    <xf numFmtId="185" fontId="2" fillId="2" borderId="34" xfId="0" applyNumberFormat="1" applyFont="1" applyFill="1" applyBorder="1" applyAlignment="1" applyProtection="1">
      <alignment horizontal="center" vertical="center" shrinkToFit="1"/>
      <protection locked="0"/>
    </xf>
    <xf numFmtId="179" fontId="42" fillId="3" borderId="34" xfId="0" applyNumberFormat="1" applyFont="1" applyFill="1" applyBorder="1" applyAlignment="1" applyProtection="1">
      <alignment vertical="center" shrinkToFit="1"/>
    </xf>
    <xf numFmtId="179" fontId="42" fillId="3" borderId="77" xfId="0" applyNumberFormat="1" applyFont="1" applyFill="1" applyBorder="1" applyAlignment="1" applyProtection="1">
      <alignment horizontal="center" vertical="center" shrinkToFit="1"/>
    </xf>
    <xf numFmtId="179" fontId="42" fillId="3" borderId="35" xfId="0" applyNumberFormat="1" applyFont="1" applyFill="1" applyBorder="1" applyAlignment="1" applyProtection="1">
      <alignment horizontal="center" vertical="center" shrinkToFit="1"/>
    </xf>
    <xf numFmtId="0" fontId="2" fillId="6" borderId="6" xfId="0" applyFont="1" applyFill="1" applyBorder="1" applyProtection="1">
      <alignment vertical="center"/>
      <protection locked="0"/>
    </xf>
    <xf numFmtId="10" fontId="2" fillId="0" borderId="19" xfId="0" applyNumberFormat="1" applyFont="1" applyBorder="1" applyProtection="1">
      <alignment vertical="center"/>
      <protection locked="0"/>
    </xf>
    <xf numFmtId="185" fontId="2" fillId="0" borderId="19" xfId="0" applyNumberFormat="1" applyFont="1" applyBorder="1" applyAlignment="1" applyProtection="1">
      <alignment vertical="center" shrinkToFit="1"/>
      <protection locked="0"/>
    </xf>
    <xf numFmtId="179" fontId="42" fillId="3" borderId="19" xfId="0" applyNumberFormat="1" applyFont="1" applyFill="1" applyBorder="1" applyAlignment="1" applyProtection="1">
      <alignment vertical="center" shrinkToFit="1"/>
    </xf>
    <xf numFmtId="185" fontId="2" fillId="0" borderId="59" xfId="0" applyNumberFormat="1" applyFont="1" applyBorder="1" applyAlignment="1" applyProtection="1">
      <alignment vertical="center" shrinkToFit="1"/>
      <protection locked="0"/>
    </xf>
    <xf numFmtId="179" fontId="42" fillId="3" borderId="59" xfId="0" applyNumberFormat="1" applyFont="1" applyFill="1" applyBorder="1" applyAlignment="1" applyProtection="1">
      <alignment vertical="center" shrinkToFit="1"/>
    </xf>
    <xf numFmtId="0" fontId="2" fillId="6" borderId="7" xfId="0" applyFont="1" applyFill="1" applyBorder="1" applyProtection="1">
      <alignment vertical="center"/>
      <protection locked="0"/>
    </xf>
    <xf numFmtId="10" fontId="2" fillId="0" borderId="8" xfId="0" applyNumberFormat="1" applyFont="1" applyBorder="1" applyProtection="1">
      <alignment vertical="center"/>
      <protection locked="0"/>
    </xf>
    <xf numFmtId="185" fontId="2" fillId="0" borderId="8" xfId="0" applyNumberFormat="1" applyFont="1" applyBorder="1" applyAlignment="1" applyProtection="1">
      <alignment vertical="center" shrinkToFit="1"/>
      <protection locked="0"/>
    </xf>
    <xf numFmtId="179" fontId="42" fillId="3" borderId="8" xfId="0" applyNumberFormat="1" applyFont="1" applyFill="1" applyBorder="1" applyAlignment="1" applyProtection="1">
      <alignment vertical="center" shrinkToFit="1"/>
    </xf>
    <xf numFmtId="179" fontId="42" fillId="3" borderId="9" xfId="0" applyNumberFormat="1" applyFont="1" applyFill="1" applyBorder="1" applyAlignment="1" applyProtection="1">
      <alignment vertical="center" shrinkToFit="1"/>
    </xf>
    <xf numFmtId="0" fontId="0" fillId="0" borderId="0" xfId="2" applyNumberFormat="1" applyFont="1" applyFill="1" applyBorder="1" applyAlignment="1" applyProtection="1">
      <alignment horizontal="left" vertical="center"/>
      <protection locked="0"/>
    </xf>
    <xf numFmtId="0" fontId="17" fillId="0" borderId="0" xfId="0" applyFont="1" applyProtection="1">
      <alignment vertical="center"/>
      <protection locked="0"/>
    </xf>
    <xf numFmtId="10" fontId="0" fillId="0" borderId="0" xfId="0" applyNumberFormat="1" applyFill="1" applyAlignment="1" applyProtection="1">
      <alignment horizontal="left" vertical="center"/>
      <protection locked="0"/>
    </xf>
    <xf numFmtId="0" fontId="2" fillId="6" borderId="10" xfId="0" applyFont="1" applyFill="1" applyBorder="1" applyProtection="1">
      <alignment vertical="center"/>
      <protection locked="0"/>
    </xf>
    <xf numFmtId="10" fontId="2" fillId="0" borderId="12" xfId="0" applyNumberFormat="1" applyFont="1" applyBorder="1" applyProtection="1">
      <alignment vertical="center"/>
      <protection locked="0"/>
    </xf>
    <xf numFmtId="185" fontId="2" fillId="0" borderId="12" xfId="0" applyNumberFormat="1" applyFont="1" applyBorder="1" applyAlignment="1" applyProtection="1">
      <alignment vertical="center" shrinkToFit="1"/>
      <protection locked="0"/>
    </xf>
    <xf numFmtId="179" fontId="42" fillId="3" borderId="12" xfId="0" applyNumberFormat="1" applyFont="1" applyFill="1" applyBorder="1" applyAlignment="1" applyProtection="1">
      <alignment vertical="center" shrinkToFit="1"/>
    </xf>
    <xf numFmtId="180" fontId="2" fillId="0" borderId="0" xfId="0" applyNumberFormat="1" applyFont="1" applyFill="1" applyBorder="1" applyAlignment="1">
      <alignment vertical="center" shrinkToFit="1"/>
    </xf>
    <xf numFmtId="0" fontId="27" fillId="0" borderId="0" xfId="0" applyFont="1" applyAlignment="1">
      <alignment horizontal="center" vertical="center"/>
    </xf>
    <xf numFmtId="0" fontId="2" fillId="5" borderId="61" xfId="0" applyNumberFormat="1" applyFont="1" applyFill="1" applyBorder="1" applyAlignment="1" applyProtection="1">
      <alignment horizontal="center" vertical="center"/>
    </xf>
    <xf numFmtId="0" fontId="2" fillId="5" borderId="17" xfId="0" applyNumberFormat="1" applyFont="1" applyFill="1" applyBorder="1" applyAlignment="1" applyProtection="1">
      <alignment horizontal="center" vertical="center"/>
    </xf>
    <xf numFmtId="49" fontId="52" fillId="5" borderId="22" xfId="0" applyNumberFormat="1" applyFont="1" applyFill="1" applyBorder="1" applyAlignment="1" applyProtection="1">
      <alignment horizontal="center" vertical="center"/>
    </xf>
    <xf numFmtId="0" fontId="2" fillId="2" borderId="35" xfId="0" applyFont="1" applyFill="1" applyBorder="1" applyAlignment="1" applyProtection="1">
      <alignment horizontal="center" vertical="center" wrapText="1"/>
      <protection locked="0"/>
    </xf>
    <xf numFmtId="0" fontId="54" fillId="0" borderId="0" xfId="0" applyFont="1" applyAlignment="1" applyProtection="1">
      <alignment vertical="center"/>
      <protection locked="0"/>
    </xf>
    <xf numFmtId="0" fontId="54" fillId="0" borderId="0" xfId="0" applyFont="1" applyAlignment="1">
      <alignment vertical="center"/>
    </xf>
    <xf numFmtId="0" fontId="2" fillId="2" borderId="79" xfId="0" applyFont="1" applyFill="1" applyBorder="1" applyAlignment="1" applyProtection="1">
      <alignment horizontal="center" vertical="center" wrapText="1"/>
      <protection locked="0"/>
    </xf>
    <xf numFmtId="0" fontId="2" fillId="3" borderId="6" xfId="0" applyFont="1" applyFill="1" applyBorder="1" applyProtection="1">
      <alignment vertical="center"/>
    </xf>
    <xf numFmtId="185" fontId="2" fillId="0" borderId="19" xfId="0" applyNumberFormat="1" applyFont="1" applyFill="1" applyBorder="1" applyAlignment="1" applyProtection="1">
      <alignment vertical="center" shrinkToFit="1"/>
      <protection locked="0"/>
    </xf>
    <xf numFmtId="180" fontId="42" fillId="3" borderId="19" xfId="0" applyNumberFormat="1" applyFont="1" applyFill="1" applyBorder="1" applyAlignment="1" applyProtection="1">
      <alignment vertical="center" shrinkToFit="1"/>
    </xf>
    <xf numFmtId="0" fontId="2" fillId="0" borderId="19" xfId="0" applyNumberFormat="1" applyFont="1" applyFill="1" applyBorder="1" applyAlignment="1" applyProtection="1">
      <alignment vertical="center" shrinkToFit="1"/>
      <protection locked="0"/>
    </xf>
    <xf numFmtId="180" fontId="42" fillId="3" borderId="11" xfId="0" applyNumberFormat="1" applyFont="1" applyFill="1" applyBorder="1" applyAlignment="1" applyProtection="1">
      <alignment vertical="center" shrinkToFit="1"/>
    </xf>
    <xf numFmtId="0" fontId="2" fillId="3" borderId="71" xfId="0" applyFont="1" applyFill="1" applyBorder="1" applyAlignment="1" applyProtection="1">
      <alignment vertical="center" wrapText="1"/>
    </xf>
    <xf numFmtId="185" fontId="2" fillId="0" borderId="63" xfId="0" applyNumberFormat="1" applyFont="1" applyFill="1" applyBorder="1" applyAlignment="1" applyProtection="1">
      <alignment vertical="center" shrinkToFit="1"/>
      <protection locked="0"/>
    </xf>
    <xf numFmtId="180" fontId="2" fillId="0" borderId="63" xfId="0" applyNumberFormat="1" applyFont="1" applyBorder="1" applyAlignment="1" applyProtection="1">
      <alignment vertical="center" shrinkToFit="1"/>
      <protection locked="0"/>
    </xf>
    <xf numFmtId="180" fontId="42" fillId="3" borderId="63" xfId="0" applyNumberFormat="1" applyFont="1" applyFill="1" applyBorder="1" applyAlignment="1" applyProtection="1">
      <alignment vertical="center" shrinkToFit="1"/>
    </xf>
    <xf numFmtId="0" fontId="2" fillId="0" borderId="63" xfId="0" applyNumberFormat="1" applyFont="1" applyFill="1" applyBorder="1" applyAlignment="1" applyProtection="1">
      <alignment vertical="center" shrinkToFit="1"/>
      <protection locked="0"/>
    </xf>
    <xf numFmtId="0" fontId="2" fillId="0" borderId="63" xfId="0" applyNumberFormat="1" applyFont="1" applyBorder="1" applyAlignment="1" applyProtection="1">
      <alignment vertical="center" shrinkToFit="1"/>
      <protection locked="0"/>
    </xf>
    <xf numFmtId="180" fontId="42" fillId="3" borderId="72" xfId="0" applyNumberFormat="1" applyFont="1" applyFill="1" applyBorder="1" applyAlignment="1" applyProtection="1">
      <alignment vertical="center" shrinkToFit="1"/>
    </xf>
    <xf numFmtId="0" fontId="2" fillId="3" borderId="7" xfId="0" applyFont="1" applyFill="1" applyBorder="1" applyAlignment="1" applyProtection="1">
      <alignment vertical="center" wrapText="1"/>
    </xf>
    <xf numFmtId="185" fontId="2" fillId="0" borderId="8" xfId="0" applyNumberFormat="1" applyFont="1" applyFill="1" applyBorder="1" applyAlignment="1" applyProtection="1">
      <alignment vertical="center" shrinkToFit="1"/>
      <protection locked="0"/>
    </xf>
    <xf numFmtId="180" fontId="2" fillId="0" borderId="8" xfId="0" applyNumberFormat="1" applyFont="1" applyBorder="1" applyAlignment="1" applyProtection="1">
      <alignment vertical="center" shrinkToFit="1"/>
      <protection locked="0"/>
    </xf>
    <xf numFmtId="180" fontId="42" fillId="3" borderId="8" xfId="0" applyNumberFormat="1" applyFont="1" applyFill="1" applyBorder="1" applyAlignment="1" applyProtection="1">
      <alignment vertical="center" shrinkToFit="1"/>
    </xf>
    <xf numFmtId="0" fontId="2" fillId="0" borderId="8" xfId="0" applyNumberFormat="1" applyFont="1" applyFill="1" applyBorder="1" applyAlignment="1" applyProtection="1">
      <alignment vertical="center" shrinkToFit="1"/>
      <protection locked="0"/>
    </xf>
    <xf numFmtId="0" fontId="2" fillId="0" borderId="8" xfId="0" applyNumberFormat="1" applyFont="1" applyBorder="1" applyAlignment="1" applyProtection="1">
      <alignment vertical="center" shrinkToFit="1"/>
      <protection locked="0"/>
    </xf>
    <xf numFmtId="180" fontId="42" fillId="3" borderId="8" xfId="0" applyNumberFormat="1" applyFont="1" applyFill="1" applyBorder="1" applyAlignment="1" applyProtection="1">
      <alignment horizontal="center" vertical="center" shrinkToFit="1"/>
    </xf>
    <xf numFmtId="180" fontId="42" fillId="3" borderId="23" xfId="0" applyNumberFormat="1" applyFont="1" applyFill="1" applyBorder="1" applyAlignment="1" applyProtection="1">
      <alignment vertical="center" shrinkToFit="1"/>
    </xf>
    <xf numFmtId="0" fontId="18" fillId="0" borderId="0" xfId="0" applyFont="1" applyBorder="1" applyProtection="1">
      <alignment vertical="center"/>
      <protection locked="0"/>
    </xf>
    <xf numFmtId="0" fontId="2" fillId="0" borderId="7" xfId="0" applyFont="1" applyBorder="1" applyAlignment="1" applyProtection="1">
      <alignment vertical="center" wrapText="1"/>
      <protection locked="0"/>
    </xf>
    <xf numFmtId="0" fontId="2" fillId="0" borderId="0" xfId="0" applyFont="1" applyAlignment="1">
      <alignment vertical="center" wrapText="1"/>
    </xf>
    <xf numFmtId="0" fontId="2" fillId="0" borderId="73" xfId="0" applyFont="1" applyBorder="1" applyAlignment="1" applyProtection="1">
      <alignment vertical="center" wrapText="1"/>
      <protection locked="0"/>
    </xf>
    <xf numFmtId="185" fontId="2" fillId="0" borderId="68" xfId="0" applyNumberFormat="1" applyFont="1" applyFill="1" applyBorder="1" applyAlignment="1" applyProtection="1">
      <alignment vertical="center" shrinkToFit="1"/>
      <protection locked="0"/>
    </xf>
    <xf numFmtId="180" fontId="42" fillId="3" borderId="68" xfId="0" applyNumberFormat="1" applyFont="1" applyFill="1" applyBorder="1" applyAlignment="1" applyProtection="1">
      <alignment vertical="center" shrinkToFit="1"/>
    </xf>
    <xf numFmtId="0" fontId="2" fillId="0" borderId="68" xfId="0" applyNumberFormat="1" applyFont="1" applyFill="1" applyBorder="1" applyAlignment="1" applyProtection="1">
      <alignment vertical="center" shrinkToFit="1"/>
      <protection locked="0"/>
    </xf>
    <xf numFmtId="0" fontId="2" fillId="0" borderId="68" xfId="0" applyNumberFormat="1" applyFont="1" applyBorder="1" applyAlignment="1" applyProtection="1">
      <alignment vertical="center" shrinkToFit="1"/>
      <protection locked="0"/>
    </xf>
    <xf numFmtId="180" fontId="42" fillId="3" borderId="61" xfId="0" applyNumberFormat="1" applyFont="1" applyFill="1" applyBorder="1" applyAlignment="1" applyProtection="1">
      <alignment vertical="center" shrinkToFit="1"/>
    </xf>
    <xf numFmtId="0" fontId="2" fillId="0" borderId="7" xfId="0" applyFont="1" applyBorder="1" applyAlignment="1" applyProtection="1">
      <alignment vertical="center"/>
      <protection locked="0"/>
    </xf>
    <xf numFmtId="185" fontId="2" fillId="4" borderId="8" xfId="0" applyNumberFormat="1" applyFont="1" applyFill="1" applyBorder="1" applyAlignment="1" applyProtection="1">
      <alignment vertical="center" shrinkToFit="1"/>
      <protection locked="0"/>
    </xf>
    <xf numFmtId="0" fontId="2" fillId="0" borderId="10" xfId="0" applyFont="1" applyBorder="1" applyAlignment="1" applyProtection="1">
      <alignment vertical="center"/>
      <protection locked="0"/>
    </xf>
    <xf numFmtId="185" fontId="2" fillId="4" borderId="12" xfId="0" applyNumberFormat="1" applyFont="1" applyFill="1" applyBorder="1" applyAlignment="1" applyProtection="1">
      <alignment vertical="center" shrinkToFit="1"/>
      <protection locked="0"/>
    </xf>
    <xf numFmtId="180" fontId="42" fillId="3" borderId="12" xfId="0" applyNumberFormat="1" applyFont="1" applyFill="1" applyBorder="1" applyAlignment="1" applyProtection="1">
      <alignment vertical="center" shrinkToFit="1"/>
    </xf>
    <xf numFmtId="0" fontId="2" fillId="0" borderId="12" xfId="0" applyNumberFormat="1" applyFont="1" applyBorder="1" applyAlignment="1" applyProtection="1">
      <alignment vertical="center" shrinkToFit="1"/>
      <protection locked="0"/>
    </xf>
    <xf numFmtId="0" fontId="18" fillId="0" borderId="0" xfId="0" applyFont="1" applyBorder="1">
      <alignment vertical="center"/>
    </xf>
    <xf numFmtId="0" fontId="2" fillId="0" borderId="0" xfId="0" applyFont="1" applyBorder="1">
      <alignment vertical="center"/>
    </xf>
    <xf numFmtId="0" fontId="2" fillId="0" borderId="0" xfId="0" applyFont="1" applyBorder="1" applyAlignment="1">
      <alignment horizontal="center" vertical="center"/>
    </xf>
    <xf numFmtId="185" fontId="2" fillId="0" borderId="0" xfId="0" applyNumberFormat="1" applyFont="1" applyBorder="1">
      <alignment vertical="center"/>
    </xf>
    <xf numFmtId="185" fontId="0" fillId="0" borderId="0" xfId="0" applyNumberFormat="1" applyFont="1" applyBorder="1">
      <alignment vertical="center"/>
    </xf>
    <xf numFmtId="0" fontId="54" fillId="0" borderId="0" xfId="0" applyFont="1" applyBorder="1" applyAlignment="1">
      <alignment horizontal="center" vertical="center"/>
    </xf>
    <xf numFmtId="0" fontId="54" fillId="0" borderId="0" xfId="0" applyFont="1" applyAlignment="1">
      <alignment horizontal="center" vertical="center"/>
    </xf>
    <xf numFmtId="0" fontId="9" fillId="0" borderId="0" xfId="0" applyFont="1" applyAlignment="1" applyProtection="1">
      <alignment vertical="center"/>
      <protection locked="0"/>
    </xf>
    <xf numFmtId="180" fontId="2" fillId="2" borderId="9" xfId="0" applyNumberFormat="1" applyFont="1" applyFill="1" applyBorder="1" applyAlignment="1" applyProtection="1">
      <alignment horizontal="center" vertical="center"/>
    </xf>
    <xf numFmtId="0" fontId="2" fillId="2" borderId="73" xfId="0" applyFont="1" applyFill="1" applyBorder="1" applyAlignment="1" applyProtection="1">
      <alignment horizontal="center" vertical="center"/>
      <protection locked="0"/>
    </xf>
    <xf numFmtId="0" fontId="2" fillId="2" borderId="12" xfId="0" applyFont="1" applyFill="1" applyBorder="1" applyAlignment="1" applyProtection="1">
      <alignment vertical="center"/>
      <protection locked="0"/>
    </xf>
    <xf numFmtId="180" fontId="42" fillId="3" borderId="34" xfId="0" applyNumberFormat="1" applyFont="1" applyFill="1" applyBorder="1" applyAlignment="1" applyProtection="1"/>
    <xf numFmtId="180" fontId="2" fillId="2" borderId="35" xfId="0" applyNumberFormat="1" applyFont="1" applyFill="1" applyBorder="1" applyAlignment="1" applyProtection="1"/>
    <xf numFmtId="180" fontId="42" fillId="3" borderId="9" xfId="0" applyNumberFormat="1" applyFont="1" applyFill="1" applyBorder="1" applyAlignment="1" applyProtection="1">
      <alignment vertical="center"/>
    </xf>
    <xf numFmtId="49" fontId="54" fillId="0" borderId="0" xfId="0" applyNumberFormat="1" applyFont="1" applyProtection="1">
      <alignment vertical="center"/>
      <protection locked="0"/>
    </xf>
    <xf numFmtId="180" fontId="42" fillId="5" borderId="68" xfId="0" applyNumberFormat="1" applyFont="1" applyFill="1" applyBorder="1" applyAlignment="1" applyProtection="1">
      <alignment vertical="center"/>
    </xf>
    <xf numFmtId="180" fontId="42" fillId="3" borderId="74" xfId="0" applyNumberFormat="1" applyFont="1" applyFill="1" applyBorder="1" applyAlignment="1" applyProtection="1">
      <alignment vertical="center"/>
    </xf>
    <xf numFmtId="0" fontId="2" fillId="0" borderId="72" xfId="0" applyFont="1" applyBorder="1" applyAlignment="1" applyProtection="1">
      <alignment vertical="center"/>
      <protection locked="0"/>
    </xf>
    <xf numFmtId="0" fontId="2" fillId="0" borderId="0" xfId="0" applyFont="1" applyAlignment="1">
      <alignment horizontal="justify" vertical="center"/>
    </xf>
    <xf numFmtId="0" fontId="0" fillId="4" borderId="0" xfId="0" applyFill="1">
      <alignment vertical="center"/>
    </xf>
    <xf numFmtId="0" fontId="0" fillId="4" borderId="0" xfId="0" applyFont="1" applyFill="1" applyProtection="1">
      <alignment vertical="center"/>
      <protection locked="0"/>
    </xf>
    <xf numFmtId="0" fontId="0" fillId="2" borderId="7" xfId="0" applyFill="1" applyBorder="1">
      <alignment vertical="center"/>
    </xf>
    <xf numFmtId="0" fontId="12" fillId="4" borderId="0" xfId="2" applyNumberFormat="1" applyFont="1" applyFill="1" applyBorder="1" applyProtection="1">
      <alignment vertical="center"/>
    </xf>
    <xf numFmtId="0" fontId="0" fillId="2" borderId="10" xfId="0" applyFont="1" applyFill="1" applyBorder="1">
      <alignment vertical="center"/>
    </xf>
    <xf numFmtId="49" fontId="2" fillId="2" borderId="19" xfId="0" applyNumberFormat="1" applyFont="1" applyFill="1" applyBorder="1" applyAlignment="1" applyProtection="1">
      <alignment horizontal="center" vertical="center"/>
      <protection locked="0"/>
    </xf>
    <xf numFmtId="0" fontId="2" fillId="5" borderId="19" xfId="0" applyNumberFormat="1" applyFont="1" applyFill="1" applyBorder="1" applyAlignment="1" applyProtection="1">
      <alignment horizontal="center" vertical="center"/>
    </xf>
    <xf numFmtId="49" fontId="2" fillId="2" borderId="11" xfId="0" applyNumberFormat="1" applyFont="1" applyFill="1" applyBorder="1" applyAlignment="1" applyProtection="1">
      <alignment horizontal="center" vertical="center"/>
      <protection locked="0"/>
    </xf>
    <xf numFmtId="49" fontId="2" fillId="2" borderId="12" xfId="0" applyNumberFormat="1" applyFont="1" applyFill="1" applyBorder="1" applyAlignment="1" applyProtection="1">
      <alignment horizontal="center" vertical="center"/>
      <protection locked="0"/>
    </xf>
    <xf numFmtId="180" fontId="42" fillId="3" borderId="19" xfId="0" applyNumberFormat="1" applyFont="1" applyFill="1" applyBorder="1" applyAlignment="1" applyProtection="1">
      <alignment vertical="center"/>
    </xf>
    <xf numFmtId="180" fontId="42" fillId="3" borderId="19" xfId="0" applyNumberFormat="1" applyFont="1" applyFill="1" applyBorder="1" applyAlignment="1" applyProtection="1">
      <alignment vertical="center"/>
    </xf>
    <xf numFmtId="180" fontId="42" fillId="3" borderId="12" xfId="0" applyNumberFormat="1" applyFont="1" applyFill="1" applyBorder="1" applyAlignment="1" applyProtection="1">
      <alignment vertical="center"/>
    </xf>
    <xf numFmtId="0" fontId="2" fillId="0" borderId="0" xfId="0" applyFont="1" applyAlignment="1"/>
    <xf numFmtId="180" fontId="42" fillId="3" borderId="12" xfId="0" applyNumberFormat="1" applyFont="1" applyFill="1" applyBorder="1" applyAlignment="1" applyProtection="1">
      <alignment vertical="center"/>
    </xf>
    <xf numFmtId="0" fontId="2" fillId="0" borderId="80" xfId="0" applyFont="1" applyFill="1" applyBorder="1" applyAlignment="1" applyProtection="1">
      <alignment vertical="center"/>
      <protection locked="0"/>
    </xf>
    <xf numFmtId="0" fontId="2" fillId="0" borderId="25" xfId="0" applyFont="1" applyFill="1" applyBorder="1" applyAlignment="1" applyProtection="1">
      <alignment vertical="center"/>
      <protection locked="0"/>
    </xf>
    <xf numFmtId="180" fontId="42" fillId="3" borderId="68" xfId="0" applyNumberFormat="1" applyFont="1" applyFill="1" applyBorder="1" applyAlignment="1" applyProtection="1">
      <alignment vertical="center"/>
    </xf>
    <xf numFmtId="180" fontId="2" fillId="0" borderId="81" xfId="0" applyNumberFormat="1" applyFont="1" applyFill="1" applyBorder="1" applyAlignment="1" applyProtection="1">
      <alignment vertical="center"/>
      <protection locked="0"/>
    </xf>
    <xf numFmtId="180" fontId="2" fillId="0" borderId="35" xfId="0" applyNumberFormat="1" applyFont="1" applyFill="1" applyBorder="1" applyAlignment="1" applyProtection="1">
      <alignment vertical="center"/>
      <protection locked="0"/>
    </xf>
    <xf numFmtId="180" fontId="42" fillId="5" borderId="19" xfId="0" applyNumberFormat="1" applyFont="1" applyFill="1" applyBorder="1" applyAlignment="1" applyProtection="1">
      <alignment vertical="center"/>
    </xf>
    <xf numFmtId="0" fontId="2" fillId="2" borderId="8" xfId="0" applyFont="1" applyFill="1" applyBorder="1" applyAlignment="1" applyProtection="1">
      <alignment horizontal="center" vertical="center"/>
    </xf>
    <xf numFmtId="9" fontId="52" fillId="6" borderId="8" xfId="0" applyNumberFormat="1" applyFont="1" applyFill="1" applyBorder="1" applyAlignment="1" applyProtection="1">
      <alignment horizontal="center" vertical="center"/>
      <protection locked="0"/>
    </xf>
    <xf numFmtId="180" fontId="42" fillId="3" borderId="8" xfId="0" applyNumberFormat="1" applyFont="1" applyFill="1" applyBorder="1" applyAlignment="1" applyProtection="1">
      <alignment vertical="center"/>
    </xf>
    <xf numFmtId="0" fontId="2" fillId="0" borderId="9" xfId="0" applyFont="1" applyBorder="1" applyAlignment="1" applyProtection="1">
      <alignment horizontal="center" vertical="center"/>
      <protection locked="0"/>
    </xf>
    <xf numFmtId="0" fontId="0" fillId="0" borderId="0" xfId="0" applyFont="1" applyProtection="1">
      <alignment vertical="center"/>
      <protection locked="0"/>
    </xf>
    <xf numFmtId="180" fontId="0" fillId="0" borderId="0" xfId="0" applyNumberFormat="1" applyProtection="1">
      <alignment vertical="center"/>
      <protection locked="0"/>
    </xf>
    <xf numFmtId="0" fontId="2" fillId="0" borderId="0" xfId="0" applyFont="1">
      <alignment vertical="center"/>
    </xf>
    <xf numFmtId="0" fontId="2" fillId="0" borderId="7" xfId="0" applyFont="1" applyFill="1" applyBorder="1" applyAlignment="1" applyProtection="1">
      <alignment vertical="center"/>
      <protection locked="0"/>
    </xf>
    <xf numFmtId="0" fontId="2" fillId="4" borderId="8" xfId="0" applyFont="1" applyFill="1" applyBorder="1" applyAlignment="1" applyProtection="1">
      <alignment vertical="center"/>
      <protection locked="0"/>
    </xf>
    <xf numFmtId="180" fontId="2" fillId="4" borderId="8" xfId="0" applyNumberFormat="1" applyFont="1" applyFill="1" applyBorder="1" applyAlignment="1" applyProtection="1">
      <alignment vertical="center"/>
      <protection locked="0"/>
    </xf>
    <xf numFmtId="180" fontId="2" fillId="6" borderId="8" xfId="0" applyNumberFormat="1" applyFont="1" applyFill="1" applyBorder="1" applyAlignment="1" applyProtection="1">
      <alignment vertical="center"/>
      <protection locked="0"/>
    </xf>
    <xf numFmtId="180" fontId="42" fillId="3" borderId="9" xfId="0" applyNumberFormat="1" applyFont="1" applyFill="1" applyBorder="1" applyAlignment="1" applyProtection="1">
      <alignment horizontal="center" vertical="center"/>
    </xf>
    <xf numFmtId="0" fontId="2" fillId="0" borderId="73" xfId="0" applyFont="1" applyFill="1" applyBorder="1" applyAlignment="1" applyProtection="1">
      <alignment vertical="center"/>
      <protection locked="0"/>
    </xf>
    <xf numFmtId="0" fontId="2" fillId="4" borderId="68" xfId="0" applyFont="1" applyFill="1" applyBorder="1" applyAlignment="1" applyProtection="1">
      <alignment vertical="center"/>
      <protection locked="0"/>
    </xf>
    <xf numFmtId="180" fontId="2" fillId="4" borderId="68" xfId="0" applyNumberFormat="1" applyFont="1" applyFill="1" applyBorder="1" applyAlignment="1" applyProtection="1">
      <alignment vertical="center"/>
      <protection locked="0"/>
    </xf>
    <xf numFmtId="180" fontId="2" fillId="6" borderId="68" xfId="0" applyNumberFormat="1" applyFont="1" applyFill="1" applyBorder="1" applyAlignment="1" applyProtection="1">
      <alignment vertical="center"/>
      <protection locked="0"/>
    </xf>
    <xf numFmtId="180" fontId="42" fillId="3" borderId="74" xfId="0" applyNumberFormat="1" applyFont="1" applyFill="1" applyBorder="1" applyAlignment="1" applyProtection="1">
      <alignment horizontal="center" vertical="center"/>
    </xf>
    <xf numFmtId="180" fontId="2" fillId="2" borderId="34" xfId="0" applyNumberFormat="1" applyFont="1" applyFill="1" applyBorder="1" applyAlignment="1" applyProtection="1">
      <alignment vertical="center"/>
      <protection locked="0"/>
    </xf>
    <xf numFmtId="0" fontId="27" fillId="0" borderId="0" xfId="0" applyFont="1" applyAlignment="1" applyProtection="1">
      <alignment vertical="center"/>
      <protection locked="0"/>
    </xf>
    <xf numFmtId="0" fontId="27" fillId="0" borderId="0" xfId="0" applyFont="1" applyAlignment="1">
      <alignment vertical="center"/>
    </xf>
    <xf numFmtId="180" fontId="2" fillId="2" borderId="34" xfId="0" applyNumberFormat="1" applyFont="1" applyFill="1" applyBorder="1" applyAlignment="1" applyProtection="1">
      <alignment horizontal="center" vertical="center"/>
    </xf>
    <xf numFmtId="180" fontId="42" fillId="3" borderId="5" xfId="0" applyNumberFormat="1" applyFont="1" applyFill="1" applyBorder="1" applyAlignment="1" applyProtection="1">
      <alignment vertical="center"/>
    </xf>
    <xf numFmtId="0" fontId="27" fillId="2" borderId="0" xfId="0" applyFont="1" applyFill="1" applyAlignment="1" applyProtection="1">
      <alignment vertical="center"/>
      <protection locked="0"/>
    </xf>
    <xf numFmtId="0" fontId="2" fillId="0" borderId="0" xfId="0" applyFont="1" applyBorder="1" applyAlignment="1" applyProtection="1">
      <alignment vertical="center" wrapText="1"/>
      <protection locked="0"/>
    </xf>
    <xf numFmtId="0" fontId="51" fillId="0" borderId="0" xfId="0" applyFont="1" applyAlignment="1">
      <alignment vertical="center"/>
    </xf>
    <xf numFmtId="0" fontId="27" fillId="2" borderId="0" xfId="0" applyFont="1" applyFill="1" applyAlignment="1">
      <alignment horizontal="left" vertical="top" wrapText="1"/>
    </xf>
    <xf numFmtId="0" fontId="27" fillId="2" borderId="0" xfId="0" applyFont="1" applyFill="1" applyAlignment="1">
      <alignment vertical="center"/>
    </xf>
    <xf numFmtId="0" fontId="54" fillId="2" borderId="0" xfId="0" applyFont="1" applyFill="1" applyAlignment="1">
      <alignment vertical="center"/>
    </xf>
    <xf numFmtId="0" fontId="0" fillId="2" borderId="0" xfId="0" applyFill="1">
      <alignment vertical="center"/>
    </xf>
    <xf numFmtId="0" fontId="2" fillId="2" borderId="6" xfId="0" applyFont="1" applyFill="1" applyBorder="1" applyAlignment="1">
      <alignment horizontal="center" vertical="center"/>
    </xf>
    <xf numFmtId="0" fontId="2" fillId="2" borderId="19" xfId="0" applyFont="1" applyFill="1" applyBorder="1" applyAlignment="1">
      <alignment horizontal="center" vertical="center"/>
    </xf>
    <xf numFmtId="0" fontId="2" fillId="7" borderId="19" xfId="0" applyNumberFormat="1" applyFont="1" applyFill="1" applyBorder="1" applyAlignment="1">
      <alignment horizontal="center" vertical="center"/>
    </xf>
    <xf numFmtId="0" fontId="2" fillId="5" borderId="19" xfId="0" applyNumberFormat="1" applyFont="1" applyFill="1" applyBorder="1" applyAlignment="1">
      <alignment horizontal="center" vertical="center"/>
    </xf>
    <xf numFmtId="0" fontId="2" fillId="2" borderId="10" xfId="0" applyFont="1" applyFill="1" applyBorder="1" applyAlignment="1">
      <alignment horizontal="center" vertical="center"/>
    </xf>
    <xf numFmtId="0" fontId="2" fillId="2" borderId="12" xfId="0" applyFont="1" applyFill="1" applyBorder="1" applyAlignment="1">
      <alignment horizontal="center" vertical="center"/>
    </xf>
    <xf numFmtId="0" fontId="2" fillId="5" borderId="12" xfId="0" applyNumberFormat="1" applyFont="1" applyFill="1" applyBorder="1" applyAlignment="1">
      <alignment horizontal="center" vertical="center"/>
    </xf>
    <xf numFmtId="0" fontId="2" fillId="2" borderId="7" xfId="0" applyFont="1" applyFill="1" applyBorder="1" applyAlignment="1">
      <alignment horizontal="center" vertical="center"/>
    </xf>
    <xf numFmtId="178" fontId="2" fillId="0" borderId="34" xfId="0" applyNumberFormat="1" applyFont="1" applyFill="1" applyBorder="1" applyAlignment="1" applyProtection="1">
      <alignment vertical="center"/>
    </xf>
    <xf numFmtId="0" fontId="2" fillId="2" borderId="8" xfId="0" applyFont="1" applyFill="1" applyBorder="1" applyAlignment="1">
      <alignment horizontal="center" vertical="center"/>
    </xf>
    <xf numFmtId="0" fontId="2" fillId="7" borderId="60" xfId="0" applyFont="1" applyFill="1" applyBorder="1" applyAlignment="1">
      <alignment horizontal="right" vertical="center"/>
    </xf>
    <xf numFmtId="0" fontId="2" fillId="0" borderId="12" xfId="0" applyFont="1" applyFill="1" applyBorder="1" applyAlignment="1" applyProtection="1">
      <alignment horizontal="center" vertical="center"/>
      <protection locked="0"/>
    </xf>
    <xf numFmtId="0" fontId="0" fillId="0" borderId="12" xfId="0" applyFill="1" applyBorder="1" applyAlignment="1" applyProtection="1">
      <alignment horizontal="center" vertical="center"/>
      <protection locked="0"/>
    </xf>
    <xf numFmtId="0" fontId="0" fillId="0" borderId="22" xfId="0" applyFill="1" applyBorder="1" applyAlignment="1" applyProtection="1">
      <alignment horizontal="center" vertical="center"/>
      <protection locked="0"/>
    </xf>
    <xf numFmtId="0" fontId="2" fillId="2" borderId="8" xfId="0" applyNumberFormat="1" applyFont="1" applyFill="1" applyBorder="1" applyAlignment="1" applyProtection="1">
      <alignment horizontal="center" vertical="center"/>
      <protection locked="0"/>
    </xf>
    <xf numFmtId="0" fontId="2" fillId="3" borderId="64" xfId="0" applyFont="1" applyFill="1" applyBorder="1" applyAlignment="1" applyProtection="1">
      <alignment vertical="center"/>
    </xf>
    <xf numFmtId="0" fontId="2" fillId="3" borderId="0" xfId="0" applyFont="1" applyFill="1" applyBorder="1" applyAlignment="1" applyProtection="1">
      <alignment vertical="center"/>
    </xf>
    <xf numFmtId="0" fontId="56" fillId="0" borderId="0" xfId="0" applyFont="1">
      <alignment vertical="center"/>
    </xf>
    <xf numFmtId="0" fontId="2" fillId="2" borderId="35" xfId="0" applyFont="1" applyFill="1" applyBorder="1" applyAlignment="1" applyProtection="1">
      <alignment horizontal="center" vertical="center"/>
      <protection locked="0"/>
    </xf>
    <xf numFmtId="180" fontId="42" fillId="3" borderId="19" xfId="0" applyNumberFormat="1" applyFont="1" applyFill="1" applyBorder="1" applyAlignment="1" applyProtection="1">
      <alignment vertical="center"/>
    </xf>
    <xf numFmtId="180" fontId="42" fillId="3" borderId="11" xfId="0" applyNumberFormat="1" applyFont="1" applyFill="1" applyBorder="1" applyAlignment="1" applyProtection="1">
      <alignment vertical="center"/>
    </xf>
    <xf numFmtId="0" fontId="2" fillId="0" borderId="7" xfId="0" applyFont="1" applyFill="1" applyBorder="1" applyAlignment="1" applyProtection="1">
      <alignment vertical="center" wrapText="1"/>
      <protection locked="0"/>
    </xf>
    <xf numFmtId="180" fontId="2" fillId="0" borderId="74" xfId="0" applyNumberFormat="1" applyFont="1" applyFill="1" applyBorder="1" applyAlignment="1" applyProtection="1">
      <alignment vertical="center"/>
      <protection locked="0"/>
    </xf>
    <xf numFmtId="0" fontId="2" fillId="7" borderId="8" xfId="0" applyFont="1" applyFill="1" applyBorder="1" applyAlignment="1" applyProtection="1">
      <alignment horizontal="center" vertical="center"/>
      <protection locked="0"/>
    </xf>
    <xf numFmtId="0" fontId="2" fillId="5" borderId="12" xfId="0" applyFont="1" applyFill="1" applyBorder="1" applyAlignment="1" applyProtection="1">
      <alignment horizontal="center" vertical="center"/>
      <protection locked="0"/>
    </xf>
    <xf numFmtId="0" fontId="2" fillId="2" borderId="77" xfId="0" applyFont="1" applyFill="1" applyBorder="1" applyAlignment="1" applyProtection="1">
      <alignment horizontal="center" vertical="center"/>
      <protection locked="0"/>
    </xf>
    <xf numFmtId="0" fontId="2" fillId="2" borderId="82" xfId="0" applyFont="1" applyFill="1" applyBorder="1" applyAlignment="1" applyProtection="1">
      <alignment horizontal="center" vertical="center" wrapText="1"/>
      <protection locked="0"/>
    </xf>
    <xf numFmtId="0" fontId="0" fillId="2" borderId="6" xfId="0" applyFill="1" applyBorder="1" applyAlignment="1">
      <alignment horizontal="center" vertical="center"/>
    </xf>
    <xf numFmtId="0" fontId="0" fillId="6" borderId="11" xfId="0" applyFont="1" applyFill="1" applyBorder="1" applyAlignment="1">
      <alignment horizontal="center" vertical="center"/>
    </xf>
    <xf numFmtId="0" fontId="0" fillId="2" borderId="7" xfId="0" applyFill="1" applyBorder="1" applyAlignment="1">
      <alignment horizontal="center" vertical="center"/>
    </xf>
    <xf numFmtId="0" fontId="0" fillId="6" borderId="9" xfId="0" applyFont="1" applyFill="1" applyBorder="1" applyAlignment="1">
      <alignment horizontal="center" vertical="center"/>
    </xf>
    <xf numFmtId="0" fontId="2" fillId="2" borderId="13" xfId="0" applyFont="1" applyFill="1" applyBorder="1" applyAlignment="1" applyProtection="1">
      <alignment horizontal="center" vertical="center" wrapText="1"/>
      <protection locked="0"/>
    </xf>
    <xf numFmtId="0" fontId="2" fillId="2" borderId="8" xfId="0" applyNumberFormat="1" applyFont="1" applyFill="1" applyBorder="1" applyAlignment="1" applyProtection="1">
      <alignment horizontal="center" vertical="center"/>
    </xf>
    <xf numFmtId="0" fontId="0" fillId="0" borderId="0" xfId="0" applyFill="1" applyProtection="1">
      <alignment vertical="center"/>
      <protection locked="0"/>
    </xf>
    <xf numFmtId="0" fontId="2" fillId="2" borderId="63" xfId="0" applyNumberFormat="1" applyFont="1" applyFill="1" applyBorder="1" applyAlignment="1" applyProtection="1">
      <alignment horizontal="center" vertical="center"/>
    </xf>
    <xf numFmtId="0" fontId="43" fillId="0" borderId="0" xfId="0" applyFont="1" applyFill="1" applyProtection="1">
      <alignment vertical="center"/>
      <protection locked="0"/>
    </xf>
    <xf numFmtId="0" fontId="2" fillId="3" borderId="8" xfId="0" applyFont="1" applyFill="1" applyBorder="1" applyAlignment="1" applyProtection="1">
      <alignment vertical="center" shrinkToFit="1"/>
    </xf>
    <xf numFmtId="180" fontId="48" fillId="3" borderId="9" xfId="0" applyNumberFormat="1" applyFont="1" applyFill="1" applyBorder="1" applyAlignment="1" applyProtection="1">
      <alignment vertical="center"/>
    </xf>
    <xf numFmtId="179" fontId="0" fillId="0" borderId="0" xfId="0" applyNumberFormat="1" applyProtection="1">
      <alignment vertical="center"/>
      <protection locked="0"/>
    </xf>
    <xf numFmtId="0" fontId="43" fillId="0" borderId="0" xfId="0" applyFont="1" applyProtection="1">
      <alignment vertical="center"/>
      <protection locked="0"/>
    </xf>
    <xf numFmtId="0" fontId="2" fillId="2" borderId="3" xfId="0" applyFont="1" applyFill="1" applyBorder="1" applyProtection="1">
      <alignment vertical="center"/>
      <protection locked="0"/>
    </xf>
    <xf numFmtId="180" fontId="42" fillId="3" borderId="3" xfId="0" applyNumberFormat="1" applyFont="1" applyFill="1" applyBorder="1" applyAlignment="1" applyProtection="1">
      <alignment vertical="center"/>
    </xf>
    <xf numFmtId="0" fontId="43" fillId="4" borderId="0" xfId="0" applyFont="1" applyFill="1">
      <alignment vertical="center"/>
    </xf>
    <xf numFmtId="0" fontId="43" fillId="4" borderId="0" xfId="0" applyFont="1" applyFill="1" applyAlignment="1">
      <alignment horizontal="center" vertical="center"/>
    </xf>
    <xf numFmtId="0" fontId="58" fillId="4" borderId="0" xfId="0" applyFont="1" applyFill="1" applyBorder="1" applyAlignment="1">
      <alignment vertical="center"/>
    </xf>
    <xf numFmtId="0" fontId="58" fillId="4" borderId="0" xfId="0" applyFont="1" applyFill="1" applyAlignment="1">
      <alignment horizontal="center" vertical="center"/>
    </xf>
    <xf numFmtId="0" fontId="17" fillId="4" borderId="0" xfId="0" applyFont="1" applyFill="1" applyBorder="1" applyAlignment="1">
      <alignment horizontal="center" vertical="center"/>
    </xf>
    <xf numFmtId="0" fontId="59" fillId="4" borderId="0" xfId="2" applyNumberFormat="1" applyFont="1" applyFill="1" applyBorder="1" applyAlignment="1" applyProtection="1">
      <alignment horizontal="center" vertical="center"/>
    </xf>
    <xf numFmtId="0" fontId="43" fillId="4" borderId="0" xfId="0" applyFont="1" applyFill="1" applyBorder="1">
      <alignment vertical="center"/>
    </xf>
    <xf numFmtId="0" fontId="59" fillId="4" borderId="0" xfId="2" applyNumberFormat="1" applyFont="1" applyFill="1" applyBorder="1" applyAlignment="1" applyProtection="1">
      <alignment horizontal="left" vertical="center"/>
    </xf>
    <xf numFmtId="0" fontId="18" fillId="4" borderId="0" xfId="0" applyFont="1" applyFill="1">
      <alignment vertical="center"/>
    </xf>
    <xf numFmtId="0" fontId="18" fillId="4" borderId="0" xfId="0" applyFont="1" applyFill="1" applyBorder="1">
      <alignment vertical="center"/>
    </xf>
    <xf numFmtId="0" fontId="62" fillId="4" borderId="0" xfId="2" applyNumberFormat="1" applyFont="1" applyFill="1" applyBorder="1" applyAlignment="1" applyProtection="1">
      <alignment horizontal="left" vertical="center"/>
    </xf>
    <xf numFmtId="0" fontId="60" fillId="0" borderId="8" xfId="0" applyFont="1" applyBorder="1" applyAlignment="1">
      <alignment horizontal="center" vertical="center"/>
    </xf>
    <xf numFmtId="0" fontId="60" fillId="4" borderId="8" xfId="2" applyNumberFormat="1" applyFont="1" applyFill="1" applyBorder="1" applyAlignment="1" applyProtection="1">
      <alignment horizontal="center" vertical="center"/>
    </xf>
    <xf numFmtId="0" fontId="2" fillId="4" borderId="0" xfId="0" applyFont="1" applyFill="1">
      <alignment vertical="center"/>
    </xf>
    <xf numFmtId="0" fontId="13" fillId="0" borderId="8" xfId="0" applyFont="1" applyBorder="1" applyAlignment="1">
      <alignment horizontal="center" vertical="center"/>
    </xf>
    <xf numFmtId="0" fontId="13" fillId="4" borderId="8" xfId="0" applyFont="1" applyFill="1" applyBorder="1" applyAlignment="1">
      <alignment horizontal="center" vertical="center"/>
    </xf>
    <xf numFmtId="0" fontId="0" fillId="0" borderId="0" xfId="0" applyBorder="1" applyProtection="1">
      <alignment vertical="center"/>
      <protection locked="0"/>
    </xf>
    <xf numFmtId="0" fontId="25" fillId="2" borderId="0" xfId="0" applyFont="1" applyFill="1" applyAlignment="1" applyProtection="1">
      <alignment horizontal="center" vertical="center"/>
      <protection locked="0"/>
    </xf>
    <xf numFmtId="49" fontId="2" fillId="5" borderId="0" xfId="0" applyNumberFormat="1" applyFont="1" applyFill="1" applyAlignment="1" applyProtection="1">
      <alignment horizontal="center"/>
    </xf>
    <xf numFmtId="0" fontId="2" fillId="0" borderId="0" xfId="0" applyFont="1" applyBorder="1" applyProtection="1">
      <alignment vertical="center"/>
      <protection locked="0"/>
    </xf>
    <xf numFmtId="0" fontId="2" fillId="5" borderId="9" xfId="0" applyNumberFormat="1" applyFont="1" applyFill="1" applyBorder="1" applyAlignment="1" applyProtection="1">
      <alignment horizontal="center" vertical="center"/>
    </xf>
    <xf numFmtId="0" fontId="0" fillId="0" borderId="0" xfId="0" applyFont="1" applyBorder="1" applyProtection="1">
      <alignment vertical="center"/>
      <protection locked="0"/>
    </xf>
    <xf numFmtId="186" fontId="2" fillId="3" borderId="34" xfId="0" applyNumberFormat="1" applyFont="1" applyFill="1" applyBorder="1" applyAlignment="1" applyProtection="1">
      <alignment horizontal="center" vertical="center"/>
    </xf>
    <xf numFmtId="186" fontId="2" fillId="2" borderId="34" xfId="0" applyNumberFormat="1" applyFont="1" applyFill="1" applyBorder="1" applyAlignment="1" applyProtection="1">
      <alignment horizontal="center" vertical="center"/>
      <protection locked="0"/>
    </xf>
    <xf numFmtId="0" fontId="2" fillId="0" borderId="1" xfId="2" applyNumberFormat="1" applyFont="1" applyFill="1" applyBorder="1" applyAlignment="1" applyProtection="1">
      <alignment vertical="center" wrapText="1"/>
      <protection locked="0"/>
    </xf>
    <xf numFmtId="58" fontId="52" fillId="2" borderId="8" xfId="0" applyNumberFormat="1" applyFont="1" applyFill="1" applyBorder="1" applyAlignment="1" applyProtection="1">
      <alignment horizontal="center" vertical="center"/>
      <protection locked="0"/>
    </xf>
    <xf numFmtId="0" fontId="52" fillId="2" borderId="8" xfId="0" applyFont="1" applyFill="1" applyBorder="1" applyAlignment="1" applyProtection="1">
      <alignment horizontal="center" vertical="center"/>
      <protection locked="0"/>
    </xf>
    <xf numFmtId="180" fontId="42" fillId="3" borderId="12" xfId="0" applyNumberFormat="1" applyFont="1" applyFill="1" applyBorder="1" applyAlignment="1" applyProtection="1">
      <alignment vertical="center"/>
    </xf>
    <xf numFmtId="0" fontId="52" fillId="2" borderId="19" xfId="0" applyFont="1" applyFill="1" applyBorder="1" applyAlignment="1" applyProtection="1">
      <alignment horizontal="center" vertical="center"/>
      <protection locked="0"/>
    </xf>
    <xf numFmtId="0" fontId="2" fillId="2" borderId="19" xfId="0" applyFont="1" applyFill="1" applyBorder="1" applyAlignment="1" applyProtection="1">
      <alignment horizontal="left" vertical="center"/>
      <protection locked="0"/>
    </xf>
    <xf numFmtId="0" fontId="2" fillId="3" borderId="12" xfId="0" applyFont="1" applyFill="1" applyBorder="1" applyAlignment="1" applyProtection="1">
      <alignment horizontal="center" vertical="center"/>
    </xf>
    <xf numFmtId="180" fontId="42" fillId="3" borderId="19" xfId="0" applyNumberFormat="1" applyFont="1" applyFill="1" applyBorder="1" applyProtection="1">
      <alignment vertical="center"/>
    </xf>
    <xf numFmtId="0" fontId="2" fillId="2" borderId="8" xfId="0" applyFont="1" applyFill="1" applyBorder="1" applyProtection="1">
      <alignment vertical="center"/>
      <protection locked="0"/>
    </xf>
    <xf numFmtId="180" fontId="42" fillId="7" borderId="8" xfId="0" applyNumberFormat="1" applyFont="1" applyFill="1" applyBorder="1" applyProtection="1">
      <alignment vertical="center"/>
      <protection locked="0"/>
    </xf>
    <xf numFmtId="0" fontId="2" fillId="2" borderId="68" xfId="0" applyFont="1" applyFill="1" applyBorder="1" applyProtection="1">
      <alignment vertical="center"/>
      <protection locked="0"/>
    </xf>
    <xf numFmtId="0" fontId="2" fillId="2" borderId="12" xfId="0" applyFont="1" applyFill="1" applyBorder="1" applyProtection="1">
      <alignment vertical="center"/>
      <protection locked="0"/>
    </xf>
    <xf numFmtId="0" fontId="2" fillId="2" borderId="59" xfId="0" applyFont="1" applyFill="1" applyBorder="1" applyProtection="1">
      <alignment vertical="center"/>
      <protection locked="0"/>
    </xf>
    <xf numFmtId="180" fontId="42" fillId="3" borderId="59" xfId="0" applyNumberFormat="1" applyFont="1" applyFill="1" applyBorder="1" applyProtection="1">
      <alignment vertical="center"/>
    </xf>
    <xf numFmtId="0" fontId="2" fillId="2" borderId="63" xfId="0" applyFont="1" applyFill="1" applyBorder="1" applyProtection="1">
      <alignment vertical="center"/>
      <protection locked="0"/>
    </xf>
    <xf numFmtId="0" fontId="2" fillId="0" borderId="0" xfId="2" applyNumberFormat="1" applyFont="1" applyFill="1" applyBorder="1" applyAlignment="1" applyProtection="1">
      <alignment vertical="center"/>
      <protection locked="0"/>
    </xf>
    <xf numFmtId="0" fontId="0" fillId="0" borderId="0" xfId="2" applyNumberFormat="1" applyFont="1" applyFill="1" applyBorder="1" applyAlignment="1" applyProtection="1">
      <alignment vertical="center"/>
      <protection locked="0"/>
    </xf>
    <xf numFmtId="0" fontId="2" fillId="2" borderId="33" xfId="0" applyFont="1" applyFill="1" applyBorder="1" applyAlignment="1" applyProtection="1">
      <alignment vertical="center" wrapText="1"/>
      <protection locked="0"/>
    </xf>
    <xf numFmtId="49" fontId="2" fillId="0" borderId="0" xfId="0" applyNumberFormat="1" applyFont="1" applyFill="1" applyAlignment="1" applyProtection="1">
      <alignment horizontal="center"/>
      <protection locked="0"/>
    </xf>
    <xf numFmtId="0" fontId="0" fillId="4" borderId="0" xfId="0" applyFont="1" applyFill="1" applyBorder="1" applyProtection="1">
      <alignment vertical="center"/>
      <protection locked="0"/>
    </xf>
    <xf numFmtId="186" fontId="2" fillId="3" borderId="59" xfId="0" applyNumberFormat="1" applyFont="1" applyFill="1" applyBorder="1" applyAlignment="1" applyProtection="1">
      <alignment horizontal="center" vertical="center"/>
    </xf>
    <xf numFmtId="186" fontId="2" fillId="2" borderId="59" xfId="0" applyNumberFormat="1" applyFont="1" applyFill="1" applyBorder="1" applyAlignment="1" applyProtection="1">
      <alignment horizontal="center" vertical="center"/>
      <protection locked="0"/>
    </xf>
    <xf numFmtId="180" fontId="2" fillId="0" borderId="11" xfId="0" applyNumberFormat="1" applyFont="1" applyFill="1" applyBorder="1" applyAlignment="1" applyProtection="1">
      <alignment vertical="center"/>
      <protection locked="0"/>
    </xf>
    <xf numFmtId="180" fontId="2" fillId="0" borderId="72" xfId="0" applyNumberFormat="1" applyFont="1" applyFill="1" applyBorder="1" applyAlignment="1" applyProtection="1">
      <alignment vertical="center"/>
      <protection locked="0"/>
    </xf>
    <xf numFmtId="180" fontId="2" fillId="0" borderId="22" xfId="0" applyNumberFormat="1" applyFont="1" applyFill="1" applyBorder="1" applyAlignment="1" applyProtection="1">
      <alignment vertical="center"/>
      <protection locked="0"/>
    </xf>
    <xf numFmtId="0" fontId="0" fillId="2" borderId="0" xfId="0" applyFont="1" applyFill="1" applyAlignment="1" applyProtection="1">
      <alignment horizontal="right" vertical="center"/>
      <protection locked="0"/>
    </xf>
    <xf numFmtId="49" fontId="0" fillId="5" borderId="0" xfId="0" applyNumberFormat="1" applyFill="1" applyAlignment="1" applyProtection="1">
      <alignment horizontal="center" vertical="center"/>
    </xf>
    <xf numFmtId="0" fontId="2" fillId="5" borderId="22" xfId="0" applyNumberFormat="1" applyFont="1" applyFill="1" applyBorder="1" applyAlignment="1" applyProtection="1">
      <alignment horizontal="center" vertical="center"/>
    </xf>
    <xf numFmtId="0" fontId="2" fillId="2" borderId="7" xfId="0" applyFont="1" applyFill="1" applyBorder="1" applyAlignment="1" applyProtection="1">
      <alignment vertical="center" wrapText="1"/>
      <protection locked="0"/>
    </xf>
    <xf numFmtId="0" fontId="30" fillId="4" borderId="0" xfId="0" applyFont="1" applyFill="1" applyProtection="1">
      <alignment vertical="center"/>
      <protection locked="0"/>
    </xf>
    <xf numFmtId="0" fontId="2" fillId="0" borderId="10" xfId="0" applyFont="1" applyFill="1" applyBorder="1" applyAlignment="1" applyProtection="1">
      <alignment horizontal="center" vertical="center"/>
      <protection locked="0"/>
    </xf>
    <xf numFmtId="0" fontId="2" fillId="4" borderId="0" xfId="0" applyFont="1" applyFill="1" applyProtection="1">
      <alignment vertical="center"/>
      <protection locked="0"/>
    </xf>
    <xf numFmtId="0" fontId="2" fillId="3" borderId="7" xfId="0" applyFont="1" applyFill="1" applyBorder="1" applyProtection="1">
      <alignment vertical="center"/>
    </xf>
    <xf numFmtId="0" fontId="2" fillId="3" borderId="7" xfId="0" applyFont="1" applyFill="1" applyBorder="1" applyProtection="1">
      <alignment vertical="center"/>
      <protection locked="0"/>
    </xf>
    <xf numFmtId="0" fontId="0" fillId="4" borderId="0" xfId="0" applyFill="1" applyBorder="1" applyProtection="1">
      <alignment vertical="center"/>
      <protection locked="0"/>
    </xf>
    <xf numFmtId="0" fontId="2" fillId="4" borderId="0" xfId="0" applyFont="1" applyFill="1" applyBorder="1" applyProtection="1">
      <alignment vertical="center"/>
      <protection locked="0"/>
    </xf>
    <xf numFmtId="0" fontId="63" fillId="2" borderId="7" xfId="0" applyFont="1" applyFill="1" applyBorder="1" applyProtection="1">
      <alignment vertical="center"/>
      <protection locked="0"/>
    </xf>
    <xf numFmtId="0" fontId="2" fillId="0" borderId="10" xfId="0" applyFont="1" applyFill="1" applyBorder="1" applyAlignment="1" applyProtection="1">
      <alignment vertical="center" wrapText="1"/>
      <protection locked="0"/>
    </xf>
    <xf numFmtId="0" fontId="2" fillId="2" borderId="19" xfId="0" applyFont="1" applyFill="1" applyBorder="1" applyAlignment="1" applyProtection="1">
      <alignment vertical="center"/>
    </xf>
    <xf numFmtId="0" fontId="2" fillId="2" borderId="11" xfId="0" applyFont="1" applyFill="1" applyBorder="1" applyAlignment="1" applyProtection="1">
      <alignment horizontal="center" vertical="center"/>
      <protection locked="0"/>
    </xf>
    <xf numFmtId="0" fontId="2" fillId="2" borderId="8" xfId="0" applyFont="1" applyFill="1" applyBorder="1" applyAlignment="1" applyProtection="1">
      <alignment horizontal="center" vertical="center"/>
    </xf>
    <xf numFmtId="31" fontId="2" fillId="2" borderId="12" xfId="0" applyNumberFormat="1" applyFont="1" applyFill="1" applyBorder="1" applyAlignment="1" applyProtection="1">
      <alignment horizontal="center" vertical="center"/>
    </xf>
    <xf numFmtId="0" fontId="2" fillId="2" borderId="34" xfId="0" applyFont="1" applyFill="1" applyBorder="1" applyAlignment="1" applyProtection="1">
      <alignment horizontal="center" vertical="center"/>
      <protection locked="0"/>
    </xf>
    <xf numFmtId="0" fontId="2" fillId="2" borderId="35" xfId="0" applyFont="1" applyFill="1" applyBorder="1" applyAlignment="1" applyProtection="1">
      <alignment horizontal="center" vertical="center"/>
      <protection locked="0"/>
    </xf>
    <xf numFmtId="0" fontId="2" fillId="0" borderId="11" xfId="0" applyFont="1" applyFill="1" applyBorder="1" applyAlignment="1" applyProtection="1">
      <alignment vertical="center"/>
      <protection locked="0"/>
    </xf>
    <xf numFmtId="0" fontId="2" fillId="0" borderId="9" xfId="0" applyFont="1" applyFill="1" applyBorder="1" applyAlignment="1" applyProtection="1">
      <alignment vertical="center"/>
      <protection locked="0"/>
    </xf>
    <xf numFmtId="0" fontId="2" fillId="0" borderId="9" xfId="0" applyFont="1" applyFill="1" applyBorder="1" applyAlignment="1" applyProtection="1">
      <alignment vertical="center" wrapText="1"/>
      <protection locked="0"/>
    </xf>
    <xf numFmtId="180" fontId="42" fillId="3" borderId="19" xfId="0" applyNumberFormat="1" applyFont="1" applyFill="1" applyBorder="1" applyProtection="1">
      <alignment vertical="center"/>
      <protection locked="0"/>
    </xf>
    <xf numFmtId="0" fontId="2" fillId="0" borderId="11" xfId="0" applyFont="1" applyFill="1" applyBorder="1" applyAlignment="1" applyProtection="1">
      <alignment vertical="center" wrapText="1"/>
      <protection locked="0"/>
    </xf>
    <xf numFmtId="0" fontId="2" fillId="0" borderId="22" xfId="0" applyFont="1" applyFill="1" applyBorder="1" applyAlignment="1" applyProtection="1">
      <alignment vertical="center" wrapText="1"/>
      <protection locked="0"/>
    </xf>
    <xf numFmtId="0" fontId="2" fillId="0" borderId="72" xfId="0" applyFont="1" applyFill="1" applyBorder="1" applyAlignment="1" applyProtection="1">
      <alignment vertical="center" wrapText="1"/>
      <protection locked="0"/>
    </xf>
    <xf numFmtId="0" fontId="2" fillId="0" borderId="22" xfId="0" applyFont="1" applyFill="1" applyBorder="1" applyAlignment="1" applyProtection="1">
      <alignment vertical="center"/>
      <protection locked="0"/>
    </xf>
    <xf numFmtId="180" fontId="42" fillId="3" borderId="34" xfId="0" applyNumberFormat="1" applyFont="1" applyFill="1" applyBorder="1" applyAlignment="1" applyProtection="1">
      <alignment vertical="center"/>
    </xf>
    <xf numFmtId="0" fontId="2" fillId="0" borderId="35" xfId="0" applyFont="1" applyFill="1" applyBorder="1" applyAlignment="1" applyProtection="1">
      <alignment horizontal="center" vertical="center"/>
      <protection locked="0"/>
    </xf>
    <xf numFmtId="0" fontId="2" fillId="0" borderId="0" xfId="0" applyFont="1" applyProtection="1">
      <alignment vertical="center"/>
      <protection locked="0"/>
    </xf>
    <xf numFmtId="0" fontId="2" fillId="0" borderId="0" xfId="0" applyFont="1">
      <alignment vertical="center"/>
    </xf>
    <xf numFmtId="0" fontId="0" fillId="0" borderId="0" xfId="0">
      <alignment vertical="center"/>
    </xf>
    <xf numFmtId="0" fontId="0" fillId="0" borderId="0" xfId="0" applyProtection="1">
      <alignment vertical="center"/>
      <protection locked="0"/>
    </xf>
    <xf numFmtId="0" fontId="16" fillId="2" borderId="0" xfId="0" applyFont="1" applyFill="1" applyProtection="1">
      <alignment vertical="center"/>
      <protection locked="0"/>
    </xf>
    <xf numFmtId="0" fontId="0" fillId="2" borderId="0" xfId="0" applyFill="1" applyProtection="1">
      <alignment vertical="center"/>
      <protection locked="0"/>
    </xf>
    <xf numFmtId="0" fontId="2" fillId="2" borderId="19" xfId="0" applyFont="1" applyFill="1" applyBorder="1" applyAlignment="1" applyProtection="1">
      <alignment horizontal="center" vertical="center" wrapText="1"/>
      <protection locked="0"/>
    </xf>
    <xf numFmtId="0" fontId="2" fillId="7" borderId="19" xfId="0" applyNumberFormat="1" applyFont="1" applyFill="1" applyBorder="1" applyAlignment="1" applyProtection="1">
      <alignment horizontal="center" vertical="center"/>
      <protection locked="0"/>
    </xf>
    <xf numFmtId="0" fontId="2" fillId="2" borderId="11" xfId="0" applyFont="1" applyFill="1" applyBorder="1" applyAlignment="1" applyProtection="1">
      <alignment horizontal="center" vertical="center"/>
      <protection locked="0"/>
    </xf>
    <xf numFmtId="0" fontId="2" fillId="2" borderId="12" xfId="0" applyFont="1" applyFill="1" applyBorder="1" applyAlignment="1" applyProtection="1">
      <alignment horizontal="center" vertical="center" wrapText="1"/>
      <protection locked="0"/>
    </xf>
    <xf numFmtId="0" fontId="2" fillId="5" borderId="12" xfId="0" applyNumberFormat="1" applyFont="1" applyFill="1" applyBorder="1" applyAlignment="1" applyProtection="1">
      <alignment horizontal="center" vertical="center"/>
    </xf>
    <xf numFmtId="0" fontId="2" fillId="0" borderId="22" xfId="0" applyFont="1" applyFill="1" applyBorder="1" applyAlignment="1" applyProtection="1">
      <alignment horizontal="center"/>
      <protection locked="0"/>
    </xf>
    <xf numFmtId="0" fontId="2" fillId="2" borderId="6" xfId="0" applyFont="1" applyFill="1" applyBorder="1" applyAlignment="1" applyProtection="1">
      <alignment horizontal="center" vertical="center"/>
      <protection locked="0"/>
    </xf>
    <xf numFmtId="180" fontId="42" fillId="3" borderId="19" xfId="0" applyNumberFormat="1" applyFont="1" applyFill="1" applyBorder="1" applyAlignment="1" applyProtection="1">
      <alignment vertical="center"/>
    </xf>
    <xf numFmtId="180" fontId="42" fillId="3" borderId="11" xfId="0" applyNumberFormat="1" applyFont="1" applyFill="1" applyBorder="1" applyAlignment="1" applyProtection="1">
      <alignment vertical="center"/>
    </xf>
    <xf numFmtId="0" fontId="2" fillId="2" borderId="7" xfId="0" applyFont="1" applyFill="1" applyBorder="1" applyAlignment="1" applyProtection="1">
      <alignment horizontal="center" vertical="center"/>
      <protection locked="0"/>
    </xf>
    <xf numFmtId="180" fontId="42" fillId="3" borderId="8" xfId="0" applyNumberFormat="1" applyFont="1" applyFill="1" applyBorder="1" applyAlignment="1" applyProtection="1">
      <alignment vertical="center"/>
    </xf>
    <xf numFmtId="180" fontId="42" fillId="7" borderId="8" xfId="0" applyNumberFormat="1" applyFont="1" applyFill="1" applyBorder="1" applyAlignment="1" applyProtection="1">
      <alignment vertical="center"/>
      <protection locked="0"/>
    </xf>
    <xf numFmtId="180" fontId="42" fillId="3" borderId="9" xfId="0" applyNumberFormat="1" applyFont="1" applyFill="1" applyBorder="1" applyAlignment="1" applyProtection="1">
      <alignment vertical="center"/>
    </xf>
    <xf numFmtId="0" fontId="2" fillId="2" borderId="10" xfId="0" applyFont="1" applyFill="1" applyBorder="1" applyAlignment="1" applyProtection="1">
      <alignment horizontal="center" vertical="center"/>
      <protection locked="0"/>
    </xf>
    <xf numFmtId="180" fontId="42" fillId="3" borderId="12" xfId="0" applyNumberFormat="1" applyFont="1" applyFill="1" applyBorder="1" applyAlignment="1" applyProtection="1">
      <alignment vertical="center"/>
    </xf>
    <xf numFmtId="180" fontId="42" fillId="3" borderId="22" xfId="0" applyNumberFormat="1" applyFont="1" applyFill="1" applyBorder="1" applyAlignment="1" applyProtection="1">
      <alignment vertical="center"/>
    </xf>
    <xf numFmtId="0" fontId="25" fillId="2" borderId="33" xfId="0" applyFont="1" applyFill="1" applyBorder="1" applyAlignment="1" applyProtection="1">
      <alignment horizontal="center" vertical="center"/>
      <protection locked="0"/>
    </xf>
    <xf numFmtId="180" fontId="42" fillId="3" borderId="34" xfId="0" applyNumberFormat="1" applyFont="1" applyFill="1" applyBorder="1" applyAlignment="1" applyProtection="1">
      <alignment vertical="center"/>
    </xf>
    <xf numFmtId="180" fontId="42" fillId="3" borderId="35" xfId="0" applyNumberFormat="1" applyFont="1" applyFill="1" applyBorder="1" applyAlignment="1" applyProtection="1">
      <alignment vertical="center"/>
    </xf>
    <xf numFmtId="0" fontId="0" fillId="0" borderId="0" xfId="0" applyFont="1" applyProtection="1">
      <alignment vertical="center"/>
      <protection locked="0"/>
    </xf>
    <xf numFmtId="0" fontId="2" fillId="3" borderId="63" xfId="0" applyFont="1" applyFill="1" applyBorder="1" applyAlignment="1" applyProtection="1">
      <alignment horizontal="center" vertical="center"/>
      <protection locked="0"/>
    </xf>
    <xf numFmtId="180" fontId="42" fillId="5" borderId="63" xfId="0" applyNumberFormat="1" applyFont="1" applyFill="1" applyBorder="1" applyAlignment="1" applyProtection="1">
      <alignment vertical="center"/>
    </xf>
    <xf numFmtId="9" fontId="2" fillId="6" borderId="63" xfId="0" applyNumberFormat="1" applyFont="1" applyFill="1" applyBorder="1" applyAlignment="1" applyProtection="1">
      <alignment horizontal="center" vertical="center"/>
      <protection locked="0"/>
    </xf>
    <xf numFmtId="180" fontId="42" fillId="3" borderId="63" xfId="0" applyNumberFormat="1" applyFont="1" applyFill="1" applyBorder="1" applyAlignment="1" applyProtection="1">
      <alignment vertical="center"/>
    </xf>
    <xf numFmtId="0" fontId="2" fillId="3" borderId="8" xfId="0" applyFont="1" applyFill="1" applyBorder="1" applyAlignment="1" applyProtection="1">
      <alignment horizontal="center" vertical="center"/>
      <protection locked="0"/>
    </xf>
    <xf numFmtId="9" fontId="2" fillId="6" borderId="8" xfId="0" applyNumberFormat="1" applyFont="1" applyFill="1" applyBorder="1" applyAlignment="1" applyProtection="1">
      <alignment horizontal="center" vertical="center"/>
      <protection locked="0"/>
    </xf>
    <xf numFmtId="0" fontId="63" fillId="0" borderId="72" xfId="0" applyFont="1" applyBorder="1" applyAlignment="1" applyProtection="1">
      <alignment vertical="center" wrapText="1"/>
      <protection locked="0"/>
    </xf>
    <xf numFmtId="0" fontId="43" fillId="0" borderId="0" xfId="2" applyNumberFormat="1" applyFont="1" applyFill="1" applyBorder="1" applyAlignment="1" applyProtection="1">
      <alignment vertical="center"/>
      <protection locked="0"/>
    </xf>
    <xf numFmtId="0" fontId="2" fillId="0" borderId="0" xfId="2" applyNumberFormat="1" applyFont="1" applyFill="1" applyBorder="1" applyAlignment="1" applyProtection="1">
      <alignment vertical="center" wrapText="1"/>
      <protection locked="0"/>
    </xf>
    <xf numFmtId="0" fontId="2" fillId="0" borderId="68" xfId="0" applyFont="1" applyFill="1" applyBorder="1" applyAlignment="1" applyProtection="1">
      <alignment horizontal="center" vertical="center"/>
      <protection locked="0"/>
    </xf>
    <xf numFmtId="9" fontId="2" fillId="0" borderId="68" xfId="0" applyNumberFormat="1" applyFont="1" applyFill="1" applyBorder="1" applyAlignment="1" applyProtection="1">
      <alignment horizontal="center" vertical="center"/>
      <protection locked="0"/>
    </xf>
    <xf numFmtId="0" fontId="2" fillId="0" borderId="74" xfId="0" applyFont="1" applyBorder="1" applyAlignment="1" applyProtection="1">
      <alignment vertical="center"/>
      <protection locked="0"/>
    </xf>
    <xf numFmtId="0" fontId="2" fillId="2" borderId="22" xfId="0" applyFont="1" applyFill="1" applyBorder="1" applyAlignment="1" applyProtection="1">
      <alignment vertical="center"/>
      <protection locked="0"/>
    </xf>
    <xf numFmtId="0" fontId="2" fillId="2" borderId="6" xfId="0" applyFont="1" applyFill="1" applyBorder="1" applyAlignment="1" applyProtection="1">
      <alignment horizontal="center" vertical="center" wrapText="1"/>
      <protection hidden="1"/>
    </xf>
    <xf numFmtId="0" fontId="2" fillId="2" borderId="19" xfId="0" applyFont="1" applyFill="1" applyBorder="1" applyAlignment="1" applyProtection="1">
      <alignment horizontal="center" vertical="center" wrapText="1"/>
      <protection hidden="1"/>
    </xf>
    <xf numFmtId="189" fontId="2" fillId="2" borderId="19" xfId="4" applyNumberFormat="1" applyFont="1" applyFill="1" applyBorder="1" applyAlignment="1" applyProtection="1">
      <alignment horizontal="center" vertical="center" wrapText="1"/>
      <protection hidden="1"/>
    </xf>
    <xf numFmtId="0" fontId="2" fillId="2" borderId="8" xfId="0" applyFont="1" applyFill="1" applyBorder="1" applyAlignment="1" applyProtection="1">
      <alignment horizontal="center" vertical="center" wrapText="1"/>
      <protection hidden="1"/>
    </xf>
    <xf numFmtId="0" fontId="2" fillId="2" borderId="10" xfId="0" applyFont="1" applyFill="1" applyBorder="1" applyAlignment="1" applyProtection="1">
      <alignment vertical="center" wrapText="1"/>
      <protection hidden="1"/>
    </xf>
    <xf numFmtId="0" fontId="2" fillId="2" borderId="12" xfId="0" applyFont="1" applyFill="1" applyBorder="1" applyAlignment="1" applyProtection="1">
      <alignment horizontal="center" vertical="center" wrapText="1"/>
      <protection hidden="1"/>
    </xf>
    <xf numFmtId="0" fontId="2" fillId="2" borderId="11" xfId="0" applyFont="1" applyFill="1" applyBorder="1" applyAlignment="1" applyProtection="1">
      <alignment vertical="center"/>
      <protection hidden="1"/>
    </xf>
    <xf numFmtId="189" fontId="2" fillId="2" borderId="8" xfId="0" applyNumberFormat="1" applyFont="1" applyFill="1" applyBorder="1" applyAlignment="1" applyProtection="1">
      <alignment horizontal="center" vertical="center"/>
      <protection hidden="1"/>
    </xf>
    <xf numFmtId="0" fontId="2" fillId="2" borderId="8" xfId="0" applyFont="1" applyFill="1" applyBorder="1" applyAlignment="1" applyProtection="1">
      <alignment horizontal="center" vertical="center"/>
      <protection hidden="1"/>
    </xf>
    <xf numFmtId="0" fontId="2" fillId="2" borderId="9" xfId="0" applyFont="1" applyFill="1" applyBorder="1" applyAlignment="1" applyProtection="1">
      <alignment horizontal="center" vertical="center"/>
      <protection hidden="1"/>
    </xf>
    <xf numFmtId="49" fontId="2" fillId="2" borderId="19" xfId="0" applyNumberFormat="1" applyFont="1" applyFill="1" applyBorder="1" applyAlignment="1" applyProtection="1">
      <alignment vertical="center"/>
      <protection hidden="1"/>
    </xf>
    <xf numFmtId="0" fontId="2" fillId="0" borderId="19" xfId="0" applyFont="1" applyBorder="1" applyAlignment="1" applyProtection="1">
      <alignment horizontal="center" vertical="center"/>
      <protection hidden="1"/>
    </xf>
    <xf numFmtId="190" fontId="2" fillId="4" borderId="11" xfId="5" applyNumberFormat="1" applyFont="1" applyFill="1" applyBorder="1" applyAlignment="1" applyProtection="1">
      <alignment horizontal="center" vertical="center"/>
      <protection locked="0"/>
    </xf>
    <xf numFmtId="0" fontId="2" fillId="2" borderId="8" xfId="0" applyFont="1" applyFill="1" applyBorder="1" applyAlignment="1" applyProtection="1">
      <alignment vertical="center"/>
      <protection hidden="1"/>
    </xf>
    <xf numFmtId="0" fontId="2" fillId="2" borderId="8" xfId="0" applyFont="1" applyFill="1" applyBorder="1" applyAlignment="1" applyProtection="1">
      <alignment vertical="center" wrapText="1"/>
      <protection hidden="1"/>
    </xf>
    <xf numFmtId="0" fontId="2" fillId="0" borderId="8" xfId="0" applyFont="1" applyBorder="1" applyAlignment="1" applyProtection="1">
      <alignment horizontal="center" vertical="center"/>
      <protection hidden="1"/>
    </xf>
    <xf numFmtId="10" fontId="2" fillId="2" borderId="8" xfId="0" applyNumberFormat="1" applyFont="1" applyFill="1" applyBorder="1" applyAlignment="1" applyProtection="1">
      <alignment horizontal="center" vertical="center"/>
      <protection hidden="1"/>
    </xf>
    <xf numFmtId="0" fontId="2" fillId="0" borderId="8" xfId="0" applyFont="1" applyFill="1" applyBorder="1" applyAlignment="1" applyProtection="1">
      <alignment horizontal="center" vertical="center"/>
      <protection hidden="1"/>
    </xf>
    <xf numFmtId="0" fontId="2" fillId="0" borderId="8" xfId="0" applyFont="1" applyFill="1" applyBorder="1" applyAlignment="1" applyProtection="1">
      <alignment vertical="center"/>
      <protection hidden="1"/>
    </xf>
    <xf numFmtId="190" fontId="2" fillId="0" borderId="8" xfId="5" applyNumberFormat="1" applyFont="1" applyFill="1" applyBorder="1" applyAlignment="1" applyProtection="1">
      <alignment vertical="center"/>
      <protection hidden="1"/>
    </xf>
    <xf numFmtId="9" fontId="2" fillId="0" borderId="8" xfId="1" applyFont="1" applyFill="1" applyBorder="1" applyAlignment="1" applyProtection="1">
      <alignment horizontal="center" vertical="center"/>
      <protection hidden="1"/>
    </xf>
    <xf numFmtId="0" fontId="2" fillId="0" borderId="12" xfId="0" applyFont="1" applyFill="1" applyBorder="1" applyAlignment="1" applyProtection="1">
      <alignment vertical="center"/>
      <protection locked="0"/>
    </xf>
    <xf numFmtId="190" fontId="2" fillId="0" borderId="12" xfId="5" applyNumberFormat="1" applyFont="1" applyFill="1" applyBorder="1" applyAlignment="1" applyProtection="1">
      <alignment vertical="center"/>
      <protection locked="0"/>
    </xf>
    <xf numFmtId="0" fontId="2" fillId="0" borderId="34" xfId="0" applyFont="1" applyBorder="1" applyAlignment="1" applyProtection="1">
      <alignment vertical="center"/>
      <protection hidden="1"/>
    </xf>
    <xf numFmtId="0" fontId="15" fillId="0" borderId="0" xfId="0" applyFont="1" applyBorder="1" applyAlignment="1" applyProtection="1">
      <alignment vertical="center"/>
      <protection locked="0"/>
    </xf>
    <xf numFmtId="0" fontId="0" fillId="0" borderId="0" xfId="0" applyBorder="1" applyAlignment="1" applyProtection="1">
      <alignment vertical="center"/>
      <protection locked="0"/>
    </xf>
    <xf numFmtId="0" fontId="57" fillId="0" borderId="0" xfId="0" applyFont="1" applyBorder="1" applyAlignment="1" applyProtection="1">
      <alignment vertical="top" wrapText="1"/>
      <protection locked="0"/>
    </xf>
    <xf numFmtId="9" fontId="57" fillId="0" borderId="0" xfId="0" applyNumberFormat="1" applyFont="1" applyBorder="1" applyAlignment="1" applyProtection="1">
      <alignment vertical="top" wrapText="1"/>
      <protection locked="0"/>
    </xf>
    <xf numFmtId="0" fontId="23" fillId="0" borderId="0" xfId="0" applyFont="1" applyBorder="1" applyAlignment="1" applyProtection="1">
      <alignment vertical="center"/>
      <protection locked="0"/>
    </xf>
    <xf numFmtId="0" fontId="56" fillId="0" borderId="0" xfId="0" applyFont="1" applyAlignment="1">
      <alignment vertical="center"/>
    </xf>
    <xf numFmtId="0" fontId="0" fillId="0" borderId="0" xfId="0" applyFont="1" applyAlignment="1" applyProtection="1">
      <alignment vertical="top"/>
      <protection locked="0"/>
    </xf>
    <xf numFmtId="0" fontId="0" fillId="0" borderId="0" xfId="0" applyFont="1" applyAlignment="1">
      <alignment vertical="top"/>
    </xf>
    <xf numFmtId="0" fontId="27" fillId="0" borderId="0" xfId="0" applyFont="1" applyBorder="1" applyAlignment="1" applyProtection="1">
      <alignment vertical="center"/>
      <protection locked="0"/>
    </xf>
    <xf numFmtId="0" fontId="27" fillId="0" borderId="0" xfId="0" applyFont="1" applyBorder="1" applyAlignment="1">
      <alignment vertical="center"/>
    </xf>
    <xf numFmtId="0" fontId="2" fillId="2" borderId="22" xfId="0" applyFont="1" applyFill="1" applyBorder="1" applyAlignment="1" applyProtection="1">
      <alignment horizontal="center" vertical="center"/>
      <protection locked="0"/>
    </xf>
    <xf numFmtId="180" fontId="42" fillId="7" borderId="19" xfId="0" applyNumberFormat="1" applyFont="1" applyFill="1" applyBorder="1" applyAlignment="1" applyProtection="1">
      <alignment vertical="center"/>
      <protection locked="0"/>
    </xf>
    <xf numFmtId="0" fontId="2" fillId="0" borderId="8" xfId="0" applyFont="1" applyFill="1" applyBorder="1" applyAlignment="1" applyProtection="1">
      <alignment vertical="center"/>
    </xf>
    <xf numFmtId="0" fontId="66" fillId="0" borderId="0" xfId="0" applyFont="1" applyProtection="1">
      <alignment vertical="center"/>
    </xf>
    <xf numFmtId="0" fontId="27" fillId="0" borderId="0" xfId="0" applyFont="1" applyProtection="1">
      <alignment vertical="center"/>
    </xf>
    <xf numFmtId="0" fontId="2" fillId="2" borderId="0" xfId="0" applyFont="1" applyFill="1" applyBorder="1" applyAlignment="1" applyProtection="1">
      <alignment horizontal="left" vertical="top" wrapText="1"/>
      <protection locked="0"/>
    </xf>
    <xf numFmtId="0" fontId="0" fillId="2" borderId="0" xfId="0" applyFont="1" applyFill="1">
      <alignment vertical="center"/>
    </xf>
    <xf numFmtId="0" fontId="56" fillId="0" borderId="0" xfId="0" applyFont="1" applyAlignment="1">
      <alignment horizontal="center"/>
    </xf>
    <xf numFmtId="0" fontId="2" fillId="5" borderId="19" xfId="0" applyFont="1" applyFill="1" applyBorder="1" applyAlignment="1" applyProtection="1">
      <alignment vertical="center" shrinkToFit="1"/>
    </xf>
    <xf numFmtId="0" fontId="2" fillId="2" borderId="19" xfId="0" applyFont="1" applyFill="1" applyBorder="1" applyAlignment="1" applyProtection="1">
      <alignment horizontal="center" vertical="center" shrinkToFit="1"/>
      <protection locked="0"/>
    </xf>
    <xf numFmtId="0" fontId="2" fillId="5" borderId="19" xfId="0" applyNumberFormat="1" applyFont="1" applyFill="1" applyBorder="1" applyAlignment="1" applyProtection="1">
      <alignment horizontal="center" vertical="center"/>
    </xf>
    <xf numFmtId="31" fontId="2" fillId="5" borderId="68" xfId="0" applyNumberFormat="1" applyFont="1" applyFill="1" applyBorder="1" applyAlignment="1" applyProtection="1">
      <alignment vertical="center"/>
    </xf>
    <xf numFmtId="0" fontId="2" fillId="5" borderId="12" xfId="0" applyFont="1" applyFill="1" applyBorder="1" applyAlignment="1" applyProtection="1">
      <alignment horizontal="center" vertical="center"/>
    </xf>
    <xf numFmtId="0" fontId="2" fillId="5" borderId="63" xfId="0" applyNumberFormat="1" applyFont="1" applyFill="1" applyBorder="1" applyAlignment="1" applyProtection="1">
      <alignment horizontal="center" vertical="center"/>
    </xf>
    <xf numFmtId="49" fontId="2" fillId="5" borderId="74" xfId="0" applyNumberFormat="1" applyFont="1" applyFill="1" applyBorder="1" applyAlignment="1" applyProtection="1">
      <alignment horizontal="center" vertical="center"/>
    </xf>
    <xf numFmtId="0" fontId="0" fillId="0" borderId="0" xfId="0" applyFont="1" applyFill="1" applyBorder="1" applyAlignment="1" applyProtection="1">
      <alignment horizontal="left" vertical="center"/>
      <protection locked="0"/>
    </xf>
    <xf numFmtId="0" fontId="2" fillId="3" borderId="63" xfId="0" applyFont="1" applyFill="1" applyBorder="1" applyAlignment="1" applyProtection="1">
      <alignment vertical="center"/>
    </xf>
    <xf numFmtId="0" fontId="2" fillId="0" borderId="8" xfId="0" applyFont="1" applyFill="1" applyBorder="1" applyAlignment="1" applyProtection="1">
      <alignment vertical="center"/>
      <protection locked="0"/>
    </xf>
    <xf numFmtId="0" fontId="2" fillId="7" borderId="79" xfId="0" applyFont="1" applyFill="1" applyBorder="1" applyAlignment="1" applyProtection="1">
      <alignment horizontal="right" vertical="center"/>
      <protection locked="0"/>
    </xf>
    <xf numFmtId="0" fontId="2" fillId="0" borderId="0" xfId="0" applyFont="1" applyFill="1" applyBorder="1" applyAlignment="1" applyProtection="1">
      <alignment horizontal="center" vertical="center"/>
      <protection locked="0"/>
    </xf>
    <xf numFmtId="180" fontId="42" fillId="3" borderId="72" xfId="0" applyNumberFormat="1" applyFont="1" applyFill="1" applyBorder="1" applyAlignment="1" applyProtection="1">
      <alignment vertical="center"/>
    </xf>
    <xf numFmtId="0" fontId="2" fillId="0" borderId="8" xfId="0" applyFont="1" applyBorder="1" applyAlignment="1" applyProtection="1">
      <alignment vertical="center"/>
      <protection locked="0"/>
    </xf>
    <xf numFmtId="0" fontId="2" fillId="0" borderId="0" xfId="0" applyFont="1" applyAlignment="1">
      <alignment horizontal="center"/>
    </xf>
    <xf numFmtId="0" fontId="2" fillId="3" borderId="0" xfId="0" applyFont="1" applyFill="1" applyBorder="1" applyProtection="1">
      <alignment vertical="center"/>
    </xf>
    <xf numFmtId="0" fontId="2" fillId="0" borderId="8" xfId="0" applyFont="1" applyFill="1" applyBorder="1" applyAlignment="1" applyProtection="1">
      <alignment horizontal="left" vertical="center"/>
      <protection locked="0"/>
    </xf>
    <xf numFmtId="0" fontId="2" fillId="0" borderId="1" xfId="0" applyFont="1" applyBorder="1" applyAlignment="1">
      <alignment vertical="center" wrapText="1"/>
    </xf>
    <xf numFmtId="0" fontId="0" fillId="0" borderId="0" xfId="0" applyFill="1" applyBorder="1">
      <alignment vertical="center"/>
    </xf>
    <xf numFmtId="0" fontId="2" fillId="5" borderId="67" xfId="0" applyFont="1" applyFill="1" applyBorder="1" applyAlignment="1" applyProtection="1">
      <alignment horizontal="center" vertical="center"/>
    </xf>
    <xf numFmtId="0" fontId="2" fillId="3" borderId="19" xfId="0" applyFont="1" applyFill="1" applyBorder="1" applyProtection="1">
      <alignment vertical="center"/>
    </xf>
    <xf numFmtId="0" fontId="2" fillId="0" borderId="11" xfId="0" applyFont="1" applyBorder="1" applyAlignment="1" applyProtection="1">
      <alignment vertical="center"/>
      <protection locked="0"/>
    </xf>
    <xf numFmtId="0" fontId="25" fillId="0" borderId="0" xfId="0" applyFont="1" applyFill="1" applyBorder="1">
      <alignment vertical="center"/>
    </xf>
    <xf numFmtId="0" fontId="2" fillId="3" borderId="8" xfId="0" applyFont="1" applyFill="1" applyBorder="1" applyProtection="1">
      <alignment vertical="center"/>
    </xf>
    <xf numFmtId="0" fontId="2" fillId="0" borderId="0" xfId="0" applyFont="1" applyFill="1" applyBorder="1">
      <alignment vertical="center"/>
    </xf>
    <xf numFmtId="0" fontId="2" fillId="4" borderId="8" xfId="0" applyFont="1" applyFill="1" applyBorder="1" applyProtection="1">
      <alignment vertical="center"/>
      <protection locked="0"/>
    </xf>
    <xf numFmtId="0" fontId="2" fillId="4" borderId="12" xfId="0" applyFont="1" applyFill="1" applyBorder="1" applyProtection="1">
      <alignment vertical="center"/>
      <protection locked="0"/>
    </xf>
    <xf numFmtId="0" fontId="2" fillId="0" borderId="35" xfId="0" applyFont="1" applyBorder="1" applyAlignment="1" applyProtection="1">
      <alignment vertical="center"/>
      <protection locked="0"/>
    </xf>
    <xf numFmtId="0" fontId="18" fillId="0" borderId="0" xfId="0" applyFont="1" applyProtection="1">
      <alignment vertical="center"/>
      <protection locked="0"/>
    </xf>
    <xf numFmtId="0" fontId="2" fillId="7" borderId="63" xfId="0" applyFont="1" applyFill="1" applyBorder="1" applyAlignment="1" applyProtection="1">
      <alignment horizontal="center" vertical="center"/>
      <protection locked="0"/>
    </xf>
    <xf numFmtId="180" fontId="42" fillId="3" borderId="19" xfId="0" applyNumberFormat="1" applyFont="1" applyFill="1" applyBorder="1" applyAlignment="1" applyProtection="1">
      <alignment horizontal="center" vertical="center"/>
    </xf>
    <xf numFmtId="180" fontId="42" fillId="3" borderId="11" xfId="0" applyNumberFormat="1" applyFont="1" applyFill="1" applyBorder="1" applyAlignment="1" applyProtection="1">
      <alignment horizontal="center" vertical="center"/>
    </xf>
    <xf numFmtId="0" fontId="2" fillId="0" borderId="79" xfId="0" applyFont="1" applyBorder="1" applyAlignment="1" applyProtection="1">
      <alignment horizontal="center" vertical="center"/>
      <protection locked="0"/>
    </xf>
    <xf numFmtId="0" fontId="2" fillId="0" borderId="76" xfId="0" applyFont="1" applyBorder="1" applyAlignment="1" applyProtection="1">
      <alignment horizontal="center" vertical="center"/>
      <protection locked="0"/>
    </xf>
    <xf numFmtId="180" fontId="42" fillId="3" borderId="22" xfId="0" applyNumberFormat="1" applyFont="1" applyFill="1" applyBorder="1" applyAlignment="1" applyProtection="1">
      <alignment horizontal="center" vertical="center"/>
    </xf>
    <xf numFmtId="180" fontId="2" fillId="2" borderId="19" xfId="0" applyNumberFormat="1" applyFont="1" applyFill="1" applyBorder="1" applyAlignment="1" applyProtection="1">
      <alignment horizontal="center" vertical="center"/>
      <protection locked="0"/>
    </xf>
    <xf numFmtId="180" fontId="2" fillId="2" borderId="11" xfId="0" applyNumberFormat="1" applyFont="1" applyFill="1" applyBorder="1" applyAlignment="1" applyProtection="1">
      <alignment horizontal="center" vertical="center"/>
      <protection locked="0"/>
    </xf>
    <xf numFmtId="0" fontId="12" fillId="0" borderId="64" xfId="2" applyNumberFormat="1" applyFont="1" applyFill="1" applyBorder="1" applyProtection="1">
      <alignment vertical="center"/>
      <protection locked="0"/>
    </xf>
    <xf numFmtId="179" fontId="42" fillId="7" borderId="8" xfId="0" applyNumberFormat="1" applyFont="1" applyFill="1" applyBorder="1" applyAlignment="1" applyProtection="1">
      <alignment horizontal="center" vertical="center"/>
      <protection locked="0"/>
    </xf>
    <xf numFmtId="49" fontId="2" fillId="0" borderId="8" xfId="0" applyNumberFormat="1" applyFont="1" applyBorder="1" applyAlignment="1" applyProtection="1">
      <alignment vertical="center"/>
      <protection locked="0"/>
    </xf>
    <xf numFmtId="180" fontId="42" fillId="3" borderId="89" xfId="0" applyNumberFormat="1" applyFont="1" applyFill="1" applyBorder="1" applyAlignment="1" applyProtection="1">
      <alignment horizontal="center" vertical="center"/>
    </xf>
    <xf numFmtId="180" fontId="2" fillId="2" borderId="89" xfId="0" applyNumberFormat="1" applyFont="1" applyFill="1" applyBorder="1" applyAlignment="1" applyProtection="1">
      <alignment horizontal="center" vertical="center"/>
      <protection locked="0"/>
    </xf>
    <xf numFmtId="180" fontId="42" fillId="3" borderId="90" xfId="0" applyNumberFormat="1" applyFont="1" applyFill="1" applyBorder="1" applyAlignment="1" applyProtection="1">
      <alignment horizontal="center" vertical="center"/>
    </xf>
    <xf numFmtId="0" fontId="0" fillId="5" borderId="20" xfId="0" applyFont="1" applyFill="1" applyBorder="1" applyAlignment="1" applyProtection="1">
      <alignment vertical="center" shrinkToFit="1"/>
    </xf>
    <xf numFmtId="0" fontId="2" fillId="2" borderId="3" xfId="0" applyFont="1" applyFill="1" applyBorder="1" applyAlignment="1" applyProtection="1">
      <alignment horizontal="justify" vertical="center" wrapText="1"/>
      <protection locked="0"/>
    </xf>
    <xf numFmtId="0" fontId="2" fillId="2" borderId="4" xfId="0" applyFont="1" applyFill="1" applyBorder="1" applyAlignment="1" applyProtection="1">
      <alignment horizontal="justify" vertical="center" wrapText="1"/>
      <protection locked="0"/>
    </xf>
    <xf numFmtId="49" fontId="2" fillId="0" borderId="32" xfId="0" applyNumberFormat="1" applyFont="1" applyBorder="1" applyAlignment="1" applyProtection="1">
      <alignment horizontal="justify" vertical="center" wrapText="1"/>
      <protection locked="0"/>
    </xf>
    <xf numFmtId="0" fontId="2" fillId="0" borderId="32" xfId="0" applyFont="1" applyBorder="1" applyAlignment="1" applyProtection="1">
      <alignment horizontal="justify" vertical="center" wrapText="1"/>
      <protection locked="0"/>
    </xf>
    <xf numFmtId="0" fontId="2" fillId="0" borderId="46" xfId="0" applyFont="1" applyBorder="1" applyAlignment="1" applyProtection="1">
      <alignment horizontal="justify" vertical="center" wrapText="1"/>
      <protection locked="0"/>
    </xf>
    <xf numFmtId="0" fontId="2" fillId="0" borderId="5" xfId="0" applyFont="1" applyBorder="1" applyAlignment="1" applyProtection="1">
      <alignment horizontal="justify" vertical="center" wrapText="1"/>
      <protection locked="0"/>
    </xf>
    <xf numFmtId="0" fontId="0" fillId="0" borderId="0" xfId="0" applyFont="1" applyAlignment="1" applyProtection="1">
      <alignment horizontal="center" vertical="center"/>
      <protection locked="0"/>
    </xf>
    <xf numFmtId="0" fontId="0" fillId="0" borderId="0" xfId="0" applyFont="1" applyAlignment="1">
      <alignment horizontal="justify" vertical="center"/>
    </xf>
    <xf numFmtId="0" fontId="0" fillId="0" borderId="0" xfId="0" applyFont="1" applyAlignment="1">
      <alignment horizontal="center" vertical="center"/>
    </xf>
    <xf numFmtId="0" fontId="2" fillId="2" borderId="0" xfId="0" applyFont="1" applyFill="1" applyBorder="1" applyProtection="1">
      <alignment vertical="center"/>
      <protection locked="0"/>
    </xf>
    <xf numFmtId="0" fontId="0" fillId="2" borderId="0" xfId="0" applyFont="1" applyFill="1" applyProtection="1">
      <alignment vertical="center"/>
      <protection locked="0"/>
    </xf>
    <xf numFmtId="0" fontId="12" fillId="2" borderId="0" xfId="2" applyNumberFormat="1" applyFont="1" applyFill="1" applyBorder="1" applyAlignment="1" applyProtection="1">
      <alignment vertical="center"/>
      <protection locked="0"/>
    </xf>
    <xf numFmtId="0" fontId="2" fillId="2" borderId="61" xfId="0" applyFont="1" applyFill="1" applyBorder="1" applyAlignment="1" applyProtection="1">
      <alignment horizontal="center" vertical="center"/>
      <protection locked="0"/>
    </xf>
    <xf numFmtId="0" fontId="2" fillId="2" borderId="0" xfId="0" applyFont="1" applyFill="1" applyAlignment="1" applyProtection="1">
      <alignment vertical="center"/>
      <protection locked="0"/>
    </xf>
    <xf numFmtId="0" fontId="2" fillId="2" borderId="91" xfId="0" applyFont="1" applyFill="1" applyBorder="1" applyAlignment="1" applyProtection="1">
      <alignment horizontal="center" vertical="center"/>
      <protection locked="0"/>
    </xf>
    <xf numFmtId="180" fontId="42" fillId="5" borderId="64" xfId="0" applyNumberFormat="1" applyFont="1" applyFill="1" applyBorder="1" applyAlignment="1" applyProtection="1">
      <alignment horizontal="center" vertical="center"/>
    </xf>
    <xf numFmtId="180" fontId="42" fillId="3" borderId="8" xfId="0" applyNumberFormat="1" applyFont="1" applyFill="1" applyBorder="1" applyAlignment="1" applyProtection="1"/>
    <xf numFmtId="180" fontId="42" fillId="5" borderId="9" xfId="0" applyNumberFormat="1" applyFont="1" applyFill="1" applyBorder="1" applyAlignment="1" applyProtection="1">
      <alignment horizontal="center" vertical="center"/>
    </xf>
    <xf numFmtId="180" fontId="42" fillId="3" borderId="17" xfId="0" applyNumberFormat="1" applyFont="1" applyFill="1" applyBorder="1" applyAlignment="1" applyProtection="1">
      <alignment vertical="center"/>
    </xf>
    <xf numFmtId="0" fontId="2" fillId="0" borderId="6" xfId="0" applyFont="1" applyBorder="1" applyAlignment="1" applyProtection="1">
      <alignment vertical="center"/>
      <protection locked="0"/>
    </xf>
    <xf numFmtId="180" fontId="42" fillId="3" borderId="19" xfId="0" applyNumberFormat="1" applyFont="1" applyFill="1" applyBorder="1" applyAlignment="1" applyProtection="1"/>
    <xf numFmtId="180" fontId="42" fillId="3" borderId="12" xfId="0" applyNumberFormat="1" applyFont="1" applyFill="1" applyBorder="1" applyAlignment="1" applyProtection="1"/>
    <xf numFmtId="0" fontId="54" fillId="2" borderId="0" xfId="0" applyFont="1" applyFill="1" applyBorder="1" applyProtection="1">
      <alignment vertical="center"/>
      <protection locked="0"/>
    </xf>
    <xf numFmtId="0" fontId="2" fillId="2" borderId="1" xfId="0" applyFont="1" applyFill="1" applyBorder="1" applyAlignment="1" applyProtection="1">
      <alignment vertical="top" wrapText="1"/>
      <protection locked="0"/>
    </xf>
    <xf numFmtId="180" fontId="42" fillId="5" borderId="78" xfId="0" applyNumberFormat="1" applyFont="1" applyFill="1" applyBorder="1" applyAlignment="1" applyProtection="1">
      <alignment horizontal="center" vertical="center"/>
    </xf>
    <xf numFmtId="0" fontId="2" fillId="0" borderId="6" xfId="0" applyFont="1" applyBorder="1" applyProtection="1">
      <alignment vertical="center"/>
      <protection locked="0"/>
    </xf>
    <xf numFmtId="0" fontId="2" fillId="0" borderId="7" xfId="0" applyFont="1" applyBorder="1" applyProtection="1">
      <alignment vertical="center"/>
      <protection locked="0"/>
    </xf>
    <xf numFmtId="0" fontId="54" fillId="2" borderId="0" xfId="0" applyFont="1" applyFill="1" applyProtection="1">
      <alignment vertical="center"/>
      <protection locked="0"/>
    </xf>
    <xf numFmtId="0" fontId="2" fillId="0" borderId="10" xfId="0" applyFont="1" applyBorder="1" applyProtection="1">
      <alignment vertical="center"/>
      <protection locked="0"/>
    </xf>
    <xf numFmtId="0" fontId="0" fillId="2" borderId="0" xfId="0" applyFont="1" applyFill="1" applyAlignment="1" applyProtection="1">
      <alignment horizontal="left" vertical="top" wrapText="1"/>
      <protection locked="0"/>
    </xf>
    <xf numFmtId="0" fontId="2" fillId="2" borderId="0" xfId="0" applyFont="1" applyFill="1" applyAlignment="1" applyProtection="1">
      <alignment horizontal="left" vertical="top" wrapText="1"/>
      <protection locked="0"/>
    </xf>
    <xf numFmtId="0" fontId="12" fillId="2" borderId="0" xfId="2" applyNumberFormat="1" applyFont="1" applyFill="1" applyBorder="1" applyAlignment="1" applyProtection="1">
      <alignment horizontal="left" vertical="top" wrapText="1"/>
      <protection locked="0"/>
    </xf>
    <xf numFmtId="0" fontId="0" fillId="2" borderId="0" xfId="0" applyFill="1" applyAlignment="1">
      <alignment vertical="center"/>
    </xf>
    <xf numFmtId="0" fontId="2" fillId="2" borderId="19" xfId="0" applyFont="1" applyFill="1" applyBorder="1" applyAlignment="1">
      <alignment horizontal="center" vertical="center"/>
    </xf>
    <xf numFmtId="0" fontId="2" fillId="7" borderId="19" xfId="0" applyNumberFormat="1" applyFont="1" applyFill="1" applyBorder="1" applyAlignment="1">
      <alignment horizontal="center" vertical="center"/>
    </xf>
    <xf numFmtId="0" fontId="2" fillId="5" borderId="19" xfId="0" applyNumberFormat="1" applyFont="1" applyFill="1" applyBorder="1" applyAlignment="1">
      <alignment horizontal="center" vertical="center"/>
    </xf>
    <xf numFmtId="0" fontId="2" fillId="2" borderId="12" xfId="0" applyFont="1" applyFill="1" applyBorder="1" applyAlignment="1">
      <alignment horizontal="center" vertical="center"/>
    </xf>
    <xf numFmtId="0" fontId="2" fillId="5" borderId="12" xfId="0" applyNumberFormat="1" applyFont="1" applyFill="1" applyBorder="1" applyAlignment="1">
      <alignment horizontal="center" vertical="center"/>
    </xf>
    <xf numFmtId="0" fontId="2" fillId="2" borderId="33" xfId="0" applyFont="1" applyFill="1" applyBorder="1" applyAlignment="1">
      <alignment horizontal="center" vertical="center" wrapText="1"/>
    </xf>
    <xf numFmtId="0" fontId="2" fillId="2" borderId="34" xfId="0" applyFont="1" applyFill="1" applyBorder="1" applyAlignment="1">
      <alignment horizontal="center" vertical="center" wrapText="1"/>
    </xf>
    <xf numFmtId="0" fontId="2" fillId="2" borderId="35" xfId="0" applyFont="1" applyFill="1" applyBorder="1" applyAlignment="1">
      <alignment horizontal="center" vertical="center" wrapText="1"/>
    </xf>
    <xf numFmtId="0" fontId="2" fillId="0" borderId="19" xfId="0" applyFont="1" applyBorder="1" applyAlignment="1">
      <alignment horizontal="center" vertical="center"/>
    </xf>
    <xf numFmtId="0" fontId="2" fillId="0" borderId="8" xfId="0" applyFont="1" applyBorder="1" applyAlignment="1">
      <alignment horizontal="center" vertical="center"/>
    </xf>
    <xf numFmtId="0" fontId="12" fillId="0" borderId="0" xfId="2" applyNumberFormat="1" applyFont="1" applyFill="1" applyBorder="1" applyAlignment="1" applyProtection="1">
      <alignment vertical="center"/>
    </xf>
    <xf numFmtId="0" fontId="2" fillId="2" borderId="63" xfId="0" applyFont="1" applyFill="1" applyBorder="1" applyAlignment="1">
      <alignment horizontal="center" vertical="center"/>
    </xf>
    <xf numFmtId="0" fontId="2" fillId="0" borderId="63" xfId="0" applyFont="1" applyBorder="1" applyAlignment="1">
      <alignment horizontal="center" vertical="center"/>
    </xf>
    <xf numFmtId="0" fontId="2" fillId="7" borderId="60" xfId="0" applyFont="1" applyFill="1" applyBorder="1" applyAlignment="1">
      <alignment horizontal="right" vertical="center"/>
    </xf>
    <xf numFmtId="0" fontId="2" fillId="5" borderId="68" xfId="0" applyNumberFormat="1" applyFont="1" applyFill="1" applyBorder="1" applyAlignment="1" applyProtection="1">
      <alignment horizontal="center" vertical="center"/>
    </xf>
    <xf numFmtId="0" fontId="2" fillId="0" borderId="7" xfId="0" applyFont="1" applyBorder="1" applyAlignment="1" applyProtection="1">
      <alignment horizontal="center" vertical="center"/>
      <protection locked="0"/>
    </xf>
    <xf numFmtId="0" fontId="2" fillId="0" borderId="8" xfId="0" applyFont="1" applyBorder="1" applyAlignment="1" applyProtection="1">
      <alignment horizontal="left" vertical="center"/>
      <protection locked="0"/>
    </xf>
    <xf numFmtId="0" fontId="2" fillId="2" borderId="10" xfId="0" applyFont="1" applyFill="1" applyBorder="1" applyAlignment="1" applyProtection="1">
      <alignment vertical="center"/>
      <protection locked="0"/>
    </xf>
    <xf numFmtId="0" fontId="0" fillId="0" borderId="0" xfId="0" applyFont="1" applyAlignment="1">
      <alignment vertical="center"/>
    </xf>
    <xf numFmtId="0" fontId="2" fillId="0" borderId="1" xfId="0" applyFont="1" applyBorder="1" applyAlignment="1" applyProtection="1">
      <alignment vertical="center"/>
      <protection locked="0"/>
    </xf>
    <xf numFmtId="0" fontId="54" fillId="2" borderId="0" xfId="0" applyFont="1" applyFill="1" applyAlignment="1" applyProtection="1">
      <alignment vertical="center"/>
      <protection locked="0"/>
    </xf>
    <xf numFmtId="0" fontId="54" fillId="0" borderId="0" xfId="0" applyFont="1" applyAlignment="1" applyProtection="1">
      <alignment horizontal="center" vertical="center"/>
      <protection locked="0"/>
    </xf>
    <xf numFmtId="0" fontId="54" fillId="0" borderId="0" xfId="0" applyFont="1" applyBorder="1" applyAlignment="1" applyProtection="1">
      <alignment vertical="center"/>
      <protection locked="0"/>
    </xf>
    <xf numFmtId="0" fontId="54" fillId="0" borderId="0" xfId="0" applyFont="1" applyBorder="1" applyAlignment="1">
      <alignment vertical="center"/>
    </xf>
    <xf numFmtId="0" fontId="2" fillId="0" borderId="63" xfId="0" applyFont="1" applyBorder="1" applyAlignment="1" applyProtection="1">
      <alignment vertical="center"/>
      <protection locked="0"/>
    </xf>
    <xf numFmtId="180" fontId="42" fillId="3" borderId="22" xfId="0" applyNumberFormat="1" applyFont="1" applyFill="1" applyBorder="1" applyAlignment="1" applyProtection="1">
      <alignment vertical="center" shrinkToFit="1"/>
    </xf>
    <xf numFmtId="0" fontId="2" fillId="0" borderId="19" xfId="0" applyFont="1" applyBorder="1" applyAlignment="1" applyProtection="1">
      <alignment vertical="center"/>
      <protection locked="0"/>
    </xf>
    <xf numFmtId="0" fontId="2" fillId="6" borderId="19" xfId="0" applyFont="1" applyFill="1" applyBorder="1" applyAlignment="1" applyProtection="1">
      <alignment horizontal="center" vertical="center" shrinkToFit="1"/>
      <protection locked="0"/>
    </xf>
    <xf numFmtId="0" fontId="0" fillId="0" borderId="0" xfId="0" applyFont="1" applyProtection="1">
      <alignment vertical="center"/>
      <protection locked="0"/>
    </xf>
    <xf numFmtId="180" fontId="42" fillId="3" borderId="3" xfId="0" applyNumberFormat="1" applyFont="1" applyFill="1" applyBorder="1" applyProtection="1">
      <alignment vertical="center"/>
    </xf>
    <xf numFmtId="0" fontId="2" fillId="2" borderId="3" xfId="0" applyNumberFormat="1" applyFont="1" applyFill="1" applyBorder="1" applyAlignment="1" applyProtection="1">
      <alignment horizontal="center" vertical="center"/>
    </xf>
    <xf numFmtId="0" fontId="0" fillId="4" borderId="0" xfId="0" applyFont="1" applyFill="1" applyAlignment="1">
      <alignment vertical="center"/>
    </xf>
    <xf numFmtId="0" fontId="25" fillId="2" borderId="0" xfId="0" applyFont="1" applyFill="1" applyAlignment="1" applyProtection="1">
      <alignment vertical="center"/>
      <protection locked="0"/>
    </xf>
    <xf numFmtId="0" fontId="0" fillId="2" borderId="0" xfId="0" applyFont="1" applyFill="1" applyAlignment="1" applyProtection="1">
      <alignment vertical="center"/>
      <protection locked="0"/>
    </xf>
    <xf numFmtId="0" fontId="0" fillId="4" borderId="0" xfId="0" applyFont="1" applyFill="1" applyAlignment="1" applyProtection="1">
      <alignment vertical="center"/>
      <protection locked="0"/>
    </xf>
    <xf numFmtId="0" fontId="2" fillId="4" borderId="0" xfId="0" applyFont="1" applyFill="1" applyAlignment="1" applyProtection="1">
      <alignment vertical="center"/>
      <protection locked="0"/>
    </xf>
    <xf numFmtId="0" fontId="2" fillId="4" borderId="0" xfId="0" applyFont="1" applyFill="1" applyAlignment="1">
      <alignment vertical="center"/>
    </xf>
    <xf numFmtId="0" fontId="2" fillId="5" borderId="0" xfId="0" applyFont="1" applyFill="1" applyAlignment="1" applyProtection="1">
      <protection locked="0"/>
    </xf>
    <xf numFmtId="0" fontId="2" fillId="5" borderId="0" xfId="0" applyFont="1" applyFill="1" applyAlignment="1" applyProtection="1">
      <alignment horizontal="center"/>
    </xf>
    <xf numFmtId="0" fontId="2" fillId="2" borderId="0" xfId="0" applyFont="1" applyFill="1" applyAlignment="1" applyProtection="1">
      <alignment horizontal="center"/>
      <protection locked="0"/>
    </xf>
    <xf numFmtId="0" fontId="2" fillId="2" borderId="0" xfId="0" applyFont="1" applyFill="1" applyAlignment="1" applyProtection="1">
      <alignment horizontal="right"/>
      <protection locked="0"/>
    </xf>
    <xf numFmtId="0" fontId="2" fillId="4" borderId="0" xfId="0" applyFont="1" applyFill="1" applyAlignment="1" applyProtection="1">
      <protection locked="0"/>
    </xf>
    <xf numFmtId="0" fontId="2" fillId="4" borderId="0" xfId="0" applyFont="1" applyFill="1" applyAlignment="1"/>
    <xf numFmtId="0" fontId="2" fillId="2" borderId="3" xfId="0" applyFont="1" applyFill="1" applyBorder="1" applyAlignment="1" applyProtection="1">
      <alignment horizontal="center" vertical="center" wrapText="1"/>
      <protection locked="0"/>
    </xf>
    <xf numFmtId="0" fontId="2" fillId="2" borderId="3" xfId="0" applyFont="1" applyFill="1" applyBorder="1" applyAlignment="1" applyProtection="1">
      <alignment vertical="center" wrapText="1"/>
      <protection locked="0"/>
    </xf>
    <xf numFmtId="180" fontId="2" fillId="4" borderId="3" xfId="0" applyNumberFormat="1" applyFont="1" applyFill="1" applyBorder="1" applyAlignment="1" applyProtection="1">
      <alignment vertical="center" wrapText="1"/>
      <protection locked="0"/>
    </xf>
    <xf numFmtId="180" fontId="42" fillId="5" borderId="3" xfId="0" applyNumberFormat="1" applyFont="1" applyFill="1" applyBorder="1" applyAlignment="1" applyProtection="1">
      <alignment vertical="center" wrapText="1"/>
    </xf>
    <xf numFmtId="180" fontId="42" fillId="3" borderId="3" xfId="0" applyNumberFormat="1" applyFont="1" applyFill="1" applyBorder="1" applyAlignment="1" applyProtection="1">
      <alignment vertical="center" wrapText="1"/>
    </xf>
    <xf numFmtId="180" fontId="2" fillId="4" borderId="0" xfId="0" applyNumberFormat="1" applyFont="1" applyFill="1" applyAlignment="1" applyProtection="1">
      <alignment vertical="center"/>
      <protection locked="0"/>
    </xf>
    <xf numFmtId="0" fontId="12" fillId="4" borderId="0" xfId="2" applyNumberFormat="1" applyFont="1" applyFill="1" applyBorder="1" applyAlignment="1" applyProtection="1">
      <alignment vertical="center"/>
      <protection locked="0"/>
    </xf>
    <xf numFmtId="180" fontId="2" fillId="4" borderId="0" xfId="0" applyNumberFormat="1" applyFont="1" applyFill="1" applyAlignment="1">
      <alignment vertical="center"/>
    </xf>
    <xf numFmtId="180" fontId="42" fillId="3" borderId="3" xfId="0" applyNumberFormat="1" applyFont="1" applyFill="1" applyBorder="1" applyAlignment="1" applyProtection="1">
      <alignment vertical="center" wrapText="1"/>
      <protection locked="0"/>
    </xf>
    <xf numFmtId="0" fontId="12" fillId="4" borderId="0" xfId="2" applyNumberFormat="1" applyFill="1" applyBorder="1" applyProtection="1">
      <alignment vertical="center"/>
      <protection locked="0"/>
    </xf>
    <xf numFmtId="0" fontId="12" fillId="4" borderId="0" xfId="2" applyFill="1" applyProtection="1">
      <alignment vertical="center"/>
      <protection locked="0"/>
    </xf>
    <xf numFmtId="0" fontId="2" fillId="2" borderId="7" xfId="0" applyFont="1" applyFill="1" applyBorder="1" applyAlignment="1" applyProtection="1">
      <alignment horizontal="center" vertical="center" wrapText="1"/>
      <protection hidden="1"/>
    </xf>
    <xf numFmtId="0" fontId="2" fillId="2" borderId="7" xfId="0" applyFont="1" applyFill="1" applyBorder="1" applyAlignment="1" applyProtection="1">
      <alignment horizontal="center" vertical="center"/>
      <protection hidden="1"/>
    </xf>
    <xf numFmtId="0" fontId="0" fillId="2" borderId="7" xfId="0" applyFont="1" applyFill="1" applyBorder="1" applyAlignment="1">
      <alignment horizontal="center" vertical="center"/>
    </xf>
    <xf numFmtId="0" fontId="75" fillId="2" borderId="7" xfId="0" applyFont="1" applyFill="1" applyBorder="1" applyAlignment="1">
      <alignment horizontal="center" vertical="center"/>
    </xf>
    <xf numFmtId="0" fontId="2" fillId="2" borderId="6" xfId="0" applyFont="1" applyFill="1" applyBorder="1" applyAlignment="1" applyProtection="1">
      <alignment horizontal="center" vertical="center"/>
      <protection hidden="1"/>
    </xf>
    <xf numFmtId="0" fontId="2" fillId="2" borderId="10" xfId="0" applyFont="1" applyFill="1" applyBorder="1" applyAlignment="1" applyProtection="1">
      <alignment horizontal="center" vertical="center"/>
      <protection hidden="1"/>
    </xf>
    <xf numFmtId="0" fontId="64" fillId="4" borderId="0" xfId="0" applyFont="1" applyFill="1" applyBorder="1" applyAlignment="1">
      <alignment vertical="center"/>
    </xf>
    <xf numFmtId="179" fontId="36" fillId="0" borderId="0" xfId="0" applyNumberFormat="1" applyFont="1" applyProtection="1">
      <alignment vertical="center"/>
      <protection locked="0"/>
    </xf>
    <xf numFmtId="180" fontId="42" fillId="0" borderId="19" xfId="0" applyNumberFormat="1" applyFont="1" applyBorder="1" applyAlignment="1" applyProtection="1">
      <alignment vertical="center"/>
      <protection locked="0"/>
    </xf>
    <xf numFmtId="180" fontId="42" fillId="0" borderId="8" xfId="0" applyNumberFormat="1" applyFont="1" applyBorder="1" applyAlignment="1" applyProtection="1">
      <alignment vertical="center"/>
      <protection locked="0"/>
    </xf>
    <xf numFmtId="180" fontId="42" fillId="4" borderId="8" xfId="4" applyNumberFormat="1" applyFont="1" applyFill="1" applyBorder="1" applyAlignment="1" applyProtection="1">
      <alignment vertical="center"/>
    </xf>
    <xf numFmtId="180" fontId="42" fillId="4" borderId="8" xfId="4" applyNumberFormat="1" applyFont="1" applyFill="1" applyBorder="1" applyAlignment="1" applyProtection="1">
      <alignment vertical="center"/>
      <protection locked="0"/>
    </xf>
    <xf numFmtId="180" fontId="42" fillId="0" borderId="8" xfId="4" applyNumberFormat="1" applyFont="1" applyFill="1" applyBorder="1" applyAlignment="1" applyProtection="1">
      <alignment vertical="center"/>
    </xf>
    <xf numFmtId="180" fontId="42" fillId="4" borderId="23" xfId="4" applyNumberFormat="1" applyFont="1" applyFill="1" applyBorder="1" applyAlignment="1" applyProtection="1">
      <alignment vertical="center"/>
      <protection locked="0"/>
    </xf>
    <xf numFmtId="180" fontId="42" fillId="0" borderId="23" xfId="4" applyNumberFormat="1" applyFont="1" applyFill="1" applyBorder="1" applyAlignment="1" applyProtection="1">
      <alignment vertical="center"/>
    </xf>
    <xf numFmtId="180" fontId="42" fillId="0" borderId="8" xfId="4" applyNumberFormat="1" applyFont="1" applyFill="1" applyBorder="1" applyAlignment="1" applyProtection="1">
      <alignment vertical="center"/>
      <protection locked="0"/>
    </xf>
    <xf numFmtId="180" fontId="42" fillId="0" borderId="23" xfId="4" applyNumberFormat="1" applyFont="1" applyFill="1" applyBorder="1" applyAlignment="1" applyProtection="1">
      <alignment vertical="center"/>
      <protection locked="0"/>
    </xf>
    <xf numFmtId="180" fontId="42" fillId="0" borderId="8" xfId="0" applyNumberFormat="1" applyFont="1" applyBorder="1" applyAlignment="1" applyProtection="1">
      <alignment vertical="center" shrinkToFit="1"/>
      <protection locked="0"/>
    </xf>
    <xf numFmtId="180" fontId="42" fillId="0" borderId="8" xfId="0" applyNumberFormat="1" applyFont="1" applyFill="1" applyBorder="1" applyAlignment="1" applyProtection="1">
      <alignment horizontal="center" vertical="center" shrinkToFit="1"/>
      <protection locked="0"/>
    </xf>
    <xf numFmtId="180" fontId="42" fillId="4" borderId="8" xfId="0" applyNumberFormat="1" applyFont="1" applyFill="1" applyBorder="1" applyAlignment="1" applyProtection="1">
      <alignment vertical="center" shrinkToFit="1"/>
      <protection locked="0"/>
    </xf>
    <xf numFmtId="180" fontId="42" fillId="0" borderId="9" xfId="0" applyNumberFormat="1" applyFont="1" applyBorder="1" applyProtection="1">
      <alignment vertical="center"/>
      <protection locked="0"/>
    </xf>
    <xf numFmtId="180" fontId="42" fillId="4" borderId="9" xfId="0" applyNumberFormat="1" applyFont="1" applyFill="1" applyBorder="1" applyProtection="1">
      <alignment vertical="center"/>
      <protection locked="0"/>
    </xf>
    <xf numFmtId="180" fontId="42" fillId="0" borderId="8" xfId="0" applyNumberFormat="1" applyFont="1" applyFill="1" applyBorder="1" applyAlignment="1" applyProtection="1">
      <alignment horizontal="center" vertical="center"/>
      <protection locked="0"/>
    </xf>
    <xf numFmtId="180" fontId="42" fillId="0" borderId="63" xfId="0" applyNumberFormat="1" applyFont="1" applyFill="1" applyBorder="1" applyAlignment="1" applyProtection="1">
      <alignment vertical="center" wrapText="1"/>
      <protection locked="0"/>
    </xf>
    <xf numFmtId="180" fontId="42" fillId="0" borderId="8" xfId="0" applyNumberFormat="1" applyFont="1" applyFill="1" applyBorder="1" applyAlignment="1" applyProtection="1">
      <alignment vertical="center"/>
      <protection locked="0"/>
    </xf>
    <xf numFmtId="0" fontId="42" fillId="0" borderId="8" xfId="0" applyFont="1" applyBorder="1" applyAlignment="1" applyProtection="1">
      <alignment vertical="center" wrapText="1"/>
      <protection locked="0"/>
    </xf>
    <xf numFmtId="180" fontId="42" fillId="0" borderId="8" xfId="0" applyNumberFormat="1" applyFont="1" applyBorder="1" applyAlignment="1" applyProtection="1">
      <alignment vertical="center" wrapText="1"/>
      <protection locked="0"/>
    </xf>
    <xf numFmtId="180" fontId="42" fillId="0" borderId="68" xfId="0" applyNumberFormat="1" applyFont="1" applyFill="1" applyBorder="1" applyAlignment="1" applyProtection="1">
      <alignment vertical="center"/>
      <protection locked="0"/>
    </xf>
    <xf numFmtId="180" fontId="42" fillId="0" borderId="8" xfId="0" applyNumberFormat="1" applyFont="1" applyBorder="1" applyAlignment="1" applyProtection="1">
      <alignment vertical="top" wrapText="1"/>
      <protection locked="0"/>
    </xf>
    <xf numFmtId="180" fontId="42" fillId="0" borderId="68" xfId="0" applyNumberFormat="1" applyFont="1" applyFill="1" applyBorder="1" applyAlignment="1" applyProtection="1">
      <alignment horizontal="center" vertical="center"/>
      <protection locked="0"/>
    </xf>
    <xf numFmtId="180" fontId="42" fillId="0" borderId="19" xfId="0" applyNumberFormat="1" applyFont="1" applyFill="1" applyBorder="1" applyAlignment="1" applyProtection="1">
      <alignment vertical="center"/>
      <protection locked="0"/>
    </xf>
    <xf numFmtId="180" fontId="42" fillId="0" borderId="8" xfId="0" applyNumberFormat="1" applyFont="1" applyFill="1" applyBorder="1" applyAlignment="1" applyProtection="1">
      <alignment vertical="center"/>
      <protection locked="0"/>
    </xf>
    <xf numFmtId="180" fontId="42" fillId="0" borderId="63" xfId="0" applyNumberFormat="1" applyFont="1" applyBorder="1" applyAlignment="1" applyProtection="1">
      <alignment vertical="center"/>
      <protection locked="0"/>
    </xf>
    <xf numFmtId="180" fontId="42" fillId="0" borderId="63" xfId="0" applyNumberFormat="1" applyFont="1" applyBorder="1" applyProtection="1">
      <alignment vertical="center"/>
      <protection locked="0"/>
    </xf>
    <xf numFmtId="180" fontId="42" fillId="0" borderId="8" xfId="0" applyNumberFormat="1" applyFont="1" applyBorder="1" applyAlignment="1" applyProtection="1">
      <alignment vertical="center"/>
      <protection locked="0"/>
    </xf>
    <xf numFmtId="180" fontId="42" fillId="0" borderId="8" xfId="0" applyNumberFormat="1" applyFont="1" applyBorder="1" applyProtection="1">
      <alignment vertical="center"/>
      <protection locked="0"/>
    </xf>
    <xf numFmtId="180" fontId="42" fillId="0" borderId="68" xfId="0" applyNumberFormat="1" applyFont="1" applyBorder="1" applyAlignment="1" applyProtection="1">
      <alignment vertical="center"/>
      <protection locked="0"/>
    </xf>
    <xf numFmtId="180" fontId="42" fillId="0" borderId="68" xfId="0" applyNumberFormat="1" applyFont="1" applyBorder="1" applyProtection="1">
      <alignment vertical="center"/>
      <protection locked="0"/>
    </xf>
    <xf numFmtId="180" fontId="42" fillId="0" borderId="12" xfId="0" applyNumberFormat="1" applyFont="1" applyFill="1" applyBorder="1" applyAlignment="1" applyProtection="1">
      <alignment vertical="center"/>
      <protection locked="0"/>
    </xf>
    <xf numFmtId="180" fontId="42" fillId="0" borderId="12" xfId="0" applyNumberFormat="1" applyFont="1" applyBorder="1" applyAlignment="1" applyProtection="1">
      <alignment vertical="center"/>
      <protection locked="0"/>
    </xf>
    <xf numFmtId="179" fontId="42" fillId="0" borderId="19" xfId="0" applyNumberFormat="1" applyFont="1" applyBorder="1" applyAlignment="1" applyProtection="1">
      <alignment vertical="center" shrinkToFit="1"/>
      <protection locked="0"/>
    </xf>
    <xf numFmtId="179" fontId="42" fillId="0" borderId="8" xfId="0" applyNumberFormat="1" applyFont="1" applyBorder="1" applyAlignment="1" applyProtection="1">
      <alignment vertical="center" shrinkToFit="1"/>
      <protection locked="0"/>
    </xf>
    <xf numFmtId="179" fontId="42" fillId="0" borderId="12" xfId="0" applyNumberFormat="1" applyFont="1" applyBorder="1" applyAlignment="1" applyProtection="1">
      <alignment vertical="center" shrinkToFit="1"/>
      <protection locked="0"/>
    </xf>
    <xf numFmtId="179" fontId="42" fillId="0" borderId="59" xfId="0" applyNumberFormat="1" applyFont="1" applyBorder="1" applyAlignment="1" applyProtection="1">
      <alignment vertical="center" shrinkToFit="1"/>
      <protection locked="0"/>
    </xf>
    <xf numFmtId="180" fontId="42" fillId="0" borderId="63" xfId="0" applyNumberFormat="1" applyFont="1" applyBorder="1" applyAlignment="1" applyProtection="1">
      <alignment vertical="center" shrinkToFit="1"/>
      <protection locked="0"/>
    </xf>
    <xf numFmtId="180" fontId="42" fillId="0" borderId="8" xfId="0" applyNumberFormat="1" applyFont="1" applyBorder="1" applyAlignment="1" applyProtection="1">
      <alignment vertical="center" shrinkToFit="1"/>
      <protection locked="0"/>
    </xf>
    <xf numFmtId="180" fontId="42" fillId="0" borderId="68" xfId="0" applyNumberFormat="1" applyFont="1" applyBorder="1" applyAlignment="1" applyProtection="1">
      <alignment vertical="center" shrinkToFit="1"/>
      <protection locked="0"/>
    </xf>
    <xf numFmtId="180" fontId="42" fillId="0" borderId="12" xfId="0" applyNumberFormat="1" applyFont="1" applyBorder="1" applyAlignment="1" applyProtection="1">
      <alignment vertical="center" shrinkToFit="1"/>
      <protection locked="0"/>
    </xf>
    <xf numFmtId="180" fontId="42" fillId="12" borderId="8" xfId="0" applyNumberFormat="1" applyFont="1" applyFill="1" applyBorder="1" applyAlignment="1" applyProtection="1">
      <alignment vertical="center"/>
      <protection locked="0"/>
    </xf>
    <xf numFmtId="180" fontId="42" fillId="13" borderId="8" xfId="0" applyNumberFormat="1" applyFont="1" applyFill="1" applyBorder="1" applyAlignment="1" applyProtection="1">
      <alignment vertical="center"/>
      <protection locked="0"/>
    </xf>
    <xf numFmtId="180" fontId="42" fillId="0" borderId="8" xfId="0" applyNumberFormat="1" applyFont="1" applyFill="1" applyBorder="1" applyAlignment="1" applyProtection="1">
      <alignment vertical="center"/>
      <protection locked="0"/>
    </xf>
    <xf numFmtId="180" fontId="42" fillId="0" borderId="12" xfId="0" applyNumberFormat="1" applyFont="1" applyBorder="1" applyAlignment="1" applyProtection="1">
      <alignment vertical="center"/>
      <protection locked="0"/>
    </xf>
    <xf numFmtId="180" fontId="42" fillId="0" borderId="12" xfId="0" applyNumberFormat="1" applyFont="1" applyFill="1" applyBorder="1" applyAlignment="1" applyProtection="1">
      <alignment vertical="center"/>
      <protection locked="0"/>
    </xf>
    <xf numFmtId="180" fontId="42" fillId="4" borderId="8" xfId="0" applyNumberFormat="1" applyFont="1" applyFill="1" applyBorder="1" applyAlignment="1" applyProtection="1">
      <alignment vertical="center"/>
      <protection locked="0"/>
    </xf>
    <xf numFmtId="180" fontId="42" fillId="4" borderId="68" xfId="0" applyNumberFormat="1" applyFont="1" applyFill="1" applyBorder="1" applyAlignment="1" applyProtection="1">
      <alignment vertical="center"/>
      <protection locked="0"/>
    </xf>
    <xf numFmtId="180" fontId="42" fillId="0" borderId="19" xfId="0" applyNumberFormat="1" applyFont="1" applyBorder="1" applyAlignment="1">
      <alignment vertical="center"/>
    </xf>
    <xf numFmtId="180" fontId="42" fillId="0" borderId="8" xfId="0" applyNumberFormat="1" applyFont="1" applyBorder="1" applyAlignment="1">
      <alignment vertical="center"/>
    </xf>
    <xf numFmtId="180" fontId="42" fillId="0" borderId="12" xfId="0" applyNumberFormat="1" applyFont="1" applyBorder="1" applyAlignment="1">
      <alignment vertical="center"/>
    </xf>
    <xf numFmtId="180" fontId="42" fillId="3" borderId="34" xfId="0" applyNumberFormat="1" applyFont="1" applyFill="1" applyBorder="1" applyAlignment="1" applyProtection="1">
      <alignment vertical="center"/>
    </xf>
    <xf numFmtId="180" fontId="42" fillId="0" borderId="19" xfId="0" applyNumberFormat="1" applyFont="1" applyFill="1" applyBorder="1" applyAlignment="1" applyProtection="1">
      <alignment vertical="center"/>
    </xf>
    <xf numFmtId="180" fontId="42" fillId="0" borderId="8" xfId="0" applyNumberFormat="1" applyFont="1" applyFill="1" applyBorder="1" applyAlignment="1" applyProtection="1">
      <alignment vertical="center"/>
    </xf>
    <xf numFmtId="180" fontId="42" fillId="0" borderId="12" xfId="0" applyNumberFormat="1" applyFont="1" applyFill="1" applyBorder="1" applyAlignment="1" applyProtection="1">
      <alignment vertical="center"/>
    </xf>
    <xf numFmtId="10" fontId="42" fillId="0" borderId="34" xfId="0" applyNumberFormat="1" applyFont="1" applyBorder="1" applyAlignment="1">
      <alignment vertical="center"/>
    </xf>
    <xf numFmtId="10" fontId="42" fillId="0" borderId="34" xfId="0" applyNumberFormat="1" applyFont="1" applyFill="1" applyBorder="1" applyAlignment="1" applyProtection="1">
      <alignment vertical="center"/>
    </xf>
    <xf numFmtId="180" fontId="42" fillId="5" borderId="68" xfId="0" applyNumberFormat="1" applyFont="1" applyFill="1" applyBorder="1" applyAlignment="1">
      <alignment vertical="center"/>
    </xf>
    <xf numFmtId="180" fontId="42" fillId="3" borderId="68" xfId="0" applyNumberFormat="1" applyFont="1" applyFill="1" applyBorder="1" applyAlignment="1">
      <alignment vertical="center"/>
    </xf>
    <xf numFmtId="180" fontId="39" fillId="0" borderId="19" xfId="0" applyNumberFormat="1" applyFont="1" applyBorder="1" applyAlignment="1" applyProtection="1">
      <alignment vertical="center"/>
      <protection locked="0"/>
    </xf>
    <xf numFmtId="180" fontId="39" fillId="0" borderId="11" xfId="0" applyNumberFormat="1" applyFont="1" applyBorder="1" applyAlignment="1" applyProtection="1">
      <alignment vertical="center"/>
      <protection locked="0"/>
    </xf>
    <xf numFmtId="180" fontId="39" fillId="0" borderId="8" xfId="0" applyNumberFormat="1" applyFont="1" applyBorder="1" applyAlignment="1" applyProtection="1">
      <alignment vertical="center"/>
      <protection locked="0"/>
    </xf>
    <xf numFmtId="180" fontId="39" fillId="0" borderId="9" xfId="0" applyNumberFormat="1" applyFont="1" applyBorder="1" applyAlignment="1" applyProtection="1">
      <alignment vertical="center"/>
      <protection locked="0"/>
    </xf>
    <xf numFmtId="0" fontId="42" fillId="0" borderId="8" xfId="0" applyFont="1" applyFill="1" applyBorder="1" applyAlignment="1" applyProtection="1">
      <alignment vertical="center"/>
      <protection locked="0"/>
    </xf>
    <xf numFmtId="0" fontId="39" fillId="0" borderId="8" xfId="0" applyFont="1" applyBorder="1" applyAlignment="1" applyProtection="1">
      <alignment vertical="center"/>
      <protection locked="0"/>
    </xf>
    <xf numFmtId="0" fontId="39" fillId="0" borderId="9" xfId="0" applyFont="1" applyBorder="1" applyAlignment="1" applyProtection="1">
      <alignment vertical="center"/>
      <protection locked="0"/>
    </xf>
    <xf numFmtId="180" fontId="39" fillId="0" borderId="12" xfId="0" applyNumberFormat="1" applyFont="1" applyBorder="1" applyAlignment="1" applyProtection="1">
      <alignment vertical="center"/>
      <protection locked="0"/>
    </xf>
    <xf numFmtId="180" fontId="39" fillId="0" borderId="22" xfId="0" applyNumberFormat="1" applyFont="1" applyBorder="1" applyAlignment="1" applyProtection="1">
      <alignment vertical="center"/>
      <protection locked="0"/>
    </xf>
    <xf numFmtId="180" fontId="42" fillId="0" borderId="19" xfId="0" applyNumberFormat="1" applyFont="1" applyBorder="1" applyAlignment="1" applyProtection="1">
      <alignment vertical="center"/>
      <protection locked="0"/>
    </xf>
    <xf numFmtId="180" fontId="42" fillId="4" borderId="19" xfId="0" applyNumberFormat="1" applyFont="1" applyFill="1" applyBorder="1" applyAlignment="1" applyProtection="1">
      <alignment horizontal="center" vertical="center"/>
      <protection locked="0"/>
    </xf>
    <xf numFmtId="180" fontId="42" fillId="4" borderId="8" xfId="0" applyNumberFormat="1" applyFont="1" applyFill="1" applyBorder="1" applyProtection="1">
      <alignment vertical="center"/>
      <protection locked="0"/>
    </xf>
    <xf numFmtId="180" fontId="42" fillId="4" borderId="74" xfId="0" applyNumberFormat="1" applyFont="1" applyFill="1" applyBorder="1" applyAlignment="1" applyProtection="1">
      <alignment vertical="center"/>
      <protection locked="0"/>
    </xf>
    <xf numFmtId="180" fontId="42" fillId="0" borderId="19" xfId="0" applyNumberFormat="1" applyFont="1" applyFill="1" applyBorder="1" applyProtection="1">
      <alignment vertical="center"/>
      <protection locked="0"/>
    </xf>
    <xf numFmtId="180" fontId="42" fillId="0" borderId="19" xfId="0" applyNumberFormat="1" applyFont="1" applyBorder="1" applyProtection="1">
      <alignment vertical="center"/>
      <protection locked="0"/>
    </xf>
    <xf numFmtId="180" fontId="42" fillId="0" borderId="68" xfId="0" applyNumberFormat="1" applyFont="1" applyFill="1" applyBorder="1" applyProtection="1">
      <alignment vertical="center"/>
    </xf>
    <xf numFmtId="180" fontId="42" fillId="0" borderId="59" xfId="0" applyNumberFormat="1" applyFont="1" applyBorder="1" applyProtection="1">
      <alignment vertical="center"/>
      <protection locked="0"/>
    </xf>
    <xf numFmtId="180" fontId="42" fillId="4" borderId="11" xfId="0" applyNumberFormat="1" applyFont="1" applyFill="1" applyBorder="1" applyProtection="1">
      <alignment vertical="center"/>
      <protection locked="0"/>
    </xf>
    <xf numFmtId="180" fontId="42" fillId="4" borderId="72" xfId="0" applyNumberFormat="1" applyFont="1" applyFill="1" applyBorder="1" applyProtection="1">
      <alignment vertical="center"/>
      <protection locked="0"/>
    </xf>
    <xf numFmtId="180" fontId="42" fillId="0" borderId="74" xfId="0" applyNumberFormat="1" applyFont="1" applyFill="1" applyBorder="1" applyAlignment="1" applyProtection="1">
      <alignment horizontal="center" vertical="center"/>
    </xf>
    <xf numFmtId="10" fontId="42" fillId="5" borderId="19" xfId="0" applyNumberFormat="1" applyFont="1" applyFill="1" applyBorder="1" applyAlignment="1" applyProtection="1">
      <alignment vertical="center"/>
    </xf>
    <xf numFmtId="10" fontId="42" fillId="5" borderId="8" xfId="0" applyNumberFormat="1" applyFont="1" applyFill="1" applyBorder="1" applyAlignment="1" applyProtection="1">
      <alignment vertical="center"/>
    </xf>
    <xf numFmtId="10" fontId="42" fillId="5" borderId="68" xfId="0" applyNumberFormat="1" applyFont="1" applyFill="1" applyBorder="1" applyAlignment="1" applyProtection="1">
      <alignment vertical="center"/>
    </xf>
    <xf numFmtId="180" fontId="42" fillId="0" borderId="19" xfId="0" applyNumberFormat="1" applyFont="1" applyFill="1" applyBorder="1" applyAlignment="1" applyProtection="1">
      <alignment vertical="center"/>
      <protection locked="0"/>
    </xf>
    <xf numFmtId="180" fontId="42" fillId="0" borderId="12" xfId="0" applyNumberFormat="1" applyFont="1" applyFill="1" applyBorder="1" applyAlignment="1" applyProtection="1">
      <alignment horizontal="center" vertical="center"/>
      <protection locked="0"/>
    </xf>
    <xf numFmtId="0" fontId="42" fillId="0" borderId="19" xfId="0" applyFont="1" applyFill="1" applyBorder="1" applyAlignment="1" applyProtection="1">
      <alignment horizontal="center" vertical="center"/>
      <protection locked="0"/>
    </xf>
    <xf numFmtId="180" fontId="42" fillId="0" borderId="8" xfId="0" applyNumberFormat="1" applyFont="1" applyBorder="1" applyProtection="1">
      <alignment vertical="center"/>
      <protection locked="0"/>
    </xf>
    <xf numFmtId="180" fontId="42" fillId="0" borderId="12" xfId="0" applyNumberFormat="1" applyFont="1" applyFill="1" applyBorder="1" applyAlignment="1" applyProtection="1">
      <alignment vertical="center"/>
    </xf>
    <xf numFmtId="180" fontId="42" fillId="0" borderId="12" xfId="0" applyNumberFormat="1" applyFont="1" applyBorder="1" applyProtection="1">
      <alignment vertical="center"/>
      <protection locked="0"/>
    </xf>
    <xf numFmtId="180" fontId="42" fillId="0" borderId="63" xfId="0" applyNumberFormat="1" applyFont="1" applyBorder="1" applyProtection="1">
      <alignment vertical="center"/>
      <protection locked="0"/>
    </xf>
    <xf numFmtId="180" fontId="42" fillId="0" borderId="19" xfId="0" applyNumberFormat="1" applyFont="1" applyBorder="1" applyProtection="1">
      <alignment vertical="center"/>
      <protection locked="0"/>
    </xf>
    <xf numFmtId="180" fontId="42" fillId="0" borderId="8" xfId="0" applyNumberFormat="1" applyFont="1" applyFill="1" applyBorder="1" applyAlignment="1" applyProtection="1">
      <alignment vertical="center"/>
    </xf>
    <xf numFmtId="180" fontId="42" fillId="0" borderId="19" xfId="0" applyNumberFormat="1" applyFont="1" applyBorder="1" applyAlignment="1" applyProtection="1">
      <alignment vertical="center"/>
      <protection locked="0"/>
    </xf>
    <xf numFmtId="180" fontId="42" fillId="0" borderId="8" xfId="0" applyNumberFormat="1" applyFont="1" applyBorder="1" applyAlignment="1" applyProtection="1">
      <alignment vertical="center"/>
      <protection locked="0"/>
    </xf>
    <xf numFmtId="180" fontId="42" fillId="0" borderId="12" xfId="0" applyNumberFormat="1" applyFont="1" applyBorder="1" applyAlignment="1" applyProtection="1">
      <alignment vertical="center"/>
      <protection locked="0"/>
    </xf>
    <xf numFmtId="190" fontId="42" fillId="0" borderId="9" xfId="5" applyNumberFormat="1" applyFont="1" applyFill="1" applyBorder="1" applyAlignment="1" applyProtection="1">
      <alignment vertical="center"/>
      <protection locked="0"/>
    </xf>
    <xf numFmtId="190" fontId="42" fillId="0" borderId="22" xfId="5" applyNumberFormat="1" applyFont="1" applyFill="1" applyBorder="1" applyAlignment="1" applyProtection="1">
      <alignment vertical="center"/>
      <protection locked="0"/>
    </xf>
    <xf numFmtId="190" fontId="42" fillId="0" borderId="35" xfId="5" applyNumberFormat="1" applyFont="1" applyFill="1" applyBorder="1" applyAlignment="1" applyProtection="1">
      <alignment horizontal="center" vertical="center"/>
      <protection locked="0"/>
    </xf>
    <xf numFmtId="180" fontId="42" fillId="0" borderId="8" xfId="0" applyNumberFormat="1" applyFont="1" applyBorder="1" applyAlignment="1" applyProtection="1">
      <alignment horizontal="center" vertical="center"/>
      <protection locked="0"/>
    </xf>
    <xf numFmtId="180" fontId="42" fillId="6" borderId="8" xfId="0" applyNumberFormat="1" applyFont="1" applyFill="1" applyBorder="1" applyAlignment="1" applyProtection="1">
      <alignment horizontal="center" vertical="center"/>
      <protection locked="0"/>
    </xf>
    <xf numFmtId="180" fontId="42" fillId="2" borderId="12" xfId="0" applyNumberFormat="1" applyFont="1" applyFill="1" applyBorder="1" applyAlignment="1" applyProtection="1">
      <alignment horizontal="center" vertical="center"/>
      <protection locked="0"/>
    </xf>
    <xf numFmtId="180" fontId="42" fillId="0" borderId="19" xfId="0" applyNumberFormat="1" applyFont="1" applyBorder="1" applyAlignment="1" applyProtection="1">
      <alignment horizontal="center" vertical="center"/>
      <protection locked="0"/>
    </xf>
    <xf numFmtId="180" fontId="42" fillId="0" borderId="19" xfId="0" applyNumberFormat="1" applyFont="1" applyFill="1" applyBorder="1" applyAlignment="1" applyProtection="1">
      <alignment horizontal="center" vertical="center"/>
      <protection locked="0"/>
    </xf>
    <xf numFmtId="180" fontId="42" fillId="0" borderId="17" xfId="0" applyNumberFormat="1" applyFont="1" applyFill="1" applyBorder="1" applyAlignment="1" applyProtection="1">
      <alignment vertical="center" wrapText="1"/>
      <protection locked="0"/>
    </xf>
    <xf numFmtId="180" fontId="42" fillId="4" borderId="16" xfId="0" applyNumberFormat="1" applyFont="1" applyFill="1" applyBorder="1" applyAlignment="1" applyProtection="1">
      <alignment vertical="center"/>
      <protection locked="0"/>
    </xf>
    <xf numFmtId="180" fontId="42" fillId="0" borderId="64" xfId="0" applyNumberFormat="1" applyFont="1" applyFill="1" applyBorder="1" applyAlignment="1" applyProtection="1">
      <alignment horizontal="center" vertical="center"/>
      <protection locked="0"/>
    </xf>
    <xf numFmtId="180" fontId="42" fillId="0" borderId="61" xfId="0" applyNumberFormat="1" applyFont="1" applyBorder="1" applyAlignment="1" applyProtection="1">
      <alignment vertical="center"/>
      <protection locked="0"/>
    </xf>
    <xf numFmtId="180" fontId="42" fillId="0" borderId="11" xfId="0" applyNumberFormat="1" applyFont="1" applyBorder="1" applyAlignment="1" applyProtection="1">
      <protection locked="0"/>
    </xf>
    <xf numFmtId="180" fontId="42" fillId="0" borderId="23" xfId="0" applyNumberFormat="1" applyFont="1" applyBorder="1" applyAlignment="1" applyProtection="1">
      <alignment vertical="center"/>
      <protection locked="0"/>
    </xf>
    <xf numFmtId="180" fontId="42" fillId="0" borderId="9" xfId="0" applyNumberFormat="1" applyFont="1" applyBorder="1" applyAlignment="1" applyProtection="1">
      <protection locked="0"/>
    </xf>
    <xf numFmtId="180" fontId="42" fillId="0" borderId="17" xfId="0" applyNumberFormat="1" applyFont="1" applyBorder="1" applyAlignment="1" applyProtection="1">
      <alignment vertical="center"/>
      <protection locked="0"/>
    </xf>
    <xf numFmtId="180" fontId="42" fillId="0" borderId="22" xfId="0" applyNumberFormat="1" applyFont="1" applyBorder="1" applyAlignment="1" applyProtection="1">
      <protection locked="0"/>
    </xf>
    <xf numFmtId="0" fontId="42" fillId="0" borderId="67" xfId="0" applyFont="1" applyFill="1" applyBorder="1" applyAlignment="1" applyProtection="1">
      <alignment horizontal="center" vertical="center"/>
      <protection locked="0"/>
    </xf>
    <xf numFmtId="180" fontId="42" fillId="0" borderId="12" xfId="0" applyNumberFormat="1" applyFont="1" applyBorder="1" applyProtection="1">
      <alignment vertical="center"/>
      <protection locked="0"/>
    </xf>
    <xf numFmtId="180" fontId="42" fillId="0" borderId="19" xfId="0" applyNumberFormat="1" applyFont="1" applyBorder="1" applyAlignment="1">
      <alignment vertical="center"/>
    </xf>
    <xf numFmtId="180" fontId="42" fillId="3" borderId="19" xfId="0" applyNumberFormat="1" applyFont="1" applyFill="1" applyBorder="1" applyAlignment="1">
      <alignment vertical="center" wrapText="1"/>
    </xf>
    <xf numFmtId="180" fontId="42" fillId="3" borderId="11" xfId="0" applyNumberFormat="1" applyFont="1" applyFill="1" applyBorder="1" applyAlignment="1">
      <alignment vertical="center"/>
    </xf>
    <xf numFmtId="180" fontId="42" fillId="0" borderId="8" xfId="0" applyNumberFormat="1" applyFont="1" applyBorder="1" applyAlignment="1">
      <alignment vertical="center"/>
    </xf>
    <xf numFmtId="180" fontId="42" fillId="3" borderId="8" xfId="0" applyNumberFormat="1" applyFont="1" applyFill="1" applyBorder="1" applyAlignment="1">
      <alignment vertical="center" wrapText="1"/>
    </xf>
    <xf numFmtId="180" fontId="42" fillId="3" borderId="9" xfId="0" applyNumberFormat="1" applyFont="1" applyFill="1" applyBorder="1" applyAlignment="1">
      <alignment vertical="center"/>
    </xf>
    <xf numFmtId="180" fontId="42" fillId="3" borderId="12" xfId="0" applyNumberFormat="1" applyFont="1" applyFill="1" applyBorder="1" applyAlignment="1">
      <alignment vertical="center"/>
    </xf>
    <xf numFmtId="180" fontId="42" fillId="3" borderId="22" xfId="0" applyNumberFormat="1" applyFont="1" applyFill="1" applyBorder="1" applyAlignment="1">
      <alignment vertical="center"/>
    </xf>
    <xf numFmtId="180" fontId="42" fillId="0" borderId="63" xfId="0" applyNumberFormat="1" applyFont="1" applyBorder="1" applyAlignment="1">
      <alignment horizontal="center" vertical="center"/>
    </xf>
    <xf numFmtId="180" fontId="42" fillId="3" borderId="63" xfId="0" applyNumberFormat="1" applyFont="1" applyFill="1" applyBorder="1" applyAlignment="1">
      <alignment vertical="center"/>
    </xf>
    <xf numFmtId="180" fontId="42" fillId="0" borderId="63" xfId="0" applyNumberFormat="1" applyFont="1" applyBorder="1" applyAlignment="1">
      <alignment vertical="center"/>
    </xf>
    <xf numFmtId="180" fontId="42" fillId="3" borderId="72" xfId="0" applyNumberFormat="1" applyFont="1" applyFill="1" applyBorder="1" applyAlignment="1">
      <alignment vertical="center"/>
    </xf>
    <xf numFmtId="180" fontId="42" fillId="0" borderId="8" xfId="0" applyNumberFormat="1" applyFont="1" applyBorder="1" applyAlignment="1">
      <alignment horizontal="center" vertical="center"/>
    </xf>
    <xf numFmtId="180" fontId="42" fillId="3" borderId="8" xfId="0" applyNumberFormat="1" applyFont="1" applyFill="1" applyBorder="1" applyAlignment="1">
      <alignment vertical="center"/>
    </xf>
    <xf numFmtId="180" fontId="42" fillId="0" borderId="8" xfId="0" applyNumberFormat="1" applyFont="1" applyBorder="1" applyAlignment="1" applyProtection="1">
      <alignment horizontal="left" vertical="center"/>
      <protection locked="0"/>
    </xf>
    <xf numFmtId="180" fontId="42" fillId="0" borderId="19" xfId="0" applyNumberFormat="1" applyFont="1" applyBorder="1" applyAlignment="1" applyProtection="1">
      <alignment vertical="center" shrinkToFit="1"/>
      <protection locked="0"/>
    </xf>
    <xf numFmtId="180" fontId="42" fillId="0" borderId="19" xfId="0" applyNumberFormat="1" applyFont="1" applyBorder="1" applyAlignment="1" applyProtection="1">
      <alignment horizontal="center" vertical="center" shrinkToFit="1"/>
      <protection locked="0"/>
    </xf>
    <xf numFmtId="180" fontId="42" fillId="4" borderId="3" xfId="0" applyNumberFormat="1" applyFont="1" applyFill="1" applyBorder="1" applyProtection="1">
      <alignment vertical="center"/>
      <protection locked="0"/>
    </xf>
    <xf numFmtId="180" fontId="42" fillId="0" borderId="3" xfId="0" applyNumberFormat="1" applyFont="1" applyFill="1" applyBorder="1" applyProtection="1">
      <alignment vertical="center"/>
      <protection locked="0"/>
    </xf>
    <xf numFmtId="180" fontId="42" fillId="0" borderId="3" xfId="0" applyNumberFormat="1" applyFont="1" applyBorder="1" applyProtection="1">
      <alignment vertical="center"/>
      <protection locked="0"/>
    </xf>
    <xf numFmtId="180" fontId="42" fillId="4" borderId="3" xfId="0" applyNumberFormat="1" applyFont="1" applyFill="1" applyBorder="1" applyAlignment="1" applyProtection="1">
      <alignment vertical="center" wrapText="1"/>
      <protection locked="0"/>
    </xf>
    <xf numFmtId="180" fontId="42" fillId="0" borderId="8" xfId="0" applyNumberFormat="1" applyFont="1" applyBorder="1" applyAlignment="1" applyProtection="1">
      <alignment horizontal="center" vertical="center" shrinkToFit="1"/>
      <protection locked="0"/>
    </xf>
    <xf numFmtId="180" fontId="42" fillId="0" borderId="68" xfId="0" applyNumberFormat="1" applyFont="1" applyBorder="1" applyAlignment="1" applyProtection="1">
      <alignment horizontal="center" vertical="center" shrinkToFit="1"/>
      <protection locked="0"/>
    </xf>
    <xf numFmtId="180" fontId="42" fillId="0" borderId="23" xfId="0" applyNumberFormat="1" applyFont="1" applyBorder="1" applyAlignment="1" applyProtection="1">
      <alignment vertical="center" shrinkToFit="1"/>
      <protection locked="0"/>
    </xf>
    <xf numFmtId="180" fontId="2" fillId="0" borderId="62" xfId="0" applyNumberFormat="1" applyFont="1" applyBorder="1" applyAlignment="1" applyProtection="1">
      <alignment vertical="center" shrinkToFit="1"/>
      <protection locked="0"/>
    </xf>
    <xf numFmtId="180" fontId="2" fillId="0" borderId="23" xfId="0" applyNumberFormat="1" applyFont="1" applyBorder="1" applyAlignment="1" applyProtection="1">
      <alignment vertical="center" shrinkToFit="1"/>
      <protection locked="0"/>
    </xf>
    <xf numFmtId="180" fontId="42" fillId="0" borderId="79" xfId="0" applyNumberFormat="1" applyFont="1" applyBorder="1" applyAlignment="1" applyProtection="1">
      <alignment vertical="center" shrinkToFit="1"/>
      <protection locked="0"/>
    </xf>
    <xf numFmtId="180" fontId="42" fillId="0" borderId="62" xfId="0" applyNumberFormat="1" applyFont="1" applyBorder="1" applyAlignment="1" applyProtection="1">
      <alignment vertical="center" shrinkToFit="1"/>
      <protection locked="0"/>
    </xf>
    <xf numFmtId="180" fontId="42" fillId="0" borderId="17" xfId="0" applyNumberFormat="1" applyFont="1" applyBorder="1" applyAlignment="1" applyProtection="1">
      <alignment vertical="center" shrinkToFit="1"/>
      <protection locked="0"/>
    </xf>
    <xf numFmtId="0" fontId="12" fillId="0" borderId="0" xfId="2" applyProtection="1">
      <alignment vertical="center"/>
      <protection locked="0"/>
    </xf>
    <xf numFmtId="180" fontId="2" fillId="0" borderId="19" xfId="0" applyNumberFormat="1" applyFont="1" applyBorder="1" applyAlignment="1">
      <alignment vertical="center"/>
    </xf>
    <xf numFmtId="180" fontId="2" fillId="0" borderId="19" xfId="0" applyNumberFormat="1" applyFont="1" applyFill="1" applyBorder="1" applyAlignment="1" applyProtection="1">
      <alignment vertical="center"/>
    </xf>
    <xf numFmtId="180" fontId="42" fillId="0" borderId="19" xfId="0" applyNumberFormat="1" applyFont="1" applyFill="1" applyBorder="1" applyAlignment="1" applyProtection="1">
      <alignment vertical="center"/>
    </xf>
    <xf numFmtId="180" fontId="2" fillId="0" borderId="8" xfId="0" applyNumberFormat="1" applyFont="1" applyBorder="1" applyAlignment="1">
      <alignment vertical="center"/>
    </xf>
    <xf numFmtId="180" fontId="2" fillId="0" borderId="8" xfId="0" applyNumberFormat="1" applyFont="1" applyFill="1" applyBorder="1" applyAlignment="1" applyProtection="1">
      <alignment vertical="center"/>
    </xf>
    <xf numFmtId="180" fontId="42" fillId="0" borderId="8" xfId="0" applyNumberFormat="1" applyFont="1" applyFill="1" applyBorder="1" applyAlignment="1" applyProtection="1">
      <alignment vertical="center"/>
    </xf>
    <xf numFmtId="180" fontId="2" fillId="0" borderId="12" xfId="0" applyNumberFormat="1" applyFont="1" applyBorder="1" applyAlignment="1">
      <alignment vertical="center"/>
    </xf>
    <xf numFmtId="180" fontId="2" fillId="0" borderId="12" xfId="0" applyNumberFormat="1" applyFont="1" applyFill="1" applyBorder="1" applyAlignment="1" applyProtection="1">
      <alignment vertical="center"/>
    </xf>
    <xf numFmtId="180" fontId="42" fillId="0" borderId="12" xfId="0" applyNumberFormat="1" applyFont="1" applyFill="1" applyBorder="1" applyAlignment="1" applyProtection="1">
      <alignment vertical="center"/>
    </xf>
    <xf numFmtId="180" fontId="42" fillId="3" borderId="8" xfId="5" applyNumberFormat="1" applyFont="1" applyFill="1" applyBorder="1" applyAlignment="1" applyProtection="1">
      <alignment horizontal="right" vertical="center" wrapText="1"/>
      <protection hidden="1"/>
    </xf>
    <xf numFmtId="180" fontId="42" fillId="0" borderId="8" xfId="5" applyNumberFormat="1" applyFont="1" applyFill="1" applyBorder="1" applyAlignment="1" applyProtection="1">
      <alignment horizontal="right" vertical="center" wrapText="1"/>
      <protection locked="0"/>
    </xf>
    <xf numFmtId="180" fontId="42" fillId="5" borderId="8" xfId="5" applyNumberFormat="1" applyFont="1" applyFill="1" applyBorder="1" applyAlignment="1" applyProtection="1">
      <alignment horizontal="right" vertical="center" wrapText="1"/>
      <protection hidden="1"/>
    </xf>
    <xf numFmtId="180" fontId="76" fillId="0" borderId="8" xfId="5" applyNumberFormat="1" applyFont="1" applyFill="1" applyBorder="1" applyAlignment="1" applyProtection="1">
      <alignment horizontal="right" vertical="center" wrapText="1"/>
      <protection locked="0"/>
    </xf>
    <xf numFmtId="180" fontId="42" fillId="3" borderId="12" xfId="5" applyNumberFormat="1" applyFont="1" applyFill="1" applyBorder="1" applyAlignment="1" applyProtection="1">
      <alignment horizontal="right" vertical="center" wrapText="1"/>
      <protection hidden="1"/>
    </xf>
    <xf numFmtId="180" fontId="42" fillId="3" borderId="19" xfId="5" applyNumberFormat="1" applyFont="1" applyFill="1" applyBorder="1" applyAlignment="1" applyProtection="1">
      <alignment horizontal="right" vertical="center"/>
      <protection hidden="1"/>
    </xf>
    <xf numFmtId="180" fontId="42" fillId="3" borderId="19" xfId="5" applyNumberFormat="1" applyFont="1" applyFill="1" applyBorder="1" applyAlignment="1" applyProtection="1">
      <alignment vertical="center"/>
      <protection hidden="1"/>
    </xf>
    <xf numFmtId="180" fontId="42" fillId="0" borderId="8" xfId="5" applyNumberFormat="1" applyFont="1" applyFill="1" applyBorder="1" applyAlignment="1" applyProtection="1">
      <alignment vertical="center"/>
      <protection locked="0"/>
    </xf>
    <xf numFmtId="180" fontId="42" fillId="3" borderId="8" xfId="5" applyNumberFormat="1" applyFont="1" applyFill="1" applyBorder="1" applyAlignment="1" applyProtection="1">
      <alignment vertical="center"/>
      <protection hidden="1"/>
    </xf>
    <xf numFmtId="180" fontId="42" fillId="3" borderId="8" xfId="5" applyNumberFormat="1" applyFont="1" applyFill="1" applyBorder="1" applyAlignment="1" applyProtection="1">
      <alignment horizontal="right" vertical="center"/>
      <protection hidden="1"/>
    </xf>
    <xf numFmtId="180" fontId="42" fillId="0" borderId="12" xfId="5" applyNumberFormat="1" applyFont="1" applyFill="1" applyBorder="1" applyAlignment="1" applyProtection="1">
      <alignment vertical="center"/>
      <protection locked="0"/>
    </xf>
    <xf numFmtId="180" fontId="42" fillId="3" borderId="12" xfId="5" applyNumberFormat="1" applyFont="1" applyFill="1" applyBorder="1" applyAlignment="1" applyProtection="1">
      <alignment horizontal="right" vertical="center"/>
      <protection hidden="1"/>
    </xf>
    <xf numFmtId="180" fontId="42" fillId="3" borderId="34" xfId="5" applyNumberFormat="1" applyFont="1" applyFill="1" applyBorder="1" applyAlignment="1" applyProtection="1">
      <alignment vertical="center"/>
      <protection hidden="1"/>
    </xf>
    <xf numFmtId="0" fontId="13" fillId="2" borderId="8" xfId="2" applyNumberFormat="1" applyFont="1" applyFill="1" applyBorder="1" applyProtection="1">
      <alignment vertical="center"/>
    </xf>
    <xf numFmtId="180" fontId="42" fillId="0" borderId="9" xfId="0" applyNumberFormat="1" applyFont="1" applyBorder="1">
      <alignment vertical="center"/>
    </xf>
    <xf numFmtId="180" fontId="42" fillId="13" borderId="22" xfId="0" applyNumberFormat="1" applyFont="1" applyFill="1" applyBorder="1">
      <alignment vertical="center"/>
    </xf>
    <xf numFmtId="180" fontId="42" fillId="0" borderId="19" xfId="0" applyNumberFormat="1" applyFont="1" applyBorder="1">
      <alignment vertical="center"/>
    </xf>
    <xf numFmtId="180" fontId="42" fillId="0" borderId="8" xfId="0" applyNumberFormat="1" applyFont="1" applyBorder="1">
      <alignment vertical="center"/>
    </xf>
    <xf numFmtId="180" fontId="76" fillId="3" borderId="8" xfId="2" applyNumberFormat="1" applyFont="1" applyFill="1" applyBorder="1" applyProtection="1">
      <alignment vertical="center"/>
      <protection hidden="1"/>
    </xf>
    <xf numFmtId="180" fontId="76" fillId="3" borderId="8" xfId="2" applyNumberFormat="1" applyFont="1" applyFill="1" applyBorder="1" applyProtection="1">
      <alignment vertical="center"/>
      <protection locked="0"/>
    </xf>
    <xf numFmtId="180" fontId="42" fillId="0" borderId="8" xfId="5" applyNumberFormat="1" applyFont="1" applyFill="1" applyBorder="1" applyAlignment="1" applyProtection="1">
      <alignment horizontal="center"/>
      <protection locked="0"/>
    </xf>
    <xf numFmtId="0" fontId="12" fillId="0" borderId="0" xfId="2" applyNumberFormat="1" applyFill="1" applyBorder="1" applyProtection="1">
      <alignment vertical="center"/>
      <protection locked="0"/>
    </xf>
    <xf numFmtId="0" fontId="2" fillId="0" borderId="72" xfId="0" applyFont="1" applyFill="1" applyBorder="1" applyAlignment="1" applyProtection="1">
      <alignment horizontal="center" vertical="center"/>
      <protection locked="0"/>
    </xf>
    <xf numFmtId="0" fontId="77" fillId="2" borderId="82" xfId="0" applyFont="1" applyFill="1" applyBorder="1" applyAlignment="1" applyProtection="1">
      <alignment horizontal="center" vertical="center" wrapText="1"/>
      <protection locked="0"/>
    </xf>
    <xf numFmtId="0" fontId="79" fillId="0" borderId="0" xfId="2" applyNumberFormat="1" applyFont="1" applyFill="1" applyBorder="1" applyProtection="1">
      <alignment vertical="center"/>
      <protection locked="0"/>
    </xf>
    <xf numFmtId="0" fontId="79" fillId="4" borderId="0" xfId="2" applyFont="1" applyFill="1">
      <alignment vertical="center"/>
    </xf>
    <xf numFmtId="0" fontId="2" fillId="2" borderId="71" xfId="0" applyFont="1" applyFill="1" applyBorder="1" applyAlignment="1" applyProtection="1">
      <alignment horizontal="center" vertical="center" wrapText="1"/>
      <protection hidden="1"/>
    </xf>
    <xf numFmtId="0" fontId="2" fillId="2" borderId="63" xfId="0" applyFont="1" applyFill="1" applyBorder="1" applyAlignment="1" applyProtection="1">
      <alignment horizontal="center" vertical="center" wrapText="1"/>
      <protection hidden="1"/>
    </xf>
    <xf numFmtId="0" fontId="2" fillId="0" borderId="63" xfId="0" applyFont="1" applyFill="1" applyBorder="1" applyAlignment="1" applyProtection="1">
      <alignment horizontal="center" vertical="center" wrapText="1"/>
      <protection hidden="1"/>
    </xf>
    <xf numFmtId="189" fontId="2" fillId="0" borderId="63" xfId="4" applyNumberFormat="1" applyFont="1" applyFill="1" applyBorder="1" applyAlignment="1" applyProtection="1">
      <alignment horizontal="center" vertical="center" wrapText="1"/>
      <protection hidden="1"/>
    </xf>
    <xf numFmtId="180" fontId="42" fillId="0" borderId="3" xfId="0" applyNumberFormat="1" applyFont="1" applyFill="1" applyBorder="1" applyAlignment="1" applyProtection="1">
      <alignment vertical="center" wrapText="1"/>
    </xf>
    <xf numFmtId="0" fontId="2" fillId="14" borderId="93" xfId="0" applyFont="1" applyFill="1" applyBorder="1" applyAlignment="1">
      <alignment horizontal="center" vertical="center" wrapText="1"/>
    </xf>
    <xf numFmtId="0" fontId="80" fillId="0" borderId="0" xfId="0" applyFont="1" applyAlignment="1">
      <alignment horizontal="justify" vertical="center"/>
    </xf>
    <xf numFmtId="0" fontId="57" fillId="0" borderId="93" xfId="0" applyFont="1" applyBorder="1" applyAlignment="1">
      <alignment horizontal="justify" vertical="center" wrapText="1"/>
    </xf>
    <xf numFmtId="177" fontId="42" fillId="13" borderId="93" xfId="0" applyNumberFormat="1" applyFont="1" applyFill="1" applyBorder="1" applyAlignment="1">
      <alignment horizontal="justify" vertical="center" wrapText="1"/>
    </xf>
    <xf numFmtId="0" fontId="57" fillId="0" borderId="0" xfId="0" applyFont="1" applyAlignment="1">
      <alignment horizontal="justify" vertical="center"/>
    </xf>
    <xf numFmtId="0" fontId="11" fillId="14" borderId="4" xfId="2" applyNumberFormat="1" applyFont="1" applyFill="1" applyBorder="1" applyProtection="1">
      <alignment vertical="center"/>
      <protection locked="0"/>
    </xf>
    <xf numFmtId="0" fontId="11" fillId="14" borderId="3" xfId="2" applyNumberFormat="1" applyFont="1" applyFill="1" applyBorder="1" applyProtection="1">
      <alignment vertical="center"/>
      <protection locked="0"/>
    </xf>
    <xf numFmtId="0" fontId="2" fillId="0" borderId="0" xfId="0" applyFont="1" applyFill="1" applyBorder="1" applyAlignment="1" applyProtection="1">
      <alignment vertical="center"/>
      <protection locked="0"/>
    </xf>
    <xf numFmtId="0" fontId="2" fillId="14" borderId="19" xfId="0" applyFont="1" applyFill="1" applyBorder="1">
      <alignment vertical="center"/>
    </xf>
    <xf numFmtId="0" fontId="2" fillId="14" borderId="7" xfId="0" applyFont="1" applyFill="1" applyBorder="1" applyAlignment="1">
      <alignment horizontal="justify" vertical="center"/>
    </xf>
    <xf numFmtId="0" fontId="2" fillId="14" borderId="8" xfId="0" applyFont="1" applyFill="1" applyBorder="1">
      <alignment vertical="center"/>
    </xf>
    <xf numFmtId="0" fontId="0" fillId="12" borderId="8" xfId="0" applyFill="1" applyBorder="1">
      <alignment vertical="center"/>
    </xf>
    <xf numFmtId="0" fontId="2" fillId="14" borderId="10" xfId="0" applyFont="1" applyFill="1" applyBorder="1">
      <alignment vertical="center"/>
    </xf>
    <xf numFmtId="0" fontId="2" fillId="12" borderId="12" xfId="0" applyFont="1" applyFill="1" applyBorder="1" applyAlignment="1">
      <alignment vertical="center"/>
    </xf>
    <xf numFmtId="0" fontId="2" fillId="14" borderId="12" xfId="0" applyFont="1" applyFill="1" applyBorder="1">
      <alignment vertical="center"/>
    </xf>
    <xf numFmtId="0" fontId="2" fillId="12" borderId="12" xfId="0" applyFont="1" applyFill="1" applyBorder="1">
      <alignment vertical="center"/>
    </xf>
    <xf numFmtId="0" fontId="2" fillId="14" borderId="6" xfId="0" applyFont="1" applyFill="1" applyBorder="1" applyAlignment="1">
      <alignment horizontal="justify" vertical="center"/>
    </xf>
    <xf numFmtId="0" fontId="2" fillId="12" borderId="19" xfId="0" applyFont="1" applyFill="1" applyBorder="1" applyAlignment="1">
      <alignment vertical="center"/>
    </xf>
    <xf numFmtId="0" fontId="2" fillId="14" borderId="19" xfId="0" applyFont="1" applyFill="1" applyBorder="1" applyAlignment="1">
      <alignment vertical="center"/>
    </xf>
    <xf numFmtId="49" fontId="2" fillId="12" borderId="19" xfId="0" applyNumberFormat="1" applyFont="1" applyFill="1" applyBorder="1">
      <alignment vertical="center"/>
    </xf>
    <xf numFmtId="0" fontId="2" fillId="14" borderId="10" xfId="0" applyFont="1" applyFill="1" applyBorder="1" applyAlignment="1">
      <alignment horizontal="justify" vertical="center"/>
    </xf>
    <xf numFmtId="0" fontId="2" fillId="14" borderId="12" xfId="0" applyFont="1" applyFill="1" applyBorder="1" applyAlignment="1">
      <alignment vertical="center"/>
    </xf>
    <xf numFmtId="49" fontId="2" fillId="12" borderId="12" xfId="0" applyNumberFormat="1" applyFont="1" applyFill="1" applyBorder="1">
      <alignment vertical="center"/>
    </xf>
    <xf numFmtId="0" fontId="0" fillId="14" borderId="12" xfId="0" applyFill="1" applyBorder="1">
      <alignment vertical="center"/>
    </xf>
    <xf numFmtId="0" fontId="0" fillId="0" borderId="93" xfId="0" applyBorder="1">
      <alignment vertical="center"/>
    </xf>
    <xf numFmtId="0" fontId="0" fillId="14" borderId="93" xfId="0" applyFill="1" applyBorder="1" applyAlignment="1">
      <alignment horizontal="center" vertical="center"/>
    </xf>
    <xf numFmtId="49" fontId="53" fillId="0" borderId="93" xfId="0" applyNumberFormat="1" applyFont="1" applyFill="1" applyBorder="1" applyAlignment="1">
      <alignment horizontal="left" vertical="center" wrapText="1"/>
    </xf>
    <xf numFmtId="0" fontId="53" fillId="15" borderId="0" xfId="0" applyFont="1" applyFill="1" applyAlignment="1">
      <alignment vertical="center" wrapText="1"/>
    </xf>
    <xf numFmtId="0" fontId="53" fillId="0" borderId="93" xfId="0" applyFont="1" applyBorder="1" applyAlignment="1">
      <alignment horizontal="right" vertical="center" indent="1"/>
    </xf>
    <xf numFmtId="0" fontId="53" fillId="0" borderId="93" xfId="0" applyFont="1" applyBorder="1">
      <alignment vertical="center"/>
    </xf>
    <xf numFmtId="0" fontId="53" fillId="15" borderId="0" xfId="0" applyFont="1" applyFill="1" applyBorder="1" applyAlignment="1">
      <alignment horizontal="center" vertical="center" wrapText="1"/>
    </xf>
    <xf numFmtId="0" fontId="53" fillId="15" borderId="93" xfId="0" applyFont="1" applyFill="1" applyBorder="1" applyAlignment="1">
      <alignment horizontal="center" vertical="center" wrapText="1"/>
    </xf>
    <xf numFmtId="0" fontId="53" fillId="15" borderId="93" xfId="0" applyFont="1" applyFill="1" applyBorder="1" applyAlignment="1">
      <alignment horizontal="center" vertical="center" wrapText="1"/>
    </xf>
    <xf numFmtId="0" fontId="83" fillId="15" borderId="93" xfId="0" applyFont="1" applyFill="1" applyBorder="1" applyAlignment="1">
      <alignment horizontal="center" vertical="center" wrapText="1"/>
    </xf>
    <xf numFmtId="49" fontId="53" fillId="0" borderId="93" xfId="0" applyNumberFormat="1" applyFont="1" applyFill="1" applyBorder="1" applyAlignment="1">
      <alignment horizontal="center" vertical="center" wrapText="1"/>
    </xf>
    <xf numFmtId="189" fontId="53" fillId="0" borderId="93" xfId="0" applyNumberFormat="1" applyFont="1" applyFill="1" applyBorder="1" applyAlignment="1">
      <alignment horizontal="right" vertical="center" wrapText="1" indent="1"/>
    </xf>
    <xf numFmtId="0" fontId="53" fillId="13" borderId="93" xfId="0" applyFont="1" applyFill="1" applyBorder="1" applyAlignment="1">
      <alignment horizontal="center" vertical="center" wrapText="1"/>
    </xf>
    <xf numFmtId="0" fontId="82" fillId="0" borderId="0" xfId="0" applyFont="1" applyProtection="1">
      <alignment vertical="center"/>
      <protection locked="0"/>
    </xf>
    <xf numFmtId="177" fontId="0" fillId="12" borderId="3" xfId="0" applyNumberFormat="1" applyFont="1" applyFill="1" applyBorder="1" applyAlignment="1" applyProtection="1">
      <alignment horizontal="left" vertical="center" wrapText="1"/>
      <protection locked="0"/>
    </xf>
    <xf numFmtId="180" fontId="42" fillId="0" borderId="8" xfId="0" applyNumberFormat="1" applyFont="1" applyBorder="1" applyAlignment="1" applyProtection="1">
      <alignment vertical="center"/>
      <protection locked="0"/>
    </xf>
    <xf numFmtId="49" fontId="0" fillId="0" borderId="0" xfId="0" applyNumberFormat="1">
      <alignment vertical="center"/>
    </xf>
    <xf numFmtId="49" fontId="0" fillId="16" borderId="0" xfId="0" applyNumberFormat="1" applyFill="1">
      <alignment vertical="center"/>
    </xf>
    <xf numFmtId="49" fontId="74" fillId="0" borderId="0" xfId="0" applyNumberFormat="1" applyFont="1">
      <alignment vertical="center"/>
    </xf>
    <xf numFmtId="186" fontId="53" fillId="17" borderId="8" xfId="0" applyNumberFormat="1" applyFont="1" applyFill="1" applyBorder="1" applyProtection="1">
      <alignment vertical="center"/>
      <protection locked="0"/>
    </xf>
    <xf numFmtId="176" fontId="2" fillId="0" borderId="0" xfId="0" applyNumberFormat="1" applyFont="1">
      <alignment vertical="center"/>
    </xf>
    <xf numFmtId="0" fontId="0" fillId="0" borderId="0" xfId="0" applyNumberFormat="1">
      <alignment vertical="center"/>
    </xf>
    <xf numFmtId="0" fontId="84" fillId="18" borderId="0" xfId="6">
      <alignment vertical="center"/>
    </xf>
    <xf numFmtId="49" fontId="2" fillId="0" borderId="8" xfId="0" applyNumberFormat="1" applyFont="1" applyBorder="1" applyAlignment="1" applyProtection="1">
      <alignment horizontal="left" vertical="center"/>
      <protection locked="0"/>
    </xf>
    <xf numFmtId="0" fontId="74" fillId="0" borderId="0" xfId="0" applyNumberFormat="1" applyFont="1">
      <alignment vertical="center"/>
    </xf>
    <xf numFmtId="176" fontId="0" fillId="0" borderId="0" xfId="0" applyNumberFormat="1">
      <alignment vertical="center"/>
    </xf>
    <xf numFmtId="0" fontId="74" fillId="0" borderId="0" xfId="0" applyFont="1">
      <alignment vertical="center"/>
    </xf>
    <xf numFmtId="0" fontId="0" fillId="0" borderId="0" xfId="0" applyFill="1">
      <alignment vertical="center"/>
    </xf>
    <xf numFmtId="0" fontId="87" fillId="18" borderId="0" xfId="6" applyFont="1">
      <alignment vertical="center"/>
    </xf>
    <xf numFmtId="0" fontId="2" fillId="2" borderId="10" xfId="0" applyFont="1" applyFill="1" applyBorder="1" applyAlignment="1" applyProtection="1">
      <alignment horizontal="center" vertical="center" wrapText="1"/>
      <protection locked="0"/>
    </xf>
    <xf numFmtId="0" fontId="88" fillId="19" borderId="0" xfId="7" applyNumberFormat="1" applyFont="1">
      <alignment vertical="center"/>
    </xf>
    <xf numFmtId="0" fontId="85" fillId="19" borderId="0" xfId="7" applyNumberFormat="1">
      <alignment vertical="center"/>
    </xf>
    <xf numFmtId="0" fontId="74" fillId="0" borderId="0" xfId="0" applyFont="1" applyProtection="1">
      <alignment vertical="center"/>
      <protection locked="0"/>
    </xf>
    <xf numFmtId="0" fontId="74" fillId="0" borderId="0" xfId="0" applyFont="1" applyProtection="1">
      <alignment vertical="center"/>
      <protection locked="0"/>
    </xf>
    <xf numFmtId="0" fontId="74" fillId="0" borderId="0" xfId="0" applyFont="1" applyProtection="1">
      <alignment vertical="center"/>
      <protection locked="0"/>
    </xf>
    <xf numFmtId="0" fontId="53" fillId="0" borderId="93" xfId="0" applyFont="1" applyBorder="1" applyAlignment="1">
      <alignment horizontal="right" wrapText="1"/>
    </xf>
    <xf numFmtId="0" fontId="89" fillId="0" borderId="0" xfId="0" applyFont="1">
      <alignment vertical="center"/>
    </xf>
    <xf numFmtId="0" fontId="70" fillId="0" borderId="93" xfId="0" applyFont="1" applyBorder="1" applyAlignment="1">
      <alignment horizontal="center" vertical="center" wrapText="1"/>
    </xf>
    <xf numFmtId="0" fontId="13" fillId="0" borderId="93" xfId="0" applyFont="1" applyBorder="1" applyAlignment="1">
      <alignment horizontal="center" vertical="center" wrapText="1"/>
    </xf>
    <xf numFmtId="0" fontId="53" fillId="0" borderId="93" xfId="0" applyNumberFormat="1" applyFont="1" applyBorder="1" applyAlignment="1">
      <alignment horizontal="left" vertical="center" wrapText="1"/>
    </xf>
    <xf numFmtId="0" fontId="53" fillId="0" borderId="93" xfId="0" applyFont="1" applyBorder="1" applyAlignment="1">
      <alignment horizontal="center" vertical="center" wrapText="1"/>
    </xf>
    <xf numFmtId="0" fontId="53" fillId="0" borderId="115" xfId="0" applyFont="1" applyFill="1" applyBorder="1" applyAlignment="1">
      <alignment vertical="center" wrapText="1"/>
    </xf>
    <xf numFmtId="0" fontId="2" fillId="0" borderId="93" xfId="0" applyFont="1" applyBorder="1" applyAlignment="1">
      <alignment horizontal="center" vertical="center" wrapText="1"/>
    </xf>
    <xf numFmtId="0" fontId="2" fillId="0" borderId="93" xfId="0" applyNumberFormat="1" applyFont="1" applyBorder="1" applyAlignment="1">
      <alignment horizontal="left" vertical="center" wrapText="1"/>
    </xf>
    <xf numFmtId="0" fontId="91" fillId="0" borderId="93" xfId="0" applyFont="1" applyBorder="1" applyAlignment="1">
      <alignment vertical="center" wrapText="1"/>
    </xf>
    <xf numFmtId="49" fontId="53" fillId="0" borderId="93" xfId="0" applyNumberFormat="1" applyFont="1" applyBorder="1" applyAlignment="1">
      <alignment horizontal="left" vertical="center" wrapText="1"/>
    </xf>
    <xf numFmtId="191" fontId="53" fillId="0" borderId="93" xfId="0" applyNumberFormat="1" applyFont="1" applyBorder="1" applyAlignment="1">
      <alignment horizontal="left" vertical="center" wrapText="1"/>
    </xf>
    <xf numFmtId="0" fontId="13" fillId="0" borderId="0" xfId="0" applyFont="1" applyBorder="1" applyAlignment="1">
      <alignment horizontal="center" vertical="center" wrapText="1"/>
    </xf>
    <xf numFmtId="0" fontId="53" fillId="0" borderId="0" xfId="0" applyFont="1" applyBorder="1" applyAlignment="1">
      <alignment horizontal="left" vertical="center" wrapText="1"/>
    </xf>
    <xf numFmtId="0" fontId="53" fillId="0" borderId="0" xfId="0" applyFont="1" applyBorder="1" applyAlignment="1">
      <alignment horizontal="center" vertical="center" wrapText="1"/>
    </xf>
    <xf numFmtId="0" fontId="53" fillId="0" borderId="0" xfId="0" applyFont="1" applyAlignment="1">
      <alignment horizontal="center" vertical="center" wrapText="1"/>
    </xf>
    <xf numFmtId="0" fontId="53" fillId="0" borderId="0" xfId="0" applyFont="1" applyAlignment="1">
      <alignment horizontal="left" vertical="center" wrapText="1"/>
    </xf>
    <xf numFmtId="0" fontId="89" fillId="0" borderId="0" xfId="0" applyFont="1" applyAlignment="1">
      <alignment vertical="center" wrapText="1"/>
    </xf>
    <xf numFmtId="0" fontId="13" fillId="0" borderId="93" xfId="0" applyFont="1" applyBorder="1" applyAlignment="1">
      <alignment vertical="center" wrapText="1"/>
    </xf>
    <xf numFmtId="49" fontId="53" fillId="15" borderId="93" xfId="0" applyNumberFormat="1" applyFont="1" applyFill="1" applyBorder="1" applyAlignment="1">
      <alignment horizontal="left" vertical="center" wrapText="1"/>
    </xf>
    <xf numFmtId="0" fontId="92" fillId="0" borderId="93" xfId="0" applyFont="1" applyBorder="1" applyAlignment="1">
      <alignment vertical="center" wrapText="1"/>
    </xf>
    <xf numFmtId="0" fontId="2" fillId="15" borderId="93" xfId="0" applyFont="1" applyFill="1" applyBorder="1" applyAlignment="1">
      <alignment horizontal="center" vertical="center" wrapText="1"/>
    </xf>
    <xf numFmtId="0" fontId="89" fillId="15" borderId="0" xfId="0" applyFont="1" applyFill="1" applyAlignment="1">
      <alignment vertical="top" wrapText="1"/>
    </xf>
    <xf numFmtId="0" fontId="89" fillId="0" borderId="0" xfId="0" applyFont="1" applyAlignment="1">
      <alignment horizontal="center" vertical="center" wrapText="1"/>
    </xf>
    <xf numFmtId="49" fontId="53" fillId="15" borderId="93" xfId="0" applyNumberFormat="1" applyFont="1" applyFill="1" applyBorder="1" applyAlignment="1">
      <alignment horizontal="left" vertical="top" wrapText="1"/>
    </xf>
    <xf numFmtId="0" fontId="13" fillId="0" borderId="93" xfId="0" applyFont="1" applyBorder="1" applyAlignment="1">
      <alignment horizontal="center" vertical="top" wrapText="1"/>
    </xf>
    <xf numFmtId="0" fontId="53" fillId="0" borderId="0" xfId="0" applyFont="1" applyAlignment="1">
      <alignment vertical="center" wrapText="1"/>
    </xf>
    <xf numFmtId="0" fontId="89" fillId="0" borderId="0" xfId="0" applyFont="1" applyAlignment="1">
      <alignment horizontal="left" vertical="top" wrapText="1"/>
    </xf>
    <xf numFmtId="49" fontId="53" fillId="15" borderId="93" xfId="0" applyNumberFormat="1" applyFont="1" applyFill="1" applyBorder="1" applyAlignment="1">
      <alignment horizontal="left" vertical="center" wrapText="1"/>
    </xf>
    <xf numFmtId="0" fontId="89" fillId="15" borderId="0" xfId="0" applyFont="1" applyFill="1" applyAlignment="1">
      <alignment horizontal="left" vertical="top"/>
    </xf>
    <xf numFmtId="0" fontId="89" fillId="0" borderId="0" xfId="0" applyFont="1" applyAlignment="1">
      <alignment horizontal="center" vertical="center"/>
    </xf>
    <xf numFmtId="0" fontId="53" fillId="0" borderId="93" xfId="0" applyFont="1" applyBorder="1" applyAlignment="1">
      <alignment horizontal="center" vertical="center"/>
    </xf>
    <xf numFmtId="0" fontId="53" fillId="0" borderId="0" xfId="0" applyFont="1">
      <alignment vertical="center"/>
    </xf>
    <xf numFmtId="0" fontId="13" fillId="0" borderId="93" xfId="0" applyFont="1" applyFill="1" applyBorder="1" applyAlignment="1">
      <alignment vertical="top" wrapText="1"/>
    </xf>
    <xf numFmtId="0" fontId="89" fillId="15" borderId="0" xfId="0" applyFont="1" applyFill="1">
      <alignment vertical="center"/>
    </xf>
    <xf numFmtId="0" fontId="53" fillId="15" borderId="0" xfId="0" applyFont="1" applyFill="1" applyAlignment="1">
      <alignment vertical="center" wrapText="1"/>
    </xf>
    <xf numFmtId="0" fontId="53" fillId="15" borderId="93" xfId="0" applyFont="1" applyFill="1" applyBorder="1" applyAlignment="1">
      <alignment horizontal="center" vertical="center" wrapText="1"/>
    </xf>
    <xf numFmtId="49" fontId="13" fillId="15" borderId="93" xfId="0" applyNumberFormat="1" applyFont="1" applyFill="1" applyBorder="1" applyAlignment="1">
      <alignment vertical="center" wrapText="1"/>
    </xf>
    <xf numFmtId="0" fontId="53" fillId="15" borderId="93" xfId="0" applyNumberFormat="1" applyFont="1" applyFill="1" applyBorder="1" applyAlignment="1">
      <alignment horizontal="center" vertical="center" wrapText="1"/>
    </xf>
    <xf numFmtId="0" fontId="53" fillId="15" borderId="93" xfId="0" applyNumberFormat="1" applyFont="1" applyFill="1" applyBorder="1" applyAlignment="1">
      <alignment horizontal="center" vertical="center" wrapText="1"/>
    </xf>
    <xf numFmtId="0" fontId="18" fillId="15" borderId="93" xfId="0" applyFont="1" applyFill="1" applyBorder="1" applyAlignment="1">
      <alignment horizontal="center" vertical="center" wrapText="1"/>
    </xf>
    <xf numFmtId="49" fontId="53" fillId="15" borderId="93" xfId="0" applyNumberFormat="1" applyFont="1" applyFill="1" applyBorder="1" applyAlignment="1">
      <alignment horizontal="center" vertical="center" wrapText="1"/>
    </xf>
    <xf numFmtId="0" fontId="53" fillId="15" borderId="0" xfId="0" applyFont="1" applyFill="1" applyBorder="1" applyAlignment="1">
      <alignment horizontal="center" vertical="center" wrapText="1"/>
    </xf>
    <xf numFmtId="0" fontId="53" fillId="0" borderId="93" xfId="0" applyFont="1" applyBorder="1" applyAlignment="1">
      <alignment horizontal="right" vertical="center" indent="1"/>
    </xf>
    <xf numFmtId="0" fontId="53" fillId="0" borderId="93" xfId="0" applyFont="1" applyBorder="1">
      <alignment vertical="center"/>
    </xf>
    <xf numFmtId="0" fontId="90" fillId="15" borderId="0" xfId="0" applyFont="1" applyFill="1" applyBorder="1" applyAlignment="1">
      <alignment vertical="center" wrapText="1"/>
    </xf>
    <xf numFmtId="0" fontId="0" fillId="0" borderId="0" xfId="0">
      <alignment vertical="center"/>
    </xf>
    <xf numFmtId="49" fontId="25" fillId="15" borderId="93" xfId="0" applyNumberFormat="1" applyFont="1" applyFill="1" applyBorder="1" applyAlignment="1">
      <alignment horizontal="center" vertical="center" wrapText="1"/>
    </xf>
    <xf numFmtId="189" fontId="25" fillId="15" borderId="93" xfId="0" applyNumberFormat="1" applyFont="1" applyFill="1" applyBorder="1" applyAlignment="1">
      <alignment horizontal="center" vertical="center" wrapText="1"/>
    </xf>
    <xf numFmtId="49" fontId="53" fillId="15" borderId="93" xfId="0" applyNumberFormat="1" applyFont="1" applyFill="1" applyBorder="1" applyAlignment="1">
      <alignment horizontal="center" vertical="center" wrapText="1"/>
    </xf>
    <xf numFmtId="49" fontId="53" fillId="15" borderId="93" xfId="0" applyNumberFormat="1" applyFont="1" applyFill="1" applyBorder="1" applyAlignment="1">
      <alignment vertical="center" wrapText="1"/>
    </xf>
    <xf numFmtId="189" fontId="53" fillId="15" borderId="93" xfId="0" applyNumberFormat="1" applyFont="1" applyFill="1" applyBorder="1" applyAlignment="1">
      <alignment horizontal="right" vertical="center" wrapText="1" indent="1"/>
    </xf>
    <xf numFmtId="49" fontId="0" fillId="0" borderId="93" xfId="0" applyNumberFormat="1" applyBorder="1" applyAlignment="1">
      <alignment vertical="center" wrapText="1"/>
    </xf>
    <xf numFmtId="189" fontId="0" fillId="0" borderId="93" xfId="0" applyNumberFormat="1" applyBorder="1" applyAlignment="1">
      <alignment horizontal="right" vertical="center" indent="1"/>
    </xf>
    <xf numFmtId="0" fontId="20" fillId="0" borderId="0" xfId="0" applyFont="1">
      <alignment vertical="center"/>
    </xf>
    <xf numFmtId="49" fontId="0" fillId="0" borderId="0" xfId="0" applyNumberFormat="1" applyAlignment="1">
      <alignment vertical="center" wrapText="1"/>
    </xf>
    <xf numFmtId="189" fontId="0" fillId="0" borderId="0" xfId="0" applyNumberFormat="1" applyAlignment="1">
      <alignment horizontal="right" vertical="center" indent="1"/>
    </xf>
    <xf numFmtId="49" fontId="83" fillId="15" borderId="93" xfId="0" applyNumberFormat="1" applyFont="1" applyFill="1" applyBorder="1" applyAlignment="1">
      <alignment horizontal="center" vertical="center" wrapText="1"/>
    </xf>
    <xf numFmtId="189" fontId="83" fillId="15" borderId="93" xfId="0" applyNumberFormat="1" applyFont="1" applyFill="1" applyBorder="1" applyAlignment="1">
      <alignment horizontal="center" vertical="center" wrapText="1"/>
    </xf>
    <xf numFmtId="49" fontId="53" fillId="15" borderId="93" xfId="0" applyNumberFormat="1" applyFont="1" applyFill="1" applyBorder="1" applyAlignment="1">
      <alignment horizontal="right" vertical="center" wrapText="1"/>
    </xf>
    <xf numFmtId="49" fontId="0" fillId="0" borderId="93" xfId="0" applyNumberFormat="1" applyBorder="1" applyAlignment="1">
      <alignment horizontal="right" vertical="center" wrapText="1"/>
    </xf>
    <xf numFmtId="49" fontId="0" fillId="0" borderId="0" xfId="0" applyNumberFormat="1" applyAlignment="1">
      <alignment horizontal="right" vertical="center" wrapText="1"/>
    </xf>
    <xf numFmtId="189" fontId="0" fillId="0" borderId="0" xfId="0" applyNumberFormat="1">
      <alignment vertical="center"/>
    </xf>
    <xf numFmtId="0" fontId="0" fillId="0" borderId="0" xfId="0" applyAlignment="1">
      <alignment vertical="center"/>
    </xf>
    <xf numFmtId="0" fontId="2" fillId="0" borderId="0" xfId="0" applyFont="1" applyBorder="1" applyAlignment="1">
      <alignment horizontal="left" vertical="center"/>
    </xf>
    <xf numFmtId="0" fontId="0" fillId="0" borderId="0" xfId="0" applyAlignment="1">
      <alignment vertical="center" wrapText="1"/>
    </xf>
    <xf numFmtId="0" fontId="0" fillId="0" borderId="0" xfId="0" applyAlignment="1">
      <alignment horizontal="center" vertical="center"/>
    </xf>
    <xf numFmtId="49" fontId="2" fillId="0" borderId="93" xfId="0" applyNumberFormat="1" applyFont="1" applyBorder="1" applyAlignment="1">
      <alignment vertical="center" wrapText="1"/>
    </xf>
    <xf numFmtId="49" fontId="2" fillId="0" borderId="93" xfId="0" applyNumberFormat="1" applyFont="1" applyBorder="1" applyAlignment="1">
      <alignment horizontal="right" vertical="center" wrapText="1"/>
    </xf>
    <xf numFmtId="49" fontId="2" fillId="0" borderId="93" xfId="0" applyNumberFormat="1" applyFont="1" applyBorder="1" applyAlignment="1">
      <alignment horizontal="right" vertical="center"/>
    </xf>
    <xf numFmtId="49" fontId="2" fillId="0" borderId="93" xfId="0" applyNumberFormat="1" applyFont="1" applyBorder="1" applyAlignment="1">
      <alignment vertical="center"/>
    </xf>
    <xf numFmtId="49" fontId="16" fillId="15" borderId="0" xfId="0" applyNumberFormat="1" applyFont="1" applyFill="1" applyAlignment="1">
      <alignment vertical="center" wrapText="1"/>
    </xf>
    <xf numFmtId="189" fontId="16" fillId="15" borderId="0" xfId="0" applyNumberFormat="1" applyFont="1" applyFill="1" applyAlignment="1">
      <alignment vertical="center"/>
    </xf>
    <xf numFmtId="189" fontId="83" fillId="15" borderId="93" xfId="0" applyNumberFormat="1" applyFont="1" applyFill="1" applyBorder="1" applyAlignment="1">
      <alignment horizontal="center" vertical="center"/>
    </xf>
    <xf numFmtId="0" fontId="2" fillId="15" borderId="93" xfId="0" applyNumberFormat="1" applyFont="1" applyFill="1" applyBorder="1" applyAlignment="1">
      <alignment horizontal="left" vertical="center" wrapText="1"/>
    </xf>
    <xf numFmtId="49" fontId="25" fillId="15" borderId="93" xfId="0" applyNumberFormat="1" applyFont="1" applyFill="1" applyBorder="1" applyAlignment="1">
      <alignment horizontal="left" vertical="center" wrapText="1"/>
    </xf>
    <xf numFmtId="189" fontId="25" fillId="15" borderId="93" xfId="0" applyNumberFormat="1" applyFont="1" applyFill="1" applyBorder="1" applyAlignment="1">
      <alignment horizontal="right" vertical="center"/>
    </xf>
    <xf numFmtId="189" fontId="0" fillId="0" borderId="0" xfId="0" applyNumberFormat="1" applyAlignment="1">
      <alignment vertical="center"/>
    </xf>
    <xf numFmtId="49" fontId="0" fillId="0" borderId="0" xfId="0" applyNumberFormat="1" applyBorder="1" applyAlignment="1">
      <alignment vertical="center" wrapText="1"/>
    </xf>
    <xf numFmtId="49" fontId="89" fillId="0" borderId="0" xfId="0" applyNumberFormat="1" applyFont="1" applyAlignment="1">
      <alignment vertical="center" wrapText="1"/>
    </xf>
    <xf numFmtId="49" fontId="83" fillId="0" borderId="93" xfId="0" applyNumberFormat="1" applyFont="1" applyBorder="1" applyAlignment="1">
      <alignment horizontal="center" vertical="center"/>
    </xf>
    <xf numFmtId="189" fontId="83" fillId="0" borderId="93" xfId="0" applyNumberFormat="1" applyFont="1" applyBorder="1" applyAlignment="1">
      <alignment horizontal="center" vertical="center" wrapText="1"/>
    </xf>
    <xf numFmtId="0" fontId="53" fillId="0" borderId="93" xfId="0" applyNumberFormat="1" applyFont="1" applyBorder="1" applyAlignment="1">
      <alignment horizontal="center" vertical="center" wrapText="1"/>
    </xf>
    <xf numFmtId="49" fontId="53" fillId="0" borderId="93" xfId="0" applyNumberFormat="1" applyFont="1" applyBorder="1" applyAlignment="1">
      <alignment horizontal="justify" vertical="center" wrapText="1"/>
    </xf>
    <xf numFmtId="189" fontId="53" fillId="0" borderId="93" xfId="0" applyNumberFormat="1" applyFont="1" applyBorder="1" applyAlignment="1">
      <alignment horizontal="justify" vertical="center" wrapText="1"/>
    </xf>
    <xf numFmtId="49" fontId="53" fillId="0" borderId="93" xfId="0" applyNumberFormat="1" applyFont="1" applyBorder="1" applyAlignment="1">
      <alignment horizontal="justify" vertical="center"/>
    </xf>
    <xf numFmtId="49" fontId="53" fillId="0" borderId="93" xfId="0" applyNumberFormat="1" applyFont="1" applyBorder="1" applyAlignment="1">
      <alignment vertical="center" wrapText="1"/>
    </xf>
    <xf numFmtId="189" fontId="53" fillId="0" borderId="93" xfId="0" applyNumberFormat="1" applyFont="1" applyBorder="1" applyAlignment="1">
      <alignment vertical="center" wrapText="1"/>
    </xf>
    <xf numFmtId="49" fontId="53" fillId="0" borderId="93" xfId="0" applyNumberFormat="1" applyFont="1" applyBorder="1" applyAlignment="1">
      <alignment vertical="center"/>
    </xf>
    <xf numFmtId="189" fontId="0" fillId="0" borderId="93" xfId="0" applyNumberFormat="1" applyBorder="1" applyAlignment="1">
      <alignment vertical="center" wrapText="1"/>
    </xf>
    <xf numFmtId="49" fontId="0" fillId="0" borderId="93" xfId="0" applyNumberFormat="1" applyBorder="1" applyAlignment="1">
      <alignment vertical="center"/>
    </xf>
    <xf numFmtId="189" fontId="0" fillId="0" borderId="0" xfId="0" applyNumberFormat="1" applyAlignment="1">
      <alignment vertical="center" wrapText="1"/>
    </xf>
    <xf numFmtId="49" fontId="0" fillId="0" borderId="0" xfId="0" applyNumberFormat="1" applyAlignment="1">
      <alignment vertical="center"/>
    </xf>
    <xf numFmtId="0" fontId="0" fillId="15" borderId="0" xfId="0" applyFill="1">
      <alignment vertical="center"/>
    </xf>
    <xf numFmtId="0" fontId="2" fillId="15" borderId="119" xfId="0" applyNumberFormat="1" applyFont="1" applyFill="1" applyBorder="1" applyAlignment="1">
      <alignment vertical="center"/>
    </xf>
    <xf numFmtId="0" fontId="53" fillId="15" borderId="0" xfId="0" applyFont="1" applyFill="1">
      <alignment vertical="center"/>
    </xf>
    <xf numFmtId="0" fontId="2" fillId="15" borderId="111" xfId="0" applyNumberFormat="1" applyFont="1" applyFill="1" applyBorder="1" applyAlignment="1">
      <alignment vertical="center"/>
    </xf>
    <xf numFmtId="0" fontId="70" fillId="15" borderId="93" xfId="0" applyFont="1" applyFill="1" applyBorder="1" applyAlignment="1">
      <alignment horizontal="center" vertical="center" wrapText="1"/>
    </xf>
    <xf numFmtId="0" fontId="70" fillId="15" borderId="93" xfId="0" applyFont="1" applyFill="1" applyBorder="1" applyAlignment="1">
      <alignment vertical="center" wrapText="1"/>
    </xf>
    <xf numFmtId="0" fontId="53" fillId="15" borderId="93" xfId="0" applyFont="1" applyFill="1" applyBorder="1" applyAlignment="1">
      <alignment vertical="center" wrapText="1"/>
    </xf>
    <xf numFmtId="189" fontId="2" fillId="15" borderId="93" xfId="0" applyNumberFormat="1" applyFont="1" applyFill="1" applyBorder="1" applyAlignment="1">
      <alignment horizontal="center" vertical="center" wrapText="1"/>
    </xf>
    <xf numFmtId="49" fontId="18" fillId="15" borderId="93" xfId="0" applyNumberFormat="1" applyFont="1" applyFill="1" applyBorder="1" applyAlignment="1">
      <alignment horizontal="center" vertical="center" wrapText="1"/>
    </xf>
    <xf numFmtId="49" fontId="13" fillId="15" borderId="93" xfId="0" applyNumberFormat="1" applyFont="1" applyFill="1" applyBorder="1" applyAlignment="1">
      <alignment horizontal="center" vertical="center" wrapText="1"/>
    </xf>
    <xf numFmtId="0" fontId="53" fillId="15" borderId="0" xfId="0" applyFont="1" applyFill="1" applyAlignment="1">
      <alignment horizontal="justify" vertical="center"/>
    </xf>
    <xf numFmtId="0" fontId="53" fillId="15" borderId="0" xfId="0" applyFont="1" applyFill="1" applyAlignment="1">
      <alignment vertical="center"/>
    </xf>
    <xf numFmtId="189" fontId="53" fillId="15" borderId="0" xfId="0" applyNumberFormat="1" applyFont="1" applyFill="1">
      <alignment vertical="center"/>
    </xf>
    <xf numFmtId="49" fontId="53" fillId="15" borderId="0" xfId="0" applyNumberFormat="1" applyFont="1" applyFill="1" applyAlignment="1">
      <alignment vertical="center" wrapText="1"/>
    </xf>
    <xf numFmtId="0" fontId="95" fillId="15" borderId="0" xfId="0" applyFont="1" applyFill="1">
      <alignment vertical="center"/>
    </xf>
    <xf numFmtId="0" fontId="0" fillId="15" borderId="0" xfId="0" applyFill="1" applyAlignment="1">
      <alignment vertical="center"/>
    </xf>
    <xf numFmtId="189" fontId="0" fillId="15" borderId="0" xfId="0" applyNumberFormat="1" applyFill="1">
      <alignment vertical="center"/>
    </xf>
    <xf numFmtId="49" fontId="0" fillId="15" borderId="0" xfId="0" applyNumberFormat="1" applyFill="1" applyAlignment="1">
      <alignment vertical="center" wrapText="1"/>
    </xf>
    <xf numFmtId="0" fontId="2" fillId="15" borderId="0" xfId="0" applyFont="1" applyFill="1" applyAlignment="1">
      <alignment wrapText="1"/>
    </xf>
    <xf numFmtId="0" fontId="16" fillId="15" borderId="0" xfId="0" applyFont="1" applyFill="1" applyAlignment="1">
      <alignment vertical="center" wrapText="1"/>
    </xf>
    <xf numFmtId="0" fontId="25" fillId="15" borderId="93" xfId="0" applyFont="1" applyFill="1" applyBorder="1" applyAlignment="1">
      <alignment horizontal="center" vertical="center" wrapText="1"/>
    </xf>
    <xf numFmtId="191" fontId="2" fillId="15" borderId="93" xfId="0" applyNumberFormat="1" applyFont="1" applyFill="1" applyBorder="1" applyAlignment="1">
      <alignment horizontal="center" vertical="center" wrapText="1"/>
    </xf>
    <xf numFmtId="49" fontId="2" fillId="15" borderId="93" xfId="0" applyNumberFormat="1" applyFont="1" applyFill="1" applyBorder="1" applyAlignment="1">
      <alignment horizontal="center" vertical="center" wrapText="1"/>
    </xf>
    <xf numFmtId="176" fontId="74" fillId="0" borderId="0" xfId="0" applyNumberFormat="1" applyFont="1" applyAlignment="1">
      <alignment horizontal="right" vertical="center"/>
    </xf>
    <xf numFmtId="176" fontId="0" fillId="0" borderId="0" xfId="0" applyNumberFormat="1" applyAlignment="1">
      <alignment horizontal="right" vertical="center"/>
    </xf>
    <xf numFmtId="0" fontId="85" fillId="19" borderId="0" xfId="7" applyNumberFormat="1" applyBorder="1">
      <alignment vertical="center"/>
    </xf>
    <xf numFmtId="176" fontId="2" fillId="22" borderId="0" xfId="0" applyNumberFormat="1" applyFont="1" applyFill="1">
      <alignment vertical="center"/>
    </xf>
    <xf numFmtId="0" fontId="74" fillId="0" borderId="0" xfId="0" applyNumberFormat="1" applyFont="1" applyFill="1" applyBorder="1">
      <alignment vertical="center"/>
    </xf>
    <xf numFmtId="0" fontId="2" fillId="0" borderId="0" xfId="0" applyNumberFormat="1" applyFont="1" applyFill="1" applyBorder="1" applyAlignment="1" applyProtection="1">
      <alignment vertical="center"/>
    </xf>
    <xf numFmtId="0" fontId="0" fillId="0" borderId="0" xfId="0" applyNumberFormat="1" applyFill="1" applyBorder="1">
      <alignment vertical="center"/>
    </xf>
    <xf numFmtId="0" fontId="20" fillId="25" borderId="7" xfId="0" applyFont="1" applyFill="1" applyBorder="1" applyAlignment="1" applyProtection="1">
      <alignment shrinkToFit="1"/>
      <protection locked="0"/>
    </xf>
    <xf numFmtId="186" fontId="53" fillId="25" borderId="8" xfId="0" applyNumberFormat="1" applyFont="1" applyFill="1" applyBorder="1" applyProtection="1">
      <alignment vertical="center"/>
    </xf>
    <xf numFmtId="186" fontId="53" fillId="25" borderId="8" xfId="0" applyNumberFormat="1" applyFont="1" applyFill="1" applyBorder="1" applyProtection="1">
      <alignment vertical="center"/>
      <protection locked="0"/>
    </xf>
    <xf numFmtId="0" fontId="97" fillId="0" borderId="0" xfId="0" applyFont="1" applyFill="1" applyAlignment="1">
      <alignment vertical="center"/>
    </xf>
    <xf numFmtId="0" fontId="98" fillId="0" borderId="0" xfId="0" applyFont="1" applyFill="1" applyAlignment="1">
      <alignment vertical="center"/>
    </xf>
    <xf numFmtId="0" fontId="88" fillId="19" borderId="0" xfId="7" applyNumberFormat="1" applyFont="1" applyBorder="1">
      <alignment vertical="center"/>
    </xf>
    <xf numFmtId="0" fontId="88" fillId="19" borderId="0" xfId="7" applyFont="1">
      <alignment vertical="center"/>
    </xf>
    <xf numFmtId="0" fontId="0" fillId="24" borderId="0" xfId="0" applyNumberFormat="1" applyFill="1">
      <alignment vertical="center"/>
    </xf>
    <xf numFmtId="0" fontId="99" fillId="24" borderId="0" xfId="0" applyNumberFormat="1" applyFont="1" applyFill="1">
      <alignment vertical="center"/>
    </xf>
    <xf numFmtId="0" fontId="74" fillId="0" borderId="0" xfId="0" applyFont="1" applyFill="1" applyAlignment="1">
      <alignment vertical="center" wrapText="1"/>
    </xf>
    <xf numFmtId="0" fontId="74" fillId="0" borderId="0" xfId="0" applyFont="1" applyFill="1" applyAlignment="1">
      <alignment vertical="center"/>
    </xf>
    <xf numFmtId="0" fontId="74" fillId="26" borderId="0" xfId="0" applyFont="1" applyFill="1">
      <alignment vertical="center"/>
    </xf>
    <xf numFmtId="0" fontId="33" fillId="0" borderId="93" xfId="0" applyFont="1" applyBorder="1" applyAlignment="1">
      <alignment horizontal="center" vertical="center"/>
    </xf>
    <xf numFmtId="0" fontId="74" fillId="0" borderId="93" xfId="0" applyFont="1" applyBorder="1">
      <alignment vertical="center"/>
    </xf>
    <xf numFmtId="176" fontId="33" fillId="0" borderId="93" xfId="0" applyNumberFormat="1" applyFont="1" applyBorder="1" applyAlignment="1">
      <alignment horizontal="center" vertical="center"/>
    </xf>
    <xf numFmtId="176" fontId="74" fillId="0" borderId="93" xfId="0" applyNumberFormat="1" applyFont="1" applyBorder="1" applyAlignment="1">
      <alignment horizontal="right" vertical="center"/>
    </xf>
    <xf numFmtId="176" fontId="0" fillId="0" borderId="93" xfId="0" applyNumberFormat="1" applyBorder="1" applyAlignment="1">
      <alignment horizontal="right" vertical="center"/>
    </xf>
    <xf numFmtId="0" fontId="0" fillId="0" borderId="0" xfId="0" applyNumberFormat="1" applyFill="1">
      <alignment vertical="center"/>
    </xf>
    <xf numFmtId="0" fontId="104" fillId="0" borderId="0" xfId="6" applyNumberFormat="1" applyFont="1" applyFill="1" applyBorder="1" applyAlignment="1">
      <alignment horizontal="center" vertical="center"/>
    </xf>
    <xf numFmtId="0" fontId="104" fillId="0" borderId="0" xfId="6" applyNumberFormat="1" applyFont="1" applyFill="1" applyBorder="1" applyAlignment="1">
      <alignment horizontal="left" vertical="center"/>
    </xf>
    <xf numFmtId="0" fontId="85" fillId="19" borderId="0" xfId="7" applyNumberFormat="1" applyAlignment="1">
      <alignment horizontal="left" vertical="center"/>
    </xf>
    <xf numFmtId="49" fontId="2" fillId="0" borderId="8" xfId="0" applyNumberFormat="1" applyFont="1" applyFill="1" applyBorder="1" applyAlignment="1" applyProtection="1">
      <alignment horizontal="center" vertical="center"/>
    </xf>
    <xf numFmtId="0" fontId="2" fillId="0" borderId="8" xfId="0" applyNumberFormat="1" applyFont="1" applyFill="1" applyBorder="1" applyAlignment="1" applyProtection="1">
      <alignment vertical="center"/>
    </xf>
    <xf numFmtId="0" fontId="83" fillId="0" borderId="115" xfId="0" applyFont="1" applyBorder="1" applyAlignment="1">
      <alignment horizontal="center" vertical="center" wrapText="1"/>
    </xf>
    <xf numFmtId="49" fontId="2" fillId="0" borderId="93" xfId="0" applyNumberFormat="1" applyFont="1" applyBorder="1" applyAlignment="1">
      <alignment horizontal="center" vertical="center"/>
    </xf>
    <xf numFmtId="0" fontId="83" fillId="0" borderId="93" xfId="0" applyFont="1" applyBorder="1" applyAlignment="1">
      <alignment horizontal="center" vertical="center" wrapText="1"/>
    </xf>
    <xf numFmtId="49" fontId="2" fillId="0" borderId="109" xfId="0" applyNumberFormat="1" applyFont="1" applyBorder="1" applyAlignment="1">
      <alignment horizontal="right" vertical="center"/>
    </xf>
    <xf numFmtId="0" fontId="53" fillId="15" borderId="93" xfId="0" applyNumberFormat="1" applyFont="1" applyFill="1" applyBorder="1" applyAlignment="1">
      <alignment horizontal="left" vertical="center" wrapText="1"/>
    </xf>
    <xf numFmtId="0" fontId="74" fillId="0" borderId="126" xfId="0" applyFont="1" applyBorder="1" applyAlignment="1">
      <alignment vertical="center" wrapText="1"/>
    </xf>
    <xf numFmtId="0" fontId="91" fillId="0" borderId="129" xfId="0" applyFont="1" applyBorder="1" applyAlignment="1">
      <alignment horizontal="center" vertical="center"/>
    </xf>
    <xf numFmtId="49" fontId="2" fillId="0" borderId="93" xfId="0" applyNumberFormat="1" applyFont="1" applyBorder="1" applyAlignment="1">
      <alignment horizontal="center" vertical="center" wrapText="1"/>
    </xf>
    <xf numFmtId="49" fontId="2" fillId="0" borderId="109" xfId="0" applyNumberFormat="1" applyFont="1" applyBorder="1" applyAlignment="1">
      <alignment horizontal="center" vertical="center" wrapText="1"/>
    </xf>
    <xf numFmtId="0" fontId="0" fillId="0" borderId="0" xfId="0" applyBorder="1" applyAlignment="1">
      <alignment vertical="center"/>
    </xf>
    <xf numFmtId="49" fontId="2" fillId="0" borderId="132" xfId="0" applyNumberFormat="1" applyFont="1" applyBorder="1" applyAlignment="1">
      <alignment horizontal="center" vertical="center" textRotation="255"/>
    </xf>
    <xf numFmtId="49" fontId="25" fillId="0" borderId="93" xfId="0" applyNumberFormat="1" applyFont="1" applyBorder="1" applyAlignment="1">
      <alignment horizontal="right" vertical="center" wrapText="1"/>
    </xf>
    <xf numFmtId="49" fontId="2" fillId="0" borderId="109" xfId="0" applyNumberFormat="1" applyFont="1" applyBorder="1" applyAlignment="1">
      <alignment horizontal="right" vertical="center" wrapText="1"/>
    </xf>
    <xf numFmtId="0" fontId="2" fillId="0" borderId="136" xfId="0" applyFont="1" applyBorder="1" applyAlignment="1">
      <alignment horizontal="center" vertical="center"/>
    </xf>
    <xf numFmtId="49" fontId="2" fillId="0" borderId="136" xfId="0" applyNumberFormat="1" applyFont="1" applyBorder="1" applyAlignment="1">
      <alignment horizontal="right" vertical="center"/>
    </xf>
    <xf numFmtId="49" fontId="2" fillId="0" borderId="136" xfId="0" applyNumberFormat="1" applyFont="1" applyBorder="1" applyAlignment="1">
      <alignment vertical="center"/>
    </xf>
    <xf numFmtId="49" fontId="2" fillId="0" borderId="134" xfId="0" applyNumberFormat="1" applyFont="1" applyBorder="1" applyAlignment="1">
      <alignment horizontal="right" vertical="center"/>
    </xf>
    <xf numFmtId="0" fontId="10" fillId="0" borderId="0" xfId="0" applyFont="1">
      <alignment vertical="center"/>
    </xf>
    <xf numFmtId="0" fontId="10" fillId="0" borderId="0" xfId="0" applyFont="1" applyAlignment="1">
      <alignment horizontal="center" vertical="center"/>
    </xf>
    <xf numFmtId="0" fontId="25" fillId="0" borderId="0" xfId="0" applyFont="1" applyAlignment="1">
      <alignment vertical="center"/>
    </xf>
    <xf numFmtId="0" fontId="25" fillId="0" borderId="93" xfId="0" applyFont="1" applyBorder="1" applyAlignment="1">
      <alignment horizontal="center" vertical="center"/>
    </xf>
    <xf numFmtId="0" fontId="83" fillId="0" borderId="93" xfId="0" applyFont="1" applyBorder="1" applyAlignment="1">
      <alignment horizontal="center" vertical="center" wrapText="1"/>
    </xf>
    <xf numFmtId="0" fontId="25" fillId="0" borderId="93" xfId="0" applyFont="1" applyBorder="1" applyAlignment="1">
      <alignment horizontal="center" vertical="center" wrapText="1"/>
    </xf>
    <xf numFmtId="0" fontId="2" fillId="0" borderId="93" xfId="0" applyFont="1" applyBorder="1" applyAlignment="1">
      <alignment horizontal="center" vertical="center" wrapText="1"/>
    </xf>
    <xf numFmtId="0" fontId="2" fillId="0" borderId="115" xfId="0" applyFont="1" applyBorder="1" applyAlignment="1">
      <alignment horizontal="center" vertical="center" wrapText="1"/>
    </xf>
    <xf numFmtId="188" fontId="2" fillId="0" borderId="93" xfId="0" applyNumberFormat="1" applyFont="1" applyBorder="1" applyAlignment="1">
      <alignment vertical="center" wrapText="1"/>
    </xf>
    <xf numFmtId="0" fontId="25" fillId="0" borderId="110" xfId="0" applyFont="1" applyBorder="1" applyAlignment="1">
      <alignment horizontal="center" vertical="center" wrapText="1"/>
    </xf>
    <xf numFmtId="0" fontId="2" fillId="0" borderId="116" xfId="0" applyFont="1" applyBorder="1" applyAlignment="1">
      <alignment horizontal="center" vertical="center" wrapText="1"/>
    </xf>
    <xf numFmtId="49" fontId="2" fillId="0" borderId="93" xfId="0" applyNumberFormat="1" applyFont="1" applyBorder="1" applyAlignment="1">
      <alignment vertical="center" wrapText="1"/>
    </xf>
    <xf numFmtId="0" fontId="74" fillId="0" borderId="0" xfId="0" applyFont="1" applyAlignment="1">
      <alignment horizontal="center"/>
    </xf>
    <xf numFmtId="0" fontId="10" fillId="0" borderId="0" xfId="0" applyFont="1" applyAlignment="1">
      <alignment vertical="center"/>
    </xf>
    <xf numFmtId="0" fontId="106" fillId="0" borderId="0" xfId="0" applyFont="1" applyBorder="1" applyAlignment="1">
      <alignment horizontal="center" vertical="center" wrapText="1"/>
    </xf>
    <xf numFmtId="0" fontId="10" fillId="0" borderId="0" xfId="0" applyFont="1" applyBorder="1" applyAlignment="1">
      <alignment vertical="center" wrapText="1"/>
    </xf>
    <xf numFmtId="0" fontId="10" fillId="0" borderId="0" xfId="0" applyFont="1" applyBorder="1" applyAlignment="1">
      <alignment horizontal="left" vertical="center" wrapText="1"/>
    </xf>
    <xf numFmtId="0" fontId="10" fillId="0" borderId="0" xfId="0" applyFont="1" applyBorder="1" applyAlignment="1">
      <alignment horizontal="justify" vertical="center" wrapText="1"/>
    </xf>
    <xf numFmtId="0" fontId="10" fillId="0" borderId="0" xfId="0" applyFont="1" applyBorder="1" applyAlignment="1">
      <alignment horizontal="right" vertical="center"/>
    </xf>
    <xf numFmtId="0" fontId="2" fillId="0" borderId="0" xfId="0" applyFont="1" applyFill="1" applyAlignment="1">
      <alignment vertical="center"/>
    </xf>
    <xf numFmtId="0" fontId="0" fillId="0" borderId="93" xfId="0" applyFill="1" applyBorder="1" applyAlignment="1" applyProtection="1">
      <alignment horizontal="justify" vertical="center"/>
    </xf>
    <xf numFmtId="0" fontId="0" fillId="0" borderId="0" xfId="0" applyAlignment="1" applyProtection="1"/>
    <xf numFmtId="0" fontId="0" fillId="0" borderId="93" xfId="0" applyFill="1" applyBorder="1" applyAlignment="1" applyProtection="1">
      <alignment horizontal="left" vertical="center" wrapText="1"/>
    </xf>
    <xf numFmtId="0" fontId="2" fillId="0" borderId="0" xfId="0" applyFont="1" applyFill="1" applyAlignment="1">
      <alignment horizontal="center" vertical="center"/>
    </xf>
    <xf numFmtId="0" fontId="2" fillId="0" borderId="109" xfId="0" applyFont="1" applyBorder="1" applyAlignment="1">
      <alignment horizontal="center" vertical="center"/>
    </xf>
    <xf numFmtId="0" fontId="2" fillId="0" borderId="93" xfId="0" applyFont="1" applyBorder="1" applyAlignment="1">
      <alignment horizontal="center" vertical="center"/>
    </xf>
    <xf numFmtId="0" fontId="74" fillId="0" borderId="93" xfId="0" quotePrefix="1" applyFont="1" applyBorder="1" applyAlignment="1">
      <alignment vertical="center"/>
    </xf>
    <xf numFmtId="49" fontId="0" fillId="0" borderId="93" xfId="0" applyNumberFormat="1" applyBorder="1" applyAlignment="1">
      <alignment vertical="center"/>
    </xf>
    <xf numFmtId="0" fontId="0" fillId="0" borderId="93" xfId="0" applyBorder="1" applyAlignment="1">
      <alignment horizontal="left" vertical="center"/>
    </xf>
    <xf numFmtId="49" fontId="0" fillId="0" borderId="0" xfId="0" applyNumberFormat="1" applyAlignment="1">
      <alignment vertical="center"/>
    </xf>
    <xf numFmtId="0" fontId="7" fillId="0" borderId="0" xfId="0" applyFont="1" applyAlignment="1">
      <alignment vertical="center"/>
    </xf>
    <xf numFmtId="0" fontId="25" fillId="0" borderId="0" xfId="0" applyFont="1" applyAlignment="1">
      <alignment vertical="center"/>
    </xf>
    <xf numFmtId="0" fontId="25" fillId="0" borderId="0" xfId="0" applyFont="1" applyFill="1" applyAlignment="1">
      <alignment vertical="center"/>
    </xf>
    <xf numFmtId="0" fontId="7" fillId="0" borderId="0" xfId="0" applyFont="1" applyAlignment="1">
      <alignment vertical="center" wrapText="1"/>
    </xf>
    <xf numFmtId="0" fontId="74" fillId="0" borderId="0" xfId="0" applyFont="1" applyAlignment="1">
      <alignment vertical="center"/>
    </xf>
    <xf numFmtId="0" fontId="10" fillId="0" borderId="0" xfId="0" applyFont="1" applyAlignment="1">
      <alignment vertical="center"/>
    </xf>
    <xf numFmtId="0" fontId="74" fillId="0" borderId="0" xfId="0" applyFont="1">
      <alignment vertical="center"/>
    </xf>
    <xf numFmtId="0" fontId="2" fillId="0" borderId="0" xfId="0" applyFont="1">
      <alignment vertical="center"/>
    </xf>
    <xf numFmtId="0" fontId="26" fillId="0" borderId="0" xfId="0" applyFont="1" applyAlignment="1">
      <alignment vertical="center"/>
    </xf>
    <xf numFmtId="0" fontId="2" fillId="0" borderId="0" xfId="0" applyFont="1" applyAlignment="1">
      <alignment vertical="center"/>
    </xf>
    <xf numFmtId="0" fontId="2" fillId="0" borderId="0" xfId="0" applyFont="1" applyAlignment="1">
      <alignment vertical="center"/>
    </xf>
    <xf numFmtId="0" fontId="2" fillId="0" borderId="0" xfId="0" applyFont="1" applyFill="1" applyAlignment="1">
      <alignment vertical="center"/>
    </xf>
    <xf numFmtId="0" fontId="2" fillId="0" borderId="0" xfId="0" applyFont="1" applyBorder="1" applyAlignment="1">
      <alignment horizontal="center" vertical="center"/>
    </xf>
    <xf numFmtId="0" fontId="2" fillId="0" borderId="0" xfId="0" applyFont="1" applyBorder="1" applyAlignment="1">
      <alignment vertical="center"/>
    </xf>
    <xf numFmtId="0" fontId="8" fillId="0" borderId="0" xfId="0" applyFont="1" applyAlignment="1">
      <alignment vertical="center"/>
    </xf>
    <xf numFmtId="0" fontId="46" fillId="0" borderId="0" xfId="0" applyFont="1" applyBorder="1" applyAlignment="1">
      <alignment vertical="center"/>
    </xf>
    <xf numFmtId="0" fontId="74" fillId="0" borderId="0" xfId="0" applyFont="1" applyBorder="1" applyAlignment="1">
      <alignment vertical="center"/>
    </xf>
    <xf numFmtId="0" fontId="26" fillId="0" borderId="0" xfId="0" applyFont="1" applyBorder="1" applyAlignment="1">
      <alignment vertical="center"/>
    </xf>
    <xf numFmtId="0" fontId="51" fillId="0" borderId="0" xfId="0" applyFont="1" applyBorder="1" applyAlignment="1">
      <alignment vertical="center" wrapText="1"/>
    </xf>
    <xf numFmtId="0" fontId="51" fillId="0" borderId="0" xfId="0" applyFont="1" applyBorder="1" applyAlignment="1">
      <alignment vertical="center"/>
    </xf>
    <xf numFmtId="0" fontId="74" fillId="0" borderId="0" xfId="0" applyFont="1" applyFill="1" applyBorder="1" applyAlignment="1">
      <alignment vertical="center"/>
    </xf>
    <xf numFmtId="0" fontId="74" fillId="0" borderId="0" xfId="0" applyFont="1" applyBorder="1" applyAlignment="1">
      <alignment horizontal="center" vertical="center"/>
    </xf>
    <xf numFmtId="0" fontId="74" fillId="0" borderId="0" xfId="0" applyFont="1" applyFill="1" applyBorder="1" applyAlignment="1">
      <alignment horizontal="center" vertical="center"/>
    </xf>
    <xf numFmtId="0" fontId="74" fillId="0" borderId="0" xfId="0" applyFont="1" applyAlignment="1">
      <alignment vertical="center"/>
    </xf>
    <xf numFmtId="0" fontId="2" fillId="0" borderId="0" xfId="0" applyFont="1" applyAlignment="1">
      <alignment vertical="center"/>
    </xf>
    <xf numFmtId="0" fontId="2" fillId="0" borderId="93" xfId="0" applyFont="1" applyFill="1" applyBorder="1" applyAlignment="1">
      <alignment vertical="center"/>
    </xf>
    <xf numFmtId="0" fontId="2" fillId="0" borderId="0" xfId="0" applyFont="1" applyFill="1" applyAlignment="1">
      <alignment vertical="center"/>
    </xf>
    <xf numFmtId="0" fontId="74" fillId="0" borderId="0" xfId="0" applyFont="1" applyAlignment="1">
      <alignment horizontal="center" vertical="center"/>
    </xf>
    <xf numFmtId="0" fontId="2" fillId="0" borderId="0" xfId="0" applyFont="1" applyAlignment="1">
      <alignment vertical="center" wrapText="1"/>
    </xf>
    <xf numFmtId="0" fontId="2" fillId="0" borderId="0" xfId="0" applyFont="1" applyAlignment="1">
      <alignment horizontal="center" vertical="center"/>
    </xf>
    <xf numFmtId="0" fontId="74" fillId="0" borderId="0" xfId="0" applyFont="1" applyAlignment="1"/>
    <xf numFmtId="0" fontId="74" fillId="0" borderId="0" xfId="0" applyFont="1" applyFill="1" applyAlignment="1"/>
    <xf numFmtId="0" fontId="2" fillId="0" borderId="0" xfId="0" applyFont="1" applyAlignment="1"/>
    <xf numFmtId="0" fontId="2" fillId="0" borderId="0" xfId="0" applyFont="1" applyBorder="1" applyAlignment="1">
      <alignment horizontal="left" vertical="center"/>
    </xf>
    <xf numFmtId="0" fontId="2" fillId="0" borderId="0" xfId="0" applyFont="1" applyBorder="1" applyAlignment="1">
      <alignment horizontal="left" vertical="center" wrapText="1"/>
    </xf>
    <xf numFmtId="0" fontId="26" fillId="0" borderId="0" xfId="0" applyFont="1" applyAlignment="1">
      <alignment horizontal="center" vertical="center"/>
    </xf>
    <xf numFmtId="0" fontId="26" fillId="0" borderId="0" xfId="0" applyFont="1" applyAlignment="1">
      <alignment horizontal="center" vertical="center"/>
    </xf>
    <xf numFmtId="0" fontId="2" fillId="0" borderId="0" xfId="0" applyFont="1" applyAlignment="1">
      <alignment vertical="center" wrapText="1"/>
    </xf>
    <xf numFmtId="0" fontId="10" fillId="0" borderId="0" xfId="0" applyFont="1" applyAlignment="1"/>
    <xf numFmtId="0" fontId="26" fillId="0" borderId="0" xfId="0" applyFont="1" applyAlignment="1"/>
    <xf numFmtId="0" fontId="2" fillId="0" borderId="0" xfId="0" applyFont="1" applyAlignment="1">
      <alignment wrapText="1"/>
    </xf>
    <xf numFmtId="0" fontId="43" fillId="0" borderId="0" xfId="0" applyFont="1" applyAlignment="1"/>
    <xf numFmtId="0" fontId="74" fillId="0" borderId="0" xfId="0" applyFont="1">
      <alignment vertical="center"/>
    </xf>
    <xf numFmtId="0" fontId="2" fillId="0" borderId="93" xfId="0" applyFont="1" applyFill="1" applyBorder="1" applyAlignment="1">
      <alignment vertical="center"/>
    </xf>
    <xf numFmtId="0" fontId="2" fillId="0" borderId="0" xfId="0" applyFont="1" applyAlignment="1">
      <alignment wrapText="1"/>
    </xf>
    <xf numFmtId="0" fontId="2" fillId="0" borderId="93" xfId="0" applyNumberFormat="1" applyFont="1" applyFill="1" applyBorder="1" applyAlignment="1">
      <alignment horizontal="left" vertical="center"/>
    </xf>
    <xf numFmtId="49" fontId="2" fillId="0" borderId="93" xfId="0" applyNumberFormat="1" applyFont="1" applyFill="1" applyBorder="1">
      <alignment vertical="center"/>
    </xf>
    <xf numFmtId="0" fontId="74" fillId="0" borderId="0" xfId="0" applyFont="1" applyAlignment="1">
      <alignment wrapText="1"/>
    </xf>
    <xf numFmtId="0" fontId="74" fillId="0" borderId="0" xfId="0" applyFont="1" applyFill="1" applyAlignment="1"/>
    <xf numFmtId="0" fontId="74" fillId="0" borderId="0" xfId="0" applyFont="1" applyAlignment="1">
      <alignment horizontal="left" vertical="center"/>
    </xf>
    <xf numFmtId="0" fontId="74" fillId="0" borderId="0" xfId="0" applyFont="1" applyAlignment="1">
      <alignment horizontal="center" vertical="center" wrapText="1"/>
    </xf>
    <xf numFmtId="0" fontId="74" fillId="0" borderId="0" xfId="0" applyFont="1" applyFill="1" applyAlignment="1">
      <alignment horizontal="center" vertical="center"/>
    </xf>
    <xf numFmtId="0" fontId="2" fillId="0" borderId="0" xfId="0" applyFont="1" applyFill="1" applyAlignment="1">
      <alignment horizontal="center" vertical="center"/>
    </xf>
    <xf numFmtId="0" fontId="74" fillId="0" borderId="0" xfId="0" applyFont="1" applyAlignment="1">
      <alignment vertical="center" wrapText="1"/>
    </xf>
    <xf numFmtId="0" fontId="2" fillId="0" borderId="93" xfId="0" applyFont="1" applyFill="1" applyBorder="1" applyAlignment="1">
      <alignment horizontal="center" vertical="center"/>
    </xf>
    <xf numFmtId="0" fontId="10" fillId="0" borderId="0" xfId="0" applyFont="1" applyFill="1">
      <alignment vertical="center"/>
    </xf>
    <xf numFmtId="0" fontId="74" fillId="0" borderId="0" xfId="0" applyFont="1" applyFill="1">
      <alignment vertical="center"/>
    </xf>
    <xf numFmtId="0" fontId="2" fillId="0" borderId="0" xfId="0" applyFont="1" applyFill="1" applyAlignment="1">
      <alignment horizontal="center"/>
    </xf>
    <xf numFmtId="0" fontId="74" fillId="0" borderId="0" xfId="0" applyFont="1" applyFill="1" applyAlignment="1">
      <alignment wrapText="1"/>
    </xf>
    <xf numFmtId="0" fontId="2" fillId="0" borderId="93" xfId="0" applyFont="1" applyFill="1" applyBorder="1">
      <alignment vertical="center"/>
    </xf>
    <xf numFmtId="0" fontId="18" fillId="0" borderId="93" xfId="0" applyFont="1" applyFill="1" applyBorder="1" applyAlignment="1">
      <alignment horizontal="center" vertical="center" wrapText="1"/>
    </xf>
    <xf numFmtId="0" fontId="26" fillId="0" borderId="0" xfId="0" applyFont="1" applyFill="1">
      <alignment vertical="center"/>
    </xf>
    <xf numFmtId="0" fontId="0" fillId="0" borderId="0" xfId="0" applyFill="1">
      <alignment vertical="center"/>
    </xf>
    <xf numFmtId="0" fontId="17" fillId="0" borderId="93" xfId="0" applyFont="1" applyFill="1" applyBorder="1">
      <alignment vertical="center"/>
    </xf>
    <xf numFmtId="0" fontId="2" fillId="0" borderId="93" xfId="0" applyFont="1" applyFill="1" applyBorder="1" applyAlignment="1">
      <alignment vertical="center" wrapText="1"/>
    </xf>
    <xf numFmtId="0" fontId="10" fillId="0" borderId="0" xfId="0" applyFont="1" applyAlignment="1">
      <alignment vertical="center"/>
    </xf>
    <xf numFmtId="0" fontId="26" fillId="0" borderId="0" xfId="0" applyFont="1" applyAlignment="1">
      <alignment vertical="center"/>
    </xf>
    <xf numFmtId="0" fontId="2" fillId="0" borderId="0" xfId="0" applyFont="1" applyAlignment="1">
      <alignment vertical="center"/>
    </xf>
    <xf numFmtId="0" fontId="2" fillId="0" borderId="0" xfId="0" applyFont="1" applyAlignment="1">
      <alignment vertical="center" wrapText="1"/>
    </xf>
    <xf numFmtId="0" fontId="0" fillId="0" borderId="0" xfId="0" applyAlignment="1">
      <alignment vertical="center"/>
    </xf>
    <xf numFmtId="0" fontId="74" fillId="0" borderId="0" xfId="0" applyFont="1" applyFill="1" applyAlignment="1">
      <alignment vertical="center"/>
    </xf>
    <xf numFmtId="0" fontId="74" fillId="0" borderId="0" xfId="0" applyFont="1" applyFill="1" applyBorder="1" applyAlignment="1">
      <alignment vertical="center"/>
    </xf>
    <xf numFmtId="0" fontId="2" fillId="0" borderId="0" xfId="0" applyFont="1" applyFill="1" applyAlignment="1">
      <alignment vertical="center" wrapText="1"/>
    </xf>
    <xf numFmtId="0" fontId="2" fillId="0" borderId="93" xfId="0" applyFont="1" applyFill="1" applyBorder="1" applyAlignment="1">
      <alignment vertical="center"/>
    </xf>
    <xf numFmtId="0" fontId="2" fillId="0" borderId="116" xfId="0" applyFont="1" applyFill="1" applyBorder="1" applyAlignment="1">
      <alignment vertical="center"/>
    </xf>
    <xf numFmtId="0" fontId="2" fillId="0" borderId="0" xfId="0" applyFont="1" applyFill="1">
      <alignment vertical="center"/>
    </xf>
    <xf numFmtId="0" fontId="2" fillId="0" borderId="0" xfId="0" applyFont="1" applyFill="1" applyAlignment="1">
      <alignment vertical="center" wrapText="1"/>
    </xf>
    <xf numFmtId="0" fontId="74" fillId="0" borderId="0" xfId="0" applyFont="1" applyFill="1">
      <alignment vertical="center"/>
    </xf>
    <xf numFmtId="0" fontId="74" fillId="0" borderId="0" xfId="0" applyFont="1" applyFill="1" applyAlignment="1">
      <alignment vertical="center" wrapText="1"/>
    </xf>
    <xf numFmtId="0" fontId="74" fillId="0" borderId="0" xfId="0" applyFont="1" applyFill="1" applyAlignment="1">
      <alignment horizontal="center" vertical="center"/>
    </xf>
    <xf numFmtId="0" fontId="74" fillId="0" borderId="0" xfId="0" applyFont="1">
      <alignment vertical="center"/>
    </xf>
    <xf numFmtId="0" fontId="26" fillId="0" borderId="0" xfId="0" applyFont="1">
      <alignment vertical="center"/>
    </xf>
    <xf numFmtId="0" fontId="2" fillId="0" borderId="0" xfId="0" applyFont="1">
      <alignment vertical="center"/>
    </xf>
    <xf numFmtId="0" fontId="2" fillId="0" borderId="0" xfId="0" applyFont="1" applyAlignment="1">
      <alignment wrapText="1"/>
    </xf>
    <xf numFmtId="9" fontId="2" fillId="0" borderId="93" xfId="0" applyNumberFormat="1" applyFont="1" applyBorder="1" applyAlignment="1">
      <alignment horizontal="center" vertical="center" wrapText="1"/>
    </xf>
    <xf numFmtId="0" fontId="25" fillId="0" borderId="0" xfId="0" applyFont="1" applyFill="1">
      <alignment vertical="center"/>
    </xf>
    <xf numFmtId="0" fontId="2" fillId="0" borderId="0" xfId="0" applyFont="1" applyAlignment="1">
      <alignment horizontal="center" vertical="center"/>
    </xf>
    <xf numFmtId="0" fontId="74" fillId="0" borderId="0" xfId="0" applyFont="1" applyAlignment="1">
      <alignment vertical="center" wrapText="1"/>
    </xf>
    <xf numFmtId="0" fontId="2" fillId="0" borderId="0" xfId="0" applyFont="1" applyFill="1" applyAlignment="1">
      <alignment vertical="center" wrapText="1"/>
    </xf>
    <xf numFmtId="0" fontId="1" fillId="0" borderId="0" xfId="0" applyFont="1" applyFill="1" applyAlignment="1">
      <alignment vertical="center" wrapText="1"/>
    </xf>
    <xf numFmtId="0" fontId="2" fillId="0" borderId="0" xfId="0" applyFont="1" applyFill="1" applyAlignment="1">
      <alignment horizontal="center" vertical="center" wrapText="1"/>
    </xf>
    <xf numFmtId="0" fontId="2" fillId="0" borderId="93" xfId="0" applyFont="1" applyFill="1" applyBorder="1" applyAlignment="1">
      <alignment vertical="center" wrapText="1"/>
    </xf>
    <xf numFmtId="0" fontId="108" fillId="0" borderId="0" xfId="0" applyFont="1" applyFill="1" applyAlignment="1">
      <alignment vertical="center" wrapText="1"/>
    </xf>
    <xf numFmtId="0" fontId="10" fillId="0" borderId="0" xfId="0" applyFont="1" applyFill="1" applyAlignment="1">
      <alignment vertical="center"/>
    </xf>
    <xf numFmtId="0" fontId="26" fillId="0" borderId="0" xfId="0" applyFont="1" applyFill="1" applyAlignment="1">
      <alignment vertical="center"/>
    </xf>
    <xf numFmtId="0" fontId="10" fillId="0" borderId="0" xfId="0" applyFont="1" applyFill="1">
      <alignment vertical="center"/>
    </xf>
    <xf numFmtId="0" fontId="26" fillId="0" borderId="0" xfId="0" applyFont="1" applyFill="1">
      <alignment vertical="center"/>
    </xf>
    <xf numFmtId="0" fontId="2" fillId="0" borderId="0" xfId="0" applyFont="1" applyFill="1">
      <alignment vertical="center"/>
    </xf>
    <xf numFmtId="0" fontId="1" fillId="0" borderId="0" xfId="0" applyFont="1" applyFill="1">
      <alignment vertical="center"/>
    </xf>
    <xf numFmtId="0" fontId="25" fillId="0" borderId="0" xfId="0" applyFont="1" applyFill="1" applyAlignment="1">
      <alignment vertical="center"/>
    </xf>
    <xf numFmtId="0" fontId="25" fillId="0" borderId="0" xfId="0" applyFont="1" applyFill="1" applyAlignment="1">
      <alignment vertical="center" wrapText="1"/>
    </xf>
    <xf numFmtId="0" fontId="74" fillId="0" borderId="0" xfId="0" applyFont="1" applyFill="1" applyAlignment="1">
      <alignment vertical="center"/>
    </xf>
    <xf numFmtId="0" fontId="74" fillId="0" borderId="0" xfId="0" applyFont="1" applyFill="1" applyAlignment="1">
      <alignment vertical="center"/>
    </xf>
    <xf numFmtId="0" fontId="1" fillId="0" borderId="0" xfId="0" applyFont="1" applyFill="1" applyAlignment="1">
      <alignment vertical="center"/>
    </xf>
    <xf numFmtId="180" fontId="42" fillId="0" borderId="8" xfId="0" applyNumberFormat="1" applyFont="1" applyBorder="1" applyAlignment="1" applyProtection="1">
      <alignment vertical="center"/>
      <protection locked="0"/>
    </xf>
    <xf numFmtId="0" fontId="2" fillId="2" borderId="70" xfId="0" applyFont="1" applyFill="1" applyBorder="1" applyAlignment="1" applyProtection="1">
      <alignment horizontal="center" vertical="center" wrapText="1"/>
      <protection locked="0"/>
    </xf>
    <xf numFmtId="180" fontId="71" fillId="0" borderId="8" xfId="0" applyNumberFormat="1" applyFont="1" applyBorder="1" applyAlignment="1" applyProtection="1">
      <alignment vertical="center"/>
      <protection locked="0"/>
    </xf>
    <xf numFmtId="180" fontId="71" fillId="0" borderId="19" xfId="0" applyNumberFormat="1" applyFont="1" applyBorder="1" applyAlignment="1" applyProtection="1">
      <alignment vertical="center"/>
      <protection locked="0"/>
    </xf>
    <xf numFmtId="180" fontId="71" fillId="3" borderId="11" xfId="0" applyNumberFormat="1" applyFont="1" applyFill="1" applyBorder="1" applyAlignment="1" applyProtection="1">
      <alignment vertical="center"/>
    </xf>
    <xf numFmtId="180" fontId="71" fillId="3" borderId="9" xfId="0" applyNumberFormat="1" applyFont="1" applyFill="1" applyBorder="1" applyAlignment="1" applyProtection="1">
      <alignment vertical="center"/>
    </xf>
    <xf numFmtId="180" fontId="71" fillId="3" borderId="8" xfId="0" applyNumberFormat="1" applyFont="1" applyFill="1" applyBorder="1" applyAlignment="1" applyProtection="1">
      <alignment vertical="center"/>
    </xf>
    <xf numFmtId="180" fontId="71" fillId="3" borderId="12" xfId="0" applyNumberFormat="1" applyFont="1" applyFill="1" applyBorder="1" applyAlignment="1" applyProtection="1">
      <alignment vertical="center"/>
    </xf>
    <xf numFmtId="180" fontId="71" fillId="3" borderId="22" xfId="0" applyNumberFormat="1" applyFont="1" applyFill="1" applyBorder="1" applyAlignment="1" applyProtection="1">
      <alignment vertical="center"/>
    </xf>
    <xf numFmtId="186" fontId="2" fillId="2" borderId="77" xfId="0" applyNumberFormat="1" applyFont="1" applyFill="1" applyBorder="1" applyAlignment="1" applyProtection="1">
      <alignment horizontal="center" vertical="center"/>
      <protection locked="0"/>
    </xf>
    <xf numFmtId="180" fontId="71" fillId="0" borderId="61" xfId="0" applyNumberFormat="1" applyFont="1" applyBorder="1" applyAlignment="1" applyProtection="1">
      <alignment vertical="center"/>
      <protection locked="0"/>
    </xf>
    <xf numFmtId="180" fontId="71" fillId="0" borderId="23" xfId="0" applyNumberFormat="1" applyFont="1" applyBorder="1" applyAlignment="1" applyProtection="1">
      <alignment vertical="center"/>
      <protection locked="0"/>
    </xf>
    <xf numFmtId="0" fontId="2" fillId="2" borderId="8" xfId="0" applyFont="1" applyFill="1" applyBorder="1" applyAlignment="1" applyProtection="1">
      <alignment horizontal="center" vertical="center"/>
      <protection locked="0"/>
    </xf>
    <xf numFmtId="0" fontId="2" fillId="2" borderId="7" xfId="0" applyFont="1" applyFill="1" applyBorder="1" applyAlignment="1" applyProtection="1">
      <alignment horizontal="center" vertical="center" wrapText="1"/>
      <protection locked="0"/>
    </xf>
    <xf numFmtId="180" fontId="42" fillId="0" borderId="8" xfId="0" applyNumberFormat="1" applyFont="1" applyFill="1" applyBorder="1" applyAlignment="1" applyProtection="1">
      <alignment vertical="center"/>
      <protection locked="0"/>
    </xf>
    <xf numFmtId="180" fontId="42" fillId="3" borderId="12" xfId="0" applyNumberFormat="1" applyFont="1" applyFill="1" applyBorder="1" applyAlignment="1" applyProtection="1">
      <alignment vertical="center"/>
    </xf>
    <xf numFmtId="180" fontId="42" fillId="3" borderId="34" xfId="0" applyNumberFormat="1" applyFont="1" applyFill="1" applyBorder="1" applyAlignment="1" applyProtection="1">
      <alignment vertical="center"/>
    </xf>
    <xf numFmtId="180" fontId="42" fillId="7" borderId="8" xfId="0" applyNumberFormat="1" applyFont="1" applyFill="1" applyBorder="1" applyAlignment="1" applyProtection="1">
      <alignment vertical="center"/>
      <protection locked="0"/>
    </xf>
    <xf numFmtId="0" fontId="74" fillId="0" borderId="0" xfId="0" applyFont="1" applyAlignment="1">
      <alignment horizontal="left" vertical="center"/>
    </xf>
    <xf numFmtId="0" fontId="74" fillId="0" borderId="0" xfId="0" applyFont="1" applyAlignment="1">
      <alignment vertical="center"/>
    </xf>
    <xf numFmtId="0" fontId="2" fillId="0" borderId="115" xfId="0" applyFont="1" applyBorder="1" applyAlignment="1">
      <alignment horizontal="center" vertical="center"/>
    </xf>
    <xf numFmtId="0" fontId="2" fillId="0" borderId="0" xfId="0" applyFont="1" applyAlignment="1">
      <alignment wrapText="1"/>
    </xf>
    <xf numFmtId="0" fontId="2" fillId="0" borderId="93" xfId="0" applyFont="1" applyFill="1" applyBorder="1" applyAlignment="1">
      <alignment horizontal="center" vertical="center"/>
    </xf>
    <xf numFmtId="0" fontId="26" fillId="0" borderId="0" xfId="0" applyFont="1" applyAlignment="1">
      <alignment vertical="center"/>
    </xf>
    <xf numFmtId="0" fontId="74" fillId="0" borderId="0" xfId="0" applyFont="1" applyFill="1" applyAlignment="1">
      <alignment vertical="center"/>
    </xf>
    <xf numFmtId="0" fontId="2" fillId="0" borderId="93" xfId="0" applyFont="1" applyBorder="1" applyAlignment="1">
      <alignment horizontal="center" vertical="center" wrapText="1"/>
    </xf>
    <xf numFmtId="0" fontId="2" fillId="0" borderId="93" xfId="0" applyFont="1" applyBorder="1" applyAlignment="1">
      <alignment horizontal="center" vertical="center"/>
    </xf>
    <xf numFmtId="0" fontId="2" fillId="3" borderId="64" xfId="0" applyFont="1" applyFill="1" applyBorder="1" applyAlignment="1" applyProtection="1">
      <alignment vertical="center"/>
    </xf>
    <xf numFmtId="0" fontId="2" fillId="3" borderId="0" xfId="0" applyFont="1" applyFill="1" applyBorder="1" applyAlignment="1" applyProtection="1">
      <alignment vertical="center"/>
    </xf>
    <xf numFmtId="0" fontId="2" fillId="3" borderId="105" xfId="0" applyFont="1" applyFill="1" applyBorder="1" applyAlignment="1" applyProtection="1">
      <alignment vertical="center"/>
    </xf>
    <xf numFmtId="0" fontId="2" fillId="3" borderId="62" xfId="0" applyFont="1" applyFill="1" applyBorder="1" applyAlignment="1" applyProtection="1">
      <alignment vertical="center"/>
    </xf>
    <xf numFmtId="0" fontId="2" fillId="3" borderId="139" xfId="0" applyFont="1" applyFill="1" applyBorder="1" applyAlignment="1" applyProtection="1">
      <alignment vertical="center"/>
    </xf>
    <xf numFmtId="0" fontId="2" fillId="3" borderId="140" xfId="0" applyFont="1" applyFill="1" applyBorder="1" applyAlignment="1" applyProtection="1">
      <alignment vertical="center"/>
    </xf>
    <xf numFmtId="180" fontId="42" fillId="0" borderId="138" xfId="0" applyNumberFormat="1" applyFont="1" applyFill="1" applyBorder="1" applyAlignment="1" applyProtection="1">
      <alignment vertical="center" shrinkToFit="1"/>
    </xf>
    <xf numFmtId="0" fontId="2" fillId="0" borderId="19" xfId="0" applyFont="1" applyFill="1" applyBorder="1" applyAlignment="1" applyProtection="1">
      <alignment vertical="center"/>
      <protection locked="0"/>
    </xf>
    <xf numFmtId="0" fontId="13" fillId="4" borderId="68" xfId="0" applyFont="1" applyFill="1" applyBorder="1" applyAlignment="1">
      <alignment horizontal="center" vertical="center"/>
    </xf>
    <xf numFmtId="0" fontId="13" fillId="4" borderId="142" xfId="0" applyFont="1" applyFill="1" applyBorder="1" applyAlignment="1">
      <alignment horizontal="center" vertical="center"/>
    </xf>
    <xf numFmtId="0" fontId="43" fillId="4" borderId="83" xfId="0" applyFont="1" applyFill="1" applyBorder="1" applyAlignment="1">
      <alignment horizontal="center" vertical="center"/>
    </xf>
    <xf numFmtId="0" fontId="43" fillId="4" borderId="8" xfId="0" applyFont="1" applyFill="1" applyBorder="1" applyAlignment="1">
      <alignment horizontal="center" vertical="center"/>
    </xf>
    <xf numFmtId="0" fontId="43" fillId="4" borderId="84" xfId="0" applyFont="1" applyFill="1" applyBorder="1" applyAlignment="1">
      <alignment horizontal="center" vertical="center"/>
    </xf>
    <xf numFmtId="0" fontId="43" fillId="4" borderId="86" xfId="0" applyFont="1" applyFill="1" applyBorder="1" applyAlignment="1">
      <alignment horizontal="center" vertical="center"/>
    </xf>
    <xf numFmtId="0" fontId="43" fillId="4" borderId="87" xfId="0" applyFont="1" applyFill="1" applyBorder="1" applyAlignment="1">
      <alignment horizontal="center" vertical="center"/>
    </xf>
    <xf numFmtId="0" fontId="43" fillId="4" borderId="88" xfId="0" applyFont="1" applyFill="1" applyBorder="1" applyAlignment="1">
      <alignment horizontal="center" vertical="center"/>
    </xf>
    <xf numFmtId="0" fontId="12" fillId="0" borderId="0" xfId="2">
      <alignment vertical="center"/>
    </xf>
    <xf numFmtId="0" fontId="12" fillId="0" borderId="0" xfId="2" applyProtection="1">
      <alignment vertical="center"/>
      <protection locked="0"/>
    </xf>
    <xf numFmtId="0" fontId="2" fillId="2" borderId="3" xfId="0" applyFont="1" applyFill="1" applyBorder="1" applyAlignment="1" applyProtection="1">
      <alignment horizontal="center" vertical="center"/>
      <protection locked="0"/>
    </xf>
    <xf numFmtId="0" fontId="2" fillId="2" borderId="3" xfId="0" applyFont="1" applyFill="1" applyBorder="1" applyAlignment="1" applyProtection="1">
      <alignment horizontal="center" vertical="center" wrapText="1"/>
      <protection locked="0"/>
    </xf>
    <xf numFmtId="180" fontId="42" fillId="0" borderId="8" xfId="0" applyNumberFormat="1" applyFont="1" applyFill="1" applyBorder="1" applyAlignment="1" applyProtection="1">
      <alignment vertical="center"/>
    </xf>
    <xf numFmtId="0" fontId="2" fillId="0" borderId="93" xfId="0" applyFont="1" applyFill="1" applyBorder="1" applyAlignment="1">
      <alignment horizontal="center" vertical="center"/>
    </xf>
    <xf numFmtId="0" fontId="2" fillId="0" borderId="93" xfId="0" applyFont="1" applyFill="1" applyBorder="1" applyAlignment="1">
      <alignment horizontal="center" vertical="center" wrapText="1"/>
    </xf>
    <xf numFmtId="180" fontId="42" fillId="3" borderId="8" xfId="0" applyNumberFormat="1" applyFont="1" applyFill="1" applyBorder="1" applyAlignment="1" applyProtection="1">
      <alignment vertical="center"/>
    </xf>
    <xf numFmtId="180" fontId="42" fillId="3" borderId="8" xfId="0" applyNumberFormat="1" applyFont="1" applyFill="1" applyBorder="1" applyAlignment="1" applyProtection="1">
      <alignment vertical="center"/>
    </xf>
    <xf numFmtId="0" fontId="0" fillId="22" borderId="0" xfId="0" applyFill="1">
      <alignment vertical="center"/>
    </xf>
    <xf numFmtId="0" fontId="2" fillId="5" borderId="60" xfId="0" applyFont="1" applyFill="1" applyBorder="1" applyAlignment="1" applyProtection="1">
      <alignment horizontal="center" vertical="center"/>
    </xf>
    <xf numFmtId="0" fontId="2" fillId="5" borderId="64" xfId="0" applyFont="1" applyFill="1" applyBorder="1" applyAlignment="1" applyProtection="1">
      <alignment horizontal="center" vertical="center"/>
    </xf>
    <xf numFmtId="179" fontId="42" fillId="0" borderId="60" xfId="0" applyNumberFormat="1" applyFont="1" applyBorder="1" applyAlignment="1" applyProtection="1">
      <alignment vertical="center" shrinkToFit="1"/>
      <protection locked="0"/>
    </xf>
    <xf numFmtId="179" fontId="42" fillId="0" borderId="68" xfId="0" applyNumberFormat="1" applyFont="1" applyBorder="1" applyAlignment="1" applyProtection="1">
      <alignment vertical="center" shrinkToFit="1"/>
      <protection locked="0"/>
    </xf>
    <xf numFmtId="179" fontId="42" fillId="3" borderId="61" xfId="0" applyNumberFormat="1" applyFont="1" applyFill="1" applyBorder="1" applyAlignment="1" applyProtection="1">
      <alignment vertical="center" shrinkToFit="1"/>
    </xf>
    <xf numFmtId="179" fontId="42" fillId="3" borderId="11" xfId="0" applyNumberFormat="1" applyFont="1" applyFill="1" applyBorder="1" applyAlignment="1" applyProtection="1">
      <alignment vertical="center" shrinkToFit="1"/>
    </xf>
    <xf numFmtId="179" fontId="42" fillId="3" borderId="23" xfId="0" applyNumberFormat="1" applyFont="1" applyFill="1" applyBorder="1" applyAlignment="1" applyProtection="1">
      <alignment vertical="center" shrinkToFit="1"/>
    </xf>
    <xf numFmtId="180" fontId="2" fillId="2" borderId="63" xfId="0" applyNumberFormat="1" applyFont="1" applyFill="1" applyBorder="1" applyAlignment="1" applyProtection="1">
      <alignment horizontal="center" vertical="center"/>
    </xf>
    <xf numFmtId="180" fontId="2" fillId="2" borderId="62" xfId="0" applyNumberFormat="1" applyFont="1" applyFill="1" applyBorder="1" applyAlignment="1" applyProtection="1">
      <alignment horizontal="center" vertical="center"/>
    </xf>
    <xf numFmtId="180" fontId="42" fillId="28" borderId="8" xfId="0" applyNumberFormat="1" applyFont="1" applyFill="1" applyBorder="1" applyAlignment="1" applyProtection="1">
      <alignment vertical="center"/>
    </xf>
    <xf numFmtId="0" fontId="0" fillId="29" borderId="0" xfId="0" applyFill="1">
      <alignment vertical="center"/>
    </xf>
    <xf numFmtId="180" fontId="2" fillId="0" borderId="8" xfId="0" applyNumberFormat="1" applyFont="1" applyBorder="1" applyProtection="1">
      <alignment vertical="center"/>
      <protection locked="0"/>
    </xf>
    <xf numFmtId="180" fontId="2" fillId="3" borderId="9" xfId="0" applyNumberFormat="1" applyFont="1" applyFill="1" applyBorder="1" applyAlignment="1" applyProtection="1">
      <alignment vertical="center"/>
    </xf>
    <xf numFmtId="180" fontId="42" fillId="0" borderId="68" xfId="0" applyNumberFormat="1" applyFont="1" applyFill="1" applyBorder="1" applyAlignment="1" applyProtection="1">
      <alignment vertical="center"/>
    </xf>
    <xf numFmtId="0" fontId="2" fillId="0" borderId="68" xfId="0" applyNumberFormat="1" applyFont="1" applyFill="1" applyBorder="1" applyAlignment="1" applyProtection="1">
      <alignment horizontal="center" vertical="center"/>
    </xf>
    <xf numFmtId="180" fontId="2" fillId="0" borderId="9" xfId="0" applyNumberFormat="1" applyFont="1" applyFill="1" applyBorder="1" applyAlignment="1" applyProtection="1">
      <alignment horizontal="center" vertical="center"/>
    </xf>
    <xf numFmtId="180" fontId="2" fillId="0" borderId="11" xfId="0" applyNumberFormat="1" applyFont="1" applyFill="1" applyBorder="1" applyAlignment="1" applyProtection="1">
      <alignment horizontal="center" vertical="center"/>
    </xf>
    <xf numFmtId="0" fontId="74" fillId="0" borderId="0" xfId="0" quotePrefix="1" applyFont="1">
      <alignment vertical="center"/>
    </xf>
    <xf numFmtId="0" fontId="2" fillId="0" borderId="0" xfId="0" applyNumberFormat="1" applyFont="1">
      <alignment vertical="center"/>
    </xf>
    <xf numFmtId="0" fontId="2" fillId="0" borderId="0" xfId="0" applyNumberFormat="1" applyFont="1" applyFill="1" applyBorder="1">
      <alignment vertical="center"/>
    </xf>
    <xf numFmtId="0" fontId="2" fillId="0" borderId="1" xfId="0" applyFont="1" applyBorder="1" applyAlignment="1" applyProtection="1">
      <alignment vertical="center" wrapText="1"/>
      <protection locked="0"/>
    </xf>
    <xf numFmtId="0" fontId="2" fillId="0" borderId="0" xfId="0" applyFont="1" applyBorder="1" applyAlignment="1">
      <alignment vertical="center" wrapText="1"/>
    </xf>
    <xf numFmtId="0" fontId="12" fillId="0" borderId="0" xfId="2" applyNumberFormat="1" applyFont="1" applyFill="1" applyBorder="1" applyProtection="1">
      <alignment vertical="center"/>
      <protection locked="0"/>
    </xf>
    <xf numFmtId="0" fontId="110" fillId="0" borderId="0" xfId="0" applyFont="1" applyAlignment="1">
      <alignment vertical="center"/>
    </xf>
    <xf numFmtId="0" fontId="0" fillId="0" borderId="0" xfId="0" applyAlignment="1">
      <alignment vertical="center"/>
    </xf>
    <xf numFmtId="0" fontId="2" fillId="2" borderId="19" xfId="0" applyFont="1" applyFill="1" applyBorder="1" applyAlignment="1" applyProtection="1">
      <alignment horizontal="center" vertical="center"/>
      <protection locked="0"/>
    </xf>
    <xf numFmtId="0" fontId="2" fillId="2" borderId="63" xfId="0" applyFont="1" applyFill="1" applyBorder="1" applyAlignment="1" applyProtection="1">
      <alignment horizontal="center" vertical="center" wrapText="1"/>
      <protection locked="0"/>
    </xf>
    <xf numFmtId="0" fontId="2" fillId="2" borderId="59" xfId="0" applyFont="1" applyFill="1" applyBorder="1" applyAlignment="1" applyProtection="1">
      <alignment horizontal="center" vertical="center" wrapText="1"/>
      <protection locked="0"/>
    </xf>
    <xf numFmtId="180" fontId="42" fillId="3" borderId="34" xfId="0" applyNumberFormat="1" applyFont="1" applyFill="1" applyBorder="1" applyAlignment="1" applyProtection="1">
      <alignment horizontal="center" vertical="center"/>
    </xf>
    <xf numFmtId="0" fontId="2" fillId="2" borderId="34" xfId="0" applyFont="1" applyFill="1" applyBorder="1" applyAlignment="1" applyProtection="1">
      <alignment horizontal="center" vertical="center" wrapText="1"/>
      <protection locked="0"/>
    </xf>
    <xf numFmtId="0" fontId="2" fillId="5" borderId="17" xfId="0" applyNumberFormat="1" applyFont="1" applyFill="1" applyBorder="1" applyAlignment="1" applyProtection="1">
      <alignment horizontal="center" vertical="center"/>
    </xf>
    <xf numFmtId="0" fontId="2" fillId="0" borderId="0" xfId="0" applyFont="1" applyBorder="1" applyAlignment="1">
      <alignment vertical="center" wrapText="1"/>
    </xf>
    <xf numFmtId="0" fontId="2" fillId="2" borderId="3" xfId="0" applyFont="1" applyFill="1" applyBorder="1" applyAlignment="1" applyProtection="1">
      <alignment horizontal="center" vertical="center"/>
      <protection locked="0"/>
    </xf>
    <xf numFmtId="0" fontId="2" fillId="2" borderId="8" xfId="0" applyFont="1" applyFill="1" applyBorder="1" applyAlignment="1" applyProtection="1">
      <alignment horizontal="center" vertical="center"/>
      <protection locked="0"/>
    </xf>
    <xf numFmtId="0" fontId="2" fillId="0" borderId="1" xfId="0" applyFont="1" applyBorder="1" applyAlignment="1" applyProtection="1">
      <alignment vertical="center" wrapText="1"/>
      <protection locked="0"/>
    </xf>
    <xf numFmtId="0" fontId="2" fillId="2" borderId="107" xfId="0" applyFont="1" applyFill="1" applyBorder="1" applyAlignment="1" applyProtection="1">
      <alignment horizontal="center" vertical="center" wrapText="1"/>
      <protection locked="0"/>
    </xf>
    <xf numFmtId="0" fontId="2" fillId="2" borderId="71" xfId="0" applyFont="1" applyFill="1" applyBorder="1" applyAlignment="1" applyProtection="1">
      <alignment horizontal="center" vertical="center" wrapText="1"/>
      <protection locked="0"/>
    </xf>
    <xf numFmtId="0" fontId="2" fillId="0" borderId="0" xfId="0" applyFont="1" applyBorder="1" applyAlignment="1">
      <alignment vertical="center" wrapText="1"/>
    </xf>
    <xf numFmtId="180" fontId="42" fillId="3" borderId="8" xfId="0" applyNumberFormat="1" applyFont="1" applyFill="1" applyBorder="1" applyAlignment="1" applyProtection="1">
      <alignment vertical="center"/>
    </xf>
    <xf numFmtId="180" fontId="42" fillId="3" borderId="34" xfId="0" applyNumberFormat="1" applyFont="1" applyFill="1" applyBorder="1" applyAlignment="1" applyProtection="1">
      <alignment vertical="center"/>
    </xf>
    <xf numFmtId="0" fontId="12" fillId="0" borderId="0" xfId="2" applyNumberFormat="1" applyFont="1" applyFill="1" applyBorder="1" applyProtection="1">
      <alignment vertical="center"/>
      <protection locked="0"/>
    </xf>
    <xf numFmtId="180" fontId="42" fillId="0" borderId="63" xfId="0" applyNumberFormat="1" applyFont="1" applyFill="1" applyBorder="1" applyAlignment="1" applyProtection="1">
      <alignment vertical="center"/>
      <protection locked="0"/>
    </xf>
    <xf numFmtId="180" fontId="42" fillId="3" borderId="59" xfId="0" applyNumberFormat="1" applyFont="1" applyFill="1" applyBorder="1" applyAlignment="1" applyProtection="1">
      <alignment horizontal="center" vertical="center"/>
    </xf>
    <xf numFmtId="180" fontId="42" fillId="0" borderId="67" xfId="0" applyNumberFormat="1" applyFont="1" applyFill="1" applyBorder="1" applyAlignment="1" applyProtection="1">
      <alignment horizontal="center" vertical="center"/>
    </xf>
    <xf numFmtId="180" fontId="42" fillId="3" borderId="78" xfId="0" applyNumberFormat="1" applyFont="1" applyFill="1" applyBorder="1" applyAlignment="1" applyProtection="1">
      <alignment horizontal="center" vertical="center"/>
    </xf>
    <xf numFmtId="180" fontId="42" fillId="0" borderId="63" xfId="0" applyNumberFormat="1" applyFont="1" applyFill="1" applyBorder="1" applyAlignment="1" applyProtection="1">
      <alignment horizontal="center" vertical="center"/>
    </xf>
    <xf numFmtId="180" fontId="42" fillId="3" borderId="63" xfId="0" applyNumberFormat="1" applyFont="1" applyFill="1" applyBorder="1" applyAlignment="1" applyProtection="1">
      <alignment horizontal="center" vertical="center"/>
    </xf>
    <xf numFmtId="180" fontId="42" fillId="3" borderId="72" xfId="0" applyNumberFormat="1" applyFont="1" applyFill="1" applyBorder="1" applyAlignment="1" applyProtection="1">
      <alignment horizontal="center" vertical="center"/>
    </xf>
    <xf numFmtId="0" fontId="2" fillId="2" borderId="69" xfId="0" applyFont="1" applyFill="1" applyBorder="1" applyAlignment="1" applyProtection="1">
      <alignment vertical="center"/>
      <protection locked="0"/>
    </xf>
    <xf numFmtId="0" fontId="2" fillId="2" borderId="89" xfId="0" applyFont="1" applyFill="1" applyBorder="1" applyAlignment="1" applyProtection="1">
      <alignment horizontal="center" vertical="center"/>
      <protection locked="0"/>
    </xf>
    <xf numFmtId="180" fontId="42" fillId="0" borderId="89" xfId="0" applyNumberFormat="1" applyFont="1" applyFill="1" applyBorder="1" applyAlignment="1" applyProtection="1">
      <alignment vertical="center"/>
    </xf>
    <xf numFmtId="180" fontId="42" fillId="0" borderId="19" xfId="0" applyNumberFormat="1" applyFont="1" applyFill="1" applyBorder="1" applyAlignment="1" applyProtection="1">
      <alignment vertical="center"/>
    </xf>
    <xf numFmtId="0" fontId="2" fillId="2" borderId="5" xfId="0" applyFont="1" applyFill="1" applyBorder="1" applyAlignment="1" applyProtection="1">
      <alignment vertical="center"/>
      <protection locked="0"/>
    </xf>
    <xf numFmtId="180" fontId="42" fillId="0" borderId="11" xfId="0" applyNumberFormat="1" applyFont="1" applyFill="1" applyBorder="1" applyAlignment="1" applyProtection="1">
      <alignment horizontal="center" vertical="center"/>
    </xf>
    <xf numFmtId="180" fontId="42" fillId="0" borderId="72" xfId="0" applyNumberFormat="1" applyFont="1" applyFill="1" applyBorder="1" applyAlignment="1" applyProtection="1">
      <alignment horizontal="center" vertical="center"/>
    </xf>
    <xf numFmtId="0" fontId="2" fillId="0" borderId="6" xfId="0" applyFont="1" applyFill="1" applyBorder="1" applyAlignment="1" applyProtection="1">
      <alignment vertical="center"/>
      <protection locked="0"/>
    </xf>
    <xf numFmtId="0" fontId="2" fillId="0" borderId="107" xfId="0" applyFont="1" applyFill="1" applyBorder="1" applyAlignment="1" applyProtection="1">
      <alignment vertical="center"/>
      <protection locked="0"/>
    </xf>
    <xf numFmtId="0" fontId="2" fillId="0" borderId="71" xfId="0" applyFont="1" applyFill="1" applyBorder="1" applyAlignment="1" applyProtection="1">
      <alignment vertical="center"/>
      <protection locked="0"/>
    </xf>
    <xf numFmtId="0" fontId="2" fillId="0" borderId="71" xfId="0" applyFont="1" applyFill="1" applyBorder="1" applyProtection="1">
      <alignment vertical="center"/>
      <protection locked="0"/>
    </xf>
    <xf numFmtId="0" fontId="2" fillId="0" borderId="10" xfId="0" applyFont="1" applyFill="1" applyBorder="1" applyProtection="1">
      <alignment vertical="center"/>
      <protection locked="0"/>
    </xf>
    <xf numFmtId="0" fontId="2" fillId="0" borderId="7" xfId="0" applyFont="1" applyFill="1" applyBorder="1" applyProtection="1">
      <alignment vertical="center"/>
      <protection locked="0"/>
    </xf>
    <xf numFmtId="0" fontId="2" fillId="0" borderId="73" xfId="0" applyFont="1" applyFill="1" applyBorder="1" applyProtection="1">
      <alignment vertical="center"/>
      <protection locked="0"/>
    </xf>
    <xf numFmtId="0" fontId="2" fillId="2" borderId="13" xfId="0" applyFont="1" applyFill="1" applyBorder="1" applyAlignment="1" applyProtection="1">
      <alignment vertical="center" wrapText="1"/>
      <protection locked="0"/>
    </xf>
    <xf numFmtId="180" fontId="42" fillId="0" borderId="64" xfId="0" applyNumberFormat="1" applyFont="1" applyBorder="1" applyAlignment="1" applyProtection="1">
      <alignment vertical="center" shrinkToFit="1"/>
      <protection locked="0"/>
    </xf>
    <xf numFmtId="185" fontId="2" fillId="4" borderId="104" xfId="0" applyNumberFormat="1" applyFont="1" applyFill="1" applyBorder="1" applyAlignment="1" applyProtection="1">
      <alignment vertical="center" shrinkToFit="1"/>
      <protection locked="0"/>
    </xf>
    <xf numFmtId="180" fontId="42" fillId="0" borderId="89" xfId="0" applyNumberFormat="1" applyFont="1" applyBorder="1" applyAlignment="1" applyProtection="1">
      <alignment vertical="center" shrinkToFit="1"/>
      <protection locked="0"/>
    </xf>
    <xf numFmtId="0" fontId="2" fillId="0" borderId="65" xfId="0" applyNumberFormat="1" applyFont="1" applyBorder="1" applyAlignment="1" applyProtection="1">
      <alignment vertical="center" shrinkToFit="1"/>
      <protection locked="0"/>
    </xf>
    <xf numFmtId="180" fontId="42" fillId="0" borderId="65" xfId="0" applyNumberFormat="1" applyFont="1" applyBorder="1" applyAlignment="1" applyProtection="1">
      <alignment vertical="center" shrinkToFit="1"/>
      <protection locked="0"/>
    </xf>
    <xf numFmtId="180" fontId="42" fillId="3" borderId="78" xfId="0" applyNumberFormat="1" applyFont="1" applyFill="1" applyBorder="1" applyAlignment="1" applyProtection="1">
      <alignment vertical="center" shrinkToFit="1"/>
    </xf>
    <xf numFmtId="185" fontId="2" fillId="4" borderId="105" xfId="0" applyNumberFormat="1" applyFont="1" applyFill="1" applyBorder="1" applyAlignment="1" applyProtection="1">
      <alignment vertical="center" shrinkToFit="1"/>
      <protection locked="0"/>
    </xf>
    <xf numFmtId="180" fontId="42" fillId="0" borderId="67" xfId="0" applyNumberFormat="1" applyFont="1" applyBorder="1" applyAlignment="1" applyProtection="1">
      <alignment vertical="center" shrinkToFit="1"/>
      <protection locked="0"/>
    </xf>
    <xf numFmtId="0" fontId="2" fillId="0" borderId="64" xfId="0" applyNumberFormat="1" applyFont="1" applyBorder="1" applyAlignment="1" applyProtection="1">
      <alignment vertical="center" shrinkToFit="1"/>
      <protection locked="0"/>
    </xf>
    <xf numFmtId="185" fontId="2" fillId="4" borderId="15" xfId="0" applyNumberFormat="1" applyFont="1" applyFill="1" applyBorder="1" applyAlignment="1" applyProtection="1">
      <alignment vertical="center" shrinkToFit="1"/>
      <protection locked="0"/>
    </xf>
    <xf numFmtId="0" fontId="2" fillId="0" borderId="23" xfId="0" applyNumberFormat="1" applyFont="1" applyBorder="1" applyAlignment="1" applyProtection="1">
      <alignment vertical="center" shrinkToFit="1"/>
      <protection locked="0"/>
    </xf>
    <xf numFmtId="0" fontId="2" fillId="3" borderId="73" xfId="0" applyFont="1" applyFill="1" applyBorder="1" applyAlignment="1" applyProtection="1">
      <alignment vertical="center" wrapText="1"/>
    </xf>
    <xf numFmtId="0" fontId="2" fillId="3" borderId="6" xfId="0" applyFont="1" applyFill="1" applyBorder="1" applyAlignment="1" applyProtection="1">
      <alignment vertical="center" wrapText="1"/>
    </xf>
    <xf numFmtId="180" fontId="42" fillId="30" borderId="67" xfId="0" applyNumberFormat="1" applyFont="1" applyFill="1" applyBorder="1" applyAlignment="1" applyProtection="1">
      <alignment vertical="center" shrinkToFit="1"/>
      <protection locked="0"/>
    </xf>
    <xf numFmtId="180" fontId="42" fillId="31" borderId="67" xfId="0" applyNumberFormat="1" applyFont="1" applyFill="1" applyBorder="1" applyAlignment="1" applyProtection="1">
      <alignment vertical="center" shrinkToFit="1"/>
    </xf>
    <xf numFmtId="0" fontId="43" fillId="4" borderId="23" xfId="0" applyFont="1" applyFill="1" applyBorder="1" applyAlignment="1">
      <alignment horizontal="center" vertical="center"/>
    </xf>
    <xf numFmtId="0" fontId="43" fillId="4" borderId="144" xfId="0" applyFont="1" applyFill="1" applyBorder="1" applyAlignment="1">
      <alignment horizontal="center" vertical="center"/>
    </xf>
    <xf numFmtId="0" fontId="13" fillId="4" borderId="15" xfId="0" applyFont="1" applyFill="1" applyBorder="1" applyAlignment="1">
      <alignment horizontal="center" vertical="center"/>
    </xf>
    <xf numFmtId="0" fontId="13" fillId="4" borderId="138" xfId="0" applyFont="1" applyFill="1" applyBorder="1" applyAlignment="1">
      <alignment horizontal="center" vertical="center"/>
    </xf>
    <xf numFmtId="0" fontId="43" fillId="4" borderId="15" xfId="0" applyFont="1" applyFill="1" applyBorder="1" applyAlignment="1">
      <alignment horizontal="center" vertical="center"/>
    </xf>
    <xf numFmtId="0" fontId="43" fillId="4" borderId="149" xfId="0" applyFont="1" applyFill="1" applyBorder="1" applyAlignment="1">
      <alignment horizontal="center" vertical="center"/>
    </xf>
    <xf numFmtId="0" fontId="50" fillId="0" borderId="0" xfId="0" applyFont="1" applyFill="1" applyBorder="1" applyAlignment="1" applyProtection="1">
      <alignment horizontal="center" vertical="center"/>
    </xf>
    <xf numFmtId="0" fontId="60" fillId="4" borderId="15" xfId="2" applyNumberFormat="1" applyFont="1" applyFill="1" applyBorder="1" applyAlignment="1" applyProtection="1">
      <alignment horizontal="center" vertical="center"/>
    </xf>
    <xf numFmtId="0" fontId="12" fillId="0" borderId="0" xfId="2" quotePrefix="1">
      <alignment vertical="center"/>
    </xf>
    <xf numFmtId="0" fontId="12" fillId="0" borderId="0" xfId="2" applyFill="1">
      <alignment vertical="center"/>
    </xf>
    <xf numFmtId="180" fontId="2" fillId="30" borderId="9" xfId="0" applyNumberFormat="1" applyFont="1" applyFill="1" applyBorder="1" applyAlignment="1" applyProtection="1">
      <alignment vertical="top" wrapText="1"/>
      <protection locked="0"/>
    </xf>
    <xf numFmtId="180" fontId="2" fillId="4" borderId="8" xfId="0" applyNumberFormat="1" applyFont="1" applyFill="1" applyBorder="1" applyProtection="1">
      <alignment vertical="center"/>
      <protection locked="0"/>
    </xf>
    <xf numFmtId="180" fontId="42" fillId="32" borderId="68" xfId="0" applyNumberFormat="1" applyFont="1" applyFill="1" applyBorder="1" applyAlignment="1" applyProtection="1">
      <alignment vertical="center"/>
    </xf>
    <xf numFmtId="180" fontId="42" fillId="3" borderId="90" xfId="0" applyNumberFormat="1" applyFont="1" applyFill="1" applyBorder="1" applyAlignment="1" applyProtection="1">
      <alignment vertical="center"/>
    </xf>
    <xf numFmtId="180" fontId="2" fillId="0" borderId="19" xfId="0" applyNumberFormat="1" applyFont="1" applyBorder="1" applyAlignment="1" applyProtection="1">
      <alignment vertical="center"/>
      <protection locked="0"/>
    </xf>
    <xf numFmtId="0" fontId="2" fillId="0" borderId="59" xfId="0" applyNumberFormat="1" applyFont="1" applyFill="1" applyBorder="1" applyAlignment="1" applyProtection="1">
      <alignment horizontal="center" vertical="center"/>
    </xf>
    <xf numFmtId="180" fontId="2" fillId="0" borderId="8" xfId="0" applyNumberFormat="1" applyFont="1" applyFill="1" applyBorder="1" applyAlignment="1" applyProtection="1">
      <alignment vertical="center"/>
    </xf>
    <xf numFmtId="0" fontId="0" fillId="30" borderId="0" xfId="0" applyFill="1" applyProtection="1">
      <alignment vertical="center"/>
      <protection locked="0"/>
    </xf>
    <xf numFmtId="0" fontId="74" fillId="30" borderId="0" xfId="0" applyFont="1" applyFill="1" applyProtection="1">
      <alignment vertical="center"/>
      <protection locked="0"/>
    </xf>
    <xf numFmtId="180" fontId="42" fillId="32" borderId="8" xfId="0" applyNumberFormat="1" applyFont="1" applyFill="1" applyBorder="1" applyAlignment="1" applyProtection="1">
      <alignment vertical="center"/>
      <protection locked="0"/>
    </xf>
    <xf numFmtId="180" fontId="2" fillId="0" borderId="8" xfId="0" applyNumberFormat="1" applyFont="1" applyBorder="1" applyAlignment="1" applyProtection="1">
      <alignment vertical="center"/>
      <protection locked="0"/>
    </xf>
    <xf numFmtId="180" fontId="2" fillId="0" borderId="8" xfId="0" applyNumberFormat="1" applyFont="1" applyFill="1" applyBorder="1" applyAlignment="1" applyProtection="1">
      <alignment vertical="center"/>
      <protection locked="0"/>
    </xf>
    <xf numFmtId="0" fontId="2" fillId="2" borderId="107" xfId="0" applyFont="1" applyFill="1" applyBorder="1" applyAlignment="1" applyProtection="1">
      <alignment vertical="center"/>
      <protection locked="0"/>
    </xf>
    <xf numFmtId="180" fontId="42" fillId="4" borderId="78" xfId="0" applyNumberFormat="1" applyFont="1" applyFill="1" applyBorder="1" applyAlignment="1" applyProtection="1">
      <alignment vertical="center"/>
      <protection locked="0"/>
    </xf>
    <xf numFmtId="0" fontId="2" fillId="2" borderId="33" xfId="0" applyFont="1" applyFill="1" applyBorder="1" applyAlignment="1" applyProtection="1">
      <alignment vertical="center"/>
      <protection locked="0"/>
    </xf>
    <xf numFmtId="180" fontId="42" fillId="4" borderId="35" xfId="0" applyNumberFormat="1" applyFont="1" applyFill="1" applyBorder="1" applyAlignment="1" applyProtection="1">
      <alignment vertical="center"/>
      <protection locked="0"/>
    </xf>
    <xf numFmtId="0" fontId="63" fillId="2" borderId="33" xfId="0" applyFont="1" applyFill="1" applyBorder="1" applyAlignment="1" applyProtection="1">
      <alignment vertical="center"/>
      <protection locked="0"/>
    </xf>
    <xf numFmtId="180" fontId="71" fillId="3" borderId="68" xfId="0" applyNumberFormat="1" applyFont="1" applyFill="1" applyBorder="1" applyAlignment="1" applyProtection="1">
      <alignment vertical="center"/>
    </xf>
    <xf numFmtId="180" fontId="71" fillId="3" borderId="74" xfId="0" applyNumberFormat="1" applyFont="1" applyFill="1" applyBorder="1" applyAlignment="1" applyProtection="1">
      <alignment vertical="center"/>
    </xf>
    <xf numFmtId="0" fontId="63" fillId="2" borderId="89" xfId="0" applyFont="1" applyFill="1" applyBorder="1" applyAlignment="1" applyProtection="1">
      <alignment horizontal="center" vertical="center"/>
      <protection locked="0"/>
    </xf>
    <xf numFmtId="180" fontId="71" fillId="0" borderId="12" xfId="0" applyNumberFormat="1" applyFont="1" applyFill="1" applyBorder="1" applyAlignment="1" applyProtection="1">
      <alignment vertical="center"/>
    </xf>
    <xf numFmtId="180" fontId="71" fillId="33" borderId="12" xfId="0" applyNumberFormat="1" applyFont="1" applyFill="1" applyBorder="1" applyAlignment="1" applyProtection="1">
      <alignment horizontal="center" vertical="center"/>
    </xf>
    <xf numFmtId="180" fontId="71" fillId="33" borderId="17" xfId="0" applyNumberFormat="1" applyFont="1" applyFill="1" applyBorder="1" applyAlignment="1" applyProtection="1">
      <alignment horizontal="center" vertical="center"/>
    </xf>
    <xf numFmtId="0" fontId="2" fillId="0" borderId="63" xfId="0" applyFont="1" applyFill="1" applyBorder="1" applyAlignment="1" applyProtection="1">
      <alignment vertical="center"/>
      <protection locked="0"/>
    </xf>
    <xf numFmtId="180" fontId="42" fillId="3" borderId="59" xfId="0" applyNumberFormat="1" applyFont="1" applyFill="1" applyBorder="1" applyAlignment="1" applyProtection="1">
      <alignment vertical="center"/>
    </xf>
    <xf numFmtId="180" fontId="71" fillId="0" borderId="68" xfId="0" applyNumberFormat="1" applyFont="1" applyFill="1" applyBorder="1" applyAlignment="1" applyProtection="1">
      <alignment vertical="center"/>
    </xf>
    <xf numFmtId="180" fontId="71" fillId="33" borderId="68" xfId="0" applyNumberFormat="1" applyFont="1" applyFill="1" applyBorder="1" applyAlignment="1" applyProtection="1">
      <alignment horizontal="center" vertical="center"/>
    </xf>
    <xf numFmtId="180" fontId="71" fillId="33" borderId="79" xfId="0" applyNumberFormat="1" applyFont="1" applyFill="1" applyBorder="1" applyAlignment="1" applyProtection="1">
      <alignment horizontal="center" vertical="center"/>
    </xf>
    <xf numFmtId="0" fontId="2" fillId="5" borderId="64" xfId="0" applyNumberFormat="1" applyFont="1" applyFill="1" applyBorder="1" applyAlignment="1" applyProtection="1">
      <alignment horizontal="center" vertical="center"/>
    </xf>
    <xf numFmtId="180" fontId="42" fillId="0" borderId="62" xfId="0" applyNumberFormat="1" applyFont="1" applyBorder="1" applyAlignment="1" applyProtection="1">
      <alignment vertical="center"/>
      <protection locked="0"/>
    </xf>
    <xf numFmtId="0" fontId="2" fillId="34" borderId="19" xfId="0" applyNumberFormat="1" applyFont="1" applyFill="1" applyBorder="1" applyAlignment="1" applyProtection="1">
      <alignment horizontal="center" vertical="center"/>
    </xf>
    <xf numFmtId="0" fontId="74" fillId="33" borderId="0" xfId="0" applyFont="1" applyFill="1" applyAlignment="1">
      <alignment vertical="center"/>
    </xf>
    <xf numFmtId="0" fontId="2" fillId="33" borderId="0" xfId="0" applyFont="1" applyFill="1" applyAlignment="1">
      <alignment vertical="center"/>
    </xf>
    <xf numFmtId="0" fontId="2" fillId="33" borderId="0" xfId="0" applyFont="1" applyFill="1" applyBorder="1" applyAlignment="1">
      <alignment vertical="center"/>
    </xf>
    <xf numFmtId="0" fontId="2" fillId="33" borderId="0" xfId="0" applyFont="1" applyFill="1" applyBorder="1" applyAlignment="1">
      <alignment horizontal="right" vertical="center"/>
    </xf>
    <xf numFmtId="0" fontId="2" fillId="33" borderId="93" xfId="0" applyFont="1" applyFill="1" applyBorder="1" applyAlignment="1">
      <alignment horizontal="center" vertical="center"/>
    </xf>
    <xf numFmtId="0" fontId="2" fillId="33" borderId="93" xfId="0" applyFont="1" applyFill="1" applyBorder="1" applyAlignment="1">
      <alignment horizontal="center" vertical="center" wrapText="1"/>
    </xf>
    <xf numFmtId="0" fontId="2" fillId="33" borderId="93" xfId="0" applyFont="1" applyFill="1" applyBorder="1" applyAlignment="1">
      <alignment horizontal="center" vertical="center"/>
    </xf>
    <xf numFmtId="0" fontId="2" fillId="33" borderId="93" xfId="0" applyFont="1" applyFill="1" applyBorder="1" applyAlignment="1">
      <alignment vertical="center"/>
    </xf>
    <xf numFmtId="0" fontId="2" fillId="33" borderId="93" xfId="0" applyFont="1" applyFill="1" applyBorder="1" applyAlignment="1">
      <alignment vertical="center" wrapText="1"/>
    </xf>
    <xf numFmtId="0" fontId="2" fillId="33" borderId="115" xfId="0" applyFont="1" applyFill="1" applyBorder="1" applyAlignment="1">
      <alignment vertical="center"/>
    </xf>
    <xf numFmtId="0" fontId="2" fillId="33" borderId="115" xfId="0" applyFont="1" applyFill="1" applyBorder="1" applyAlignment="1">
      <alignment horizontal="center" vertical="center"/>
    </xf>
    <xf numFmtId="0" fontId="2" fillId="33" borderId="115" xfId="0" applyFont="1" applyFill="1" applyBorder="1" applyAlignment="1">
      <alignment horizontal="left" vertical="center" wrapText="1"/>
    </xf>
    <xf numFmtId="0" fontId="2" fillId="33" borderId="115" xfId="0" applyFont="1" applyFill="1" applyBorder="1" applyAlignment="1">
      <alignment horizontal="center" vertical="center" wrapText="1"/>
    </xf>
    <xf numFmtId="0" fontId="2" fillId="33" borderId="93" xfId="0" applyFont="1" applyFill="1" applyBorder="1" applyAlignment="1">
      <alignment horizontal="center" vertical="center" wrapText="1"/>
    </xf>
    <xf numFmtId="0" fontId="2" fillId="33" borderId="111" xfId="0" applyFont="1" applyFill="1" applyBorder="1" applyAlignment="1">
      <alignment vertical="center"/>
    </xf>
    <xf numFmtId="0" fontId="2" fillId="33" borderId="109" xfId="0" applyFont="1" applyFill="1" applyBorder="1" applyAlignment="1">
      <alignment vertical="center"/>
    </xf>
    <xf numFmtId="0" fontId="2" fillId="33" borderId="93" xfId="0" applyFont="1" applyFill="1" applyBorder="1" applyAlignment="1">
      <alignment horizontal="left" vertical="center"/>
    </xf>
    <xf numFmtId="0" fontId="2" fillId="33" borderId="93" xfId="0" applyFont="1" applyFill="1" applyBorder="1" applyAlignment="1">
      <alignment horizontal="left" vertical="center" wrapText="1"/>
    </xf>
    <xf numFmtId="0" fontId="2" fillId="33" borderId="110" xfId="0" applyFont="1" applyFill="1" applyBorder="1" applyAlignment="1">
      <alignment vertical="center"/>
    </xf>
    <xf numFmtId="0" fontId="74" fillId="33" borderId="111" xfId="0" applyFont="1" applyFill="1" applyBorder="1" applyAlignment="1">
      <alignment vertical="center"/>
    </xf>
    <xf numFmtId="0" fontId="26" fillId="33" borderId="111" xfId="0" applyFont="1" applyFill="1" applyBorder="1" applyAlignment="1"/>
    <xf numFmtId="192" fontId="2" fillId="33" borderId="93" xfId="0" applyNumberFormat="1" applyFont="1" applyFill="1" applyBorder="1" applyAlignment="1">
      <alignment horizontal="center" vertical="center" wrapText="1"/>
    </xf>
    <xf numFmtId="0" fontId="53" fillId="33" borderId="93" xfId="0" applyFont="1" applyFill="1" applyBorder="1" applyAlignment="1">
      <alignment horizontal="center" vertical="center" wrapText="1"/>
    </xf>
    <xf numFmtId="0" fontId="53" fillId="33" borderId="115" xfId="0" applyFont="1" applyFill="1" applyBorder="1" applyAlignment="1">
      <alignment horizontal="center" vertical="center" wrapText="1"/>
    </xf>
    <xf numFmtId="0" fontId="74" fillId="33" borderId="111" xfId="0" applyFont="1" applyFill="1" applyBorder="1">
      <alignment vertical="center"/>
    </xf>
    <xf numFmtId="0" fontId="2" fillId="33" borderId="93" xfId="0" applyFont="1" applyFill="1" applyBorder="1" applyAlignment="1">
      <alignment horizontal="center" vertical="center"/>
    </xf>
    <xf numFmtId="0" fontId="2" fillId="33" borderId="93" xfId="0" applyFont="1" applyFill="1" applyBorder="1" applyAlignment="1">
      <alignment horizontal="center" vertical="center" wrapText="1"/>
    </xf>
    <xf numFmtId="0" fontId="2" fillId="33" borderId="93" xfId="0" applyFont="1" applyFill="1" applyBorder="1" applyAlignment="1">
      <alignment vertical="center"/>
    </xf>
    <xf numFmtId="0" fontId="74" fillId="33" borderId="111" xfId="0" applyFont="1" applyFill="1" applyBorder="1" applyAlignment="1"/>
    <xf numFmtId="0" fontId="74" fillId="33" borderId="110" xfId="0" applyFont="1" applyFill="1" applyBorder="1" applyAlignment="1">
      <alignment horizontal="center" vertical="center"/>
    </xf>
    <xf numFmtId="0" fontId="2" fillId="33" borderId="116" xfId="0" applyFont="1" applyFill="1" applyBorder="1" applyAlignment="1">
      <alignment horizontal="center" vertical="center"/>
    </xf>
    <xf numFmtId="0" fontId="74" fillId="33" borderId="110" xfId="0" applyFont="1" applyFill="1" applyBorder="1" applyAlignment="1">
      <alignment vertical="center"/>
    </xf>
    <xf numFmtId="0" fontId="74" fillId="33" borderId="110" xfId="0" applyFont="1" applyFill="1" applyBorder="1">
      <alignment vertical="center"/>
    </xf>
    <xf numFmtId="0" fontId="2" fillId="33" borderId="93" xfId="0" applyFont="1" applyFill="1" applyBorder="1" applyAlignment="1">
      <alignment horizontal="center" vertical="center"/>
    </xf>
    <xf numFmtId="0" fontId="2" fillId="33" borderId="93" xfId="0" applyFont="1" applyFill="1" applyBorder="1">
      <alignment vertical="center"/>
    </xf>
    <xf numFmtId="0" fontId="2" fillId="33" borderId="115" xfId="0" applyFont="1" applyFill="1" applyBorder="1" applyAlignment="1">
      <alignment horizontal="center" vertical="center"/>
    </xf>
    <xf numFmtId="0" fontId="2" fillId="33" borderId="115" xfId="0" applyFont="1" applyFill="1" applyBorder="1" applyAlignment="1">
      <alignment horizontal="left" vertical="center" wrapText="1"/>
    </xf>
    <xf numFmtId="0" fontId="2" fillId="33" borderId="93" xfId="0" applyFont="1" applyFill="1" applyBorder="1" applyAlignment="1">
      <alignment vertical="center" wrapText="1"/>
    </xf>
    <xf numFmtId="0" fontId="2" fillId="33" borderId="93" xfId="0" applyFont="1" applyFill="1" applyBorder="1" applyAlignment="1">
      <alignment horizontal="center" vertical="center"/>
    </xf>
    <xf numFmtId="0" fontId="2" fillId="33" borderId="115" xfId="0" applyFont="1" applyFill="1" applyBorder="1" applyAlignment="1">
      <alignment horizontal="center" vertical="center"/>
    </xf>
    <xf numFmtId="0" fontId="2" fillId="33" borderId="116" xfId="0" applyFont="1" applyFill="1" applyBorder="1" applyAlignment="1">
      <alignment horizontal="center" vertical="center"/>
    </xf>
    <xf numFmtId="0" fontId="2" fillId="33" borderId="115" xfId="0" applyFont="1" applyFill="1" applyBorder="1" applyAlignment="1">
      <alignment horizontal="center" vertical="center" wrapText="1"/>
    </xf>
    <xf numFmtId="0" fontId="2" fillId="33" borderId="93" xfId="0" applyFont="1" applyFill="1" applyBorder="1" applyAlignment="1">
      <alignment horizontal="center" vertical="center" wrapText="1"/>
    </xf>
    <xf numFmtId="0" fontId="2" fillId="33" borderId="110" xfId="0" applyFont="1" applyFill="1" applyBorder="1" applyAlignment="1">
      <alignment horizontal="center" vertical="center"/>
    </xf>
    <xf numFmtId="0" fontId="2" fillId="33" borderId="93" xfId="0" applyFont="1" applyFill="1" applyBorder="1" applyAlignment="1">
      <alignment horizontal="center" vertical="center"/>
    </xf>
    <xf numFmtId="0" fontId="2" fillId="33" borderId="115" xfId="0" applyFont="1" applyFill="1" applyBorder="1" applyAlignment="1">
      <alignment horizontal="center" vertical="center"/>
    </xf>
    <xf numFmtId="0" fontId="2" fillId="33" borderId="93" xfId="0" applyFont="1" applyFill="1" applyBorder="1" applyAlignment="1">
      <alignment horizontal="center" vertical="center" wrapText="1"/>
    </xf>
    <xf numFmtId="0" fontId="2" fillId="33" borderId="93" xfId="0" applyFont="1" applyFill="1" applyBorder="1" applyAlignment="1">
      <alignment horizontal="center" vertical="center" wrapText="1"/>
    </xf>
    <xf numFmtId="0" fontId="2" fillId="33" borderId="93" xfId="0" applyFont="1" applyFill="1" applyBorder="1" applyAlignment="1">
      <alignment horizontal="center" vertical="center"/>
    </xf>
    <xf numFmtId="0" fontId="2" fillId="33" borderId="115" xfId="0" applyFont="1" applyFill="1" applyBorder="1" applyAlignment="1">
      <alignment horizontal="center" vertical="center" wrapText="1"/>
    </xf>
    <xf numFmtId="0" fontId="2" fillId="33" borderId="93" xfId="0" applyFont="1" applyFill="1" applyBorder="1" applyAlignment="1">
      <alignment horizontal="center" vertical="center"/>
    </xf>
    <xf numFmtId="0" fontId="2" fillId="33" borderId="115" xfId="0" applyFont="1" applyFill="1" applyBorder="1" applyAlignment="1">
      <alignment horizontal="center" vertical="center"/>
    </xf>
    <xf numFmtId="0" fontId="74" fillId="33" borderId="110" xfId="0" applyFont="1" applyFill="1" applyBorder="1" applyAlignment="1">
      <alignment vertical="center"/>
    </xf>
    <xf numFmtId="0" fontId="2" fillId="30" borderId="93" xfId="0" applyFont="1" applyFill="1" applyBorder="1" applyAlignment="1">
      <alignment horizontal="center" vertical="center"/>
    </xf>
    <xf numFmtId="0" fontId="74" fillId="33" borderId="110" xfId="0" applyFont="1" applyFill="1" applyBorder="1" applyAlignment="1"/>
    <xf numFmtId="0" fontId="2" fillId="33" borderId="115" xfId="0" applyNumberFormat="1" applyFont="1" applyFill="1" applyBorder="1" applyAlignment="1" applyProtection="1">
      <alignment horizontal="center" vertical="center" wrapText="1"/>
    </xf>
    <xf numFmtId="0" fontId="2" fillId="33" borderId="93" xfId="0" applyNumberFormat="1" applyFont="1" applyFill="1" applyBorder="1" applyAlignment="1" applyProtection="1">
      <alignment horizontal="center" vertical="center"/>
    </xf>
    <xf numFmtId="0" fontId="2" fillId="33" borderId="93" xfId="0" applyNumberFormat="1" applyFont="1" applyFill="1" applyBorder="1" applyAlignment="1" applyProtection="1">
      <alignment horizontal="left" vertical="center"/>
    </xf>
    <xf numFmtId="0" fontId="2" fillId="33" borderId="115" xfId="0" applyNumberFormat="1" applyFont="1" applyFill="1" applyBorder="1" applyAlignment="1" applyProtection="1">
      <alignment horizontal="center" vertical="center"/>
    </xf>
    <xf numFmtId="0" fontId="2" fillId="33" borderId="115" xfId="0" applyNumberFormat="1" applyFont="1" applyFill="1" applyBorder="1" applyAlignment="1" applyProtection="1">
      <alignment horizontal="left" vertical="center" wrapText="1"/>
    </xf>
    <xf numFmtId="0" fontId="2" fillId="32" borderId="93" xfId="0" applyNumberFormat="1" applyFont="1" applyFill="1" applyBorder="1" applyAlignment="1" applyProtection="1">
      <alignment horizontal="left" vertical="center"/>
    </xf>
    <xf numFmtId="0" fontId="2" fillId="33" borderId="115" xfId="0" applyFont="1" applyFill="1" applyBorder="1" applyAlignment="1">
      <alignment horizontal="center" vertical="center" wrapText="1"/>
    </xf>
    <xf numFmtId="0" fontId="2" fillId="33" borderId="93" xfId="0" applyFont="1" applyFill="1" applyBorder="1" applyAlignment="1">
      <alignment horizontal="center" vertical="center" wrapText="1"/>
    </xf>
    <xf numFmtId="0" fontId="26" fillId="33" borderId="110" xfId="0" applyFont="1" applyFill="1" applyBorder="1">
      <alignment vertical="center"/>
    </xf>
    <xf numFmtId="0" fontId="2" fillId="33" borderId="93" xfId="0" applyFont="1" applyFill="1" applyBorder="1" applyAlignment="1">
      <alignment horizontal="center" vertical="center" wrapText="1"/>
    </xf>
    <xf numFmtId="0" fontId="2" fillId="33" borderId="115" xfId="0" applyFont="1" applyFill="1" applyBorder="1" applyAlignment="1">
      <alignment horizontal="center" vertical="center" wrapText="1"/>
    </xf>
    <xf numFmtId="0" fontId="18" fillId="33" borderId="93" xfId="0" applyFont="1" applyFill="1" applyBorder="1" applyAlignment="1">
      <alignment horizontal="center" vertical="center" wrapText="1"/>
    </xf>
    <xf numFmtId="0" fontId="2" fillId="32" borderId="93" xfId="0" applyFont="1" applyFill="1" applyBorder="1">
      <alignment vertical="center"/>
    </xf>
    <xf numFmtId="0" fontId="26" fillId="33" borderId="110" xfId="0" applyFont="1" applyFill="1" applyBorder="1" applyAlignment="1">
      <alignment vertical="center"/>
    </xf>
    <xf numFmtId="0" fontId="2" fillId="33" borderId="93" xfId="0" applyFont="1" applyFill="1" applyBorder="1" applyAlignment="1">
      <alignment vertical="center"/>
    </xf>
    <xf numFmtId="0" fontId="2" fillId="33" borderId="93" xfId="0" applyFont="1" applyFill="1" applyBorder="1" applyAlignment="1">
      <alignment horizontal="center" vertical="center"/>
    </xf>
    <xf numFmtId="0" fontId="2" fillId="33" borderId="115" xfId="0" applyFont="1" applyFill="1" applyBorder="1" applyAlignment="1">
      <alignment horizontal="center" vertical="center" wrapText="1"/>
    </xf>
    <xf numFmtId="0" fontId="53" fillId="33" borderId="93" xfId="0" applyFont="1" applyFill="1" applyBorder="1" applyAlignment="1">
      <alignment horizontal="center" vertical="center" wrapText="1"/>
    </xf>
    <xf numFmtId="0" fontId="2" fillId="32" borderId="93" xfId="0" applyFont="1" applyFill="1" applyBorder="1" applyAlignment="1">
      <alignment vertical="center"/>
    </xf>
    <xf numFmtId="0" fontId="26" fillId="33" borderId="110" xfId="0" applyFont="1" applyFill="1" applyBorder="1">
      <alignment vertical="center"/>
    </xf>
    <xf numFmtId="0" fontId="2" fillId="33" borderId="93" xfId="0" applyFont="1" applyFill="1" applyBorder="1" applyAlignment="1">
      <alignment horizontal="center" vertical="center"/>
    </xf>
    <xf numFmtId="0" fontId="2" fillId="33" borderId="93" xfId="0" applyFont="1" applyFill="1" applyBorder="1" applyAlignment="1">
      <alignment horizontal="left" vertical="center" wrapText="1"/>
    </xf>
    <xf numFmtId="9" fontId="2" fillId="33" borderId="93" xfId="0" applyNumberFormat="1" applyFont="1" applyFill="1" applyBorder="1" applyAlignment="1">
      <alignment horizontal="left" vertical="center" wrapText="1"/>
    </xf>
    <xf numFmtId="0" fontId="26" fillId="33" borderId="110" xfId="0" applyFont="1" applyFill="1" applyBorder="1" applyAlignment="1">
      <alignment horizontal="right" vertical="center"/>
    </xf>
    <xf numFmtId="0" fontId="2" fillId="33" borderId="115" xfId="0" applyFont="1" applyFill="1" applyBorder="1" applyAlignment="1">
      <alignment vertical="center" wrapText="1"/>
    </xf>
    <xf numFmtId="0" fontId="2" fillId="33" borderId="120" xfId="0" applyFont="1" applyFill="1" applyBorder="1" applyAlignment="1">
      <alignment horizontal="left" vertical="center" wrapText="1"/>
    </xf>
    <xf numFmtId="0" fontId="2" fillId="33" borderId="120" xfId="0" applyFont="1" applyFill="1" applyBorder="1" applyAlignment="1">
      <alignment horizontal="center" vertical="center" wrapText="1"/>
    </xf>
    <xf numFmtId="0" fontId="2" fillId="33" borderId="115" xfId="0" applyFont="1" applyFill="1" applyBorder="1" applyAlignment="1">
      <alignment horizontal="left" vertical="center" wrapText="1"/>
    </xf>
    <xf numFmtId="0" fontId="2" fillId="33" borderId="109" xfId="0" applyFont="1" applyFill="1" applyBorder="1" applyAlignment="1">
      <alignment horizontal="left" vertical="center"/>
    </xf>
    <xf numFmtId="0" fontId="2" fillId="33" borderId="120" xfId="0" applyFont="1" applyFill="1" applyBorder="1" applyAlignment="1">
      <alignment horizontal="left" vertical="center" wrapText="1"/>
    </xf>
    <xf numFmtId="0" fontId="2" fillId="33" borderId="109" xfId="0" applyFont="1" applyFill="1" applyBorder="1" applyAlignment="1">
      <alignment horizontal="left" vertical="center" wrapText="1"/>
    </xf>
    <xf numFmtId="0" fontId="2" fillId="33" borderId="109" xfId="0" applyFont="1" applyFill="1" applyBorder="1" applyAlignment="1">
      <alignment horizontal="left" vertical="center"/>
    </xf>
    <xf numFmtId="0" fontId="2" fillId="33" borderId="109" xfId="0" applyFont="1" applyFill="1" applyBorder="1" applyAlignment="1">
      <alignment horizontal="left" vertical="center" wrapText="1"/>
    </xf>
    <xf numFmtId="0" fontId="2" fillId="33" borderId="93" xfId="0" applyFont="1" applyFill="1" applyBorder="1" applyAlignment="1">
      <alignment horizontal="center" vertical="center" wrapText="1"/>
    </xf>
    <xf numFmtId="0" fontId="2" fillId="33" borderId="93" xfId="0" applyFont="1" applyFill="1" applyBorder="1" applyAlignment="1">
      <alignment horizontal="center" vertical="center"/>
    </xf>
    <xf numFmtId="0" fontId="2" fillId="33" borderId="115" xfId="0" applyFont="1" applyFill="1" applyBorder="1" applyAlignment="1">
      <alignment horizontal="center" vertical="center"/>
    </xf>
    <xf numFmtId="0" fontId="2" fillId="33" borderId="115" xfId="0" applyFont="1" applyFill="1" applyBorder="1" applyAlignment="1">
      <alignment horizontal="center" vertical="center" wrapText="1"/>
    </xf>
    <xf numFmtId="0" fontId="53" fillId="33" borderId="115" xfId="0" applyFont="1" applyFill="1" applyBorder="1" applyAlignment="1">
      <alignment horizontal="center" vertical="center" wrapText="1"/>
    </xf>
    <xf numFmtId="0" fontId="2" fillId="32" borderId="93" xfId="0" applyFont="1" applyFill="1" applyBorder="1" applyAlignment="1">
      <alignment horizontal="center" vertical="center"/>
    </xf>
    <xf numFmtId="0" fontId="2" fillId="33" borderId="93" xfId="0" applyFont="1" applyFill="1" applyBorder="1" applyAlignment="1">
      <alignment horizontal="left" vertical="center"/>
    </xf>
    <xf numFmtId="0" fontId="2" fillId="33" borderId="93" xfId="0" applyFont="1" applyFill="1" applyBorder="1" applyAlignment="1">
      <alignment horizontal="center" vertical="center" wrapText="1"/>
    </xf>
    <xf numFmtId="0" fontId="2" fillId="33" borderId="115" xfId="0" applyFont="1" applyFill="1" applyBorder="1" applyAlignment="1">
      <alignment horizontal="center" vertical="center" wrapText="1"/>
    </xf>
    <xf numFmtId="0" fontId="53" fillId="33" borderId="115" xfId="0" applyFont="1" applyFill="1" applyBorder="1" applyAlignment="1">
      <alignment horizontal="center" vertical="center" wrapText="1"/>
    </xf>
    <xf numFmtId="0" fontId="1" fillId="33" borderId="93" xfId="0" applyFont="1" applyFill="1" applyBorder="1" applyAlignment="1">
      <alignment vertical="center" wrapText="1"/>
    </xf>
    <xf numFmtId="0" fontId="2" fillId="30" borderId="93" xfId="0" applyFont="1" applyFill="1" applyBorder="1" applyAlignment="1">
      <alignment vertical="center" wrapText="1"/>
    </xf>
    <xf numFmtId="0" fontId="2" fillId="33" borderId="93" xfId="0" applyFont="1" applyFill="1" applyBorder="1" applyAlignment="1">
      <alignment vertical="center" wrapText="1"/>
    </xf>
    <xf numFmtId="0" fontId="2" fillId="32" borderId="93" xfId="0" applyFont="1" applyFill="1" applyBorder="1" applyAlignment="1">
      <alignment vertical="center" wrapText="1"/>
    </xf>
    <xf numFmtId="0" fontId="26" fillId="33" borderId="111" xfId="0" applyFont="1" applyFill="1" applyBorder="1" applyAlignment="1">
      <alignment horizontal="centerContinuous" vertical="center"/>
    </xf>
    <xf numFmtId="0" fontId="26" fillId="33" borderId="110" xfId="0" applyFont="1" applyFill="1" applyBorder="1" applyAlignment="1">
      <alignment horizontal="centerContinuous" vertical="center"/>
    </xf>
    <xf numFmtId="0" fontId="68" fillId="33" borderId="111" xfId="0" applyFont="1" applyFill="1" applyBorder="1" applyAlignment="1">
      <alignment horizontal="centerContinuous" vertical="center"/>
    </xf>
    <xf numFmtId="0" fontId="2" fillId="33" borderId="115" xfId="0" applyFont="1" applyFill="1" applyBorder="1" applyAlignment="1">
      <alignment horizontal="center" vertical="center"/>
    </xf>
    <xf numFmtId="0" fontId="2" fillId="30" borderId="93" xfId="0" applyFont="1" applyFill="1" applyBorder="1" applyAlignment="1">
      <alignment vertical="center"/>
    </xf>
    <xf numFmtId="0" fontId="2" fillId="32" borderId="93" xfId="0" applyFont="1" applyFill="1" applyBorder="1" applyAlignment="1">
      <alignment vertical="center"/>
    </xf>
    <xf numFmtId="0" fontId="2" fillId="33" borderId="93" xfId="0" applyFont="1" applyFill="1" applyBorder="1" applyAlignment="1">
      <alignment horizontal="center" vertical="center"/>
    </xf>
    <xf numFmtId="0" fontId="2" fillId="33" borderId="93" xfId="0" applyFont="1" applyFill="1" applyBorder="1">
      <alignment vertical="center"/>
    </xf>
    <xf numFmtId="0" fontId="26" fillId="33" borderId="110" xfId="0" applyFont="1" applyFill="1" applyBorder="1" applyAlignment="1">
      <alignment vertical="center"/>
    </xf>
    <xf numFmtId="0" fontId="2" fillId="33" borderId="93" xfId="0" applyFont="1" applyFill="1" applyBorder="1" applyAlignment="1">
      <alignment horizontal="left" vertical="center"/>
    </xf>
    <xf numFmtId="0" fontId="2" fillId="33" borderId="93" xfId="0" applyFont="1" applyFill="1" applyBorder="1" applyAlignment="1">
      <alignment vertical="center"/>
    </xf>
    <xf numFmtId="0" fontId="2" fillId="32" borderId="93" xfId="0" applyFont="1" applyFill="1" applyBorder="1" applyAlignment="1">
      <alignment horizontal="center" vertical="center" wrapText="1"/>
    </xf>
    <xf numFmtId="0" fontId="2" fillId="33" borderId="93" xfId="0" applyFont="1" applyFill="1" applyBorder="1" applyAlignment="1">
      <alignment horizontal="center" vertical="center"/>
    </xf>
    <xf numFmtId="0" fontId="26" fillId="33" borderId="122" xfId="0" applyFont="1" applyFill="1" applyBorder="1" applyAlignment="1">
      <alignment vertical="center"/>
    </xf>
    <xf numFmtId="0" fontId="7" fillId="33" borderId="110" xfId="0" applyFont="1" applyFill="1" applyBorder="1" applyAlignment="1">
      <alignment vertical="center"/>
    </xf>
    <xf numFmtId="0" fontId="2" fillId="33" borderId="110" xfId="0" applyFont="1" applyFill="1" applyBorder="1" applyAlignment="1">
      <alignment horizontal="center" vertical="center" wrapText="1"/>
    </xf>
    <xf numFmtId="0" fontId="107" fillId="33" borderId="110" xfId="0" applyFont="1" applyFill="1" applyBorder="1" applyAlignment="1">
      <alignment vertical="center"/>
    </xf>
    <xf numFmtId="0" fontId="74" fillId="33" borderId="93" xfId="0" applyFont="1" applyFill="1" applyBorder="1" applyAlignment="1">
      <alignment horizontal="center" vertical="center"/>
    </xf>
    <xf numFmtId="0" fontId="51" fillId="33" borderId="93" xfId="0" applyFont="1" applyFill="1" applyBorder="1" applyAlignment="1">
      <alignment horizontal="center" vertical="center"/>
    </xf>
    <xf numFmtId="0" fontId="51" fillId="33" borderId="93" xfId="0" applyFont="1" applyFill="1" applyBorder="1" applyAlignment="1">
      <alignment vertical="center"/>
    </xf>
    <xf numFmtId="0" fontId="51" fillId="33" borderId="115" xfId="0" applyFont="1" applyFill="1" applyBorder="1" applyAlignment="1">
      <alignment horizontal="center" vertical="center"/>
    </xf>
    <xf numFmtId="0" fontId="51" fillId="33" borderId="115" xfId="0" applyFont="1" applyFill="1" applyBorder="1" applyAlignment="1">
      <alignment horizontal="left" vertical="center" wrapText="1"/>
    </xf>
    <xf numFmtId="0" fontId="51" fillId="33" borderId="115" xfId="0" applyNumberFormat="1" applyFont="1" applyFill="1" applyBorder="1" applyAlignment="1">
      <alignment horizontal="left" vertical="center" wrapText="1"/>
    </xf>
    <xf numFmtId="0" fontId="51" fillId="33" borderId="93" xfId="0" applyNumberFormat="1" applyFont="1" applyFill="1" applyBorder="1" applyAlignment="1">
      <alignment vertical="center" wrapText="1"/>
    </xf>
    <xf numFmtId="0" fontId="19" fillId="33" borderId="93" xfId="0" applyFont="1" applyFill="1" applyBorder="1" applyAlignment="1">
      <alignment horizontal="center" vertical="center"/>
    </xf>
    <xf numFmtId="0" fontId="2" fillId="32" borderId="93" xfId="0" applyFont="1" applyFill="1" applyBorder="1" applyAlignment="1">
      <alignment vertical="center"/>
    </xf>
    <xf numFmtId="0" fontId="53" fillId="33" borderId="93" xfId="0" applyFont="1" applyFill="1" applyBorder="1" applyAlignment="1">
      <alignment vertical="center"/>
    </xf>
    <xf numFmtId="0" fontId="2" fillId="33" borderId="93" xfId="0" applyFont="1" applyFill="1" applyBorder="1" applyAlignment="1" applyProtection="1">
      <alignment vertical="center"/>
      <protection locked="0"/>
    </xf>
    <xf numFmtId="0" fontId="2" fillId="33" borderId="93" xfId="0" applyFont="1" applyFill="1" applyBorder="1" applyAlignment="1" applyProtection="1">
      <alignment horizontal="left" vertical="center" wrapText="1"/>
      <protection locked="0"/>
    </xf>
    <xf numFmtId="0" fontId="26" fillId="33" borderId="110" xfId="0" applyFont="1" applyFill="1" applyBorder="1" applyAlignment="1"/>
    <xf numFmtId="0" fontId="2" fillId="32" borderId="93" xfId="0" applyNumberFormat="1" applyFont="1" applyFill="1" applyBorder="1" applyAlignment="1">
      <alignment horizontal="left" vertical="center"/>
    </xf>
    <xf numFmtId="0" fontId="26" fillId="33" borderId="110" xfId="0" applyFont="1" applyFill="1" applyBorder="1" applyAlignment="1">
      <alignment vertical="center"/>
    </xf>
    <xf numFmtId="0" fontId="2" fillId="33" borderId="115" xfId="0" applyFont="1" applyFill="1" applyBorder="1" applyAlignment="1">
      <alignment horizontal="center" vertical="center" wrapText="1"/>
    </xf>
    <xf numFmtId="0" fontId="74" fillId="33" borderId="0" xfId="0" applyFont="1" applyFill="1" applyAlignment="1">
      <alignment vertical="center"/>
    </xf>
    <xf numFmtId="0" fontId="2" fillId="33" borderId="93" xfId="0" applyFont="1" applyFill="1" applyBorder="1" applyAlignment="1" applyProtection="1">
      <alignment horizontal="left" vertical="center" wrapText="1"/>
      <protection hidden="1"/>
    </xf>
    <xf numFmtId="0" fontId="74" fillId="33" borderId="93" xfId="0" applyFont="1" applyFill="1" applyBorder="1" applyAlignment="1">
      <alignment horizontal="center" vertical="center"/>
    </xf>
    <xf numFmtId="0" fontId="2" fillId="33" borderId="109" xfId="0" applyFont="1" applyFill="1" applyBorder="1" applyAlignment="1" applyProtection="1">
      <alignment horizontal="left" vertical="center" wrapText="1"/>
      <protection hidden="1"/>
    </xf>
    <xf numFmtId="0" fontId="74" fillId="33" borderId="93" xfId="0" applyFont="1" applyFill="1" applyBorder="1" applyAlignment="1">
      <alignment vertical="center"/>
    </xf>
    <xf numFmtId="0" fontId="2" fillId="33" borderId="93" xfId="0" applyFont="1" applyFill="1" applyBorder="1" applyAlignment="1">
      <alignment horizontal="left" vertical="center" wrapText="1"/>
    </xf>
    <xf numFmtId="0" fontId="74" fillId="33" borderId="122" xfId="0" applyFont="1" applyFill="1" applyBorder="1" applyAlignment="1">
      <alignment vertical="center"/>
    </xf>
    <xf numFmtId="0" fontId="2" fillId="33" borderId="110" xfId="0" applyFont="1" applyFill="1" applyBorder="1">
      <alignment vertical="center"/>
    </xf>
    <xf numFmtId="0" fontId="2" fillId="33" borderId="93" xfId="0" applyFont="1" applyFill="1" applyBorder="1">
      <alignment vertical="center"/>
    </xf>
    <xf numFmtId="0" fontId="2" fillId="33" borderId="93" xfId="0" applyFont="1" applyFill="1" applyBorder="1" applyAlignment="1">
      <alignment horizontal="left" vertical="center"/>
    </xf>
    <xf numFmtId="0" fontId="2" fillId="33" borderId="110" xfId="0" applyFont="1" applyFill="1" applyBorder="1" applyAlignment="1">
      <alignment vertical="center"/>
    </xf>
    <xf numFmtId="0" fontId="0" fillId="5" borderId="122" xfId="0" applyFont="1" applyFill="1" applyBorder="1" applyAlignment="1" applyProtection="1">
      <alignment vertical="center"/>
    </xf>
    <xf numFmtId="0" fontId="0" fillId="2" borderId="121" xfId="0" applyFont="1" applyFill="1" applyBorder="1" applyAlignment="1" applyProtection="1">
      <alignment horizontal="right" vertical="center"/>
      <protection locked="0"/>
    </xf>
    <xf numFmtId="0" fontId="2" fillId="2" borderId="31" xfId="0" applyFont="1" applyFill="1" applyBorder="1" applyAlignment="1" applyProtection="1">
      <alignment horizontal="justify" vertical="center" wrapText="1"/>
      <protection locked="0"/>
    </xf>
    <xf numFmtId="0" fontId="0" fillId="2" borderId="93" xfId="0" applyFont="1" applyFill="1" applyBorder="1" applyAlignment="1" applyProtection="1">
      <alignment horizontal="right" vertical="center"/>
      <protection locked="0"/>
    </xf>
    <xf numFmtId="0" fontId="2" fillId="33" borderId="93" xfId="0" applyFont="1" applyFill="1" applyBorder="1" applyAlignment="1">
      <alignment horizontal="center" vertical="center"/>
    </xf>
    <xf numFmtId="0" fontId="2" fillId="33" borderId="93" xfId="0" applyFont="1" applyFill="1" applyBorder="1" applyAlignment="1">
      <alignment horizontal="center" vertical="center" wrapText="1"/>
    </xf>
    <xf numFmtId="0" fontId="2" fillId="33" borderId="93" xfId="0" applyFont="1" applyFill="1" applyBorder="1" applyAlignment="1">
      <alignment horizontal="center" vertical="center"/>
    </xf>
    <xf numFmtId="0" fontId="2" fillId="33" borderId="115" xfId="0" applyFont="1" applyFill="1" applyBorder="1" applyAlignment="1">
      <alignment horizontal="center" vertical="center"/>
    </xf>
    <xf numFmtId="0" fontId="2" fillId="33" borderId="93" xfId="0" applyFont="1" applyFill="1" applyBorder="1" applyAlignment="1">
      <alignment horizontal="center" vertical="center" wrapText="1"/>
    </xf>
    <xf numFmtId="0" fontId="2" fillId="33" borderId="115" xfId="0" applyFont="1" applyFill="1" applyBorder="1" applyAlignment="1">
      <alignment horizontal="center" vertical="center" wrapText="1"/>
    </xf>
    <xf numFmtId="0" fontId="2" fillId="33" borderId="93" xfId="0" applyFont="1" applyFill="1" applyBorder="1" applyAlignment="1">
      <alignment horizontal="center" vertical="center" wrapText="1"/>
    </xf>
    <xf numFmtId="0" fontId="2" fillId="33" borderId="93" xfId="0" applyFont="1" applyFill="1" applyBorder="1" applyAlignment="1">
      <alignment horizontal="center" vertical="center"/>
    </xf>
    <xf numFmtId="0" fontId="74" fillId="33" borderId="93" xfId="0" applyFont="1" applyFill="1" applyBorder="1" applyAlignment="1">
      <alignment horizontal="center" vertical="center"/>
    </xf>
    <xf numFmtId="0" fontId="2" fillId="33" borderId="93" xfId="0" applyFont="1" applyFill="1" applyBorder="1" applyAlignment="1">
      <alignment horizontal="center" vertical="center"/>
    </xf>
    <xf numFmtId="0" fontId="2" fillId="33" borderId="93" xfId="0" applyFont="1" applyFill="1" applyBorder="1" applyAlignment="1">
      <alignment horizontal="center" vertical="center" wrapText="1"/>
    </xf>
    <xf numFmtId="0" fontId="2" fillId="33" borderId="93" xfId="0" applyFont="1" applyFill="1" applyBorder="1" applyAlignment="1">
      <alignment horizontal="center" vertical="center" wrapText="1"/>
    </xf>
    <xf numFmtId="0" fontId="2" fillId="33" borderId="93" xfId="0" applyFont="1" applyFill="1" applyBorder="1" applyAlignment="1">
      <alignment horizontal="center" vertical="center"/>
    </xf>
    <xf numFmtId="0" fontId="51" fillId="33" borderId="93" xfId="0" applyFont="1" applyFill="1" applyBorder="1" applyAlignment="1">
      <alignment horizontal="center" vertical="center"/>
    </xf>
    <xf numFmtId="0" fontId="74" fillId="33" borderId="93" xfId="0" applyFont="1" applyFill="1" applyBorder="1" applyAlignment="1">
      <alignment horizontal="center" vertical="center"/>
    </xf>
    <xf numFmtId="0" fontId="2" fillId="33" borderId="115" xfId="0" applyFont="1" applyFill="1" applyBorder="1" applyAlignment="1">
      <alignment horizontal="center" vertical="center" wrapText="1"/>
    </xf>
    <xf numFmtId="0" fontId="74" fillId="33" borderId="93" xfId="0" applyFont="1" applyFill="1" applyBorder="1" applyAlignment="1">
      <alignment vertical="center"/>
    </xf>
    <xf numFmtId="0" fontId="74" fillId="33" borderId="93" xfId="0" applyFont="1" applyFill="1" applyBorder="1" applyAlignment="1"/>
    <xf numFmtId="0" fontId="2" fillId="33" borderId="93" xfId="0" applyFont="1" applyFill="1" applyBorder="1" applyAlignment="1">
      <alignment vertical="center" wrapText="1"/>
    </xf>
    <xf numFmtId="0" fontId="2" fillId="33" borderId="93" xfId="0" applyFont="1" applyFill="1" applyBorder="1" applyAlignment="1"/>
    <xf numFmtId="0" fontId="18" fillId="33" borderId="93" xfId="0" applyFont="1" applyFill="1" applyBorder="1" applyAlignment="1"/>
    <xf numFmtId="0" fontId="2" fillId="33" borderId="93" xfId="0" applyFont="1" applyFill="1" applyBorder="1" applyAlignment="1">
      <alignment wrapText="1"/>
    </xf>
    <xf numFmtId="0" fontId="74" fillId="33" borderId="93" xfId="0" applyFont="1" applyFill="1" applyBorder="1">
      <alignment vertical="center"/>
    </xf>
    <xf numFmtId="0" fontId="43" fillId="33" borderId="93" xfId="0" applyFont="1" applyFill="1" applyBorder="1" applyAlignment="1"/>
    <xf numFmtId="0" fontId="2" fillId="33" borderId="115" xfId="0" applyFont="1" applyFill="1" applyBorder="1" applyAlignment="1">
      <alignment wrapText="1"/>
    </xf>
    <xf numFmtId="0" fontId="2" fillId="33" borderId="93" xfId="0" applyFont="1" applyFill="1" applyBorder="1">
      <alignment vertical="center"/>
    </xf>
    <xf numFmtId="0" fontId="2" fillId="33" borderId="93" xfId="0" applyFont="1" applyFill="1" applyBorder="1" applyAlignment="1">
      <alignment wrapText="1"/>
    </xf>
    <xf numFmtId="0" fontId="74" fillId="33" borderId="93" xfId="0" applyFont="1" applyFill="1" applyBorder="1">
      <alignment vertical="center"/>
    </xf>
    <xf numFmtId="0" fontId="0" fillId="33" borderId="93" xfId="0" applyFill="1" applyBorder="1">
      <alignment vertical="center"/>
    </xf>
    <xf numFmtId="0" fontId="2" fillId="33" borderId="115" xfId="0" applyFont="1" applyFill="1" applyBorder="1" applyAlignment="1">
      <alignment vertical="center"/>
    </xf>
    <xf numFmtId="176" fontId="2" fillId="33" borderId="93" xfId="0" applyNumberFormat="1" applyFont="1" applyFill="1" applyBorder="1" applyAlignment="1">
      <alignment horizontal="center" vertical="center"/>
    </xf>
    <xf numFmtId="0" fontId="2" fillId="33" borderId="93" xfId="0" applyFont="1" applyFill="1" applyBorder="1">
      <alignment vertical="center"/>
    </xf>
    <xf numFmtId="0" fontId="53" fillId="33" borderId="93" xfId="0" applyFont="1" applyFill="1" applyBorder="1" applyAlignment="1">
      <alignment wrapText="1"/>
    </xf>
    <xf numFmtId="0" fontId="2" fillId="33" borderId="93" xfId="0" applyFont="1" applyFill="1" applyBorder="1" applyAlignment="1">
      <alignment wrapText="1"/>
    </xf>
    <xf numFmtId="0" fontId="74" fillId="33" borderId="115" xfId="0" applyFont="1" applyFill="1" applyBorder="1" applyAlignment="1">
      <alignment horizontal="center" vertical="center"/>
    </xf>
    <xf numFmtId="0" fontId="53" fillId="33" borderId="93" xfId="0" applyFont="1" applyFill="1" applyBorder="1" applyAlignment="1">
      <alignment horizontal="left" vertical="center" wrapText="1"/>
    </xf>
    <xf numFmtId="0" fontId="2" fillId="33" borderId="93" xfId="0" applyFont="1" applyFill="1" applyBorder="1" applyAlignment="1">
      <alignment vertical="center" wrapText="1"/>
    </xf>
    <xf numFmtId="0" fontId="3" fillId="33" borderId="93" xfId="0" applyFont="1" applyFill="1" applyBorder="1" applyAlignment="1">
      <alignment vertical="center" wrapText="1"/>
    </xf>
    <xf numFmtId="0" fontId="51" fillId="33" borderId="118" xfId="0" applyFont="1" applyFill="1" applyBorder="1" applyAlignment="1">
      <alignment horizontal="center" vertical="center"/>
    </xf>
    <xf numFmtId="0" fontId="19" fillId="33" borderId="93" xfId="0" applyFont="1" applyFill="1" applyBorder="1" applyAlignment="1">
      <alignment horizontal="center" vertical="center" wrapText="1"/>
    </xf>
    <xf numFmtId="0" fontId="74" fillId="33" borderId="0" xfId="0" applyFont="1" applyFill="1" applyAlignment="1"/>
    <xf numFmtId="0" fontId="18" fillId="33" borderId="93" xfId="0" applyFont="1" applyFill="1" applyBorder="1" applyAlignment="1">
      <alignment horizontal="center" vertical="center"/>
    </xf>
    <xf numFmtId="0" fontId="2" fillId="33" borderId="93" xfId="0" applyFont="1" applyFill="1" applyBorder="1" applyAlignment="1" applyProtection="1">
      <alignment horizontal="center" vertical="center"/>
      <protection locked="0"/>
    </xf>
    <xf numFmtId="0" fontId="2" fillId="33" borderId="93" xfId="0" applyNumberFormat="1" applyFont="1" applyFill="1" applyBorder="1" applyAlignment="1">
      <alignment horizontal="left" vertical="center"/>
    </xf>
    <xf numFmtId="0" fontId="13" fillId="33" borderId="93" xfId="0" applyFont="1" applyFill="1" applyBorder="1" applyAlignment="1">
      <alignment vertical="center" wrapText="1"/>
    </xf>
    <xf numFmtId="0" fontId="2" fillId="35" borderId="93" xfId="0" applyFont="1" applyFill="1" applyBorder="1" applyAlignment="1">
      <alignment horizontal="center" vertical="center"/>
    </xf>
    <xf numFmtId="0" fontId="74" fillId="0" borderId="0" xfId="0" applyFont="1" applyAlignment="1">
      <alignment vertical="center"/>
    </xf>
    <xf numFmtId="0" fontId="1" fillId="0" borderId="0" xfId="0" applyFont="1" applyFill="1" applyAlignment="1">
      <alignment vertical="center" wrapText="1"/>
    </xf>
    <xf numFmtId="0" fontId="74" fillId="0" borderId="0" xfId="0" applyFont="1" applyAlignment="1">
      <alignment vertical="center"/>
    </xf>
    <xf numFmtId="0" fontId="2" fillId="33" borderId="115" xfId="0" applyFont="1" applyFill="1" applyBorder="1" applyAlignment="1">
      <alignment horizontal="center" vertical="center" wrapText="1"/>
    </xf>
    <xf numFmtId="0" fontId="2" fillId="33" borderId="93" xfId="0" applyFont="1" applyFill="1" applyBorder="1" applyAlignment="1">
      <alignment horizontal="center" vertical="center"/>
    </xf>
    <xf numFmtId="0" fontId="1" fillId="0" borderId="0" xfId="0" applyFont="1" applyFill="1" applyAlignment="1">
      <alignment vertical="center" wrapText="1"/>
    </xf>
    <xf numFmtId="0" fontId="51" fillId="0" borderId="93" xfId="0" applyFont="1" applyFill="1" applyBorder="1" applyAlignment="1">
      <alignment horizontal="left" vertical="center"/>
    </xf>
    <xf numFmtId="0" fontId="2" fillId="0" borderId="0" xfId="0" applyFont="1" applyAlignment="1">
      <alignment vertical="center"/>
    </xf>
    <xf numFmtId="180" fontId="42" fillId="0" borderId="8" xfId="0" applyNumberFormat="1" applyFont="1" applyBorder="1" applyAlignment="1" applyProtection="1">
      <alignment vertical="center"/>
      <protection locked="0"/>
    </xf>
    <xf numFmtId="0" fontId="74" fillId="33" borderId="0" xfId="0" applyFont="1" applyFill="1">
      <alignment vertical="center"/>
    </xf>
    <xf numFmtId="0" fontId="2" fillId="33" borderId="0" xfId="0" applyFont="1" applyFill="1" applyAlignment="1">
      <alignment vertical="center"/>
    </xf>
    <xf numFmtId="0" fontId="8" fillId="33" borderId="0" xfId="0" applyFont="1" applyFill="1" applyAlignment="1">
      <alignment vertical="center"/>
    </xf>
    <xf numFmtId="0" fontId="46" fillId="33" borderId="0" xfId="0" applyFont="1" applyFill="1" applyBorder="1" applyAlignment="1">
      <alignment vertical="center"/>
    </xf>
    <xf numFmtId="0" fontId="74" fillId="33" borderId="0" xfId="0" applyFont="1" applyFill="1" applyAlignment="1">
      <alignment horizontal="center" vertical="center"/>
    </xf>
    <xf numFmtId="0" fontId="74" fillId="33" borderId="0" xfId="0" applyFont="1" applyFill="1" applyBorder="1" applyAlignment="1">
      <alignment vertical="center"/>
    </xf>
    <xf numFmtId="0" fontId="2" fillId="33" borderId="0" xfId="0" applyFont="1" applyFill="1" applyAlignment="1">
      <alignment vertical="center"/>
    </xf>
    <xf numFmtId="0" fontId="10" fillId="33" borderId="0" xfId="0" applyFont="1" applyFill="1" applyAlignment="1"/>
    <xf numFmtId="0" fontId="74" fillId="33" borderId="0" xfId="0" applyFont="1" applyFill="1">
      <alignment vertical="center"/>
    </xf>
    <xf numFmtId="0" fontId="74" fillId="33" borderId="0" xfId="0" applyFont="1" applyFill="1" applyAlignment="1"/>
    <xf numFmtId="0" fontId="74" fillId="33" borderId="0" xfId="0" applyFont="1" applyFill="1" applyAlignment="1">
      <alignment horizontal="left" vertical="center"/>
    </xf>
    <xf numFmtId="0" fontId="10" fillId="33" borderId="0" xfId="0" applyFont="1" applyFill="1" applyAlignment="1">
      <alignment vertical="center"/>
    </xf>
    <xf numFmtId="0" fontId="74" fillId="33" borderId="0" xfId="0" applyFont="1" applyFill="1">
      <alignment vertical="center"/>
    </xf>
    <xf numFmtId="0" fontId="0" fillId="33" borderId="0" xfId="0" applyFill="1">
      <alignment vertical="center"/>
    </xf>
    <xf numFmtId="0" fontId="10" fillId="33" borderId="0" xfId="0" applyFont="1" applyFill="1">
      <alignment vertical="center"/>
    </xf>
    <xf numFmtId="0" fontId="10" fillId="33" borderId="0" xfId="0" applyFont="1" applyFill="1" applyAlignment="1">
      <alignment vertical="center"/>
    </xf>
    <xf numFmtId="0" fontId="10" fillId="33" borderId="0" xfId="0" applyFont="1" applyFill="1" applyAlignment="1">
      <alignment vertical="center"/>
    </xf>
    <xf numFmtId="9" fontId="2" fillId="0" borderId="93" xfId="0" applyNumberFormat="1" applyFont="1" applyFill="1" applyBorder="1" applyAlignment="1">
      <alignment horizontal="left" vertical="center"/>
    </xf>
    <xf numFmtId="0" fontId="2" fillId="33" borderId="0" xfId="0" applyFont="1" applyFill="1" applyAlignment="1">
      <alignment horizontal="center" vertical="center"/>
    </xf>
    <xf numFmtId="0" fontId="0" fillId="33" borderId="0" xfId="0" applyFont="1" applyFill="1" applyAlignment="1">
      <alignment vertical="center"/>
    </xf>
    <xf numFmtId="0" fontId="2" fillId="36" borderId="93" xfId="0" applyFont="1" applyFill="1" applyBorder="1" applyAlignment="1">
      <alignment vertical="center"/>
    </xf>
    <xf numFmtId="0" fontId="2" fillId="36" borderId="115" xfId="0" applyFont="1" applyFill="1" applyBorder="1" applyAlignment="1">
      <alignment horizontal="center" vertical="center"/>
    </xf>
    <xf numFmtId="0" fontId="2" fillId="3" borderId="8" xfId="0" applyFont="1" applyFill="1" applyBorder="1" applyAlignment="1" applyProtection="1">
      <alignment vertical="center"/>
    </xf>
    <xf numFmtId="0" fontId="51" fillId="33" borderId="93" xfId="0" applyFont="1" applyFill="1" applyBorder="1" applyAlignment="1">
      <alignment horizontal="center" vertical="center"/>
    </xf>
    <xf numFmtId="0" fontId="2" fillId="30" borderId="8" xfId="0" applyFont="1" applyFill="1" applyBorder="1" applyAlignment="1" applyProtection="1">
      <alignment vertical="center"/>
      <protection locked="0"/>
    </xf>
    <xf numFmtId="0" fontId="12" fillId="0" borderId="0" xfId="2" applyProtection="1">
      <alignment vertical="center"/>
      <protection locked="0"/>
    </xf>
    <xf numFmtId="0" fontId="2" fillId="33" borderId="115" xfId="0" applyFont="1" applyFill="1" applyBorder="1" applyAlignment="1">
      <alignment horizontal="center" vertical="center"/>
    </xf>
    <xf numFmtId="0" fontId="2" fillId="33" borderId="115" xfId="0" applyFont="1" applyFill="1" applyBorder="1" applyAlignment="1">
      <alignment horizontal="center" vertical="center" wrapText="1"/>
    </xf>
    <xf numFmtId="0" fontId="0" fillId="0" borderId="0" xfId="0" applyAlignment="1">
      <alignment vertical="center"/>
    </xf>
    <xf numFmtId="0" fontId="2" fillId="33" borderId="109" xfId="0" applyFont="1" applyFill="1" applyBorder="1" applyAlignment="1">
      <alignment horizontal="center" vertical="center" wrapText="1"/>
    </xf>
    <xf numFmtId="0" fontId="2" fillId="33" borderId="109" xfId="0" applyFont="1" applyFill="1" applyBorder="1" applyAlignment="1">
      <alignment horizontal="left" vertical="center"/>
    </xf>
    <xf numFmtId="0" fontId="2" fillId="0" borderId="8" xfId="0" applyFont="1" applyFill="1" applyBorder="1" applyAlignment="1" applyProtection="1">
      <alignment horizontal="left" vertical="center" indent="1"/>
    </xf>
    <xf numFmtId="0" fontId="110" fillId="0" borderId="0" xfId="0" applyFont="1" applyAlignment="1" applyProtection="1">
      <alignment vertical="center"/>
      <protection locked="0" hidden="1"/>
    </xf>
    <xf numFmtId="180" fontId="51" fillId="30" borderId="93" xfId="4" applyFont="1" applyFill="1" applyBorder="1">
      <alignment vertical="center"/>
    </xf>
    <xf numFmtId="0" fontId="111" fillId="26" borderId="0" xfId="6" applyNumberFormat="1" applyFont="1" applyFill="1" applyBorder="1" applyAlignment="1">
      <alignment horizontal="left" vertical="center"/>
    </xf>
    <xf numFmtId="0" fontId="111" fillId="0" borderId="0" xfId="6" applyNumberFormat="1" applyFont="1" applyFill="1" applyBorder="1" applyAlignment="1">
      <alignment horizontal="left" vertical="center"/>
    </xf>
    <xf numFmtId="0" fontId="2" fillId="33" borderId="109" xfId="0" applyFont="1" applyFill="1" applyBorder="1" applyAlignment="1">
      <alignment horizontal="left" vertical="center" wrapText="1"/>
    </xf>
    <xf numFmtId="0" fontId="2" fillId="33" borderId="122" xfId="0" applyFont="1" applyFill="1" applyBorder="1" applyAlignment="1">
      <alignment horizontal="center" vertical="center"/>
    </xf>
    <xf numFmtId="0" fontId="2" fillId="35" borderId="109" xfId="0" applyFont="1" applyFill="1" applyBorder="1" applyAlignment="1">
      <alignment horizontal="center" vertical="center"/>
    </xf>
    <xf numFmtId="0" fontId="43" fillId="4" borderId="141" xfId="0" applyFont="1" applyFill="1" applyBorder="1" applyAlignment="1">
      <alignment horizontal="center" vertical="center"/>
    </xf>
    <xf numFmtId="0" fontId="43" fillId="4" borderId="68" xfId="0" applyFont="1" applyFill="1" applyBorder="1" applyAlignment="1">
      <alignment horizontal="center" vertical="center"/>
    </xf>
    <xf numFmtId="0" fontId="43" fillId="4" borderId="79" xfId="0" applyFont="1" applyFill="1" applyBorder="1" applyAlignment="1">
      <alignment horizontal="center" vertical="center"/>
    </xf>
    <xf numFmtId="0" fontId="43" fillId="4" borderId="138" xfId="0" applyFont="1" applyFill="1" applyBorder="1" applyAlignment="1">
      <alignment horizontal="center" vertical="center"/>
    </xf>
    <xf numFmtId="0" fontId="43" fillId="4" borderId="142" xfId="0" applyFont="1" applyFill="1" applyBorder="1" applyAlignment="1">
      <alignment horizontal="center" vertical="center"/>
    </xf>
    <xf numFmtId="180" fontId="74" fillId="33" borderId="93" xfId="4" applyFill="1" applyBorder="1" applyAlignment="1">
      <alignment horizontal="center" vertical="center"/>
    </xf>
    <xf numFmtId="180" fontId="51" fillId="33" borderId="93" xfId="4" applyFont="1" applyFill="1" applyBorder="1" applyAlignment="1">
      <alignment horizontal="center" vertical="center"/>
    </xf>
    <xf numFmtId="180" fontId="51" fillId="33" borderId="115" xfId="4" applyFont="1" applyFill="1" applyBorder="1" applyAlignment="1">
      <alignment horizontal="center" vertical="center"/>
    </xf>
    <xf numFmtId="0" fontId="51" fillId="30" borderId="93" xfId="0" applyNumberFormat="1" applyFont="1" applyFill="1" applyBorder="1" applyAlignment="1" applyProtection="1">
      <alignment horizontal="center" vertical="center"/>
    </xf>
    <xf numFmtId="0" fontId="2" fillId="0" borderId="9" xfId="0" applyFont="1" applyFill="1" applyBorder="1" applyAlignment="1" applyProtection="1">
      <alignment vertical="center" wrapText="1"/>
      <protection locked="0"/>
    </xf>
    <xf numFmtId="180" fontId="42" fillId="0" borderId="8" xfId="0" applyNumberFormat="1" applyFont="1" applyBorder="1" applyAlignment="1" applyProtection="1">
      <alignment vertical="center"/>
      <protection locked="0"/>
    </xf>
    <xf numFmtId="0" fontId="12" fillId="0" borderId="0" xfId="2" applyFill="1" applyProtection="1">
      <alignment vertical="center"/>
      <protection locked="0"/>
    </xf>
    <xf numFmtId="0" fontId="89" fillId="0" borderId="0" xfId="0" applyFont="1" applyFill="1">
      <alignment vertical="center"/>
    </xf>
    <xf numFmtId="0" fontId="2" fillId="0" borderId="8" xfId="0" applyFont="1" applyFill="1" applyBorder="1" applyProtection="1">
      <alignment vertical="center"/>
    </xf>
    <xf numFmtId="0" fontId="0" fillId="2" borderId="99" xfId="0" applyFill="1" applyBorder="1" applyAlignment="1">
      <alignment horizontal="center" vertical="center"/>
    </xf>
    <xf numFmtId="180" fontId="42" fillId="0" borderId="64" xfId="0" applyNumberFormat="1" applyFont="1" applyBorder="1">
      <alignment vertical="center"/>
    </xf>
    <xf numFmtId="0" fontId="0" fillId="6" borderId="2" xfId="0" applyFont="1" applyFill="1" applyBorder="1" applyAlignment="1">
      <alignment horizontal="center" vertical="center"/>
    </xf>
    <xf numFmtId="180" fontId="42" fillId="32" borderId="64" xfId="0" applyNumberFormat="1" applyFont="1" applyFill="1" applyBorder="1">
      <alignment vertical="center"/>
    </xf>
    <xf numFmtId="0" fontId="74" fillId="33" borderId="0" xfId="0" applyFont="1" applyFill="1" applyBorder="1" applyAlignment="1">
      <alignment horizontal="left" vertical="center"/>
    </xf>
    <xf numFmtId="0" fontId="2" fillId="33" borderId="93" xfId="0" applyFont="1" applyFill="1" applyBorder="1" applyAlignment="1">
      <alignment horizontal="center" vertical="center"/>
    </xf>
    <xf numFmtId="0" fontId="2" fillId="33" borderId="93" xfId="0" applyFont="1" applyFill="1" applyBorder="1" applyAlignment="1">
      <alignment horizontal="center" vertical="center"/>
    </xf>
    <xf numFmtId="0" fontId="74" fillId="0" borderId="0" xfId="0" applyFont="1" applyAlignment="1">
      <alignment vertical="center"/>
    </xf>
    <xf numFmtId="0" fontId="2" fillId="33" borderId="93" xfId="0" applyFont="1" applyFill="1" applyBorder="1" applyAlignment="1">
      <alignment horizontal="center" vertical="center"/>
    </xf>
    <xf numFmtId="0" fontId="74" fillId="33" borderId="0" xfId="0" applyFont="1" applyFill="1" applyAlignment="1">
      <alignment vertical="center"/>
    </xf>
    <xf numFmtId="0" fontId="74" fillId="33" borderId="0" xfId="0" applyFont="1" applyFill="1" applyAlignment="1">
      <alignment vertical="center"/>
    </xf>
    <xf numFmtId="0" fontId="2" fillId="0" borderId="34" xfId="0" applyNumberFormat="1" applyFont="1" applyFill="1" applyBorder="1" applyAlignment="1" applyProtection="1">
      <alignment horizontal="center" vertical="center"/>
    </xf>
    <xf numFmtId="180" fontId="42" fillId="32" borderId="93" xfId="4" applyFont="1" applyFill="1" applyBorder="1">
      <alignment vertical="center"/>
    </xf>
    <xf numFmtId="180" fontId="42" fillId="32" borderId="115" xfId="4" applyFont="1" applyFill="1" applyBorder="1">
      <alignment vertical="center"/>
    </xf>
    <xf numFmtId="180" fontId="42" fillId="33" borderId="115" xfId="4" applyFont="1" applyFill="1" applyBorder="1">
      <alignment vertical="center"/>
    </xf>
    <xf numFmtId="180" fontId="42" fillId="30" borderId="93" xfId="4" applyFont="1" applyFill="1" applyBorder="1">
      <alignment vertical="center"/>
    </xf>
    <xf numFmtId="180" fontId="42" fillId="0" borderId="93" xfId="4" applyFont="1" applyFill="1" applyBorder="1">
      <alignment vertical="center"/>
    </xf>
    <xf numFmtId="180" fontId="42" fillId="0" borderId="93" xfId="4" applyFont="1" applyBorder="1">
      <alignment vertical="center"/>
    </xf>
    <xf numFmtId="180" fontId="42" fillId="30" borderId="115" xfId="4" applyFont="1" applyFill="1" applyBorder="1">
      <alignment vertical="center"/>
    </xf>
    <xf numFmtId="180" fontId="42" fillId="33" borderId="93" xfId="4" applyFont="1" applyFill="1" applyBorder="1">
      <alignment vertical="center"/>
    </xf>
    <xf numFmtId="180" fontId="42" fillId="32" borderId="93" xfId="4" applyFont="1" applyFill="1" applyBorder="1" applyProtection="1">
      <alignment vertical="center"/>
    </xf>
    <xf numFmtId="180" fontId="42" fillId="30" borderId="110" xfId="4" applyFont="1" applyFill="1" applyBorder="1">
      <alignment vertical="center"/>
    </xf>
    <xf numFmtId="180" fontId="42" fillId="0" borderId="115" xfId="4" applyFont="1" applyFill="1" applyBorder="1">
      <alignment vertical="center"/>
    </xf>
    <xf numFmtId="180" fontId="42" fillId="0" borderId="93" xfId="4" applyFont="1" applyFill="1" applyBorder="1" applyProtection="1">
      <alignment vertical="center"/>
    </xf>
    <xf numFmtId="180" fontId="42" fillId="30" borderId="115" xfId="4" applyFont="1" applyFill="1" applyBorder="1" applyProtection="1">
      <alignment vertical="center"/>
    </xf>
    <xf numFmtId="180" fontId="42" fillId="30" borderId="93" xfId="4" applyFont="1" applyFill="1" applyBorder="1" applyProtection="1">
      <alignment vertical="center"/>
    </xf>
    <xf numFmtId="180" fontId="42" fillId="0" borderId="115" xfId="4" applyFont="1" applyBorder="1">
      <alignment vertical="center"/>
    </xf>
    <xf numFmtId="180" fontId="42" fillId="15" borderId="93" xfId="4" applyFont="1" applyFill="1" applyBorder="1">
      <alignment vertical="center"/>
    </xf>
    <xf numFmtId="0" fontId="112" fillId="32" borderId="115" xfId="4" applyNumberFormat="1" applyFont="1" applyFill="1" applyBorder="1">
      <alignment vertical="center"/>
    </xf>
    <xf numFmtId="0" fontId="112" fillId="32" borderId="93" xfId="4" applyNumberFormat="1" applyFont="1" applyFill="1" applyBorder="1">
      <alignment vertical="center"/>
    </xf>
    <xf numFmtId="0" fontId="74" fillId="33" borderId="109" xfId="0" applyFont="1" applyFill="1" applyBorder="1" applyAlignment="1">
      <alignment vertical="center"/>
    </xf>
    <xf numFmtId="0" fontId="81" fillId="14" borderId="13" xfId="0" applyFont="1" applyFill="1" applyBorder="1" applyAlignment="1">
      <alignment horizontal="justify" vertical="center"/>
    </xf>
    <xf numFmtId="0" fontId="81" fillId="14" borderId="75" xfId="0" applyFont="1" applyFill="1" applyBorder="1" applyAlignment="1">
      <alignment horizontal="justify" vertical="center"/>
    </xf>
    <xf numFmtId="0" fontId="0" fillId="14" borderId="75" xfId="0" applyFill="1" applyBorder="1">
      <alignment vertical="center"/>
    </xf>
    <xf numFmtId="0" fontId="0" fillId="14" borderId="66" xfId="0" applyFill="1" applyBorder="1">
      <alignment vertical="center"/>
    </xf>
    <xf numFmtId="0" fontId="113" fillId="2" borderId="3" xfId="2" applyNumberFormat="1" applyFont="1" applyFill="1" applyBorder="1" applyProtection="1">
      <alignment vertical="center"/>
      <protection locked="0"/>
    </xf>
    <xf numFmtId="0" fontId="114" fillId="2" borderId="3" xfId="2" applyNumberFormat="1" applyFont="1" applyFill="1" applyBorder="1" applyProtection="1">
      <alignment vertical="center"/>
      <protection locked="0"/>
    </xf>
    <xf numFmtId="0" fontId="13" fillId="14" borderId="4" xfId="2" applyNumberFormat="1" applyFont="1" applyFill="1" applyBorder="1" applyProtection="1">
      <alignment vertical="center"/>
      <protection locked="0"/>
    </xf>
    <xf numFmtId="0" fontId="13" fillId="14" borderId="3" xfId="2" applyNumberFormat="1" applyFont="1" applyFill="1" applyBorder="1" applyProtection="1">
      <alignment vertical="center"/>
      <protection locked="0"/>
    </xf>
    <xf numFmtId="49" fontId="74" fillId="2" borderId="3" xfId="0" applyNumberFormat="1" applyFont="1" applyFill="1" applyBorder="1" applyAlignment="1" applyProtection="1">
      <alignment horizontal="center" vertical="center"/>
      <protection locked="0"/>
    </xf>
    <xf numFmtId="49" fontId="74" fillId="0" borderId="3" xfId="0" applyNumberFormat="1" applyFont="1" applyFill="1" applyBorder="1" applyAlignment="1" applyProtection="1">
      <alignment horizontal="center" vertical="center"/>
      <protection locked="0"/>
    </xf>
    <xf numFmtId="0" fontId="98" fillId="0" borderId="3" xfId="0" applyFont="1" applyFill="1" applyBorder="1" applyAlignment="1" applyProtection="1">
      <alignment vertical="center"/>
      <protection locked="0"/>
    </xf>
    <xf numFmtId="0" fontId="16" fillId="0" borderId="1" xfId="2" applyNumberFormat="1" applyFont="1" applyFill="1" applyBorder="1" applyProtection="1">
      <alignment vertical="center"/>
      <protection locked="0"/>
    </xf>
    <xf numFmtId="0" fontId="74" fillId="0" borderId="1" xfId="2" applyNumberFormat="1" applyFont="1" applyFill="1" applyBorder="1" applyProtection="1">
      <alignment vertical="center"/>
      <protection locked="0"/>
    </xf>
    <xf numFmtId="0" fontId="2" fillId="0" borderId="1" xfId="2" applyNumberFormat="1" applyFont="1" applyFill="1" applyBorder="1" applyProtection="1">
      <alignment vertical="center"/>
      <protection locked="0"/>
    </xf>
    <xf numFmtId="0" fontId="74" fillId="0" borderId="1" xfId="0" applyFont="1" applyFill="1" applyBorder="1" applyAlignment="1" applyProtection="1">
      <alignment vertical="center"/>
      <protection locked="0"/>
    </xf>
    <xf numFmtId="0" fontId="11" fillId="2" borderId="3" xfId="2" applyFont="1" applyFill="1" applyBorder="1" applyProtection="1">
      <alignment vertical="center"/>
      <protection locked="0"/>
    </xf>
    <xf numFmtId="0" fontId="114" fillId="2" borderId="3" xfId="2" applyFont="1" applyFill="1" applyBorder="1" applyProtection="1">
      <alignment vertical="center"/>
      <protection locked="0"/>
    </xf>
    <xf numFmtId="0" fontId="13" fillId="2" borderId="3" xfId="2" applyFont="1" applyFill="1" applyBorder="1" applyProtection="1">
      <alignment vertical="center"/>
      <protection locked="0"/>
    </xf>
    <xf numFmtId="0" fontId="11" fillId="0" borderId="93" xfId="0" applyFont="1" applyFill="1" applyBorder="1" applyAlignment="1" applyProtection="1">
      <alignment horizontal="justify" vertical="center"/>
    </xf>
    <xf numFmtId="0" fontId="11" fillId="0" borderId="93" xfId="0" applyFont="1" applyFill="1" applyBorder="1" applyAlignment="1" applyProtection="1">
      <alignment horizontal="left" vertical="center" wrapText="1"/>
    </xf>
    <xf numFmtId="0" fontId="11" fillId="0" borderId="93" xfId="2" applyFont="1" applyBorder="1">
      <alignment vertical="center"/>
    </xf>
    <xf numFmtId="0" fontId="13" fillId="0" borderId="83" xfId="2" applyNumberFormat="1" applyFont="1" applyFill="1" applyBorder="1" applyAlignment="1" applyProtection="1">
      <alignment horizontal="center" vertical="center"/>
    </xf>
    <xf numFmtId="0" fontId="13" fillId="0" borderId="8" xfId="2" applyNumberFormat="1" applyFont="1" applyFill="1" applyBorder="1" applyAlignment="1" applyProtection="1">
      <alignment horizontal="center" vertical="center"/>
    </xf>
    <xf numFmtId="0" fontId="13" fillId="0" borderId="23" xfId="2" applyNumberFormat="1" applyFont="1" applyFill="1" applyBorder="1" applyAlignment="1" applyProtection="1">
      <alignment horizontal="center" vertical="center"/>
    </xf>
    <xf numFmtId="0" fontId="13" fillId="0" borderId="8" xfId="0" applyFont="1" applyFill="1" applyBorder="1" applyAlignment="1" applyProtection="1">
      <alignment horizontal="center" vertical="center"/>
    </xf>
    <xf numFmtId="0" fontId="13" fillId="0" borderId="15" xfId="2" applyNumberFormat="1" applyFont="1" applyFill="1" applyBorder="1" applyAlignment="1" applyProtection="1">
      <alignment horizontal="center" vertical="center"/>
    </xf>
    <xf numFmtId="0" fontId="13" fillId="0" borderId="84" xfId="2" applyNumberFormat="1" applyFont="1" applyFill="1" applyBorder="1" applyAlignment="1" applyProtection="1">
      <alignment horizontal="center" vertical="center"/>
    </xf>
    <xf numFmtId="0" fontId="13" fillId="0" borderId="152" xfId="0" applyFont="1" applyFill="1" applyBorder="1" applyAlignment="1" applyProtection="1">
      <alignment horizontal="center" vertical="center"/>
    </xf>
    <xf numFmtId="0" fontId="13" fillId="0" borderId="63" xfId="0" applyFont="1" applyFill="1" applyBorder="1" applyAlignment="1" applyProtection="1">
      <alignment horizontal="center" vertical="center"/>
    </xf>
    <xf numFmtId="0" fontId="13" fillId="0" borderId="8" xfId="2" applyNumberFormat="1" applyFont="1" applyFill="1" applyBorder="1" applyAlignment="1" applyProtection="1">
      <alignment horizontal="center" vertical="center" shrinkToFit="1"/>
    </xf>
    <xf numFmtId="0" fontId="13" fillId="4" borderId="8" xfId="2" applyNumberFormat="1" applyFont="1" applyFill="1" applyBorder="1" applyAlignment="1" applyProtection="1">
      <alignment horizontal="center" vertical="center"/>
    </xf>
    <xf numFmtId="0" fontId="13" fillId="0" borderId="8" xfId="0" applyFont="1" applyBorder="1" applyAlignment="1" applyProtection="1">
      <alignment horizontal="center"/>
    </xf>
    <xf numFmtId="0" fontId="13" fillId="4" borderId="8" xfId="2" applyFont="1" applyFill="1" applyBorder="1" applyAlignment="1">
      <alignment horizontal="center" vertical="center"/>
    </xf>
    <xf numFmtId="0" fontId="13" fillId="0" borderId="85" xfId="2" applyNumberFormat="1" applyFont="1" applyFill="1" applyBorder="1" applyAlignment="1" applyProtection="1">
      <alignment horizontal="center" vertical="center"/>
    </xf>
    <xf numFmtId="0" fontId="13" fillId="4" borderId="68" xfId="2" applyFont="1" applyFill="1" applyBorder="1" applyAlignment="1">
      <alignment horizontal="center" vertical="center"/>
    </xf>
    <xf numFmtId="0" fontId="13" fillId="4" borderId="85" xfId="2" applyNumberFormat="1" applyFont="1" applyFill="1" applyBorder="1" applyAlignment="1" applyProtection="1">
      <alignment horizontal="center" vertical="center"/>
    </xf>
    <xf numFmtId="0" fontId="13" fillId="4" borderId="141" xfId="2" applyNumberFormat="1" applyFont="1" applyFill="1" applyBorder="1" applyAlignment="1" applyProtection="1">
      <alignment horizontal="center" vertical="center"/>
    </xf>
    <xf numFmtId="0" fontId="13" fillId="0" borderId="79" xfId="2" applyNumberFormat="1" applyFont="1" applyFill="1" applyBorder="1" applyAlignment="1" applyProtection="1">
      <alignment horizontal="center" vertical="center"/>
    </xf>
    <xf numFmtId="0" fontId="13" fillId="0" borderId="15" xfId="0" applyFont="1" applyBorder="1" applyAlignment="1" applyProtection="1">
      <alignment horizontal="center"/>
    </xf>
    <xf numFmtId="0" fontId="13" fillId="0" borderId="138" xfId="0" applyFont="1" applyBorder="1" applyAlignment="1" applyProtection="1">
      <alignment horizontal="center"/>
    </xf>
    <xf numFmtId="0" fontId="13" fillId="4" borderId="87" xfId="2" applyFont="1" applyFill="1" applyBorder="1" applyAlignment="1">
      <alignment horizontal="center" vertical="center"/>
    </xf>
    <xf numFmtId="0" fontId="13" fillId="0" borderId="87" xfId="0" applyFont="1" applyFill="1" applyBorder="1" applyAlignment="1" applyProtection="1">
      <alignment horizontal="center" vertical="center"/>
    </xf>
    <xf numFmtId="0" fontId="13" fillId="0" borderId="149" xfId="0" applyFont="1" applyFill="1" applyBorder="1" applyAlignment="1" applyProtection="1">
      <alignment horizontal="center" vertical="center"/>
    </xf>
    <xf numFmtId="0" fontId="0" fillId="0" borderId="155" xfId="0" applyBorder="1">
      <alignment vertical="center"/>
    </xf>
    <xf numFmtId="0" fontId="0" fillId="0" borderId="157" xfId="0" applyBorder="1">
      <alignment vertical="center"/>
    </xf>
    <xf numFmtId="0" fontId="0" fillId="0" borderId="160" xfId="0" applyBorder="1">
      <alignment vertical="center"/>
    </xf>
    <xf numFmtId="0" fontId="0" fillId="0" borderId="170" xfId="0" applyBorder="1">
      <alignment vertical="center"/>
    </xf>
    <xf numFmtId="49" fontId="2" fillId="0" borderId="154" xfId="0" applyNumberFormat="1" applyFont="1" applyBorder="1" applyAlignment="1">
      <alignment horizontal="center" vertical="top" wrapText="1"/>
    </xf>
    <xf numFmtId="177" fontId="42" fillId="0" borderId="154" xfId="0" applyNumberFormat="1" applyFont="1" applyBorder="1" applyAlignment="1">
      <alignment horizontal="center" vertical="top" wrapText="1"/>
    </xf>
    <xf numFmtId="0" fontId="2" fillId="0" borderId="154" xfId="0" applyFont="1" applyBorder="1" applyAlignment="1">
      <alignment horizontal="center" vertical="top" wrapText="1"/>
    </xf>
    <xf numFmtId="49" fontId="2" fillId="0" borderId="152" xfId="0" applyNumberFormat="1" applyFont="1" applyBorder="1" applyAlignment="1">
      <alignment horizontal="center" vertical="top" wrapText="1"/>
    </xf>
    <xf numFmtId="177" fontId="42" fillId="0" borderId="152" xfId="0" applyNumberFormat="1" applyFont="1" applyBorder="1" applyAlignment="1">
      <alignment horizontal="center" vertical="top" wrapText="1"/>
    </xf>
    <xf numFmtId="0" fontId="2" fillId="0" borderId="152" xfId="0" applyFont="1" applyBorder="1" applyAlignment="1">
      <alignment horizontal="center" vertical="top" wrapText="1"/>
    </xf>
    <xf numFmtId="49" fontId="2" fillId="0" borderId="152" xfId="0" applyNumberFormat="1" applyFont="1" applyBorder="1" applyAlignment="1">
      <alignment horizontal="justify" vertical="top" wrapText="1"/>
    </xf>
    <xf numFmtId="177" fontId="42" fillId="0" borderId="152" xfId="0" applyNumberFormat="1" applyFont="1" applyBorder="1" applyAlignment="1">
      <alignment horizontal="justify" vertical="top" wrapText="1"/>
    </xf>
    <xf numFmtId="0" fontId="2" fillId="0" borderId="152" xfId="0" applyFont="1" applyBorder="1" applyAlignment="1">
      <alignment horizontal="justify" vertical="top" wrapText="1"/>
    </xf>
    <xf numFmtId="49" fontId="2" fillId="0" borderId="159" xfId="0" applyNumberFormat="1" applyFont="1" applyBorder="1" applyAlignment="1">
      <alignment horizontal="center" vertical="top" wrapText="1"/>
    </xf>
    <xf numFmtId="177" fontId="42" fillId="0" borderId="159" xfId="0" applyNumberFormat="1" applyFont="1" applyBorder="1" applyAlignment="1">
      <alignment horizontal="center" vertical="top" wrapText="1"/>
    </xf>
    <xf numFmtId="0" fontId="2" fillId="0" borderId="159" xfId="0" applyFont="1" applyBorder="1" applyAlignment="1">
      <alignment horizontal="center" vertical="top" wrapText="1"/>
    </xf>
    <xf numFmtId="0" fontId="2" fillId="33" borderId="6" xfId="0" applyFont="1" applyFill="1" applyBorder="1" applyAlignment="1">
      <alignment horizontal="left" vertical="center"/>
    </xf>
    <xf numFmtId="0" fontId="2" fillId="33" borderId="19" xfId="0" applyFont="1" applyFill="1" applyBorder="1" applyAlignment="1">
      <alignment horizontal="left" vertical="center"/>
    </xf>
    <xf numFmtId="0" fontId="2" fillId="33" borderId="10" xfId="0" applyFont="1" applyFill="1" applyBorder="1" applyAlignment="1">
      <alignment horizontal="left" vertical="center"/>
    </xf>
    <xf numFmtId="0" fontId="2" fillId="33" borderId="12" xfId="0" applyFont="1" applyFill="1" applyBorder="1" applyAlignment="1">
      <alignment horizontal="left" vertical="center"/>
    </xf>
    <xf numFmtId="0" fontId="112" fillId="32" borderId="0" xfId="0" applyFont="1" applyFill="1" applyBorder="1" applyAlignment="1">
      <alignment vertical="center"/>
    </xf>
    <xf numFmtId="0" fontId="2" fillId="32" borderId="19" xfId="0" applyFont="1" applyFill="1" applyBorder="1" applyAlignment="1">
      <alignment horizontal="left" vertical="center"/>
    </xf>
    <xf numFmtId="31" fontId="2" fillId="32" borderId="12" xfId="0" applyNumberFormat="1" applyFont="1" applyFill="1" applyBorder="1" applyAlignment="1">
      <alignment horizontal="left" vertical="center"/>
    </xf>
    <xf numFmtId="0" fontId="2" fillId="37" borderId="19" xfId="0" applyFont="1" applyFill="1" applyBorder="1" applyAlignment="1">
      <alignment horizontal="left" vertical="center"/>
    </xf>
    <xf numFmtId="0" fontId="2" fillId="32" borderId="11" xfId="0" applyFont="1" applyFill="1" applyBorder="1" applyAlignment="1">
      <alignment vertical="center"/>
    </xf>
    <xf numFmtId="0" fontId="2" fillId="32" borderId="12" xfId="0" applyFont="1" applyFill="1" applyBorder="1" applyAlignment="1">
      <alignment horizontal="left" vertical="center"/>
    </xf>
    <xf numFmtId="0" fontId="2" fillId="32" borderId="22" xfId="0" applyFont="1" applyFill="1" applyBorder="1" applyAlignment="1">
      <alignment vertical="center"/>
    </xf>
    <xf numFmtId="0" fontId="74" fillId="0" borderId="0" xfId="0" applyFont="1" applyAlignment="1">
      <alignment horizontal="right"/>
    </xf>
    <xf numFmtId="0" fontId="74" fillId="33" borderId="119" xfId="0" applyFont="1" applyFill="1" applyBorder="1" applyAlignment="1">
      <alignment vertical="center"/>
    </xf>
    <xf numFmtId="0" fontId="74" fillId="33" borderId="0" xfId="0" applyFont="1" applyFill="1" applyAlignment="1">
      <alignment horizontal="right"/>
    </xf>
    <xf numFmtId="0" fontId="74" fillId="33" borderId="119" xfId="0" applyFont="1" applyFill="1" applyBorder="1" applyAlignment="1">
      <alignment vertical="center"/>
    </xf>
    <xf numFmtId="0" fontId="74" fillId="33" borderId="0" xfId="0" applyFont="1" applyFill="1" applyAlignment="1">
      <alignment horizontal="right" vertical="center"/>
    </xf>
    <xf numFmtId="0" fontId="74" fillId="33" borderId="0" xfId="0" applyFont="1" applyFill="1" applyAlignment="1">
      <alignment horizontal="right" vertical="center"/>
    </xf>
    <xf numFmtId="0" fontId="74" fillId="33" borderId="119" xfId="0" applyFont="1" applyFill="1" applyBorder="1" applyAlignment="1">
      <alignment vertical="center"/>
    </xf>
    <xf numFmtId="0" fontId="74" fillId="33" borderId="0" xfId="0" applyFont="1" applyFill="1" applyAlignment="1">
      <alignment horizontal="right"/>
    </xf>
    <xf numFmtId="0" fontId="74" fillId="33" borderId="0" xfId="0" applyFont="1" applyFill="1" applyBorder="1" applyAlignment="1">
      <alignment horizontal="right" vertical="center"/>
    </xf>
    <xf numFmtId="0" fontId="74" fillId="33" borderId="119" xfId="0" applyFont="1" applyFill="1" applyBorder="1" applyAlignment="1">
      <alignment vertical="top"/>
    </xf>
    <xf numFmtId="0" fontId="74" fillId="33" borderId="119" xfId="0" applyFont="1" applyFill="1" applyBorder="1" applyAlignment="1">
      <alignment vertical="center"/>
    </xf>
    <xf numFmtId="0" fontId="74" fillId="33" borderId="0" xfId="0" applyFont="1" applyFill="1" applyAlignment="1">
      <alignment horizontal="right"/>
    </xf>
    <xf numFmtId="0" fontId="74" fillId="0" borderId="119" xfId="0" applyFont="1" applyFill="1" applyBorder="1" applyAlignment="1">
      <alignment vertical="center"/>
    </xf>
    <xf numFmtId="0" fontId="74" fillId="33" borderId="119" xfId="0" applyFont="1" applyFill="1" applyBorder="1" applyAlignment="1">
      <alignment vertical="center"/>
    </xf>
    <xf numFmtId="0" fontId="74" fillId="33" borderId="119" xfId="0" applyFont="1" applyFill="1" applyBorder="1" applyAlignment="1">
      <alignment horizontal="right" vertical="center"/>
    </xf>
    <xf numFmtId="0" fontId="2" fillId="33" borderId="121" xfId="0" applyFont="1" applyFill="1" applyBorder="1" applyAlignment="1">
      <alignment vertical="center"/>
    </xf>
    <xf numFmtId="0" fontId="57" fillId="33" borderId="0" xfId="0" applyFont="1" applyFill="1" applyAlignment="1">
      <alignment horizontal="justify" vertical="center"/>
    </xf>
    <xf numFmtId="0" fontId="0" fillId="33" borderId="0" xfId="0" applyFill="1">
      <alignment vertical="center"/>
    </xf>
    <xf numFmtId="0" fontId="2" fillId="33" borderId="121" xfId="0" applyFont="1" applyFill="1" applyBorder="1" applyAlignment="1">
      <alignment horizontal="right"/>
    </xf>
    <xf numFmtId="0" fontId="2" fillId="33" borderId="0" xfId="0" applyFont="1" applyFill="1" applyBorder="1" applyAlignment="1">
      <alignment horizontal="right"/>
    </xf>
    <xf numFmtId="0" fontId="74" fillId="33" borderId="0" xfId="0" applyFont="1" applyFill="1" applyAlignment="1">
      <alignment horizontal="right" vertical="center"/>
    </xf>
    <xf numFmtId="0" fontId="74" fillId="33" borderId="0" xfId="0" applyFont="1" applyFill="1" applyAlignment="1">
      <alignment horizontal="right" vertical="center"/>
    </xf>
    <xf numFmtId="0" fontId="2" fillId="2" borderId="0" xfId="0" applyFont="1" applyFill="1" applyAlignment="1" applyProtection="1">
      <alignment horizontal="right" vertical="center"/>
      <protection locked="0"/>
    </xf>
    <xf numFmtId="0" fontId="63" fillId="2" borderId="67" xfId="0" applyFont="1" applyFill="1" applyBorder="1" applyAlignment="1" applyProtection="1">
      <alignment horizontal="center" vertical="center" wrapText="1"/>
      <protection locked="0"/>
    </xf>
    <xf numFmtId="0" fontId="2" fillId="33" borderId="93" xfId="0" applyFont="1" applyFill="1" applyBorder="1" applyAlignment="1">
      <alignment horizontal="center" vertical="center"/>
    </xf>
    <xf numFmtId="180" fontId="42" fillId="32" borderId="93" xfId="4" applyFont="1" applyFill="1" applyBorder="1">
      <alignment vertical="center"/>
    </xf>
    <xf numFmtId="0" fontId="2" fillId="33" borderId="115" xfId="0" applyFont="1" applyFill="1" applyBorder="1" applyAlignment="1">
      <alignment horizontal="center" vertical="center" wrapText="1"/>
    </xf>
    <xf numFmtId="180" fontId="42" fillId="32" borderId="93" xfId="4" applyFont="1" applyFill="1" applyBorder="1">
      <alignment vertical="center"/>
    </xf>
    <xf numFmtId="180" fontId="42" fillId="32" borderId="93" xfId="4" applyFont="1" applyFill="1" applyBorder="1">
      <alignment vertical="center"/>
    </xf>
    <xf numFmtId="0" fontId="0" fillId="0" borderId="0" xfId="0" applyProtection="1">
      <alignment vertical="center"/>
    </xf>
    <xf numFmtId="0" fontId="0" fillId="0" borderId="0" xfId="0" applyProtection="1">
      <alignment vertical="center"/>
      <protection locked="0"/>
    </xf>
    <xf numFmtId="186" fontId="0" fillId="32" borderId="93" xfId="0" applyNumberFormat="1" applyFill="1" applyBorder="1" applyProtection="1">
      <alignment vertical="center"/>
      <protection locked="0"/>
    </xf>
    <xf numFmtId="186" fontId="0" fillId="30" borderId="93" xfId="0" applyNumberFormat="1" applyFill="1" applyBorder="1" applyProtection="1">
      <alignment vertical="center"/>
    </xf>
    <xf numFmtId="0" fontId="111" fillId="33" borderId="93" xfId="0" applyFont="1" applyFill="1" applyBorder="1" applyAlignment="1" applyProtection="1">
      <alignment horizontal="center" vertical="center" wrapText="1"/>
      <protection locked="0"/>
    </xf>
    <xf numFmtId="0" fontId="111" fillId="33" borderId="93" xfId="0" applyFont="1" applyFill="1" applyBorder="1" applyAlignment="1" applyProtection="1">
      <alignment horizontal="center" vertical="center" wrapText="1"/>
    </xf>
    <xf numFmtId="0" fontId="10" fillId="33" borderId="93" xfId="0" applyFont="1" applyFill="1" applyBorder="1" applyAlignment="1" applyProtection="1">
      <alignment horizontal="center" vertical="center" wrapText="1"/>
    </xf>
    <xf numFmtId="0" fontId="0" fillId="35" borderId="93" xfId="0" applyFill="1" applyBorder="1" applyProtection="1">
      <alignment vertical="center"/>
      <protection locked="0"/>
    </xf>
    <xf numFmtId="0" fontId="0" fillId="33" borderId="93" xfId="0" applyFill="1" applyBorder="1" applyProtection="1">
      <alignment vertical="center"/>
      <protection locked="0"/>
    </xf>
    <xf numFmtId="0" fontId="0" fillId="33" borderId="93" xfId="0" applyFill="1" applyBorder="1" applyAlignment="1" applyProtection="1">
      <alignment vertical="center" wrapText="1"/>
    </xf>
    <xf numFmtId="0" fontId="0" fillId="33" borderId="0" xfId="0" applyFill="1" applyProtection="1">
      <alignment vertical="center"/>
      <protection locked="0"/>
    </xf>
    <xf numFmtId="0" fontId="120" fillId="33" borderId="172" xfId="0" applyFont="1" applyFill="1" applyBorder="1" applyAlignment="1" applyProtection="1">
      <alignment horizontal="center" vertical="center" wrapText="1"/>
    </xf>
    <xf numFmtId="0" fontId="0" fillId="33" borderId="173" xfId="0" applyFill="1" applyBorder="1" applyProtection="1">
      <alignment vertical="center"/>
    </xf>
    <xf numFmtId="0" fontId="120" fillId="33" borderId="174" xfId="0" applyFont="1" applyFill="1" applyBorder="1" applyAlignment="1" applyProtection="1">
      <alignment horizontal="center" vertical="center" wrapText="1"/>
    </xf>
    <xf numFmtId="0" fontId="0" fillId="33" borderId="0" xfId="0" applyFill="1" applyProtection="1">
      <alignment vertical="center"/>
    </xf>
    <xf numFmtId="0" fontId="0" fillId="33" borderId="176" xfId="0" applyFill="1" applyBorder="1" applyAlignment="1" applyProtection="1">
      <alignment horizontal="left" vertical="center" wrapText="1"/>
    </xf>
    <xf numFmtId="0" fontId="0" fillId="33" borderId="176" xfId="0" applyFill="1" applyBorder="1" applyAlignment="1" applyProtection="1">
      <alignment horizontal="center" vertical="center"/>
    </xf>
    <xf numFmtId="0" fontId="2" fillId="33" borderId="109" xfId="0" applyFont="1" applyFill="1" applyBorder="1" applyAlignment="1" applyProtection="1">
      <alignment vertical="center" wrapText="1"/>
      <protection locked="0"/>
    </xf>
    <xf numFmtId="0" fontId="0" fillId="33" borderId="0" xfId="0" applyFill="1" applyAlignment="1" applyProtection="1">
      <alignment horizontal="center" vertical="center"/>
      <protection locked="0"/>
    </xf>
    <xf numFmtId="0" fontId="121" fillId="33" borderId="0" xfId="0" applyFont="1" applyFill="1" applyProtection="1">
      <alignment vertical="center"/>
      <protection locked="0"/>
    </xf>
    <xf numFmtId="0" fontId="0" fillId="33" borderId="0" xfId="0" applyFill="1" applyProtection="1">
      <alignment vertical="center"/>
      <protection locked="0"/>
    </xf>
    <xf numFmtId="0" fontId="120" fillId="33" borderId="172" xfId="0" applyFont="1" applyFill="1" applyBorder="1" applyAlignment="1" applyProtection="1">
      <alignment horizontal="center" wrapText="1"/>
      <protection locked="0"/>
    </xf>
    <xf numFmtId="0" fontId="120" fillId="33" borderId="174" xfId="0" applyFont="1" applyFill="1" applyBorder="1" applyAlignment="1" applyProtection="1">
      <alignment horizontal="center" wrapText="1"/>
      <protection locked="0"/>
    </xf>
    <xf numFmtId="0" fontId="23" fillId="33" borderId="171" xfId="0" applyFont="1" applyFill="1" applyBorder="1" applyAlignment="1" applyProtection="1">
      <alignment wrapText="1"/>
      <protection locked="0"/>
    </xf>
    <xf numFmtId="10" fontId="23" fillId="33" borderId="174" xfId="0" applyNumberFormat="1" applyFont="1" applyFill="1" applyBorder="1" applyAlignment="1" applyProtection="1">
      <alignment horizontal="center" wrapText="1"/>
      <protection locked="0"/>
    </xf>
    <xf numFmtId="0" fontId="23" fillId="33" borderId="131" xfId="0" applyFont="1" applyFill="1" applyBorder="1" applyAlignment="1" applyProtection="1">
      <alignment wrapText="1"/>
      <protection locked="0"/>
    </xf>
    <xf numFmtId="10" fontId="23" fillId="33" borderId="126" xfId="0" applyNumberFormat="1" applyFont="1" applyFill="1" applyBorder="1" applyAlignment="1" applyProtection="1">
      <alignment horizontal="center" wrapText="1"/>
      <protection locked="0"/>
    </xf>
    <xf numFmtId="0" fontId="23" fillId="33" borderId="137" xfId="0" applyFont="1" applyFill="1" applyBorder="1" applyAlignment="1" applyProtection="1">
      <alignment wrapText="1"/>
      <protection locked="0"/>
    </xf>
    <xf numFmtId="0" fontId="23" fillId="33" borderId="131" xfId="0" applyFont="1" applyFill="1" applyBorder="1" applyAlignment="1" applyProtection="1">
      <alignment horizontal="center" wrapText="1"/>
      <protection locked="0"/>
    </xf>
    <xf numFmtId="0" fontId="23" fillId="33" borderId="177" xfId="0" applyFont="1" applyFill="1" applyBorder="1" applyAlignment="1" applyProtection="1">
      <alignment horizontal="center" wrapText="1"/>
      <protection locked="0"/>
    </xf>
    <xf numFmtId="0" fontId="23" fillId="33" borderId="178" xfId="0" applyFont="1" applyFill="1" applyBorder="1" applyAlignment="1" applyProtection="1">
      <alignment horizontal="center" wrapText="1"/>
      <protection locked="0"/>
    </xf>
    <xf numFmtId="0" fontId="23" fillId="33" borderId="174" xfId="0" applyFont="1" applyFill="1" applyBorder="1" applyAlignment="1" applyProtection="1">
      <alignment horizontal="center" wrapText="1"/>
      <protection locked="0"/>
    </xf>
    <xf numFmtId="0" fontId="23" fillId="33" borderId="181" xfId="0" applyFont="1" applyFill="1" applyBorder="1" applyAlignment="1" applyProtection="1">
      <alignment horizontal="center" wrapText="1"/>
      <protection locked="0"/>
    </xf>
    <xf numFmtId="0" fontId="123" fillId="33" borderId="0" xfId="0" applyFont="1" applyFill="1" applyAlignment="1" applyProtection="1">
      <alignment horizontal="justify" vertical="center"/>
      <protection locked="0"/>
    </xf>
    <xf numFmtId="186" fontId="0" fillId="35" borderId="93" xfId="0" applyNumberFormat="1" applyFill="1" applyBorder="1" applyAlignment="1" applyProtection="1">
      <alignment horizontal="center" vertical="center"/>
      <protection locked="0"/>
    </xf>
    <xf numFmtId="0" fontId="74" fillId="0" borderId="0" xfId="0" applyFont="1" applyFill="1" applyProtection="1">
      <alignment vertical="center"/>
      <protection locked="0"/>
    </xf>
    <xf numFmtId="0" fontId="2" fillId="32" borderId="93" xfId="0" applyNumberFormat="1" applyFont="1" applyFill="1" applyBorder="1" applyAlignment="1">
      <alignment vertical="center"/>
    </xf>
    <xf numFmtId="49" fontId="0" fillId="22" borderId="0" xfId="0" applyNumberFormat="1" applyFill="1">
      <alignment vertical="center"/>
    </xf>
    <xf numFmtId="180" fontId="42" fillId="0" borderId="12" xfId="0" applyNumberFormat="1" applyFont="1" applyFill="1" applyBorder="1" applyAlignment="1" applyProtection="1">
      <alignment vertical="center"/>
      <protection locked="0"/>
    </xf>
    <xf numFmtId="180" fontId="42" fillId="0" borderId="12" xfId="0" applyNumberFormat="1" applyFont="1" applyFill="1" applyBorder="1" applyAlignment="1" applyProtection="1">
      <alignment vertical="center"/>
    </xf>
    <xf numFmtId="180" fontId="42" fillId="32" borderId="93" xfId="4" applyFont="1" applyFill="1" applyBorder="1">
      <alignment vertical="center"/>
    </xf>
    <xf numFmtId="0" fontId="53" fillId="35" borderId="93" xfId="0" applyFont="1" applyFill="1" applyBorder="1" applyAlignment="1">
      <alignment horizontal="center" vertical="center"/>
    </xf>
    <xf numFmtId="0" fontId="2" fillId="32" borderId="93" xfId="0" applyFont="1" applyFill="1" applyBorder="1" applyAlignment="1">
      <alignment horizontal="center" vertical="center" wrapText="1"/>
    </xf>
    <xf numFmtId="0" fontId="2" fillId="35" borderId="93" xfId="0" applyFont="1" applyFill="1" applyBorder="1">
      <alignment vertical="center"/>
    </xf>
    <xf numFmtId="0" fontId="2" fillId="0" borderId="93" xfId="0" applyNumberFormat="1" applyFont="1" applyFill="1" applyBorder="1" applyAlignment="1">
      <alignment horizontal="center" vertical="center"/>
    </xf>
    <xf numFmtId="193" fontId="2" fillId="32" borderId="93" xfId="0" applyNumberFormat="1" applyFont="1" applyFill="1" applyBorder="1" applyAlignment="1">
      <alignment horizontal="center" vertical="center" wrapText="1"/>
    </xf>
    <xf numFmtId="194" fontId="42" fillId="32" borderId="93" xfId="4" applyNumberFormat="1" applyFont="1" applyFill="1" applyBorder="1">
      <alignment vertical="center"/>
    </xf>
    <xf numFmtId="0" fontId="51" fillId="33" borderId="93" xfId="0" applyFont="1" applyFill="1" applyBorder="1" applyAlignment="1">
      <alignment horizontal="center" vertical="center"/>
    </xf>
    <xf numFmtId="180" fontId="42" fillId="0" borderId="93" xfId="4" applyFont="1" applyFill="1" applyBorder="1">
      <alignment vertical="center"/>
    </xf>
    <xf numFmtId="0" fontId="2" fillId="33" borderId="93" xfId="0" applyFont="1" applyFill="1" applyBorder="1" applyAlignment="1">
      <alignment horizontal="left" vertical="center"/>
    </xf>
    <xf numFmtId="180" fontId="42" fillId="32" borderId="93" xfId="4" applyFont="1" applyFill="1" applyBorder="1">
      <alignment vertical="center"/>
    </xf>
    <xf numFmtId="0" fontId="74" fillId="33" borderId="0" xfId="0" applyFont="1" applyFill="1" applyAlignment="1">
      <alignment vertical="center"/>
    </xf>
    <xf numFmtId="0" fontId="26" fillId="22" borderId="93" xfId="0" applyFont="1" applyFill="1" applyBorder="1" applyAlignment="1">
      <alignment horizontal="center" vertical="center"/>
    </xf>
    <xf numFmtId="0" fontId="2" fillId="22" borderId="115" xfId="0" applyFont="1" applyFill="1" applyBorder="1" applyAlignment="1">
      <alignment vertical="center"/>
    </xf>
    <xf numFmtId="0" fontId="2" fillId="22" borderId="110" xfId="0" applyFont="1" applyFill="1" applyBorder="1" applyAlignment="1">
      <alignment vertical="center"/>
    </xf>
    <xf numFmtId="0" fontId="2" fillId="22" borderId="122" xfId="0" applyFont="1" applyFill="1" applyBorder="1" applyAlignment="1">
      <alignment vertical="center"/>
    </xf>
    <xf numFmtId="0" fontId="51" fillId="33" borderId="158" xfId="0" applyFont="1" applyFill="1" applyBorder="1" applyAlignment="1">
      <alignment horizontal="center" vertical="center"/>
    </xf>
    <xf numFmtId="0" fontId="51" fillId="33" borderId="160" xfId="0" applyFont="1" applyFill="1" applyBorder="1" applyAlignment="1">
      <alignment horizontal="center" vertical="center" wrapText="1"/>
    </xf>
    <xf numFmtId="0" fontId="51" fillId="33" borderId="153" xfId="0" applyFont="1" applyFill="1" applyBorder="1" applyAlignment="1">
      <alignment horizontal="center" vertical="center"/>
    </xf>
    <xf numFmtId="0" fontId="51" fillId="33" borderId="156" xfId="0" applyFont="1" applyFill="1" applyBorder="1" applyAlignment="1">
      <alignment horizontal="center" vertical="center"/>
    </xf>
    <xf numFmtId="0" fontId="51" fillId="33" borderId="157" xfId="0" applyFont="1" applyFill="1" applyBorder="1" applyAlignment="1">
      <alignment horizontal="left" vertical="center" wrapText="1"/>
    </xf>
    <xf numFmtId="180" fontId="42" fillId="0" borderId="156" xfId="4" applyFont="1" applyFill="1" applyBorder="1">
      <alignment vertical="center"/>
    </xf>
    <xf numFmtId="180" fontId="42" fillId="0" borderId="157" xfId="4" applyFont="1" applyFill="1" applyBorder="1">
      <alignment vertical="center"/>
    </xf>
    <xf numFmtId="180" fontId="42" fillId="30" borderId="158" xfId="4" applyFont="1" applyFill="1" applyBorder="1">
      <alignment vertical="center"/>
    </xf>
    <xf numFmtId="180" fontId="42" fillId="30" borderId="160" xfId="4" applyFont="1" applyFill="1" applyBorder="1">
      <alignment vertical="center"/>
    </xf>
    <xf numFmtId="0" fontId="51" fillId="33" borderId="158" xfId="0" applyFont="1" applyFill="1" applyBorder="1" applyAlignment="1">
      <alignment horizontal="center" vertical="center" wrapText="1"/>
    </xf>
    <xf numFmtId="0" fontId="51" fillId="33" borderId="159" xfId="0" applyFont="1" applyFill="1" applyBorder="1" applyAlignment="1">
      <alignment horizontal="center" vertical="center" wrapText="1"/>
    </xf>
    <xf numFmtId="0" fontId="51" fillId="0" borderId="152" xfId="0" applyFont="1" applyBorder="1" applyAlignment="1">
      <alignment horizontal="center" vertical="center"/>
    </xf>
    <xf numFmtId="180" fontId="42" fillId="0" borderId="156" xfId="4" applyFont="1" applyBorder="1">
      <alignment vertical="center"/>
    </xf>
    <xf numFmtId="180" fontId="42" fillId="0" borderId="157" xfId="4" applyFont="1" applyBorder="1">
      <alignment vertical="center"/>
    </xf>
    <xf numFmtId="0" fontId="51" fillId="0" borderId="152" xfId="0" applyFont="1" applyFill="1" applyBorder="1" applyAlignment="1">
      <alignment horizontal="center" vertical="center"/>
    </xf>
    <xf numFmtId="180" fontId="42" fillId="30" borderId="159" xfId="4" applyFont="1" applyFill="1" applyBorder="1">
      <alignment vertical="center"/>
    </xf>
    <xf numFmtId="180" fontId="42" fillId="32" borderId="153" xfId="4" applyFont="1" applyFill="1" applyBorder="1">
      <alignment vertical="center"/>
    </xf>
    <xf numFmtId="180" fontId="42" fillId="30" borderId="153" xfId="4" applyFont="1" applyFill="1" applyBorder="1">
      <alignment vertical="center"/>
    </xf>
    <xf numFmtId="180" fontId="42" fillId="30" borderId="156" xfId="4" applyFont="1" applyFill="1" applyBorder="1">
      <alignment vertical="center"/>
    </xf>
    <xf numFmtId="180" fontId="42" fillId="30" borderId="155" xfId="4" applyFont="1" applyFill="1" applyBorder="1">
      <alignment vertical="center"/>
    </xf>
    <xf numFmtId="180" fontId="42" fillId="30" borderId="157" xfId="4" applyFont="1" applyFill="1" applyBorder="1">
      <alignment vertical="center"/>
    </xf>
    <xf numFmtId="0" fontId="2" fillId="22" borderId="110" xfId="0" applyFont="1" applyFill="1" applyBorder="1" applyAlignment="1">
      <alignment vertical="center" wrapText="1"/>
    </xf>
    <xf numFmtId="180" fontId="42" fillId="30" borderId="154" xfId="4" applyFont="1" applyFill="1" applyBorder="1">
      <alignment vertical="center"/>
    </xf>
    <xf numFmtId="180" fontId="42" fillId="30" borderId="152" xfId="4" applyFont="1" applyFill="1" applyBorder="1">
      <alignment vertical="center"/>
    </xf>
    <xf numFmtId="180" fontId="42" fillId="32" borderId="156" xfId="4" applyFont="1" applyFill="1" applyBorder="1">
      <alignment vertical="center"/>
    </xf>
    <xf numFmtId="0" fontId="51" fillId="0" borderId="191" xfId="0" applyFont="1" applyBorder="1" applyAlignment="1">
      <alignment horizontal="center" vertical="center"/>
    </xf>
    <xf numFmtId="0" fontId="51" fillId="33" borderId="152" xfId="0" applyFont="1" applyFill="1" applyBorder="1" applyAlignment="1">
      <alignment horizontal="center" vertical="center"/>
    </xf>
    <xf numFmtId="0" fontId="51" fillId="33" borderId="191" xfId="0" applyFont="1" applyFill="1" applyBorder="1" applyAlignment="1">
      <alignment horizontal="center" vertical="center"/>
    </xf>
    <xf numFmtId="0" fontId="51" fillId="33" borderId="157" xfId="0" applyFont="1" applyFill="1" applyBorder="1" applyAlignment="1">
      <alignment horizontal="center" vertical="center"/>
    </xf>
    <xf numFmtId="180" fontId="42" fillId="32" borderId="155" xfId="4" applyFont="1" applyFill="1" applyBorder="1">
      <alignment vertical="center"/>
    </xf>
    <xf numFmtId="180" fontId="42" fillId="32" borderId="157" xfId="4" applyFont="1" applyFill="1" applyBorder="1">
      <alignment vertical="center"/>
    </xf>
    <xf numFmtId="180" fontId="42" fillId="32" borderId="158" xfId="4" applyFont="1" applyFill="1" applyBorder="1">
      <alignment vertical="center"/>
    </xf>
    <xf numFmtId="180" fontId="42" fillId="32" borderId="160" xfId="4" applyFont="1" applyFill="1" applyBorder="1">
      <alignment vertical="center"/>
    </xf>
    <xf numFmtId="180" fontId="42" fillId="32" borderId="154" xfId="4" applyFont="1" applyFill="1" applyBorder="1">
      <alignment vertical="center"/>
    </xf>
    <xf numFmtId="180" fontId="42" fillId="32" borderId="152" xfId="4" applyFont="1" applyFill="1" applyBorder="1">
      <alignment vertical="center"/>
    </xf>
    <xf numFmtId="180" fontId="42" fillId="32" borderId="159" xfId="4" applyFont="1" applyFill="1" applyBorder="1">
      <alignment vertical="center"/>
    </xf>
    <xf numFmtId="0" fontId="109" fillId="33" borderId="115" xfId="0" applyFont="1" applyFill="1" applyBorder="1" applyAlignment="1">
      <alignment horizontal="left" vertical="center" wrapText="1"/>
    </xf>
    <xf numFmtId="9" fontId="2" fillId="33" borderId="93" xfId="0" applyNumberFormat="1" applyFont="1" applyFill="1" applyBorder="1" applyAlignment="1">
      <alignment horizontal="center" vertical="center" wrapText="1"/>
    </xf>
    <xf numFmtId="0" fontId="109" fillId="33" borderId="93" xfId="0" applyFont="1" applyFill="1" applyBorder="1">
      <alignment vertical="center"/>
    </xf>
    <xf numFmtId="9" fontId="2" fillId="32" borderId="93" xfId="0" applyNumberFormat="1" applyFont="1" applyFill="1" applyBorder="1" applyAlignment="1">
      <alignment horizontal="center" vertical="center" wrapText="1"/>
    </xf>
    <xf numFmtId="0" fontId="2" fillId="33" borderId="115" xfId="0" applyFont="1" applyFill="1" applyBorder="1" applyAlignment="1">
      <alignment horizontal="left" vertical="center"/>
    </xf>
    <xf numFmtId="49" fontId="2" fillId="33" borderId="93" xfId="0" applyNumberFormat="1" applyFont="1" applyFill="1" applyBorder="1" applyAlignment="1">
      <alignment vertical="center"/>
    </xf>
    <xf numFmtId="0" fontId="109" fillId="33" borderId="115" xfId="0" applyFont="1" applyFill="1" applyBorder="1" applyAlignment="1">
      <alignment vertical="center"/>
    </xf>
    <xf numFmtId="49" fontId="74" fillId="16" borderId="0" xfId="0" applyNumberFormat="1" applyFont="1" applyFill="1">
      <alignment vertical="center"/>
    </xf>
    <xf numFmtId="49" fontId="0" fillId="0" borderId="0" xfId="0" applyNumberFormat="1" applyFill="1">
      <alignment vertical="center"/>
    </xf>
    <xf numFmtId="49" fontId="2" fillId="33" borderId="93" xfId="0" applyNumberFormat="1" applyFont="1" applyFill="1" applyBorder="1">
      <alignment vertical="center"/>
    </xf>
    <xf numFmtId="0" fontId="2" fillId="0" borderId="1" xfId="2" applyNumberFormat="1" applyFont="1" applyFill="1" applyBorder="1" applyAlignment="1" applyProtection="1">
      <alignment vertical="center" wrapText="1"/>
      <protection locked="0"/>
    </xf>
    <xf numFmtId="0" fontId="2" fillId="33" borderId="121" xfId="0" applyFont="1" applyFill="1" applyBorder="1" applyAlignment="1">
      <alignment vertical="center"/>
    </xf>
    <xf numFmtId="0" fontId="2" fillId="2" borderId="15" xfId="2" applyNumberFormat="1" applyFont="1" applyFill="1" applyBorder="1" applyAlignment="1" applyProtection="1">
      <alignment horizontal="left" vertical="center"/>
    </xf>
    <xf numFmtId="0" fontId="2" fillId="2" borderId="8" xfId="0" applyFont="1" applyFill="1" applyBorder="1" applyAlignment="1" applyProtection="1">
      <alignment vertical="center"/>
    </xf>
    <xf numFmtId="4" fontId="2" fillId="2" borderId="0" xfId="0" applyNumberFormat="1" applyFont="1" applyFill="1" applyBorder="1" applyAlignment="1" applyProtection="1">
      <alignment horizontal="right" vertical="center"/>
    </xf>
    <xf numFmtId="0" fontId="2" fillId="2" borderId="15" xfId="0" applyFont="1" applyFill="1" applyBorder="1" applyAlignment="1" applyProtection="1">
      <alignment vertical="center"/>
    </xf>
    <xf numFmtId="0" fontId="2" fillId="2" borderId="8" xfId="0" applyFont="1" applyFill="1" applyBorder="1">
      <alignment vertical="center"/>
    </xf>
    <xf numFmtId="180" fontId="42" fillId="30" borderId="23" xfId="4" applyNumberFormat="1" applyFont="1" applyFill="1" applyBorder="1" applyAlignment="1" applyProtection="1">
      <alignment vertical="center"/>
    </xf>
    <xf numFmtId="180" fontId="42" fillId="30" borderId="17" xfId="4" applyNumberFormat="1" applyFont="1" applyFill="1" applyBorder="1" applyAlignment="1" applyProtection="1">
      <alignment vertical="center"/>
    </xf>
    <xf numFmtId="0" fontId="2" fillId="2" borderId="15" xfId="0" applyFont="1" applyFill="1" applyBorder="1">
      <alignment vertical="center"/>
    </xf>
    <xf numFmtId="180" fontId="42" fillId="32" borderId="8" xfId="4" applyNumberFormat="1" applyFont="1" applyFill="1" applyBorder="1" applyAlignment="1" applyProtection="1">
      <alignment vertical="center"/>
    </xf>
    <xf numFmtId="180" fontId="42" fillId="30" borderId="8" xfId="4" applyNumberFormat="1" applyFont="1" applyFill="1" applyBorder="1" applyAlignment="1" applyProtection="1">
      <alignment vertical="center"/>
    </xf>
    <xf numFmtId="0" fontId="2" fillId="39" borderId="8" xfId="0" applyFont="1" applyFill="1" applyBorder="1" applyAlignment="1" applyProtection="1">
      <alignment horizontal="left" vertical="center"/>
      <protection locked="0"/>
    </xf>
    <xf numFmtId="180" fontId="42" fillId="33" borderId="23" xfId="4" applyNumberFormat="1" applyFont="1" applyFill="1" applyBorder="1" applyAlignment="1" applyProtection="1">
      <alignment vertical="center"/>
    </xf>
    <xf numFmtId="180" fontId="42" fillId="40" borderId="23" xfId="4" applyNumberFormat="1" applyFont="1" applyFill="1" applyBorder="1" applyAlignment="1" applyProtection="1">
      <alignment vertical="center"/>
      <protection locked="0"/>
    </xf>
    <xf numFmtId="180" fontId="42" fillId="33" borderId="23" xfId="4" applyNumberFormat="1" applyFont="1" applyFill="1" applyBorder="1" applyAlignment="1" applyProtection="1">
      <alignment vertical="center"/>
      <protection locked="0"/>
    </xf>
    <xf numFmtId="180" fontId="42" fillId="33" borderId="23" xfId="0" applyNumberFormat="1" applyFont="1" applyFill="1" applyBorder="1" applyAlignment="1" applyProtection="1">
      <alignment vertical="center"/>
      <protection locked="0"/>
    </xf>
    <xf numFmtId="180" fontId="42" fillId="33" borderId="12" xfId="4" applyNumberFormat="1" applyFont="1" applyFill="1" applyBorder="1" applyAlignment="1" applyProtection="1">
      <alignment vertical="center"/>
    </xf>
    <xf numFmtId="180" fontId="42" fillId="33" borderId="17" xfId="4" applyNumberFormat="1" applyFont="1" applyFill="1" applyBorder="1" applyAlignment="1" applyProtection="1">
      <alignment vertical="center"/>
    </xf>
    <xf numFmtId="0" fontId="2" fillId="2" borderId="8" xfId="2" applyNumberFormat="1" applyFont="1" applyFill="1" applyBorder="1" applyAlignment="1" applyProtection="1">
      <alignment horizontal="left" vertical="center"/>
    </xf>
    <xf numFmtId="0" fontId="11" fillId="22" borderId="93" xfId="2" applyFont="1" applyFill="1" applyBorder="1">
      <alignment vertical="center"/>
    </xf>
    <xf numFmtId="0" fontId="0" fillId="22" borderId="93" xfId="0" applyFill="1" applyBorder="1">
      <alignment vertical="center"/>
    </xf>
    <xf numFmtId="176" fontId="0" fillId="22" borderId="93" xfId="0" applyNumberFormat="1" applyFill="1" applyBorder="1" applyAlignment="1">
      <alignment horizontal="right" vertical="center"/>
    </xf>
    <xf numFmtId="180" fontId="42" fillId="41" borderId="3" xfId="0" applyNumberFormat="1" applyFont="1" applyFill="1" applyBorder="1" applyProtection="1">
      <alignment vertical="center"/>
    </xf>
    <xf numFmtId="0" fontId="12" fillId="0" borderId="0" xfId="2" applyNumberFormat="1" applyFont="1" applyFill="1" applyBorder="1" applyProtection="1">
      <alignment vertical="center"/>
      <protection locked="0"/>
    </xf>
    <xf numFmtId="0" fontId="0" fillId="0" borderId="0" xfId="0" applyProtection="1">
      <alignment vertical="center"/>
      <protection locked="0"/>
    </xf>
    <xf numFmtId="0" fontId="0" fillId="0" borderId="0" xfId="0">
      <alignment vertical="center"/>
    </xf>
    <xf numFmtId="0" fontId="67" fillId="0" borderId="0" xfId="0" applyFont="1" applyAlignment="1" applyProtection="1">
      <alignment horizontal="center"/>
      <protection locked="0"/>
    </xf>
    <xf numFmtId="0" fontId="9" fillId="0" borderId="0" xfId="0" applyFont="1" applyAlignment="1" applyProtection="1">
      <alignment horizontal="center"/>
      <protection locked="0"/>
    </xf>
    <xf numFmtId="0" fontId="6" fillId="0" borderId="0" xfId="0" applyFont="1" applyAlignment="1" applyProtection="1">
      <alignment horizontal="center"/>
      <protection locked="0"/>
    </xf>
    <xf numFmtId="0" fontId="2" fillId="0" borderId="0" xfId="0" applyFont="1" applyAlignment="1" applyProtection="1">
      <alignment horizontal="justify"/>
      <protection locked="0"/>
    </xf>
    <xf numFmtId="0" fontId="2" fillId="0" borderId="0" xfId="0" applyFont="1" applyProtection="1">
      <alignment vertical="center"/>
      <protection locked="0"/>
    </xf>
    <xf numFmtId="0" fontId="15" fillId="0" borderId="0" xfId="0" applyFont="1" applyProtection="1">
      <alignment vertical="center"/>
      <protection locked="0"/>
    </xf>
    <xf numFmtId="0" fontId="15" fillId="0" borderId="0" xfId="0" applyFont="1">
      <alignment vertical="center"/>
    </xf>
    <xf numFmtId="0" fontId="128" fillId="0" borderId="0" xfId="0" applyFont="1" applyAlignment="1" applyProtection="1">
      <alignment horizontal="center"/>
      <protection locked="0"/>
    </xf>
    <xf numFmtId="0" fontId="128" fillId="0" borderId="0" xfId="0" applyFont="1" applyProtection="1">
      <alignment vertical="center"/>
      <protection locked="0"/>
    </xf>
    <xf numFmtId="0" fontId="129" fillId="0" borderId="0" xfId="0" applyFont="1" applyProtection="1">
      <alignment vertical="center"/>
      <protection locked="0"/>
    </xf>
    <xf numFmtId="0" fontId="130" fillId="0" borderId="0" xfId="0" applyFont="1" applyAlignment="1" applyProtection="1">
      <alignment vertical="center"/>
      <protection locked="0"/>
    </xf>
    <xf numFmtId="0" fontId="130" fillId="0" borderId="0" xfId="0" applyFont="1" applyAlignment="1">
      <alignment vertical="center"/>
    </xf>
    <xf numFmtId="0" fontId="130" fillId="0" borderId="0" xfId="0" applyFont="1" applyAlignment="1" applyProtection="1">
      <alignment vertical="center"/>
      <protection locked="0"/>
    </xf>
    <xf numFmtId="0" fontId="130" fillId="0" borderId="0" xfId="0" applyFont="1" applyAlignment="1">
      <alignment vertical="center"/>
    </xf>
    <xf numFmtId="0" fontId="128" fillId="0" borderId="0" xfId="0" applyFont="1" applyFill="1" applyBorder="1" applyAlignment="1" applyProtection="1">
      <alignment vertical="top" wrapText="1"/>
      <protection locked="0"/>
    </xf>
    <xf numFmtId="0" fontId="130" fillId="0" borderId="0" xfId="0" applyFont="1" applyProtection="1">
      <alignment vertical="center"/>
      <protection locked="0"/>
    </xf>
    <xf numFmtId="0" fontId="0" fillId="0" borderId="0" xfId="0" applyFont="1">
      <alignment vertical="center"/>
    </xf>
    <xf numFmtId="0" fontId="2" fillId="2" borderId="0" xfId="0" applyFont="1" applyFill="1" applyProtection="1">
      <alignment vertical="center"/>
      <protection locked="0"/>
    </xf>
    <xf numFmtId="0" fontId="27" fillId="0" borderId="0" xfId="0" applyFont="1" applyProtection="1">
      <alignment vertical="center"/>
      <protection locked="0"/>
    </xf>
    <xf numFmtId="0" fontId="27" fillId="0" borderId="0" xfId="0" applyFont="1">
      <alignment vertical="center"/>
    </xf>
    <xf numFmtId="0" fontId="0" fillId="0" borderId="0" xfId="0" applyFont="1" applyProtection="1">
      <alignment vertical="center"/>
      <protection locked="0"/>
    </xf>
    <xf numFmtId="0" fontId="56" fillId="0" borderId="0" xfId="0" applyFont="1">
      <alignment vertical="center"/>
    </xf>
    <xf numFmtId="0" fontId="56" fillId="0" borderId="0" xfId="0" applyFont="1" applyProtection="1">
      <alignment vertical="center"/>
      <protection locked="0"/>
    </xf>
    <xf numFmtId="185" fontId="2" fillId="5" borderId="3" xfId="0" applyNumberFormat="1" applyFont="1" applyFill="1" applyBorder="1" applyAlignment="1" applyProtection="1">
      <alignment horizontal="center" vertical="center" wrapText="1"/>
    </xf>
    <xf numFmtId="0" fontId="2" fillId="5" borderId="3" xfId="0" applyNumberFormat="1" applyFont="1" applyFill="1" applyBorder="1" applyAlignment="1" applyProtection="1">
      <alignment horizontal="center" shrinkToFit="1"/>
    </xf>
    <xf numFmtId="180" fontId="2" fillId="0" borderId="3" xfId="0" applyNumberFormat="1" applyFont="1" applyFill="1" applyBorder="1" applyAlignment="1" applyProtection="1">
      <alignment horizontal="center" vertical="center" shrinkToFit="1"/>
      <protection locked="0"/>
    </xf>
    <xf numFmtId="10" fontId="2" fillId="5" borderId="3" xfId="0" applyNumberFormat="1" applyFont="1" applyFill="1" applyBorder="1" applyAlignment="1" applyProtection="1">
      <alignment horizontal="center" vertical="center" shrinkToFit="1"/>
    </xf>
    <xf numFmtId="180" fontId="2" fillId="3" borderId="3" xfId="0" applyNumberFormat="1" applyFont="1" applyFill="1" applyBorder="1" applyAlignment="1" applyProtection="1">
      <alignment horizontal="center" vertical="center" wrapText="1"/>
    </xf>
    <xf numFmtId="10" fontId="2" fillId="3" borderId="3" xfId="0" applyNumberFormat="1" applyFont="1" applyFill="1" applyBorder="1" applyAlignment="1" applyProtection="1">
      <alignment horizontal="center" vertical="center" wrapText="1"/>
    </xf>
    <xf numFmtId="0" fontId="2" fillId="2" borderId="3" xfId="0" applyFont="1" applyFill="1" applyBorder="1" applyAlignment="1" applyProtection="1">
      <alignment horizontal="center" vertical="center" wrapText="1"/>
      <protection locked="0"/>
    </xf>
    <xf numFmtId="0" fontId="2" fillId="0" borderId="3" xfId="0" applyFont="1" applyBorder="1" applyAlignment="1" applyProtection="1">
      <alignment horizontal="center" wrapText="1"/>
      <protection locked="0"/>
    </xf>
    <xf numFmtId="0" fontId="27" fillId="0" borderId="0" xfId="0" applyFont="1" applyAlignment="1" applyProtection="1">
      <alignment vertical="center"/>
      <protection locked="0"/>
    </xf>
    <xf numFmtId="0" fontId="27" fillId="0" borderId="0" xfId="0" applyFont="1" applyAlignment="1">
      <alignment vertical="center"/>
    </xf>
    <xf numFmtId="0" fontId="27" fillId="0" borderId="0" xfId="0" applyFont="1" applyAlignment="1" applyProtection="1">
      <alignment horizontal="left" vertical="center" wrapText="1"/>
      <protection locked="0"/>
    </xf>
    <xf numFmtId="0" fontId="27" fillId="0" borderId="0" xfId="0" applyFont="1" applyAlignment="1" applyProtection="1">
      <alignment horizontal="center" vertical="center"/>
      <protection locked="0"/>
    </xf>
    <xf numFmtId="0" fontId="131" fillId="0" borderId="0" xfId="0" applyFont="1" applyAlignment="1" applyProtection="1">
      <alignment vertical="center"/>
      <protection locked="0"/>
    </xf>
    <xf numFmtId="0" fontId="131" fillId="0" borderId="0" xfId="0" applyFont="1" applyAlignment="1">
      <alignment vertical="center"/>
    </xf>
    <xf numFmtId="180" fontId="27" fillId="0" borderId="0" xfId="4" applyFont="1" applyFill="1" applyBorder="1" applyAlignment="1" applyProtection="1">
      <alignment vertical="center"/>
      <protection locked="0"/>
    </xf>
    <xf numFmtId="0" fontId="27" fillId="2" borderId="0" xfId="0" applyFont="1" applyFill="1" applyAlignment="1" applyProtection="1">
      <alignment horizontal="center" vertical="center"/>
      <protection locked="0"/>
    </xf>
    <xf numFmtId="0" fontId="27" fillId="2" borderId="0" xfId="0" applyFont="1" applyFill="1" applyAlignment="1" applyProtection="1">
      <alignment vertical="center"/>
      <protection locked="0"/>
    </xf>
    <xf numFmtId="180" fontId="39" fillId="3" borderId="0" xfId="0" applyNumberFormat="1" applyFont="1" applyFill="1" applyAlignment="1" applyProtection="1">
      <alignment vertical="center" shrinkToFit="1"/>
    </xf>
    <xf numFmtId="0" fontId="27" fillId="2" borderId="3" xfId="0" applyFont="1" applyFill="1" applyBorder="1" applyAlignment="1" applyProtection="1">
      <alignment horizontal="center" vertical="center"/>
      <protection locked="0"/>
    </xf>
    <xf numFmtId="0" fontId="27" fillId="2" borderId="4" xfId="0" applyFont="1" applyFill="1" applyBorder="1" applyAlignment="1" applyProtection="1">
      <alignment horizontal="center" vertical="center"/>
      <protection hidden="1"/>
    </xf>
    <xf numFmtId="180" fontId="39" fillId="5" borderId="3" xfId="0" applyNumberFormat="1" applyFont="1" applyFill="1" applyBorder="1" applyAlignment="1" applyProtection="1">
      <alignment vertical="center" shrinkToFit="1"/>
    </xf>
    <xf numFmtId="180" fontId="27" fillId="4" borderId="3" xfId="0" applyNumberFormat="1" applyFont="1" applyFill="1" applyBorder="1" applyAlignment="1" applyProtection="1">
      <alignment horizontal="center" vertical="center" shrinkToFit="1"/>
      <protection locked="0"/>
    </xf>
    <xf numFmtId="180" fontId="39" fillId="4" borderId="3" xfId="0" applyNumberFormat="1" applyFont="1" applyFill="1" applyBorder="1" applyAlignment="1" applyProtection="1">
      <alignment vertical="center" shrinkToFit="1"/>
      <protection locked="0"/>
    </xf>
    <xf numFmtId="180" fontId="27" fillId="4" borderId="3" xfId="0" applyNumberFormat="1" applyFont="1" applyFill="1" applyBorder="1" applyAlignment="1" applyProtection="1">
      <alignment horizontal="center" vertical="center"/>
      <protection locked="0"/>
    </xf>
    <xf numFmtId="0" fontId="27" fillId="2" borderId="0" xfId="0" applyFont="1" applyFill="1" applyAlignment="1" applyProtection="1">
      <alignment vertical="center" wrapText="1"/>
      <protection locked="0"/>
    </xf>
    <xf numFmtId="180" fontId="39" fillId="3" borderId="3" xfId="0" applyNumberFormat="1" applyFont="1" applyFill="1" applyBorder="1" applyAlignment="1" applyProtection="1">
      <alignment vertical="center" shrinkToFit="1"/>
    </xf>
    <xf numFmtId="180" fontId="27" fillId="2" borderId="3" xfId="0" applyNumberFormat="1" applyFont="1" applyFill="1" applyBorder="1" applyAlignment="1" applyProtection="1">
      <alignment horizontal="center" vertical="center"/>
      <protection locked="0"/>
    </xf>
    <xf numFmtId="0" fontId="27" fillId="0" borderId="0" xfId="0" applyFont="1" applyAlignment="1" applyProtection="1">
      <alignment vertical="center" wrapText="1"/>
      <protection locked="0"/>
    </xf>
    <xf numFmtId="0" fontId="27" fillId="0" borderId="0" xfId="0" applyFont="1" applyAlignment="1">
      <alignment vertical="center" wrapText="1"/>
    </xf>
    <xf numFmtId="180" fontId="39" fillId="3" borderId="0" xfId="0" applyNumberFormat="1" applyFont="1" applyFill="1" applyAlignment="1" applyProtection="1">
      <alignment vertical="center"/>
    </xf>
    <xf numFmtId="0" fontId="27" fillId="4" borderId="3" xfId="0" applyFont="1" applyFill="1" applyBorder="1" applyAlignment="1" applyProtection="1">
      <alignment horizontal="center" vertical="center"/>
      <protection locked="0"/>
    </xf>
    <xf numFmtId="180" fontId="39" fillId="3" borderId="4" xfId="0" applyNumberFormat="1" applyFont="1" applyFill="1" applyBorder="1" applyAlignment="1" applyProtection="1">
      <alignment vertical="center" shrinkToFit="1"/>
    </xf>
    <xf numFmtId="180" fontId="27" fillId="2" borderId="3" xfId="0" applyNumberFormat="1" applyFont="1" applyFill="1" applyBorder="1" applyAlignment="1" applyProtection="1">
      <alignment horizontal="center" vertical="center" shrinkToFit="1"/>
      <protection locked="0"/>
    </xf>
    <xf numFmtId="0" fontId="27" fillId="2" borderId="0" xfId="0" applyFont="1" applyFill="1" applyBorder="1" applyAlignment="1" applyProtection="1">
      <alignment vertical="center"/>
      <protection locked="0"/>
    </xf>
    <xf numFmtId="180" fontId="27" fillId="2" borderId="0" xfId="0" applyNumberFormat="1" applyFont="1" applyFill="1" applyBorder="1" applyAlignment="1" applyProtection="1">
      <alignment vertical="center"/>
    </xf>
    <xf numFmtId="180" fontId="27" fillId="2" borderId="0" xfId="0" applyNumberFormat="1" applyFont="1" applyFill="1" applyBorder="1" applyAlignment="1" applyProtection="1">
      <alignment vertical="center"/>
      <protection locked="0"/>
    </xf>
    <xf numFmtId="0" fontId="12" fillId="0" borderId="0" xfId="2" applyNumberFormat="1" applyFont="1" applyFill="1" applyBorder="1" applyAlignment="1" applyProtection="1">
      <alignment vertical="center" wrapText="1"/>
      <protection locked="0"/>
    </xf>
    <xf numFmtId="180" fontId="27" fillId="5" borderId="0" xfId="4" applyFont="1" applyFill="1" applyBorder="1" applyAlignment="1" applyProtection="1">
      <alignment vertical="center" wrapText="1"/>
    </xf>
    <xf numFmtId="0" fontId="131" fillId="2" borderId="0" xfId="0" applyFont="1" applyFill="1" applyBorder="1" applyAlignment="1" applyProtection="1">
      <alignment vertical="center"/>
      <protection locked="0"/>
    </xf>
    <xf numFmtId="180" fontId="27" fillId="0" borderId="0" xfId="4" applyFont="1" applyFill="1" applyBorder="1" applyAlignment="1" applyProtection="1">
      <alignment vertical="center" wrapText="1"/>
      <protection locked="0"/>
    </xf>
    <xf numFmtId="0" fontId="27" fillId="2" borderId="20" xfId="0" applyFont="1" applyFill="1" applyBorder="1" applyAlignment="1" applyProtection="1">
      <alignment vertical="center"/>
      <protection locked="0"/>
    </xf>
    <xf numFmtId="180" fontId="39" fillId="3" borderId="20" xfId="0" applyNumberFormat="1" applyFont="1" applyFill="1" applyBorder="1" applyAlignment="1" applyProtection="1">
      <alignment vertical="center" shrinkToFit="1"/>
    </xf>
    <xf numFmtId="186" fontId="27" fillId="2" borderId="0" xfId="0" applyNumberFormat="1" applyFont="1" applyFill="1" applyBorder="1" applyAlignment="1" applyProtection="1">
      <alignment vertical="center" wrapText="1"/>
      <protection locked="0"/>
    </xf>
    <xf numFmtId="0" fontId="27" fillId="2" borderId="3" xfId="0" applyFont="1" applyFill="1" applyBorder="1" applyAlignment="1" applyProtection="1">
      <alignment horizontal="center" vertical="center"/>
      <protection hidden="1"/>
    </xf>
    <xf numFmtId="0" fontId="27" fillId="22" borderId="0" xfId="0" applyFont="1" applyFill="1" applyAlignment="1" applyProtection="1">
      <alignment vertical="center"/>
      <protection locked="0"/>
    </xf>
    <xf numFmtId="180" fontId="39" fillId="42" borderId="3" xfId="5" applyNumberFormat="1" applyFont="1" applyFill="1" applyBorder="1" applyAlignment="1" applyProtection="1">
      <alignment vertical="center" shrinkToFit="1"/>
    </xf>
    <xf numFmtId="180" fontId="0" fillId="0" borderId="3" xfId="5" applyNumberFormat="1" applyFont="1" applyFill="1" applyBorder="1" applyAlignment="1" applyProtection="1">
      <alignment vertical="center" shrinkToFit="1"/>
    </xf>
    <xf numFmtId="180" fontId="0" fillId="0" borderId="3" xfId="5" applyNumberFormat="1" applyFont="1" applyFill="1" applyBorder="1" applyAlignment="1" applyProtection="1">
      <alignment vertical="center" shrinkToFit="1"/>
      <protection locked="0"/>
    </xf>
    <xf numFmtId="180" fontId="39" fillId="5" borderId="3" xfId="5" applyNumberFormat="1" applyFont="1" applyFill="1" applyBorder="1" applyAlignment="1" applyProtection="1">
      <alignment vertical="center" shrinkToFit="1"/>
    </xf>
    <xf numFmtId="180" fontId="39" fillId="5" borderId="3" xfId="5" applyNumberFormat="1" applyFont="1" applyFill="1" applyBorder="1" applyAlignment="1" applyProtection="1">
      <alignment horizontal="center" vertical="center" shrinkToFit="1"/>
    </xf>
    <xf numFmtId="180" fontId="39" fillId="31" borderId="3" xfId="5" applyNumberFormat="1" applyFont="1" applyFill="1" applyBorder="1" applyAlignment="1" applyProtection="1">
      <alignment horizontal="center" vertical="center" shrinkToFit="1"/>
    </xf>
    <xf numFmtId="180" fontId="39" fillId="32" borderId="3" xfId="5" applyNumberFormat="1" applyFont="1" applyFill="1" applyBorder="1" applyAlignment="1" applyProtection="1">
      <alignment vertical="center" shrinkToFit="1"/>
      <protection locked="0"/>
    </xf>
    <xf numFmtId="0" fontId="27" fillId="0" borderId="0" xfId="0" applyFont="1" applyBorder="1" applyAlignment="1" applyProtection="1">
      <alignment horizontal="left" vertical="center"/>
      <protection locked="0"/>
    </xf>
    <xf numFmtId="0" fontId="2" fillId="0" borderId="0" xfId="0" applyFont="1" applyAlignment="1" applyProtection="1">
      <alignment vertical="center"/>
      <protection locked="0"/>
    </xf>
    <xf numFmtId="0" fontId="0" fillId="0" borderId="0" xfId="0" applyFill="1" applyProtection="1">
      <alignment vertical="center"/>
      <protection locked="0"/>
    </xf>
    <xf numFmtId="0" fontId="27" fillId="0" borderId="0" xfId="0" applyFont="1" applyBorder="1" applyAlignment="1" applyProtection="1">
      <alignment vertical="center"/>
      <protection locked="0"/>
    </xf>
    <xf numFmtId="180" fontId="0" fillId="0" borderId="3" xfId="5" applyNumberFormat="1" applyFont="1" applyFill="1" applyBorder="1" applyAlignment="1" applyProtection="1">
      <alignment horizontal="right" vertical="center" shrinkToFit="1"/>
    </xf>
    <xf numFmtId="180" fontId="39" fillId="0" borderId="3" xfId="5" applyNumberFormat="1" applyFont="1" applyFill="1" applyBorder="1" applyAlignment="1" applyProtection="1">
      <alignment vertical="center" shrinkToFit="1"/>
      <protection locked="0"/>
    </xf>
    <xf numFmtId="180" fontId="39" fillId="0" borderId="3" xfId="5" applyNumberFormat="1" applyFont="1" applyFill="1" applyBorder="1" applyAlignment="1" applyProtection="1">
      <alignment horizontal="right" vertical="center" shrinkToFit="1"/>
      <protection locked="0"/>
    </xf>
    <xf numFmtId="195" fontId="27" fillId="2" borderId="3" xfId="5" applyNumberFormat="1" applyFont="1" applyFill="1" applyBorder="1" applyAlignment="1" applyProtection="1">
      <alignment horizontal="center" vertical="center" shrinkToFit="1"/>
    </xf>
    <xf numFmtId="180" fontId="39" fillId="3" borderId="3" xfId="5" applyNumberFormat="1" applyFont="1" applyFill="1" applyBorder="1" applyAlignment="1" applyProtection="1">
      <alignment vertical="center" shrinkToFit="1"/>
    </xf>
    <xf numFmtId="180" fontId="0" fillId="2" borderId="3" xfId="5" applyNumberFormat="1" applyFont="1" applyFill="1" applyBorder="1" applyAlignment="1" applyProtection="1">
      <alignment vertical="center" shrinkToFit="1"/>
    </xf>
    <xf numFmtId="180" fontId="18" fillId="0" borderId="0" xfId="0" applyNumberFormat="1" applyFont="1" applyBorder="1" applyAlignment="1" applyProtection="1">
      <alignment horizontal="left" vertical="center"/>
    </xf>
    <xf numFmtId="180" fontId="39" fillId="3" borderId="0" xfId="0" applyNumberFormat="1" applyFont="1" applyFill="1" applyBorder="1" applyAlignment="1" applyProtection="1">
      <alignment vertical="center" shrinkToFit="1"/>
    </xf>
    <xf numFmtId="0" fontId="27" fillId="2" borderId="0" xfId="0" applyFont="1" applyFill="1" applyBorder="1" applyAlignment="1" applyProtection="1">
      <alignment vertical="center" shrinkToFit="1"/>
      <protection locked="0"/>
    </xf>
    <xf numFmtId="0" fontId="27" fillId="2" borderId="3" xfId="0" applyFont="1" applyFill="1" applyBorder="1" applyAlignment="1" applyProtection="1">
      <alignment horizontal="center" vertical="center" shrinkToFit="1"/>
      <protection locked="0"/>
    </xf>
    <xf numFmtId="0" fontId="27" fillId="22" borderId="0" xfId="0" applyFont="1" applyFill="1" applyBorder="1" applyAlignment="1" applyProtection="1">
      <alignment horizontal="left" vertical="center"/>
      <protection locked="0"/>
    </xf>
    <xf numFmtId="195" fontId="27" fillId="0" borderId="3" xfId="5" applyNumberFormat="1" applyFont="1" applyFill="1" applyBorder="1" applyAlignment="1" applyProtection="1">
      <alignment horizontal="center" vertical="center" shrinkToFit="1"/>
    </xf>
    <xf numFmtId="195" fontId="27" fillId="0" borderId="30" xfId="5" applyNumberFormat="1" applyFont="1" applyFill="1" applyBorder="1" applyAlignment="1" applyProtection="1">
      <alignment horizontal="center" vertical="center" shrinkToFit="1"/>
    </xf>
    <xf numFmtId="180" fontId="39" fillId="4" borderId="3" xfId="5" applyNumberFormat="1" applyFont="1" applyFill="1" applyBorder="1" applyAlignment="1" applyProtection="1">
      <alignment vertical="center" shrinkToFit="1"/>
      <protection locked="0"/>
    </xf>
    <xf numFmtId="180" fontId="39" fillId="4" borderId="30" xfId="5" applyNumberFormat="1" applyFont="1" applyFill="1" applyBorder="1" applyAlignment="1" applyProtection="1">
      <alignment vertical="center" shrinkToFit="1"/>
      <protection locked="0"/>
    </xf>
    <xf numFmtId="180" fontId="39" fillId="3" borderId="30" xfId="5" applyNumberFormat="1" applyFont="1" applyFill="1" applyBorder="1" applyAlignment="1" applyProtection="1">
      <alignment vertical="center" shrinkToFit="1"/>
    </xf>
    <xf numFmtId="0" fontId="27" fillId="2" borderId="0" xfId="0" applyFont="1" applyFill="1" applyBorder="1" applyAlignment="1" applyProtection="1">
      <alignment horizontal="center" vertical="center" wrapText="1"/>
      <protection locked="0"/>
    </xf>
    <xf numFmtId="190" fontId="27" fillId="2" borderId="0" xfId="5" applyNumberFormat="1" applyFont="1" applyFill="1" applyBorder="1" applyAlignment="1" applyProtection="1">
      <alignment horizontal="right" vertical="center" wrapText="1"/>
      <protection locked="0"/>
    </xf>
    <xf numFmtId="190" fontId="27" fillId="2" borderId="0" xfId="5" applyNumberFormat="1" applyFont="1" applyFill="1" applyBorder="1" applyAlignment="1" applyProtection="1">
      <alignment horizontal="right" vertical="center"/>
      <protection locked="0"/>
    </xf>
    <xf numFmtId="0" fontId="128" fillId="2" borderId="0" xfId="0" applyFont="1" applyFill="1" applyAlignment="1" applyProtection="1">
      <alignment vertical="center"/>
      <protection locked="0"/>
    </xf>
    <xf numFmtId="0" fontId="128" fillId="2" borderId="0" xfId="0" applyFont="1" applyFill="1" applyAlignment="1" applyProtection="1">
      <alignment horizontal="left" vertical="center"/>
      <protection locked="0"/>
    </xf>
    <xf numFmtId="0" fontId="2" fillId="0" borderId="0" xfId="0" applyFont="1" applyAlignment="1">
      <alignment vertical="center"/>
    </xf>
    <xf numFmtId="0" fontId="27" fillId="0" borderId="0" xfId="0" applyFont="1">
      <alignment vertical="center"/>
    </xf>
    <xf numFmtId="180" fontId="42" fillId="30" borderId="0" xfId="4" applyNumberFormat="1" applyFont="1" applyFill="1" applyBorder="1" applyAlignment="1" applyProtection="1">
      <alignment vertical="center"/>
    </xf>
    <xf numFmtId="180" fontId="42" fillId="17" borderId="8" xfId="4" applyNumberFormat="1" applyFont="1" applyFill="1" applyBorder="1" applyAlignment="1" applyProtection="1">
      <alignment vertical="center"/>
      <protection locked="0"/>
    </xf>
    <xf numFmtId="180" fontId="42" fillId="17" borderId="23" xfId="4" applyNumberFormat="1" applyFont="1" applyFill="1" applyBorder="1" applyAlignment="1" applyProtection="1">
      <alignment vertical="center"/>
      <protection locked="0"/>
    </xf>
    <xf numFmtId="180" fontId="42" fillId="41" borderId="8" xfId="4" applyNumberFormat="1" applyFont="1" applyFill="1" applyBorder="1" applyAlignment="1" applyProtection="1">
      <alignment vertical="center"/>
    </xf>
    <xf numFmtId="0" fontId="2" fillId="2" borderId="23" xfId="0" applyFont="1" applyFill="1" applyBorder="1">
      <alignment vertical="center"/>
    </xf>
    <xf numFmtId="180" fontId="42" fillId="40" borderId="8" xfId="4" applyNumberFormat="1" applyFont="1" applyFill="1" applyBorder="1" applyAlignment="1" applyProtection="1">
      <alignment vertical="center"/>
      <protection locked="0"/>
    </xf>
    <xf numFmtId="180" fontId="42" fillId="33" borderId="8" xfId="4" applyNumberFormat="1" applyFont="1" applyFill="1" applyBorder="1" applyAlignment="1" applyProtection="1">
      <alignment vertical="center"/>
    </xf>
    <xf numFmtId="180" fontId="42" fillId="40" borderId="8" xfId="4" applyNumberFormat="1" applyFont="1" applyFill="1" applyBorder="1" applyAlignment="1" applyProtection="1">
      <alignment vertical="center"/>
    </xf>
    <xf numFmtId="0" fontId="2" fillId="33" borderId="0" xfId="0" applyFont="1" applyFill="1">
      <alignment vertical="center"/>
    </xf>
    <xf numFmtId="0" fontId="74" fillId="33" borderId="0" xfId="0" applyFont="1" applyFill="1">
      <alignment vertical="center"/>
    </xf>
    <xf numFmtId="0" fontId="74" fillId="33" borderId="0" xfId="0" applyFont="1" applyFill="1" applyAlignment="1">
      <alignment vertical="center" wrapText="1"/>
    </xf>
    <xf numFmtId="0" fontId="2" fillId="33" borderId="192" xfId="0" applyFont="1" applyFill="1" applyBorder="1" applyAlignment="1">
      <alignment horizontal="right" vertical="center"/>
    </xf>
    <xf numFmtId="0" fontId="2" fillId="33" borderId="195" xfId="0" applyFont="1" applyFill="1" applyBorder="1" applyAlignment="1">
      <alignment horizontal="left" vertical="center"/>
    </xf>
    <xf numFmtId="0" fontId="2" fillId="33" borderId="174" xfId="0" applyFont="1" applyFill="1" applyBorder="1" applyAlignment="1">
      <alignment horizontal="center" vertical="center" wrapText="1"/>
    </xf>
    <xf numFmtId="0" fontId="2" fillId="33" borderId="196" xfId="0" applyFont="1" applyFill="1" applyBorder="1" applyAlignment="1">
      <alignment horizontal="center" vertical="center" wrapText="1"/>
    </xf>
    <xf numFmtId="10" fontId="1" fillId="33" borderId="174" xfId="0" applyNumberFormat="1" applyFont="1" applyFill="1" applyBorder="1" applyAlignment="1">
      <alignment horizontal="right" vertical="center"/>
    </xf>
    <xf numFmtId="10" fontId="1" fillId="33" borderId="196" xfId="0" applyNumberFormat="1" applyFont="1" applyFill="1" applyBorder="1" applyAlignment="1">
      <alignment horizontal="right" vertical="center"/>
    </xf>
    <xf numFmtId="49" fontId="2" fillId="33" borderId="195" xfId="0" applyNumberFormat="1" applyFont="1" applyFill="1" applyBorder="1" applyAlignment="1">
      <alignment horizontal="left" vertical="center"/>
    </xf>
    <xf numFmtId="10" fontId="1" fillId="33" borderId="196" xfId="0" applyNumberFormat="1" applyFont="1" applyFill="1" applyBorder="1" applyAlignment="1">
      <alignment horizontal="right" vertical="center" wrapText="1"/>
    </xf>
    <xf numFmtId="49" fontId="2" fillId="33" borderId="197" xfId="0" applyNumberFormat="1" applyFont="1" applyFill="1" applyBorder="1" applyAlignment="1">
      <alignment horizontal="left" vertical="center"/>
    </xf>
    <xf numFmtId="10" fontId="1" fillId="33" borderId="198" xfId="0" applyNumberFormat="1" applyFont="1" applyFill="1" applyBorder="1" applyAlignment="1">
      <alignment horizontal="right" vertical="center"/>
    </xf>
    <xf numFmtId="10" fontId="1" fillId="33" borderId="199" xfId="0" applyNumberFormat="1" applyFont="1" applyFill="1" applyBorder="1" applyAlignment="1">
      <alignment horizontal="right" vertical="center" wrapText="1"/>
    </xf>
    <xf numFmtId="0" fontId="12" fillId="0" borderId="0" xfId="2" applyProtection="1">
      <alignment vertical="center"/>
      <protection locked="0"/>
    </xf>
    <xf numFmtId="0" fontId="2" fillId="2" borderId="8" xfId="0" applyFont="1" applyFill="1" applyBorder="1" applyAlignment="1" applyProtection="1">
      <alignment horizontal="center" vertical="center"/>
      <protection locked="0"/>
    </xf>
    <xf numFmtId="180" fontId="42" fillId="3" borderId="9" xfId="0" applyNumberFormat="1" applyFont="1" applyFill="1" applyBorder="1" applyAlignment="1" applyProtection="1">
      <alignment vertical="center" shrinkToFit="1"/>
    </xf>
    <xf numFmtId="0" fontId="12" fillId="0" borderId="0" xfId="2" applyNumberFormat="1" applyFont="1" applyFill="1" applyBorder="1" applyProtection="1">
      <alignment vertical="center"/>
      <protection locked="0"/>
    </xf>
    <xf numFmtId="180" fontId="42" fillId="0" borderId="8" xfId="0" applyNumberFormat="1" applyFont="1" applyFill="1" applyBorder="1" applyAlignment="1" applyProtection="1">
      <alignment vertical="center" shrinkToFit="1"/>
    </xf>
    <xf numFmtId="180" fontId="2" fillId="2" borderId="8" xfId="0" applyNumberFormat="1" applyFont="1" applyFill="1" applyBorder="1" applyAlignment="1" applyProtection="1">
      <alignment vertical="center" wrapText="1" shrinkToFit="1"/>
      <protection locked="0"/>
    </xf>
    <xf numFmtId="180" fontId="2" fillId="0" borderId="8" xfId="0" applyNumberFormat="1" applyFont="1" applyFill="1" applyBorder="1" applyAlignment="1" applyProtection="1">
      <alignment vertical="center" wrapText="1" shrinkToFit="1"/>
      <protection locked="0"/>
    </xf>
    <xf numFmtId="0" fontId="2" fillId="0" borderId="68" xfId="0" applyFont="1" applyBorder="1" applyAlignment="1" applyProtection="1">
      <alignment vertical="center"/>
      <protection locked="0"/>
    </xf>
    <xf numFmtId="0" fontId="2" fillId="22" borderId="0" xfId="0" applyFont="1" applyFill="1">
      <alignment vertical="center"/>
    </xf>
    <xf numFmtId="180" fontId="132" fillId="0" borderId="0" xfId="4" applyFont="1" applyFill="1" applyBorder="1">
      <alignment vertical="center"/>
    </xf>
    <xf numFmtId="0" fontId="2" fillId="33" borderId="0" xfId="0" applyFont="1" applyFill="1" applyProtection="1">
      <alignment vertical="center"/>
      <protection locked="0"/>
    </xf>
    <xf numFmtId="0" fontId="42" fillId="0" borderId="200" xfId="0" applyFont="1" applyBorder="1" applyProtection="1">
      <alignment vertical="center"/>
      <protection locked="0"/>
    </xf>
    <xf numFmtId="0" fontId="42" fillId="0" borderId="201" xfId="0" applyFont="1" applyBorder="1" applyProtection="1">
      <alignment vertical="center"/>
      <protection locked="0"/>
    </xf>
    <xf numFmtId="0" fontId="2" fillId="16" borderId="0" xfId="0" applyFont="1" applyFill="1" applyProtection="1">
      <alignment vertical="center"/>
      <protection locked="0"/>
    </xf>
    <xf numFmtId="0" fontId="2" fillId="0" borderId="0" xfId="0" applyFont="1" applyFill="1" applyAlignment="1">
      <alignment horizontal="right" vertical="center"/>
    </xf>
    <xf numFmtId="180" fontId="42" fillId="0" borderId="93" xfId="4" applyFont="1" applyFill="1" applyBorder="1">
      <alignment vertical="center"/>
    </xf>
    <xf numFmtId="0" fontId="11" fillId="0" borderId="93" xfId="2" applyFont="1" applyFill="1" applyBorder="1">
      <alignment vertical="center"/>
    </xf>
    <xf numFmtId="0" fontId="0" fillId="0" borderId="93" xfId="0" applyFill="1" applyBorder="1">
      <alignment vertical="center"/>
    </xf>
    <xf numFmtId="176" fontId="0" fillId="0" borderId="93" xfId="0" applyNumberFormat="1" applyFill="1" applyBorder="1" applyAlignment="1">
      <alignment horizontal="right" vertical="center"/>
    </xf>
    <xf numFmtId="0" fontId="133" fillId="4" borderId="0" xfId="0" applyFont="1" applyFill="1" applyAlignment="1">
      <alignment horizontal="left" vertical="center"/>
    </xf>
    <xf numFmtId="180" fontId="42" fillId="0" borderId="8" xfId="0" applyNumberFormat="1" applyFont="1" applyFill="1" applyBorder="1" applyAlignment="1" applyProtection="1">
      <alignment vertical="center"/>
      <protection locked="0"/>
    </xf>
    <xf numFmtId="180" fontId="42" fillId="0" borderId="63" xfId="0" applyNumberFormat="1" applyFont="1" applyFill="1" applyBorder="1" applyAlignment="1" applyProtection="1">
      <alignment vertical="center"/>
      <protection locked="0"/>
    </xf>
    <xf numFmtId="180" fontId="42" fillId="0" borderId="93" xfId="4" applyFont="1" applyFill="1" applyBorder="1">
      <alignment vertical="center"/>
    </xf>
    <xf numFmtId="49" fontId="0" fillId="0" borderId="0" xfId="0" applyNumberFormat="1" applyFill="1" applyAlignment="1">
      <alignment vertical="center"/>
    </xf>
    <xf numFmtId="49" fontId="2" fillId="15" borderId="93" xfId="0" applyNumberFormat="1" applyFont="1" applyFill="1" applyBorder="1" applyAlignment="1">
      <alignment vertical="center"/>
    </xf>
    <xf numFmtId="0" fontId="0" fillId="0" borderId="0" xfId="0" applyFill="1" applyAlignment="1">
      <alignment vertical="center"/>
    </xf>
    <xf numFmtId="49" fontId="2" fillId="15" borderId="93" xfId="0" applyNumberFormat="1" applyFont="1" applyFill="1" applyBorder="1" applyAlignment="1">
      <alignment horizontal="left" vertical="center"/>
    </xf>
    <xf numFmtId="49" fontId="2" fillId="15" borderId="93" xfId="0" applyNumberFormat="1" applyFont="1" applyFill="1" applyBorder="1" applyAlignment="1">
      <alignment vertical="center"/>
    </xf>
    <xf numFmtId="49" fontId="2" fillId="15" borderId="116" xfId="0" applyNumberFormat="1" applyFont="1" applyFill="1" applyBorder="1" applyAlignment="1">
      <alignment vertical="center"/>
    </xf>
    <xf numFmtId="49" fontId="2" fillId="0" borderId="0" xfId="0" applyNumberFormat="1" applyFont="1" applyFill="1" applyAlignment="1">
      <alignment vertical="center"/>
    </xf>
    <xf numFmtId="49" fontId="2" fillId="15" borderId="3" xfId="0" applyNumberFormat="1" applyFont="1" applyFill="1" applyBorder="1" applyAlignment="1">
      <alignment vertical="center"/>
    </xf>
    <xf numFmtId="49" fontId="2" fillId="15" borderId="116" xfId="0" applyNumberFormat="1" applyFont="1" applyFill="1" applyBorder="1" applyAlignment="1">
      <alignment vertical="center"/>
    </xf>
    <xf numFmtId="49" fontId="2" fillId="0" borderId="0" xfId="0" applyNumberFormat="1" applyFont="1" applyFill="1" applyBorder="1" applyAlignment="1">
      <alignment vertical="center"/>
    </xf>
    <xf numFmtId="49" fontId="2" fillId="0" borderId="0" xfId="0" applyNumberFormat="1" applyFont="1" applyFill="1" applyAlignment="1">
      <alignment vertical="center"/>
    </xf>
    <xf numFmtId="49" fontId="2" fillId="15" borderId="115" xfId="0" applyNumberFormat="1" applyFont="1" applyFill="1" applyBorder="1" applyAlignment="1">
      <alignment horizontal="left" vertical="center"/>
    </xf>
    <xf numFmtId="49" fontId="2" fillId="0" borderId="0" xfId="0" applyNumberFormat="1" applyFont="1" applyFill="1" applyAlignment="1" applyProtection="1">
      <alignment vertical="center"/>
      <protection locked="0"/>
    </xf>
    <xf numFmtId="0" fontId="0" fillId="0" borderId="0" xfId="0" applyNumberFormat="1" applyFill="1" applyAlignment="1">
      <alignment vertical="center"/>
    </xf>
    <xf numFmtId="0" fontId="2" fillId="15" borderId="115" xfId="0" applyNumberFormat="1" applyFont="1" applyFill="1" applyBorder="1" applyAlignment="1">
      <alignment vertical="center"/>
    </xf>
    <xf numFmtId="0" fontId="0" fillId="0" borderId="93" xfId="0" applyFill="1" applyBorder="1" applyAlignment="1">
      <alignment vertical="center"/>
    </xf>
    <xf numFmtId="0" fontId="0" fillId="0" borderId="0" xfId="0" applyFill="1" applyBorder="1" applyAlignment="1">
      <alignment vertical="center"/>
    </xf>
    <xf numFmtId="0" fontId="25" fillId="0" borderId="0" xfId="0" applyNumberFormat="1" applyFont="1" applyFill="1" applyBorder="1" applyAlignment="1">
      <alignment vertical="center" wrapText="1"/>
    </xf>
    <xf numFmtId="0" fontId="2" fillId="0" borderId="0" xfId="0" applyNumberFormat="1" applyFont="1" applyFill="1" applyAlignment="1">
      <alignment vertical="center"/>
    </xf>
    <xf numFmtId="49" fontId="0" fillId="33" borderId="0" xfId="0" applyNumberFormat="1" applyFill="1" applyAlignment="1">
      <alignment vertical="center"/>
    </xf>
    <xf numFmtId="49" fontId="2" fillId="33" borderId="4" xfId="0" applyNumberFormat="1" applyFont="1" applyFill="1" applyBorder="1" applyAlignment="1">
      <alignment vertical="center" wrapText="1"/>
    </xf>
    <xf numFmtId="49" fontId="2" fillId="33" borderId="3" xfId="0" applyNumberFormat="1" applyFont="1" applyFill="1" applyBorder="1" applyAlignment="1">
      <alignment vertical="center" wrapText="1"/>
    </xf>
    <xf numFmtId="49" fontId="2" fillId="33" borderId="115" xfId="0" applyNumberFormat="1" applyFont="1" applyFill="1" applyBorder="1" applyAlignment="1">
      <alignment vertical="center" wrapText="1"/>
    </xf>
    <xf numFmtId="49" fontId="2" fillId="33" borderId="93" xfId="0" applyNumberFormat="1" applyFont="1" applyFill="1" applyBorder="1" applyAlignment="1">
      <alignment vertical="center"/>
    </xf>
    <xf numFmtId="49" fontId="2" fillId="33" borderId="29" xfId="0" applyNumberFormat="1" applyFont="1" applyFill="1" applyBorder="1" applyAlignment="1">
      <alignment vertical="center" wrapText="1"/>
    </xf>
    <xf numFmtId="49" fontId="2" fillId="33" borderId="30" xfId="0" applyNumberFormat="1" applyFont="1" applyFill="1" applyBorder="1" applyAlignment="1">
      <alignment vertical="center" wrapText="1"/>
    </xf>
    <xf numFmtId="0" fontId="2" fillId="33" borderId="93" xfId="0" applyNumberFormat="1" applyFont="1" applyFill="1" applyBorder="1" applyAlignment="1">
      <alignment vertical="center" wrapText="1"/>
    </xf>
    <xf numFmtId="0" fontId="2" fillId="35" borderId="5" xfId="0" applyNumberFormat="1" applyFont="1" applyFill="1" applyBorder="1" applyAlignment="1">
      <alignment vertical="center" wrapText="1"/>
    </xf>
    <xf numFmtId="0" fontId="2" fillId="35" borderId="93" xfId="0" applyNumberFormat="1" applyFont="1" applyFill="1" applyBorder="1" applyAlignment="1">
      <alignment vertical="center" wrapText="1"/>
    </xf>
    <xf numFmtId="49" fontId="2" fillId="33" borderId="93" xfId="0" applyNumberFormat="1" applyFont="1" applyFill="1" applyBorder="1" applyAlignment="1">
      <alignment vertical="center" wrapText="1"/>
    </xf>
    <xf numFmtId="49" fontId="2" fillId="33" borderId="115" xfId="0" applyNumberFormat="1" applyFont="1" applyFill="1" applyBorder="1" applyAlignment="1">
      <alignment vertical="center"/>
    </xf>
    <xf numFmtId="49" fontId="2" fillId="33" borderId="31" xfId="0" applyNumberFormat="1" applyFont="1" applyFill="1" applyBorder="1" applyAlignment="1">
      <alignment vertical="center" wrapText="1"/>
    </xf>
    <xf numFmtId="49" fontId="2" fillId="33" borderId="3" xfId="0" applyNumberFormat="1" applyFont="1" applyFill="1" applyBorder="1" applyAlignment="1">
      <alignment vertical="center" wrapText="1"/>
    </xf>
    <xf numFmtId="49" fontId="2" fillId="33" borderId="93" xfId="0" applyNumberFormat="1" applyFont="1" applyFill="1" applyBorder="1" applyAlignment="1">
      <alignment vertical="center" wrapText="1"/>
    </xf>
    <xf numFmtId="49" fontId="2" fillId="15" borderId="93" xfId="0" applyNumberFormat="1" applyFont="1" applyFill="1" applyBorder="1" applyAlignment="1">
      <alignment vertical="center"/>
    </xf>
    <xf numFmtId="49" fontId="2" fillId="15" borderId="93" xfId="0" applyNumberFormat="1" applyFont="1" applyFill="1" applyBorder="1" applyAlignment="1">
      <alignment vertical="center"/>
    </xf>
    <xf numFmtId="49" fontId="2" fillId="15" borderId="93" xfId="0" applyNumberFormat="1" applyFont="1" applyFill="1" applyBorder="1" applyAlignment="1">
      <alignment vertical="center" wrapText="1"/>
    </xf>
    <xf numFmtId="49" fontId="2" fillId="15" borderId="115" xfId="0" applyNumberFormat="1" applyFont="1" applyFill="1" applyBorder="1" applyAlignment="1">
      <alignment vertical="center"/>
    </xf>
    <xf numFmtId="49" fontId="2" fillId="15" borderId="3" xfId="0" applyNumberFormat="1" applyFont="1" applyFill="1" applyBorder="1" applyAlignment="1" applyProtection="1">
      <alignment vertical="center"/>
      <protection locked="0"/>
    </xf>
    <xf numFmtId="49" fontId="2" fillId="15" borderId="3" xfId="0" applyNumberFormat="1" applyFont="1" applyFill="1" applyBorder="1" applyAlignment="1" applyProtection="1">
      <alignment vertical="center" wrapText="1"/>
      <protection locked="0"/>
    </xf>
    <xf numFmtId="0" fontId="0" fillId="33" borderId="93" xfId="0" applyFill="1" applyBorder="1" applyAlignment="1">
      <alignment vertical="center"/>
    </xf>
    <xf numFmtId="49" fontId="2" fillId="33" borderId="93" xfId="0" applyNumberFormat="1" applyFont="1" applyFill="1" applyBorder="1" applyAlignment="1">
      <alignment vertical="center" wrapText="1"/>
    </xf>
    <xf numFmtId="49" fontId="2" fillId="33" borderId="116" xfId="0" applyNumberFormat="1" applyFont="1" applyFill="1" applyBorder="1" applyAlignment="1">
      <alignment vertical="center"/>
    </xf>
    <xf numFmtId="49" fontId="2" fillId="33" borderId="205" xfId="0" applyNumberFormat="1" applyFont="1" applyFill="1" applyBorder="1" applyAlignment="1">
      <alignment horizontal="left" vertical="center"/>
    </xf>
    <xf numFmtId="49" fontId="2" fillId="33" borderId="115" xfId="0" applyNumberFormat="1" applyFont="1" applyFill="1" applyBorder="1" applyAlignment="1">
      <alignment vertical="center" wrapText="1"/>
    </xf>
    <xf numFmtId="49" fontId="2" fillId="33" borderId="93" xfId="0" applyNumberFormat="1" applyFont="1" applyFill="1" applyBorder="1" applyAlignment="1">
      <alignment horizontal="center" vertical="center" wrapText="1"/>
    </xf>
    <xf numFmtId="49" fontId="2" fillId="33" borderId="93" xfId="0" applyNumberFormat="1" applyFont="1" applyFill="1" applyBorder="1" applyAlignment="1">
      <alignment horizontal="center" vertical="center" wrapText="1"/>
    </xf>
    <xf numFmtId="49" fontId="2" fillId="33" borderId="93" xfId="0" applyNumberFormat="1" applyFont="1" applyFill="1" applyBorder="1" applyAlignment="1">
      <alignment horizontal="left" vertical="center" wrapText="1"/>
    </xf>
    <xf numFmtId="49" fontId="2" fillId="33" borderId="116" xfId="0" applyNumberFormat="1" applyFont="1" applyFill="1" applyBorder="1" applyAlignment="1">
      <alignment vertical="center"/>
    </xf>
    <xf numFmtId="49" fontId="2" fillId="33" borderId="3" xfId="0" applyNumberFormat="1" applyFont="1" applyFill="1" applyBorder="1" applyAlignment="1" applyProtection="1">
      <alignment vertical="center" wrapText="1"/>
      <protection locked="0"/>
    </xf>
    <xf numFmtId="49" fontId="2" fillId="33" borderId="116" xfId="0" applyNumberFormat="1" applyFont="1" applyFill="1" applyBorder="1" applyAlignment="1" applyProtection="1">
      <alignment vertical="center"/>
      <protection locked="0"/>
    </xf>
    <xf numFmtId="49" fontId="2" fillId="33" borderId="93" xfId="0" applyNumberFormat="1" applyFont="1" applyFill="1" applyBorder="1" applyAlignment="1">
      <alignment vertical="center"/>
    </xf>
    <xf numFmtId="49" fontId="2" fillId="33" borderId="93" xfId="0" applyNumberFormat="1" applyFont="1" applyFill="1" applyBorder="1" applyAlignment="1" applyProtection="1">
      <alignment vertical="center"/>
      <protection locked="0"/>
    </xf>
    <xf numFmtId="49" fontId="2" fillId="0" borderId="93" xfId="0" applyNumberFormat="1" applyFont="1" applyFill="1" applyBorder="1" applyAlignment="1">
      <alignment vertical="center"/>
    </xf>
    <xf numFmtId="49" fontId="2" fillId="33" borderId="3" xfId="0" applyNumberFormat="1" applyFont="1" applyFill="1" applyBorder="1" applyAlignment="1">
      <alignment vertical="center"/>
    </xf>
    <xf numFmtId="49" fontId="2" fillId="32" borderId="93" xfId="0" applyNumberFormat="1" applyFont="1" applyFill="1" applyBorder="1" applyAlignment="1">
      <alignment vertical="center" wrapText="1"/>
    </xf>
    <xf numFmtId="0" fontId="2" fillId="0" borderId="0" xfId="0" applyFont="1" applyFill="1" applyBorder="1" applyProtection="1">
      <alignment vertical="center"/>
      <protection locked="0"/>
    </xf>
    <xf numFmtId="49" fontId="0" fillId="0" borderId="0" xfId="0" applyNumberFormat="1" applyFill="1" applyBorder="1" applyAlignment="1">
      <alignment vertical="center"/>
    </xf>
    <xf numFmtId="49" fontId="42" fillId="15" borderId="93" xfId="0" applyNumberFormat="1" applyFont="1" applyFill="1" applyBorder="1" applyAlignment="1">
      <alignment vertical="center" wrapText="1"/>
    </xf>
    <xf numFmtId="0" fontId="39" fillId="0" borderId="93" xfId="0" applyFont="1" applyFill="1" applyBorder="1" applyAlignment="1">
      <alignment vertical="center"/>
    </xf>
    <xf numFmtId="0" fontId="42" fillId="0" borderId="93" xfId="0" applyFont="1" applyFill="1" applyBorder="1" applyAlignment="1">
      <alignment vertical="center"/>
    </xf>
    <xf numFmtId="49" fontId="42" fillId="15" borderId="93" xfId="0" applyNumberFormat="1" applyFont="1" applyFill="1" applyBorder="1" applyAlignment="1">
      <alignment vertical="center"/>
    </xf>
    <xf numFmtId="49" fontId="42" fillId="15" borderId="116" xfId="0" applyNumberFormat="1" applyFont="1" applyFill="1" applyBorder="1" applyAlignment="1">
      <alignment vertical="center"/>
    </xf>
    <xf numFmtId="49" fontId="2" fillId="15" borderId="118" xfId="0" applyNumberFormat="1" applyFont="1" applyFill="1" applyBorder="1" applyAlignment="1">
      <alignment vertical="center"/>
    </xf>
    <xf numFmtId="49" fontId="2" fillId="33" borderId="3" xfId="0" applyNumberFormat="1" applyFont="1" applyFill="1" applyBorder="1" applyAlignment="1">
      <alignment horizontal="center" vertical="center" wrapText="1"/>
    </xf>
    <xf numFmtId="49" fontId="2" fillId="35" borderId="93" xfId="0" applyNumberFormat="1" applyFont="1" applyFill="1" applyBorder="1" applyAlignment="1">
      <alignment vertical="center"/>
    </xf>
    <xf numFmtId="49" fontId="42" fillId="15" borderId="93" xfId="0" applyNumberFormat="1" applyFont="1" applyFill="1" applyBorder="1" applyAlignment="1">
      <alignment vertical="center"/>
    </xf>
    <xf numFmtId="49" fontId="42" fillId="15" borderId="93" xfId="0" applyNumberFormat="1" applyFont="1" applyFill="1" applyBorder="1" applyAlignment="1">
      <alignment vertical="center" wrapText="1"/>
    </xf>
    <xf numFmtId="49" fontId="42" fillId="15" borderId="116" xfId="0" applyNumberFormat="1" applyFont="1" applyFill="1" applyBorder="1" applyAlignment="1">
      <alignment vertical="center"/>
    </xf>
    <xf numFmtId="49" fontId="42" fillId="0" borderId="0" xfId="0" applyNumberFormat="1" applyFont="1" applyFill="1" applyAlignment="1">
      <alignment vertical="center"/>
    </xf>
    <xf numFmtId="49" fontId="42" fillId="15" borderId="118" xfId="0" applyNumberFormat="1" applyFont="1" applyFill="1" applyBorder="1" applyAlignment="1">
      <alignment vertical="center"/>
    </xf>
    <xf numFmtId="49" fontId="42" fillId="15" borderId="3" xfId="0" applyNumberFormat="1" applyFont="1" applyFill="1" applyBorder="1" applyAlignment="1">
      <alignment vertical="center"/>
    </xf>
    <xf numFmtId="49" fontId="42" fillId="15" borderId="115" xfId="0" applyNumberFormat="1" applyFont="1" applyFill="1" applyBorder="1" applyAlignment="1">
      <alignment vertical="center"/>
    </xf>
    <xf numFmtId="49" fontId="2" fillId="33" borderId="205" xfId="0" applyNumberFormat="1" applyFont="1" applyFill="1" applyBorder="1" applyAlignment="1">
      <alignment horizontal="left" vertical="center" wrapText="1"/>
    </xf>
    <xf numFmtId="49" fontId="2" fillId="33" borderId="3" xfId="0" applyNumberFormat="1" applyFont="1" applyFill="1" applyBorder="1" applyAlignment="1">
      <alignment horizontal="left" vertical="center" wrapText="1"/>
    </xf>
    <xf numFmtId="49" fontId="2" fillId="15" borderId="3" xfId="0" applyNumberFormat="1" applyFont="1" applyFill="1" applyBorder="1" applyAlignment="1">
      <alignment vertical="center"/>
    </xf>
    <xf numFmtId="49" fontId="2" fillId="33" borderId="3" xfId="0" applyNumberFormat="1" applyFont="1" applyFill="1" applyBorder="1" applyAlignment="1">
      <alignment vertical="center" wrapText="1"/>
    </xf>
    <xf numFmtId="49" fontId="2" fillId="0" borderId="0" xfId="0" applyNumberFormat="1" applyFont="1" applyFill="1" applyBorder="1" applyAlignment="1">
      <alignment vertical="center"/>
    </xf>
    <xf numFmtId="49" fontId="42" fillId="15" borderId="3" xfId="0" applyNumberFormat="1" applyFont="1" applyFill="1" applyBorder="1" applyAlignment="1">
      <alignment vertical="center"/>
    </xf>
    <xf numFmtId="49" fontId="42" fillId="15" borderId="3" xfId="0" applyNumberFormat="1" applyFont="1" applyFill="1" applyBorder="1" applyAlignment="1">
      <alignment vertical="center" wrapText="1"/>
    </xf>
    <xf numFmtId="49" fontId="2" fillId="32" borderId="93" xfId="0" applyNumberFormat="1" applyFont="1" applyFill="1" applyBorder="1" applyAlignment="1">
      <alignment horizontal="center" vertical="center" wrapText="1"/>
    </xf>
    <xf numFmtId="180" fontId="42" fillId="0" borderId="4" xfId="0" applyNumberFormat="1" applyFont="1" applyBorder="1" applyProtection="1">
      <alignment vertical="center"/>
      <protection locked="0"/>
    </xf>
    <xf numFmtId="49" fontId="2" fillId="33" borderId="3" xfId="0" applyNumberFormat="1" applyFont="1" applyFill="1" applyBorder="1" applyAlignment="1" applyProtection="1">
      <alignment vertical="center"/>
      <protection locked="0"/>
    </xf>
    <xf numFmtId="49" fontId="42" fillId="15" borderId="3" xfId="0" applyNumberFormat="1" applyFont="1" applyFill="1" applyBorder="1" applyAlignment="1" applyProtection="1">
      <alignment vertical="center"/>
      <protection locked="0"/>
    </xf>
    <xf numFmtId="49" fontId="42" fillId="15" borderId="3" xfId="0" applyNumberFormat="1" applyFont="1" applyFill="1" applyBorder="1" applyAlignment="1" applyProtection="1">
      <alignment vertical="center" wrapText="1"/>
      <protection locked="0"/>
    </xf>
    <xf numFmtId="49" fontId="0" fillId="33" borderId="0" xfId="0" applyNumberFormat="1" applyFill="1" applyBorder="1" applyAlignment="1">
      <alignment vertical="center"/>
    </xf>
    <xf numFmtId="49" fontId="2" fillId="33" borderId="0" xfId="0" applyNumberFormat="1" applyFont="1" applyFill="1" applyBorder="1" applyAlignment="1">
      <alignment vertical="center"/>
    </xf>
    <xf numFmtId="49" fontId="42" fillId="15" borderId="3" xfId="0" applyNumberFormat="1" applyFont="1" applyFill="1" applyBorder="1" applyAlignment="1">
      <alignment horizontal="center" vertical="center"/>
    </xf>
    <xf numFmtId="49" fontId="42" fillId="0" borderId="93" xfId="0" applyNumberFormat="1" applyFont="1" applyFill="1" applyBorder="1" applyAlignment="1">
      <alignment vertical="center"/>
    </xf>
    <xf numFmtId="0" fontId="2" fillId="33" borderId="115" xfId="0" applyFont="1" applyFill="1" applyBorder="1" applyAlignment="1">
      <alignment horizontal="center" vertical="center"/>
    </xf>
    <xf numFmtId="0" fontId="2" fillId="33" borderId="93" xfId="0" applyFont="1" applyFill="1" applyBorder="1" applyAlignment="1">
      <alignment horizontal="center" vertical="center"/>
    </xf>
    <xf numFmtId="189" fontId="83" fillId="15" borderId="93" xfId="0" applyNumberFormat="1" applyFont="1" applyFill="1" applyBorder="1" applyAlignment="1">
      <alignment horizontal="center" vertical="center" wrapText="1"/>
    </xf>
    <xf numFmtId="49" fontId="10" fillId="27" borderId="93" xfId="0" applyNumberFormat="1" applyFont="1" applyFill="1" applyBorder="1" applyAlignment="1">
      <alignment vertical="center"/>
    </xf>
    <xf numFmtId="49" fontId="74" fillId="0" borderId="93" xfId="0" applyNumberFormat="1" applyFont="1" applyBorder="1" applyAlignment="1">
      <alignment vertical="center"/>
    </xf>
    <xf numFmtId="0" fontId="25" fillId="33" borderId="93" xfId="0" applyFont="1" applyFill="1" applyBorder="1">
      <alignment vertical="center"/>
    </xf>
    <xf numFmtId="0" fontId="51" fillId="33" borderId="209" xfId="0" applyFont="1" applyFill="1" applyBorder="1" applyAlignment="1">
      <alignment vertical="center" wrapText="1"/>
    </xf>
    <xf numFmtId="0" fontId="51" fillId="33" borderId="210" xfId="0" applyFont="1" applyFill="1" applyBorder="1" applyAlignment="1">
      <alignment vertical="center" wrapText="1"/>
    </xf>
    <xf numFmtId="0" fontId="51" fillId="33" borderId="210" xfId="0" applyFont="1" applyFill="1" applyBorder="1" applyAlignment="1">
      <alignment vertical="center"/>
    </xf>
    <xf numFmtId="0" fontId="51" fillId="33" borderId="207" xfId="0" applyFont="1" applyFill="1" applyBorder="1" applyAlignment="1">
      <alignment vertical="center" wrapText="1"/>
    </xf>
    <xf numFmtId="0" fontId="2" fillId="33" borderId="115" xfId="0" applyFont="1" applyFill="1" applyBorder="1" applyAlignment="1">
      <alignment horizontal="center" vertical="center" wrapText="1"/>
    </xf>
    <xf numFmtId="180" fontId="42" fillId="32" borderId="93" xfId="4" applyFont="1" applyFill="1" applyBorder="1">
      <alignment vertical="center"/>
    </xf>
    <xf numFmtId="196" fontId="2" fillId="0" borderId="93" xfId="0" applyNumberFormat="1" applyFont="1" applyFill="1" applyBorder="1" applyAlignment="1">
      <alignment vertical="center" shrinkToFit="1"/>
    </xf>
    <xf numFmtId="0" fontId="2" fillId="33" borderId="93" xfId="0" applyFont="1" applyFill="1" applyBorder="1" applyAlignment="1">
      <alignment horizontal="center" vertical="center" wrapText="1"/>
    </xf>
    <xf numFmtId="0" fontId="2" fillId="33" borderId="93" xfId="0" applyFont="1" applyFill="1" applyBorder="1" applyAlignment="1">
      <alignment horizontal="center" vertical="center"/>
    </xf>
    <xf numFmtId="0" fontId="11" fillId="0" borderId="93" xfId="0" applyFont="1" applyBorder="1" applyAlignment="1" applyProtection="1"/>
    <xf numFmtId="0" fontId="24" fillId="0" borderId="0" xfId="0" applyFont="1" applyFill="1" applyBorder="1" applyAlignment="1" applyProtection="1"/>
    <xf numFmtId="0" fontId="16" fillId="3" borderId="219" xfId="0" applyFont="1" applyFill="1" applyBorder="1" applyProtection="1">
      <alignment vertical="center"/>
    </xf>
    <xf numFmtId="0" fontId="74" fillId="0" borderId="0" xfId="0" applyFont="1" applyFill="1">
      <alignment vertical="center"/>
    </xf>
    <xf numFmtId="0" fontId="17" fillId="4" borderId="0" xfId="0" applyFont="1" applyFill="1" applyAlignment="1" applyProtection="1">
      <alignment wrapText="1"/>
      <protection locked="0"/>
    </xf>
    <xf numFmtId="0" fontId="136" fillId="0" borderId="0" xfId="0" applyFont="1" applyProtection="1">
      <alignment vertical="center"/>
      <protection locked="0"/>
    </xf>
    <xf numFmtId="0" fontId="137" fillId="0" borderId="0" xfId="0" applyFont="1" applyProtection="1">
      <alignment vertical="center"/>
      <protection locked="0"/>
    </xf>
    <xf numFmtId="31" fontId="112" fillId="0" borderId="0" xfId="0" applyNumberFormat="1" applyFont="1" applyProtection="1">
      <alignment vertical="center"/>
      <protection locked="0"/>
    </xf>
    <xf numFmtId="0" fontId="128" fillId="0" borderId="0" xfId="0" applyFont="1" applyBorder="1" applyAlignment="1">
      <alignment horizontal="center" vertical="center" wrapText="1"/>
    </xf>
    <xf numFmtId="0" fontId="139" fillId="0" borderId="0" xfId="0" applyFont="1" applyBorder="1" applyAlignment="1" applyProtection="1">
      <protection locked="0"/>
    </xf>
    <xf numFmtId="0" fontId="139" fillId="0" borderId="0" xfId="0" applyFont="1" applyAlignment="1" applyProtection="1">
      <alignment horizontal="left" indent="2"/>
      <protection locked="0"/>
    </xf>
    <xf numFmtId="0" fontId="139" fillId="0" borderId="0" xfId="0" applyFont="1" applyBorder="1" applyAlignment="1" applyProtection="1">
      <alignment vertical="top"/>
      <protection locked="0"/>
    </xf>
    <xf numFmtId="180" fontId="74" fillId="0" borderId="0" xfId="4" applyFill="1" applyBorder="1" applyAlignment="1" applyProtection="1">
      <alignment horizontal="left" vertical="center"/>
    </xf>
    <xf numFmtId="180" fontId="74" fillId="0" borderId="0" xfId="4" applyFill="1" applyBorder="1" applyAlignment="1" applyProtection="1">
      <alignment vertical="center"/>
    </xf>
    <xf numFmtId="9" fontId="74" fillId="0" borderId="0" xfId="1" applyFill="1" applyBorder="1" applyAlignment="1" applyProtection="1">
      <alignment vertical="center"/>
    </xf>
    <xf numFmtId="180" fontId="74" fillId="0" borderId="0" xfId="4" applyFill="1" applyBorder="1" applyProtection="1">
      <alignment vertical="center"/>
    </xf>
    <xf numFmtId="0" fontId="140" fillId="0" borderId="0" xfId="0" applyFont="1" applyFill="1" applyAlignment="1" applyProtection="1">
      <protection locked="0"/>
    </xf>
    <xf numFmtId="0" fontId="140" fillId="0" borderId="0" xfId="0" applyFont="1" applyFill="1" applyBorder="1" applyAlignment="1" applyProtection="1">
      <alignment horizontal="left" vertical="center"/>
      <protection locked="0"/>
    </xf>
    <xf numFmtId="0" fontId="140" fillId="0" borderId="0" xfId="0" applyFont="1" applyFill="1" applyAlignment="1" applyProtection="1">
      <protection locked="0"/>
    </xf>
    <xf numFmtId="0" fontId="128" fillId="0" borderId="0" xfId="0" applyFont="1" applyFill="1" applyBorder="1" applyAlignment="1" applyProtection="1">
      <alignment horizontal="justify" wrapText="1"/>
      <protection locked="0"/>
    </xf>
    <xf numFmtId="31" fontId="140" fillId="0" borderId="0" xfId="0" applyNumberFormat="1" applyFont="1" applyFill="1" applyBorder="1" applyAlignment="1" applyProtection="1">
      <alignment horizontal="center"/>
      <protection locked="0"/>
    </xf>
    <xf numFmtId="0" fontId="140" fillId="0" borderId="0" xfId="0" applyFont="1" applyFill="1" applyBorder="1" applyAlignment="1" applyProtection="1">
      <alignment horizontal="right"/>
      <protection locked="0"/>
    </xf>
    <xf numFmtId="0" fontId="140" fillId="0" borderId="0" xfId="0" applyFont="1" applyFill="1" applyProtection="1">
      <alignment vertical="center"/>
      <protection locked="0"/>
    </xf>
    <xf numFmtId="0" fontId="140" fillId="0" borderId="0" xfId="0" applyFont="1" applyFill="1" applyBorder="1" applyAlignment="1" applyProtection="1">
      <protection locked="0"/>
    </xf>
    <xf numFmtId="0" fontId="127" fillId="0" borderId="0" xfId="0" applyFont="1" applyFill="1" applyBorder="1" applyAlignment="1" applyProtection="1">
      <protection locked="0"/>
    </xf>
    <xf numFmtId="0" fontId="140" fillId="0" borderId="0" xfId="0" applyFont="1" applyFill="1" applyBorder="1" applyAlignment="1" applyProtection="1">
      <alignment horizontal="center" vertical="center"/>
      <protection locked="0"/>
    </xf>
    <xf numFmtId="0" fontId="0" fillId="0" borderId="0" xfId="0" applyFill="1" applyAlignment="1" applyProtection="1">
      <alignment horizontal="left" vertical="center"/>
      <protection locked="0"/>
    </xf>
    <xf numFmtId="0" fontId="138" fillId="0" borderId="0" xfId="0" applyFont="1" applyFill="1" applyBorder="1" applyAlignment="1" applyProtection="1">
      <alignment horizontal="left"/>
      <protection locked="0"/>
    </xf>
    <xf numFmtId="0" fontId="140" fillId="0" borderId="0" xfId="0" applyFont="1" applyFill="1" applyBorder="1" applyAlignment="1" applyProtection="1">
      <alignment horizontal="center" vertical="top"/>
      <protection locked="0"/>
    </xf>
    <xf numFmtId="0" fontId="140" fillId="0" borderId="0" xfId="0" applyFont="1" applyFill="1" applyBorder="1" applyAlignment="1" applyProtection="1">
      <alignment vertical="top"/>
      <protection locked="0"/>
    </xf>
    <xf numFmtId="0" fontId="128" fillId="0" borderId="0" xfId="0" applyFont="1" applyFill="1" applyBorder="1" applyAlignment="1" applyProtection="1">
      <alignment vertical="center"/>
      <protection locked="0"/>
    </xf>
    <xf numFmtId="0" fontId="140" fillId="0" borderId="0" xfId="0" applyFont="1" applyFill="1" applyBorder="1" applyAlignment="1" applyProtection="1">
      <alignment horizontal="right" vertical="center"/>
      <protection locked="0"/>
    </xf>
    <xf numFmtId="0" fontId="128" fillId="0" borderId="0" xfId="0" applyFont="1" applyFill="1" applyBorder="1" applyAlignment="1" applyProtection="1">
      <alignment vertical="center"/>
    </xf>
    <xf numFmtId="31" fontId="140" fillId="0" borderId="0" xfId="0" applyNumberFormat="1" applyFont="1" applyFill="1" applyProtection="1">
      <alignment vertical="center"/>
      <protection locked="0"/>
    </xf>
    <xf numFmtId="0" fontId="0" fillId="0" borderId="0" xfId="0" applyFont="1" applyFill="1">
      <alignment vertical="center"/>
    </xf>
    <xf numFmtId="0" fontId="139" fillId="0" borderId="0" xfId="0" applyFont="1" applyFill="1" applyBorder="1" applyAlignment="1" applyProtection="1">
      <protection locked="0"/>
    </xf>
    <xf numFmtId="0" fontId="139" fillId="0" borderId="0" xfId="0" applyFont="1" applyFill="1" applyAlignment="1" applyProtection="1">
      <alignment horizontal="left" indent="2"/>
      <protection locked="0"/>
    </xf>
    <xf numFmtId="0" fontId="139" fillId="0" borderId="0" xfId="0" applyFont="1" applyFill="1" applyBorder="1" applyAlignment="1" applyProtection="1">
      <alignment vertical="top"/>
      <protection locked="0"/>
    </xf>
    <xf numFmtId="0" fontId="12" fillId="0" borderId="0" xfId="2" applyNumberFormat="1" applyFont="1" applyFill="1" applyBorder="1" applyAlignment="1" applyProtection="1">
      <alignment vertical="justify"/>
      <protection locked="0"/>
    </xf>
    <xf numFmtId="0" fontId="130" fillId="0" borderId="0" xfId="0" applyFont="1" applyAlignment="1">
      <alignment vertical="justify"/>
    </xf>
    <xf numFmtId="0" fontId="140" fillId="12" borderId="0" xfId="0" applyFont="1" applyFill="1" applyBorder="1" applyAlignment="1" applyProtection="1">
      <alignment horizontal="left" vertical="justify" wrapText="1"/>
    </xf>
    <xf numFmtId="197" fontId="145" fillId="0" borderId="0" xfId="0" applyNumberFormat="1" applyFont="1" applyFill="1" applyAlignment="1" applyProtection="1">
      <alignment horizontal="right"/>
      <protection locked="0"/>
    </xf>
    <xf numFmtId="0" fontId="140" fillId="0" borderId="0" xfId="0" applyFont="1" applyFill="1" applyAlignment="1" applyProtection="1">
      <alignment vertical="center"/>
      <protection locked="0"/>
    </xf>
    <xf numFmtId="49" fontId="0" fillId="0" borderId="0" xfId="0" applyNumberFormat="1" applyAlignment="1">
      <alignment vertical="center"/>
    </xf>
    <xf numFmtId="0" fontId="74" fillId="0" borderId="0" xfId="0" applyNumberFormat="1" applyFont="1" applyAlignment="1">
      <alignment vertical="center"/>
    </xf>
    <xf numFmtId="31" fontId="0" fillId="0" borderId="0" xfId="0" applyNumberFormat="1" applyAlignment="1">
      <alignment vertical="center"/>
    </xf>
    <xf numFmtId="0" fontId="53" fillId="0" borderId="93" xfId="0" applyNumberFormat="1" applyFont="1" applyBorder="1" applyAlignment="1">
      <alignment horizontal="left" vertical="center" wrapText="1"/>
    </xf>
    <xf numFmtId="31" fontId="53" fillId="0" borderId="93" xfId="0" applyNumberFormat="1" applyFont="1" applyBorder="1" applyAlignment="1">
      <alignment horizontal="left" vertical="center" wrapText="1"/>
    </xf>
    <xf numFmtId="0" fontId="74" fillId="0" borderId="0" xfId="0" applyFont="1" applyAlignment="1" applyProtection="1">
      <protection locked="0"/>
    </xf>
    <xf numFmtId="0" fontId="74" fillId="0" borderId="0" xfId="0" applyFont="1" applyProtection="1">
      <alignment vertical="center"/>
      <protection locked="0"/>
    </xf>
    <xf numFmtId="0" fontId="0" fillId="0" borderId="0" xfId="0" applyAlignment="1" applyProtection="1">
      <alignment horizontal="distributed"/>
      <protection locked="0"/>
    </xf>
    <xf numFmtId="0" fontId="68" fillId="0" borderId="0" xfId="0" applyFont="1" applyAlignment="1" applyProtection="1">
      <alignment horizontal="distributed" vertical="center"/>
      <protection locked="0"/>
    </xf>
    <xf numFmtId="0" fontId="2" fillId="0" borderId="93" xfId="0" applyFont="1" applyBorder="1" applyAlignment="1">
      <alignment horizontal="center" vertical="center" shrinkToFit="1"/>
    </xf>
    <xf numFmtId="49" fontId="2" fillId="0" borderId="110" xfId="0" applyNumberFormat="1" applyFont="1" applyBorder="1" applyAlignment="1">
      <alignment horizontal="center" vertical="center" shrinkToFit="1"/>
    </xf>
    <xf numFmtId="0" fontId="2" fillId="0" borderId="110" xfId="0" applyFont="1" applyBorder="1" applyAlignment="1">
      <alignment horizontal="center" vertical="center" shrinkToFit="1"/>
    </xf>
    <xf numFmtId="180" fontId="42" fillId="0" borderId="93" xfId="4" applyFont="1" applyBorder="1" applyAlignment="1">
      <alignment horizontal="center" vertical="center" shrinkToFit="1"/>
    </xf>
    <xf numFmtId="0" fontId="2" fillId="32" borderId="93" xfId="0" applyFont="1" applyFill="1" applyBorder="1" applyAlignment="1">
      <alignment horizontal="center" vertical="center" shrinkToFit="1"/>
    </xf>
    <xf numFmtId="0" fontId="2" fillId="35" borderId="110" xfId="0" applyFont="1" applyFill="1" applyBorder="1" applyAlignment="1">
      <alignment horizontal="center" vertical="center" shrinkToFit="1"/>
    </xf>
    <xf numFmtId="180" fontId="42" fillId="32" borderId="93" xfId="4" applyFont="1" applyFill="1" applyBorder="1" applyAlignment="1">
      <alignment horizontal="center" vertical="center" shrinkToFit="1"/>
    </xf>
    <xf numFmtId="180" fontId="42" fillId="32" borderId="109" xfId="4" quotePrefix="1" applyFont="1" applyFill="1" applyBorder="1" applyAlignment="1">
      <alignment vertical="center" shrinkToFit="1"/>
    </xf>
    <xf numFmtId="180" fontId="42" fillId="32" borderId="109" xfId="4" applyFont="1" applyFill="1" applyBorder="1" applyAlignment="1">
      <alignment vertical="center" shrinkToFit="1"/>
    </xf>
    <xf numFmtId="0" fontId="68" fillId="33" borderId="0" xfId="0" applyFont="1" applyFill="1" applyAlignment="1">
      <alignment vertical="top" wrapText="1"/>
    </xf>
    <xf numFmtId="0" fontId="74" fillId="33" borderId="0" xfId="0" applyFont="1" applyFill="1" applyAlignment="1">
      <alignment vertical="center" wrapText="1"/>
    </xf>
    <xf numFmtId="180" fontId="42" fillId="0" borderId="8" xfId="0" applyNumberFormat="1" applyFont="1" applyBorder="1" applyAlignment="1">
      <alignment horizontal="center" vertical="center"/>
    </xf>
    <xf numFmtId="0" fontId="2" fillId="2" borderId="8" xfId="0" applyFont="1" applyFill="1" applyBorder="1" applyAlignment="1">
      <alignment horizontal="center" vertical="center"/>
    </xf>
    <xf numFmtId="0" fontId="2" fillId="0" borderId="0" xfId="0" applyFont="1" applyBorder="1" applyAlignment="1">
      <alignment vertical="center" wrapText="1"/>
    </xf>
    <xf numFmtId="0" fontId="2" fillId="0" borderId="1" xfId="0" applyFont="1" applyBorder="1" applyAlignment="1">
      <alignment vertical="center" wrapText="1"/>
    </xf>
    <xf numFmtId="180" fontId="42" fillId="0" borderId="8" xfId="0" applyNumberFormat="1" applyFont="1" applyBorder="1" applyAlignment="1" applyProtection="1">
      <alignment vertical="center"/>
      <protection locked="0"/>
    </xf>
    <xf numFmtId="0" fontId="2" fillId="2" borderId="12" xfId="0" applyFont="1" applyFill="1" applyBorder="1" applyAlignment="1">
      <alignment horizontal="center" vertical="center"/>
    </xf>
    <xf numFmtId="0" fontId="2" fillId="2" borderId="33" xfId="0" applyFont="1" applyFill="1" applyBorder="1" applyAlignment="1">
      <alignment horizontal="center" vertical="center" wrapText="1"/>
    </xf>
    <xf numFmtId="0" fontId="2" fillId="2" borderId="8" xfId="0" applyFont="1" applyFill="1" applyBorder="1" applyAlignment="1">
      <alignment horizontal="center" vertical="center"/>
    </xf>
    <xf numFmtId="0" fontId="2" fillId="0" borderId="1" xfId="0" applyFont="1" applyBorder="1" applyAlignment="1">
      <alignment vertical="center" wrapText="1"/>
    </xf>
    <xf numFmtId="0" fontId="2" fillId="0" borderId="0" xfId="0" applyFont="1" applyBorder="1" applyAlignment="1">
      <alignment vertical="center" wrapText="1"/>
    </xf>
    <xf numFmtId="0" fontId="2" fillId="2" borderId="12" xfId="0" applyFont="1" applyFill="1" applyBorder="1" applyAlignment="1">
      <alignment horizontal="center" vertical="center"/>
    </xf>
    <xf numFmtId="0" fontId="2" fillId="2" borderId="33" xfId="0" applyFont="1" applyFill="1" applyBorder="1" applyAlignment="1">
      <alignment horizontal="center" vertical="center" wrapText="1"/>
    </xf>
    <xf numFmtId="0" fontId="2" fillId="32" borderId="109" xfId="0" quotePrefix="1" applyNumberFormat="1" applyFont="1" applyFill="1" applyBorder="1" applyAlignment="1">
      <alignment horizontal="right" vertical="center" shrinkToFit="1"/>
    </xf>
    <xf numFmtId="0" fontId="2" fillId="0" borderId="225" xfId="0" applyFont="1" applyBorder="1" applyAlignment="1">
      <alignment horizontal="center" vertical="center"/>
    </xf>
    <xf numFmtId="180" fontId="42" fillId="0" borderId="225" xfId="0" applyNumberFormat="1" applyFont="1" applyBorder="1" applyAlignment="1">
      <alignment vertical="center"/>
    </xf>
    <xf numFmtId="180" fontId="42" fillId="0" borderId="8" xfId="0" applyNumberFormat="1" applyFont="1" applyBorder="1" applyAlignment="1">
      <alignment horizontal="center" vertical="center"/>
    </xf>
    <xf numFmtId="180" fontId="42" fillId="0" borderId="19" xfId="0" applyNumberFormat="1" applyFont="1" applyFill="1" applyBorder="1" applyAlignment="1">
      <alignment vertical="center" wrapText="1"/>
    </xf>
    <xf numFmtId="180" fontId="42" fillId="0" borderId="8" xfId="0" applyNumberFormat="1" applyFont="1" applyFill="1" applyBorder="1" applyAlignment="1">
      <alignment vertical="center" wrapText="1"/>
    </xf>
    <xf numFmtId="180" fontId="42" fillId="0" borderId="63" xfId="0" applyNumberFormat="1" applyFont="1" applyFill="1" applyBorder="1" applyAlignment="1">
      <alignment vertical="center"/>
    </xf>
    <xf numFmtId="180" fontId="42" fillId="0" borderId="8" xfId="0" applyNumberFormat="1" applyFont="1" applyFill="1" applyBorder="1" applyAlignment="1">
      <alignment vertical="center"/>
    </xf>
    <xf numFmtId="180" fontId="42" fillId="0" borderId="227" xfId="0" applyNumberFormat="1" applyFont="1" applyBorder="1" applyAlignment="1">
      <alignment vertical="center"/>
    </xf>
    <xf numFmtId="180" fontId="42" fillId="3" borderId="226" xfId="0" applyNumberFormat="1" applyFont="1" applyFill="1" applyBorder="1" applyAlignment="1">
      <alignment vertical="center"/>
    </xf>
    <xf numFmtId="180" fontId="42" fillId="0" borderId="227" xfId="0" applyNumberFormat="1" applyFont="1" applyBorder="1" applyAlignment="1">
      <alignment horizontal="center" vertical="center"/>
    </xf>
    <xf numFmtId="9" fontId="74" fillId="0" borderId="19" xfId="1" applyBorder="1">
      <alignment vertical="center"/>
    </xf>
    <xf numFmtId="9" fontId="74" fillId="0" borderId="8" xfId="1" applyBorder="1">
      <alignment vertical="center"/>
    </xf>
    <xf numFmtId="9" fontId="74" fillId="0" borderId="225" xfId="1" applyBorder="1">
      <alignment vertical="center"/>
    </xf>
    <xf numFmtId="9" fontId="74" fillId="0" borderId="63" xfId="1" applyBorder="1">
      <alignment vertical="center"/>
    </xf>
    <xf numFmtId="14" fontId="42" fillId="0" borderId="19" xfId="0" applyNumberFormat="1" applyFont="1" applyBorder="1" applyAlignment="1">
      <alignment vertical="center"/>
    </xf>
    <xf numFmtId="14" fontId="42" fillId="0" borderId="8" xfId="0" applyNumberFormat="1" applyFont="1" applyBorder="1" applyAlignment="1">
      <alignment vertical="center"/>
    </xf>
    <xf numFmtId="14" fontId="42" fillId="0" borderId="225" xfId="0" applyNumberFormat="1" applyFont="1" applyBorder="1" applyAlignment="1">
      <alignment vertical="center"/>
    </xf>
    <xf numFmtId="14" fontId="42" fillId="0" borderId="63" xfId="0" applyNumberFormat="1" applyFont="1" applyBorder="1" applyAlignment="1">
      <alignment horizontal="center" vertical="center"/>
    </xf>
    <xf numFmtId="14" fontId="42" fillId="0" borderId="8" xfId="0" applyNumberFormat="1" applyFont="1" applyBorder="1" applyAlignment="1">
      <alignment horizontal="center" vertical="center"/>
    </xf>
    <xf numFmtId="10" fontId="2" fillId="0" borderId="19" xfId="1" applyNumberFormat="1" applyFont="1" applyBorder="1">
      <alignment vertical="center"/>
    </xf>
    <xf numFmtId="10" fontId="2" fillId="0" borderId="8" xfId="1" applyNumberFormat="1" applyFont="1" applyBorder="1">
      <alignment vertical="center"/>
    </xf>
    <xf numFmtId="10" fontId="2" fillId="0" borderId="225" xfId="1" applyNumberFormat="1" applyFont="1" applyBorder="1">
      <alignment vertical="center"/>
    </xf>
    <xf numFmtId="10" fontId="2" fillId="3" borderId="12" xfId="1" applyNumberFormat="1" applyFont="1" applyFill="1" applyBorder="1">
      <alignment vertical="center"/>
    </xf>
    <xf numFmtId="10" fontId="2" fillId="0" borderId="63" xfId="1" applyNumberFormat="1" applyFont="1" applyBorder="1">
      <alignment vertical="center"/>
    </xf>
    <xf numFmtId="0" fontId="74" fillId="5" borderId="119" xfId="0" applyFont="1" applyFill="1" applyBorder="1" applyAlignment="1" applyProtection="1">
      <alignment horizontal="center"/>
    </xf>
    <xf numFmtId="31" fontId="6" fillId="0" borderId="0" xfId="0" applyNumberFormat="1" applyFont="1" applyBorder="1" applyAlignment="1" applyProtection="1">
      <alignment horizontal="center"/>
      <protection locked="0"/>
    </xf>
    <xf numFmtId="0" fontId="6" fillId="0" borderId="0" xfId="0" applyFont="1" applyBorder="1" applyAlignment="1" applyProtection="1">
      <alignment horizontal="center"/>
      <protection locked="0"/>
    </xf>
    <xf numFmtId="0" fontId="7" fillId="0" borderId="0" xfId="0" applyFont="1" applyBorder="1" applyAlignment="1" applyProtection="1">
      <alignment horizontal="center"/>
      <protection locked="0"/>
    </xf>
    <xf numFmtId="0" fontId="0" fillId="0" borderId="20" xfId="0" applyBorder="1" applyAlignment="1" applyProtection="1">
      <protection locked="0"/>
    </xf>
    <xf numFmtId="0" fontId="0" fillId="5" borderId="20" xfId="0" applyFont="1" applyFill="1" applyBorder="1" applyAlignment="1" applyProtection="1">
      <alignment horizontal="center"/>
    </xf>
    <xf numFmtId="0" fontId="0" fillId="5" borderId="21" xfId="0" applyFill="1" applyBorder="1" applyAlignment="1" applyProtection="1">
      <alignment horizontal="center"/>
    </xf>
    <xf numFmtId="0" fontId="0" fillId="5" borderId="21" xfId="0" applyNumberFormat="1" applyFill="1" applyBorder="1" applyAlignment="1" applyProtection="1">
      <alignment horizontal="center"/>
    </xf>
    <xf numFmtId="49" fontId="0" fillId="5" borderId="21" xfId="0" applyNumberFormat="1" applyFill="1" applyBorder="1" applyAlignment="1" applyProtection="1">
      <alignment horizontal="center"/>
    </xf>
    <xf numFmtId="0" fontId="0" fillId="0" borderId="0" xfId="0" applyFont="1" applyBorder="1" applyAlignment="1" applyProtection="1">
      <alignment horizontal="left"/>
      <protection locked="0"/>
    </xf>
    <xf numFmtId="31" fontId="74" fillId="5" borderId="119" xfId="0" applyNumberFormat="1" applyFont="1" applyFill="1" applyBorder="1" applyAlignment="1" applyProtection="1">
      <alignment horizontal="center"/>
    </xf>
    <xf numFmtId="0" fontId="0" fillId="0" borderId="1" xfId="0" applyFont="1" applyBorder="1" applyAlignment="1" applyProtection="1">
      <protection locked="0"/>
    </xf>
    <xf numFmtId="0" fontId="9" fillId="2" borderId="0" xfId="0" applyFont="1" applyFill="1" applyBorder="1" applyAlignment="1" applyProtection="1">
      <alignment horizontal="center"/>
      <protection locked="0"/>
    </xf>
    <xf numFmtId="0" fontId="0" fillId="2" borderId="6" xfId="0" applyFont="1" applyFill="1" applyBorder="1" applyAlignment="1" applyProtection="1">
      <alignment horizontal="center" vertical="center"/>
      <protection locked="0"/>
    </xf>
    <xf numFmtId="0" fontId="0" fillId="5" borderId="19" xfId="0" applyFont="1" applyFill="1" applyBorder="1" applyAlignment="1" applyProtection="1">
      <alignment vertical="center" wrapText="1"/>
    </xf>
    <xf numFmtId="0" fontId="0" fillId="2" borderId="19" xfId="0" applyFont="1" applyFill="1" applyBorder="1" applyAlignment="1" applyProtection="1">
      <alignment horizontal="center" vertical="center"/>
      <protection locked="0"/>
    </xf>
    <xf numFmtId="0" fontId="0" fillId="2" borderId="8" xfId="0" applyFont="1" applyFill="1" applyBorder="1" applyAlignment="1" applyProtection="1">
      <alignment horizontal="center" vertical="center"/>
      <protection locked="0"/>
    </xf>
    <xf numFmtId="0" fontId="0" fillId="7" borderId="8" xfId="0" applyNumberFormat="1" applyFont="1" applyFill="1" applyBorder="1" applyAlignment="1" applyProtection="1">
      <alignment horizontal="center" vertical="center"/>
      <protection locked="0"/>
    </xf>
    <xf numFmtId="0" fontId="0" fillId="5" borderId="8" xfId="0" applyNumberFormat="1" applyFont="1" applyFill="1" applyBorder="1" applyAlignment="1" applyProtection="1">
      <alignment horizontal="center" vertical="center"/>
    </xf>
    <xf numFmtId="0" fontId="0" fillId="2" borderId="80" xfId="0" applyFont="1" applyFill="1" applyBorder="1" applyAlignment="1" applyProtection="1">
      <alignment horizontal="center" vertical="center"/>
      <protection locked="0"/>
    </xf>
    <xf numFmtId="49" fontId="2" fillId="0" borderId="22" xfId="0" applyNumberFormat="1" applyFont="1" applyFill="1" applyBorder="1" applyAlignment="1" applyProtection="1">
      <alignment horizontal="center" vertical="center"/>
      <protection locked="0"/>
    </xf>
    <xf numFmtId="0" fontId="0" fillId="2" borderId="12" xfId="0" applyFont="1" applyFill="1" applyBorder="1" applyAlignment="1" applyProtection="1">
      <alignment horizontal="center" vertical="center"/>
      <protection locked="0"/>
    </xf>
    <xf numFmtId="0" fontId="0" fillId="5" borderId="12" xfId="0" applyNumberFormat="1" applyFont="1" applyFill="1" applyBorder="1" applyAlignment="1" applyProtection="1">
      <alignment horizontal="center" vertical="center"/>
    </xf>
    <xf numFmtId="0" fontId="0" fillId="2" borderId="31" xfId="0" applyFont="1" applyFill="1" applyBorder="1" applyAlignment="1" applyProtection="1">
      <alignment horizontal="center" vertical="center"/>
      <protection locked="0"/>
    </xf>
    <xf numFmtId="0" fontId="0" fillId="2" borderId="7" xfId="0" applyFill="1" applyBorder="1" applyAlignment="1" applyProtection="1">
      <alignment horizontal="center" vertical="center"/>
      <protection locked="0"/>
    </xf>
    <xf numFmtId="0" fontId="0" fillId="0" borderId="8" xfId="0" applyFont="1" applyBorder="1" applyAlignment="1" applyProtection="1">
      <alignment horizontal="center" vertical="center"/>
      <protection locked="0"/>
    </xf>
    <xf numFmtId="0" fontId="0" fillId="0" borderId="25" xfId="0" applyBorder="1" applyAlignment="1" applyProtection="1">
      <alignment horizontal="center" vertical="center"/>
      <protection locked="0"/>
    </xf>
    <xf numFmtId="0" fontId="0" fillId="0" borderId="8" xfId="0" applyBorder="1" applyAlignment="1" applyProtection="1">
      <alignment horizontal="center" vertical="center"/>
      <protection locked="0"/>
    </xf>
    <xf numFmtId="0" fontId="0" fillId="2" borderId="73" xfId="0" applyFill="1" applyBorder="1" applyAlignment="1" applyProtection="1">
      <alignment horizontal="center" vertical="center"/>
      <protection locked="0"/>
    </xf>
    <xf numFmtId="0" fontId="0" fillId="0" borderId="68" xfId="0" applyBorder="1" applyAlignment="1" applyProtection="1">
      <alignment horizontal="center" vertical="center"/>
      <protection locked="0"/>
    </xf>
    <xf numFmtId="0" fontId="0" fillId="0" borderId="81" xfId="0" applyBorder="1" applyAlignment="1" applyProtection="1">
      <alignment horizontal="center" vertical="center"/>
      <protection locked="0"/>
    </xf>
    <xf numFmtId="0" fontId="0" fillId="0" borderId="9" xfId="0" applyBorder="1" applyAlignment="1" applyProtection="1">
      <alignment horizontal="center" vertical="center"/>
      <protection locked="0"/>
    </xf>
    <xf numFmtId="0" fontId="0" fillId="2" borderId="10" xfId="0" applyFill="1" applyBorder="1" applyAlignment="1" applyProtection="1">
      <alignment horizontal="center" vertical="center"/>
      <protection locked="0"/>
    </xf>
    <xf numFmtId="0" fontId="0" fillId="0" borderId="12" xfId="0" applyBorder="1" applyAlignment="1" applyProtection="1">
      <alignment horizontal="center" vertical="center"/>
      <protection locked="0"/>
    </xf>
    <xf numFmtId="0" fontId="0" fillId="0" borderId="22" xfId="0" applyBorder="1" applyAlignment="1" applyProtection="1">
      <alignment horizontal="center" vertical="center"/>
      <protection locked="0"/>
    </xf>
    <xf numFmtId="0" fontId="9" fillId="2" borderId="0" xfId="0" applyFont="1" applyFill="1" applyBorder="1" applyAlignment="1" applyProtection="1">
      <alignment horizontal="center" vertical="center"/>
      <protection locked="0"/>
    </xf>
    <xf numFmtId="0" fontId="0" fillId="2" borderId="20" xfId="0" applyFont="1" applyFill="1" applyBorder="1" applyAlignment="1" applyProtection="1">
      <alignment horizontal="center" vertical="center" wrapText="1"/>
      <protection locked="0"/>
    </xf>
    <xf numFmtId="0" fontId="0" fillId="5" borderId="20" xfId="0" applyFill="1" applyBorder="1" applyAlignment="1" applyProtection="1">
      <alignment vertical="center"/>
    </xf>
    <xf numFmtId="0" fontId="0" fillId="5" borderId="20" xfId="0" applyNumberFormat="1" applyFont="1" applyFill="1" applyBorder="1" applyAlignment="1" applyProtection="1">
      <alignment horizontal="left" vertical="center"/>
    </xf>
    <xf numFmtId="0" fontId="0" fillId="5" borderId="20" xfId="0" applyFont="1" applyFill="1" applyBorder="1" applyAlignment="1" applyProtection="1">
      <alignment vertical="center"/>
    </xf>
    <xf numFmtId="0" fontId="12" fillId="0" borderId="1" xfId="2" applyBorder="1" applyProtection="1">
      <alignment vertical="center"/>
      <protection locked="0"/>
    </xf>
    <xf numFmtId="0" fontId="12" fillId="0" borderId="0" xfId="2" applyProtection="1">
      <alignment vertical="center"/>
      <protection locked="0"/>
    </xf>
    <xf numFmtId="0" fontId="16" fillId="0" borderId="95" xfId="0" applyFont="1" applyFill="1" applyBorder="1" applyAlignment="1" applyProtection="1">
      <alignment wrapText="1"/>
      <protection locked="0"/>
    </xf>
    <xf numFmtId="0" fontId="16" fillId="14" borderId="71" xfId="0" applyFont="1" applyFill="1" applyBorder="1" applyAlignment="1" applyProtection="1">
      <alignment horizontal="center" wrapText="1"/>
      <protection locked="0"/>
    </xf>
    <xf numFmtId="0" fontId="16" fillId="14" borderId="63" xfId="0" applyFont="1" applyFill="1" applyBorder="1" applyAlignment="1" applyProtection="1">
      <alignment horizontal="center" wrapText="1"/>
      <protection locked="0"/>
    </xf>
    <xf numFmtId="0" fontId="16" fillId="5" borderId="32" xfId="0" applyFont="1" applyFill="1" applyBorder="1" applyAlignment="1" applyProtection="1">
      <alignment horizontal="left" wrapText="1"/>
    </xf>
    <xf numFmtId="0" fontId="0" fillId="2" borderId="3" xfId="0" applyFont="1" applyFill="1" applyBorder="1" applyAlignment="1" applyProtection="1">
      <alignment horizontal="center" vertical="center" wrapText="1"/>
      <protection locked="0"/>
    </xf>
    <xf numFmtId="0" fontId="16" fillId="0" borderId="4" xfId="0" applyFont="1" applyBorder="1" applyAlignment="1" applyProtection="1">
      <alignment horizontal="left" wrapText="1"/>
      <protection locked="0"/>
    </xf>
    <xf numFmtId="0" fontId="0" fillId="0" borderId="4" xfId="0" applyFont="1" applyBorder="1" applyAlignment="1" applyProtection="1">
      <alignment horizontal="center" vertical="center" wrapText="1"/>
      <protection locked="0"/>
    </xf>
    <xf numFmtId="0" fontId="16" fillId="5" borderId="31" xfId="0" applyFont="1" applyFill="1" applyBorder="1" applyAlignment="1" applyProtection="1">
      <alignment horizontal="left" wrapText="1"/>
    </xf>
    <xf numFmtId="0" fontId="16" fillId="0" borderId="32" xfId="0" applyFont="1" applyBorder="1" applyAlignment="1" applyProtection="1">
      <alignment horizontal="left" wrapText="1"/>
      <protection locked="0"/>
    </xf>
    <xf numFmtId="0" fontId="0" fillId="2" borderId="30" xfId="0" applyFont="1" applyFill="1" applyBorder="1" applyAlignment="1" applyProtection="1">
      <alignment horizontal="center" vertical="center" wrapText="1"/>
      <protection locked="0"/>
    </xf>
    <xf numFmtId="0" fontId="21" fillId="2" borderId="0" xfId="0" applyFont="1" applyFill="1" applyBorder="1" applyAlignment="1" applyProtection="1">
      <alignment horizontal="center"/>
      <protection locked="0"/>
    </xf>
    <xf numFmtId="0" fontId="9" fillId="2" borderId="0" xfId="0" applyFont="1" applyFill="1" applyBorder="1" applyAlignment="1" applyProtection="1">
      <protection locked="0"/>
    </xf>
    <xf numFmtId="0" fontId="0" fillId="2" borderId="0" xfId="0" applyFont="1" applyFill="1" applyBorder="1" applyAlignment="1" applyProtection="1">
      <alignment horizontal="right"/>
      <protection locked="0"/>
    </xf>
    <xf numFmtId="0" fontId="0" fillId="5" borderId="3" xfId="0" applyFont="1" applyFill="1" applyBorder="1" applyAlignment="1" applyProtection="1">
      <alignment vertical="center" wrapText="1"/>
    </xf>
    <xf numFmtId="0" fontId="0" fillId="0" borderId="31" xfId="0" applyFont="1" applyBorder="1" applyAlignment="1" applyProtection="1">
      <alignment horizontal="center" vertical="center" wrapText="1"/>
      <protection locked="0"/>
    </xf>
    <xf numFmtId="0" fontId="16" fillId="0" borderId="80" xfId="0" applyFont="1" applyFill="1" applyBorder="1" applyAlignment="1" applyProtection="1">
      <alignment wrapText="1"/>
      <protection locked="0"/>
    </xf>
    <xf numFmtId="0" fontId="16" fillId="2" borderId="94" xfId="0" applyFont="1" applyFill="1" applyBorder="1" applyAlignment="1" applyProtection="1">
      <alignment vertical="center" wrapText="1"/>
      <protection locked="0"/>
    </xf>
    <xf numFmtId="0" fontId="0" fillId="2" borderId="4" xfId="0" applyFont="1" applyFill="1" applyBorder="1" applyAlignment="1" applyProtection="1">
      <alignment horizontal="center" vertical="center"/>
      <protection locked="0"/>
    </xf>
    <xf numFmtId="0" fontId="0" fillId="2" borderId="32" xfId="0" applyFont="1" applyFill="1" applyBorder="1" applyAlignment="1" applyProtection="1">
      <alignment horizontal="center" vertical="center"/>
      <protection locked="0"/>
    </xf>
    <xf numFmtId="0" fontId="16" fillId="14" borderId="13" xfId="0" applyFont="1" applyFill="1" applyBorder="1" applyAlignment="1" applyProtection="1">
      <alignment horizontal="center" wrapText="1"/>
      <protection locked="0"/>
    </xf>
    <xf numFmtId="0" fontId="16" fillId="14" borderId="66" xfId="0" applyFont="1" applyFill="1" applyBorder="1" applyAlignment="1" applyProtection="1">
      <alignment horizontal="center" wrapText="1"/>
      <protection locked="0"/>
    </xf>
    <xf numFmtId="176" fontId="16" fillId="12" borderId="63" xfId="0" applyNumberFormat="1" applyFont="1" applyFill="1" applyBorder="1" applyAlignment="1" applyProtection="1">
      <alignment horizontal="center" wrapText="1"/>
      <protection locked="0"/>
    </xf>
    <xf numFmtId="176" fontId="16" fillId="12" borderId="72" xfId="0" applyNumberFormat="1" applyFont="1" applyFill="1" applyBorder="1" applyAlignment="1" applyProtection="1">
      <alignment horizontal="center" wrapText="1"/>
      <protection locked="0"/>
    </xf>
    <xf numFmtId="0" fontId="16" fillId="7" borderId="94" xfId="0" applyFont="1" applyFill="1" applyBorder="1" applyAlignment="1" applyProtection="1">
      <alignment wrapText="1"/>
    </xf>
    <xf numFmtId="176" fontId="16" fillId="12" borderId="8" xfId="0" applyNumberFormat="1" applyFont="1" applyFill="1" applyBorder="1" applyAlignment="1" applyProtection="1">
      <alignment horizontal="center" wrapText="1"/>
      <protection locked="0"/>
    </xf>
    <xf numFmtId="176" fontId="16" fillId="12" borderId="9" xfId="0" applyNumberFormat="1" applyFont="1" applyFill="1" applyBorder="1" applyAlignment="1" applyProtection="1">
      <alignment horizontal="center" wrapText="1"/>
      <protection locked="0"/>
    </xf>
    <xf numFmtId="0" fontId="16" fillId="14" borderId="36" xfId="0" applyFont="1" applyFill="1" applyBorder="1" applyAlignment="1" applyProtection="1">
      <alignment horizontal="center" wrapText="1"/>
      <protection locked="0"/>
    </xf>
    <xf numFmtId="0" fontId="16" fillId="14" borderId="15" xfId="0" applyFont="1" applyFill="1" applyBorder="1" applyAlignment="1" applyProtection="1">
      <alignment horizontal="center" wrapText="1"/>
      <protection locked="0"/>
    </xf>
    <xf numFmtId="0" fontId="9" fillId="2" borderId="0" xfId="0" applyFont="1" applyFill="1" applyBorder="1" applyAlignment="1" applyProtection="1">
      <alignment horizontal="center" vertical="top"/>
      <protection locked="0"/>
    </xf>
    <xf numFmtId="0" fontId="16" fillId="5" borderId="6" xfId="0" applyFont="1" applyFill="1" applyBorder="1" applyAlignment="1" applyProtection="1">
      <alignment vertical="center"/>
    </xf>
    <xf numFmtId="0" fontId="16" fillId="2" borderId="7" xfId="0" applyFont="1" applyFill="1" applyBorder="1" applyAlignment="1" applyProtection="1">
      <alignment vertical="center"/>
      <protection locked="0"/>
    </xf>
    <xf numFmtId="0" fontId="16" fillId="5" borderId="8" xfId="0" applyFont="1" applyFill="1" applyBorder="1" applyAlignment="1" applyProtection="1">
      <alignment horizontal="center" vertical="center" wrapText="1"/>
    </xf>
    <xf numFmtId="49" fontId="16" fillId="5" borderId="22" xfId="0" applyNumberFormat="1" applyFont="1" applyFill="1" applyBorder="1" applyAlignment="1" applyProtection="1">
      <alignment horizontal="center" vertical="center"/>
    </xf>
    <xf numFmtId="0" fontId="16" fillId="5" borderId="16" xfId="0" applyFont="1" applyFill="1" applyBorder="1" applyAlignment="1" applyProtection="1">
      <alignment horizontal="center" vertical="center" shrinkToFit="1"/>
    </xf>
    <xf numFmtId="0" fontId="0" fillId="2" borderId="3" xfId="0" applyFont="1" applyFill="1" applyBorder="1" applyAlignment="1" applyProtection="1">
      <alignment horizontal="center" vertical="center"/>
      <protection locked="0"/>
    </xf>
    <xf numFmtId="0" fontId="16" fillId="2" borderId="19" xfId="0" applyFont="1" applyFill="1" applyBorder="1" applyAlignment="1" applyProtection="1">
      <alignment horizontal="center" vertical="center"/>
      <protection locked="0"/>
    </xf>
    <xf numFmtId="0" fontId="16" fillId="2" borderId="10" xfId="0" applyFont="1" applyFill="1" applyBorder="1" applyAlignment="1" applyProtection="1">
      <alignment horizontal="center" vertical="center" textRotation="255" wrapText="1"/>
      <protection locked="0"/>
    </xf>
    <xf numFmtId="0" fontId="2" fillId="2" borderId="12" xfId="0" applyFont="1" applyFill="1" applyBorder="1" applyAlignment="1" applyProtection="1">
      <alignment vertical="top" wrapText="1"/>
      <protection locked="0"/>
    </xf>
    <xf numFmtId="0" fontId="2" fillId="0" borderId="12" xfId="0" applyFont="1" applyBorder="1" applyAlignment="1" applyProtection="1">
      <alignment horizontal="center" vertical="top" wrapText="1"/>
      <protection locked="0"/>
    </xf>
    <xf numFmtId="0" fontId="16" fillId="0" borderId="68" xfId="0" applyFont="1" applyBorder="1" applyAlignment="1" applyProtection="1">
      <alignment horizontal="center" wrapText="1"/>
      <protection locked="0"/>
    </xf>
    <xf numFmtId="0" fontId="16" fillId="0" borderId="22" xfId="0" applyFont="1" applyBorder="1" applyAlignment="1" applyProtection="1">
      <alignment horizontal="center" vertical="center"/>
      <protection locked="0"/>
    </xf>
    <xf numFmtId="0" fontId="16" fillId="0" borderId="67" xfId="0" applyFont="1" applyBorder="1" applyAlignment="1" applyProtection="1">
      <alignment horizontal="center" wrapText="1"/>
      <protection locked="0"/>
    </xf>
    <xf numFmtId="0" fontId="16" fillId="0" borderId="89" xfId="0" applyFont="1" applyBorder="1" applyAlignment="1" applyProtection="1">
      <alignment wrapText="1"/>
      <protection locked="0"/>
    </xf>
    <xf numFmtId="0" fontId="16" fillId="2" borderId="33" xfId="0" applyFont="1" applyFill="1" applyBorder="1" applyAlignment="1" applyProtection="1">
      <alignment horizontal="center" vertical="center" textRotation="255" wrapText="1"/>
      <protection locked="0"/>
    </xf>
    <xf numFmtId="0" fontId="2" fillId="2" borderId="34" xfId="0" applyFont="1" applyFill="1" applyBorder="1" applyAlignment="1" applyProtection="1">
      <alignment vertical="top" wrapText="1"/>
      <protection locked="0"/>
    </xf>
    <xf numFmtId="0" fontId="2" fillId="0" borderId="34" xfId="0" applyFont="1" applyBorder="1" applyAlignment="1" applyProtection="1">
      <alignment horizontal="center" vertical="top" wrapText="1"/>
      <protection locked="0"/>
    </xf>
    <xf numFmtId="0" fontId="16" fillId="0" borderId="59" xfId="0" applyFont="1" applyBorder="1" applyAlignment="1" applyProtection="1">
      <alignment horizontal="center" wrapText="1"/>
      <protection locked="0"/>
    </xf>
    <xf numFmtId="0" fontId="16" fillId="0" borderId="35" xfId="0" applyFont="1" applyBorder="1" applyAlignment="1" applyProtection="1">
      <alignment horizontal="center" vertical="center"/>
      <protection locked="0"/>
    </xf>
    <xf numFmtId="0" fontId="0" fillId="2" borderId="1" xfId="0" applyFont="1" applyFill="1" applyBorder="1" applyAlignment="1" applyProtection="1">
      <alignment horizontal="center" vertical="center"/>
      <protection locked="0"/>
    </xf>
    <xf numFmtId="0" fontId="0" fillId="0" borderId="2" xfId="0" applyFont="1" applyFill="1" applyBorder="1" applyAlignment="1" applyProtection="1">
      <alignment vertical="center"/>
      <protection locked="0"/>
    </xf>
    <xf numFmtId="0" fontId="0" fillId="2" borderId="96" xfId="0" applyFont="1" applyFill="1" applyBorder="1" applyAlignment="1" applyProtection="1">
      <alignment vertical="center"/>
      <protection locked="0"/>
    </xf>
    <xf numFmtId="0" fontId="0" fillId="2" borderId="97" xfId="0" applyFont="1" applyFill="1" applyBorder="1" applyAlignment="1" applyProtection="1">
      <alignment horizontal="center" vertical="center"/>
      <protection locked="0"/>
    </xf>
    <xf numFmtId="0" fontId="0" fillId="0" borderId="81" xfId="0" applyFont="1" applyFill="1" applyBorder="1" applyAlignment="1" applyProtection="1">
      <alignment vertical="center"/>
      <protection locked="0"/>
    </xf>
    <xf numFmtId="0" fontId="0" fillId="2" borderId="29" xfId="0" applyFont="1" applyFill="1" applyBorder="1" applyAlignment="1" applyProtection="1">
      <alignment horizontal="center" vertical="center"/>
      <protection locked="0"/>
    </xf>
    <xf numFmtId="0" fontId="0" fillId="0" borderId="37" xfId="0" applyFont="1" applyFill="1" applyBorder="1" applyAlignment="1" applyProtection="1">
      <alignment vertical="center"/>
      <protection locked="0"/>
    </xf>
    <xf numFmtId="0" fontId="9" fillId="0" borderId="0" xfId="0" applyFont="1" applyBorder="1" applyAlignment="1" applyProtection="1">
      <alignment horizontal="center"/>
      <protection locked="0"/>
    </xf>
    <xf numFmtId="0" fontId="23" fillId="5" borderId="0" xfId="0" applyFont="1" applyFill="1" applyBorder="1" applyAlignment="1" applyProtection="1">
      <alignment horizontal="right"/>
    </xf>
    <xf numFmtId="0" fontId="23" fillId="0" borderId="0" xfId="0" applyFont="1" applyAlignment="1" applyProtection="1">
      <alignment horizontal="left"/>
      <protection locked="0"/>
    </xf>
    <xf numFmtId="0" fontId="23" fillId="5" borderId="119" xfId="0" applyFont="1" applyFill="1" applyBorder="1" applyAlignment="1" applyProtection="1">
      <alignment horizontal="left"/>
    </xf>
    <xf numFmtId="0" fontId="23" fillId="0" borderId="0" xfId="0" applyFont="1" applyAlignment="1" applyProtection="1">
      <alignment horizontal="center"/>
      <protection locked="0"/>
    </xf>
    <xf numFmtId="0" fontId="23" fillId="5" borderId="111" xfId="0" applyNumberFormat="1" applyFont="1" applyFill="1" applyBorder="1" applyAlignment="1" applyProtection="1">
      <alignment horizontal="left"/>
    </xf>
    <xf numFmtId="0" fontId="23" fillId="0" borderId="0" xfId="0" applyFont="1" applyBorder="1" applyAlignment="1" applyProtection="1">
      <alignment horizontal="left"/>
      <protection locked="0"/>
    </xf>
    <xf numFmtId="0" fontId="23" fillId="5" borderId="0" xfId="0" applyFont="1" applyFill="1" applyBorder="1" applyAlignment="1" applyProtection="1">
      <alignment horizontal="center"/>
      <protection locked="0"/>
    </xf>
    <xf numFmtId="0" fontId="23" fillId="0" borderId="0" xfId="0" applyFont="1" applyBorder="1" applyAlignment="1" applyProtection="1">
      <alignment horizontal="left" wrapText="1"/>
      <protection locked="0"/>
    </xf>
    <xf numFmtId="0" fontId="23" fillId="0" borderId="0" xfId="0" applyFont="1" applyBorder="1" applyAlignment="1" applyProtection="1">
      <alignment wrapText="1"/>
      <protection locked="0"/>
    </xf>
    <xf numFmtId="0" fontId="23" fillId="12" borderId="0" xfId="0" applyFont="1" applyFill="1" applyBorder="1" applyAlignment="1" applyProtection="1">
      <alignment wrapText="1"/>
      <protection locked="0"/>
    </xf>
    <xf numFmtId="0" fontId="23" fillId="5" borderId="0" xfId="0" applyFont="1" applyFill="1" applyBorder="1" applyAlignment="1" applyProtection="1">
      <alignment horizontal="left"/>
    </xf>
    <xf numFmtId="49" fontId="16" fillId="0" borderId="9" xfId="0" applyNumberFormat="1" applyFont="1" applyFill="1" applyBorder="1" applyAlignment="1" applyProtection="1">
      <alignment horizontal="center" vertical="center"/>
      <protection locked="0"/>
    </xf>
    <xf numFmtId="0" fontId="16" fillId="0" borderId="9" xfId="0" applyNumberFormat="1" applyFont="1" applyFill="1" applyBorder="1" applyAlignment="1" applyProtection="1">
      <alignment horizontal="center" vertical="center"/>
      <protection locked="0"/>
    </xf>
    <xf numFmtId="31" fontId="16" fillId="3" borderId="9" xfId="0" applyNumberFormat="1" applyFont="1" applyFill="1" applyBorder="1" applyAlignment="1" applyProtection="1">
      <alignment horizontal="center" vertical="center"/>
    </xf>
    <xf numFmtId="0" fontId="9" fillId="0" borderId="0" xfId="0" applyFont="1" applyBorder="1" applyAlignment="1" applyProtection="1">
      <alignment horizontal="center" vertical="center"/>
      <protection locked="0"/>
    </xf>
    <xf numFmtId="49" fontId="16" fillId="25" borderId="61" xfId="0" applyNumberFormat="1" applyFont="1" applyFill="1" applyBorder="1" applyAlignment="1" applyProtection="1">
      <alignment horizontal="center" vertical="center"/>
      <protection locked="0"/>
    </xf>
    <xf numFmtId="0" fontId="16" fillId="25" borderId="75" xfId="0" applyNumberFormat="1" applyFont="1" applyFill="1" applyBorder="1" applyAlignment="1" applyProtection="1">
      <alignment horizontal="center" vertical="center"/>
      <protection locked="0"/>
    </xf>
    <xf numFmtId="0" fontId="16" fillId="25" borderId="80" xfId="0" applyNumberFormat="1" applyFont="1" applyFill="1" applyBorder="1" applyAlignment="1" applyProtection="1">
      <alignment horizontal="center" vertical="center"/>
      <protection locked="0"/>
    </xf>
    <xf numFmtId="31" fontId="16" fillId="7" borderId="9" xfId="0" applyNumberFormat="1" applyFont="1" applyFill="1" applyBorder="1" applyAlignment="1" applyProtection="1">
      <alignment horizontal="center" vertical="center"/>
    </xf>
    <xf numFmtId="0" fontId="16" fillId="6" borderId="9" xfId="0" applyNumberFormat="1" applyFont="1" applyFill="1" applyBorder="1" applyAlignment="1" applyProtection="1">
      <alignment horizontal="center" vertical="center"/>
      <protection locked="0"/>
    </xf>
    <xf numFmtId="49" fontId="16" fillId="25" borderId="9" xfId="0" applyNumberFormat="1" applyFont="1" applyFill="1" applyBorder="1" applyAlignment="1" applyProtection="1">
      <alignment horizontal="center"/>
      <protection locked="0"/>
    </xf>
    <xf numFmtId="0" fontId="16" fillId="25" borderId="9" xfId="0" applyNumberFormat="1" applyFont="1" applyFill="1" applyBorder="1" applyAlignment="1" applyProtection="1">
      <alignment horizontal="center"/>
      <protection locked="0"/>
    </xf>
    <xf numFmtId="0" fontId="16" fillId="6" borderId="23" xfId="2" applyNumberFormat="1" applyFont="1" applyFill="1" applyBorder="1" applyAlignment="1" applyProtection="1">
      <alignment horizontal="center"/>
      <protection locked="0"/>
    </xf>
    <xf numFmtId="0" fontId="16" fillId="6" borderId="24" xfId="2" applyNumberFormat="1" applyFont="1" applyFill="1" applyBorder="1" applyAlignment="1" applyProtection="1">
      <alignment horizontal="center"/>
      <protection locked="0"/>
    </xf>
    <xf numFmtId="0" fontId="16" fillId="6" borderId="25" xfId="2" applyNumberFormat="1" applyFont="1" applyFill="1" applyBorder="1" applyAlignment="1" applyProtection="1">
      <alignment horizontal="center"/>
      <protection locked="0"/>
    </xf>
    <xf numFmtId="0" fontId="16" fillId="4" borderId="9" xfId="0" applyFont="1" applyFill="1" applyBorder="1" applyAlignment="1" applyProtection="1">
      <alignment horizontal="center"/>
      <protection locked="0"/>
    </xf>
    <xf numFmtId="49" fontId="16" fillId="17" borderId="9" xfId="0" applyNumberFormat="1" applyFont="1" applyFill="1" applyBorder="1" applyAlignment="1" applyProtection="1">
      <alignment horizontal="right" vertical="center"/>
      <protection locked="0"/>
    </xf>
    <xf numFmtId="0" fontId="16" fillId="17" borderId="9" xfId="0" applyNumberFormat="1" applyFont="1" applyFill="1" applyBorder="1" applyAlignment="1" applyProtection="1">
      <alignment horizontal="right" vertical="center"/>
      <protection locked="0"/>
    </xf>
    <xf numFmtId="49" fontId="16" fillId="4" borderId="9" xfId="0" applyNumberFormat="1" applyFont="1" applyFill="1" applyBorder="1" applyAlignment="1" applyProtection="1">
      <alignment horizontal="right" vertical="center"/>
      <protection locked="0"/>
    </xf>
    <xf numFmtId="0" fontId="16" fillId="7" borderId="9" xfId="0" applyFont="1" applyFill="1" applyBorder="1" applyAlignment="1" applyProtection="1">
      <alignment horizontal="center"/>
    </xf>
    <xf numFmtId="0" fontId="16" fillId="6" borderId="9" xfId="2" applyNumberFormat="1" applyFont="1" applyFill="1" applyBorder="1" applyAlignment="1" applyProtection="1">
      <alignment horizontal="center"/>
      <protection locked="0"/>
    </xf>
    <xf numFmtId="0" fontId="17" fillId="0" borderId="93" xfId="0" applyFont="1" applyBorder="1" applyAlignment="1">
      <alignment horizontal="center" vertical="center"/>
    </xf>
    <xf numFmtId="49" fontId="53" fillId="0" borderId="93" xfId="0" applyNumberFormat="1" applyFont="1" applyFill="1" applyBorder="1" applyAlignment="1">
      <alignment horizontal="left" vertical="center" wrapText="1"/>
    </xf>
    <xf numFmtId="49" fontId="16" fillId="25" borderId="9" xfId="0" applyNumberFormat="1" applyFont="1" applyFill="1" applyBorder="1" applyAlignment="1" applyProtection="1">
      <alignment horizontal="center" vertical="center"/>
      <protection locked="0"/>
    </xf>
    <xf numFmtId="0" fontId="16" fillId="25" borderId="9" xfId="0" applyNumberFormat="1" applyFont="1" applyFill="1" applyBorder="1" applyAlignment="1" applyProtection="1">
      <alignment horizontal="center" vertical="center"/>
      <protection locked="0"/>
    </xf>
    <xf numFmtId="49" fontId="20" fillId="25" borderId="9" xfId="0" applyNumberFormat="1" applyFont="1" applyFill="1" applyBorder="1" applyAlignment="1" applyProtection="1">
      <alignment horizontal="center" vertical="center" wrapText="1"/>
      <protection locked="0"/>
    </xf>
    <xf numFmtId="0" fontId="20" fillId="25" borderId="9" xfId="0" applyNumberFormat="1" applyFont="1" applyFill="1" applyBorder="1" applyAlignment="1" applyProtection="1">
      <alignment horizontal="center" vertical="center" wrapText="1"/>
      <protection locked="0"/>
    </xf>
    <xf numFmtId="49" fontId="20" fillId="25" borderId="223" xfId="0" applyNumberFormat="1" applyFont="1" applyFill="1" applyBorder="1" applyAlignment="1" applyProtection="1">
      <alignment horizontal="center" vertical="center" wrapText="1"/>
      <protection locked="0"/>
    </xf>
    <xf numFmtId="0" fontId="20" fillId="25" borderId="223" xfId="0" applyNumberFormat="1" applyFont="1" applyFill="1" applyBorder="1" applyAlignment="1" applyProtection="1">
      <alignment horizontal="center" vertical="center" wrapText="1"/>
      <protection locked="0"/>
    </xf>
    <xf numFmtId="0" fontId="20" fillId="25" borderId="224" xfId="0" applyNumberFormat="1" applyFont="1" applyFill="1" applyBorder="1" applyAlignment="1" applyProtection="1">
      <alignment horizontal="center" vertical="center" wrapText="1"/>
      <protection locked="0"/>
    </xf>
    <xf numFmtId="0" fontId="20" fillId="4" borderId="9" xfId="0" applyFont="1" applyFill="1" applyBorder="1" applyAlignment="1" applyProtection="1">
      <alignment horizontal="center"/>
      <protection locked="0"/>
    </xf>
    <xf numFmtId="0" fontId="20" fillId="4" borderId="22" xfId="0" applyFont="1" applyFill="1" applyBorder="1" applyAlignment="1" applyProtection="1">
      <alignment horizontal="center"/>
      <protection locked="0"/>
    </xf>
    <xf numFmtId="49" fontId="16" fillId="4" borderId="217" xfId="0" applyNumberFormat="1" applyFont="1" applyFill="1" applyBorder="1" applyAlignment="1" applyProtection="1">
      <alignment horizontal="center"/>
      <protection locked="0"/>
    </xf>
    <xf numFmtId="49" fontId="16" fillId="4" borderId="221" xfId="0" applyNumberFormat="1" applyFont="1" applyFill="1" applyBorder="1" applyAlignment="1" applyProtection="1">
      <alignment horizontal="center"/>
      <protection locked="0"/>
    </xf>
    <xf numFmtId="49" fontId="16" fillId="4" borderId="220" xfId="0" applyNumberFormat="1" applyFont="1" applyFill="1" applyBorder="1" applyAlignment="1" applyProtection="1">
      <alignment horizontal="center"/>
      <protection locked="0"/>
    </xf>
    <xf numFmtId="49" fontId="16" fillId="4" borderId="222" xfId="0" applyNumberFormat="1" applyFont="1" applyFill="1" applyBorder="1" applyAlignment="1" applyProtection="1">
      <alignment horizontal="center"/>
      <protection locked="0"/>
    </xf>
    <xf numFmtId="49" fontId="16" fillId="4" borderId="218" xfId="0" applyNumberFormat="1" applyFont="1" applyFill="1" applyBorder="1" applyAlignment="1" applyProtection="1">
      <alignment horizontal="center"/>
      <protection locked="0"/>
    </xf>
    <xf numFmtId="0" fontId="20" fillId="25" borderId="217" xfId="0" applyNumberFormat="1" applyFont="1" applyFill="1" applyBorder="1" applyAlignment="1" applyProtection="1">
      <alignment horizontal="center" vertical="center" wrapText="1"/>
      <protection locked="0"/>
    </xf>
    <xf numFmtId="0" fontId="20" fillId="25" borderId="220" xfId="0" applyNumberFormat="1" applyFont="1" applyFill="1" applyBorder="1" applyAlignment="1" applyProtection="1">
      <alignment horizontal="center" vertical="center" wrapText="1"/>
      <protection locked="0"/>
    </xf>
    <xf numFmtId="0" fontId="20" fillId="25" borderId="218" xfId="0" applyNumberFormat="1" applyFont="1" applyFill="1" applyBorder="1" applyAlignment="1" applyProtection="1">
      <alignment horizontal="center" vertical="center" wrapText="1"/>
      <protection locked="0"/>
    </xf>
    <xf numFmtId="0" fontId="16" fillId="32" borderId="9" xfId="0" applyNumberFormat="1" applyFont="1" applyFill="1" applyBorder="1" applyAlignment="1" applyProtection="1">
      <alignment horizontal="center" vertical="center"/>
      <protection locked="0"/>
    </xf>
    <xf numFmtId="176" fontId="16" fillId="17" borderId="9" xfId="0" applyNumberFormat="1" applyFont="1" applyFill="1" applyBorder="1" applyAlignment="1" applyProtection="1">
      <alignment horizontal="center"/>
      <protection locked="0"/>
    </xf>
    <xf numFmtId="0" fontId="12" fillId="7" borderId="9" xfId="2" applyNumberFormat="1" applyFont="1" applyFill="1" applyBorder="1" applyAlignment="1" applyProtection="1">
      <alignment horizontal="center"/>
    </xf>
    <xf numFmtId="0" fontId="16" fillId="6" borderId="9" xfId="0" applyFont="1" applyFill="1" applyBorder="1" applyAlignment="1" applyProtection="1">
      <alignment horizontal="center"/>
      <protection locked="0"/>
    </xf>
    <xf numFmtId="49" fontId="16" fillId="25" borderId="9" xfId="0" applyNumberFormat="1" applyFont="1" applyFill="1" applyBorder="1" applyAlignment="1" applyProtection="1">
      <alignment horizontal="center"/>
    </xf>
    <xf numFmtId="0" fontId="16" fillId="25" borderId="9" xfId="0" applyNumberFormat="1" applyFont="1" applyFill="1" applyBorder="1" applyAlignment="1" applyProtection="1">
      <alignment horizontal="center"/>
    </xf>
    <xf numFmtId="49" fontId="16" fillId="38" borderId="9" xfId="0" applyNumberFormat="1" applyFont="1" applyFill="1" applyBorder="1" applyAlignment="1" applyProtection="1">
      <alignment horizontal="center" vertical="center"/>
      <protection locked="0"/>
    </xf>
    <xf numFmtId="0" fontId="16" fillId="38" borderId="9" xfId="0" applyNumberFormat="1" applyFont="1" applyFill="1" applyBorder="1" applyAlignment="1" applyProtection="1">
      <alignment horizontal="center" vertical="center"/>
      <protection locked="0"/>
    </xf>
    <xf numFmtId="49" fontId="16" fillId="38" borderId="9" xfId="1" applyNumberFormat="1" applyFont="1" applyFill="1" applyBorder="1" applyAlignment="1" applyProtection="1">
      <alignment horizontal="center"/>
      <protection locked="0"/>
    </xf>
    <xf numFmtId="0" fontId="16" fillId="38" borderId="9" xfId="1" applyNumberFormat="1" applyFont="1" applyFill="1" applyBorder="1" applyAlignment="1" applyProtection="1">
      <alignment horizontal="center"/>
      <protection locked="0"/>
    </xf>
    <xf numFmtId="0" fontId="119" fillId="33" borderId="0" xfId="0" applyFont="1" applyFill="1" applyAlignment="1" applyProtection="1">
      <alignment horizontal="center"/>
      <protection locked="0"/>
    </xf>
    <xf numFmtId="0" fontId="115" fillId="33" borderId="119" xfId="0" applyFont="1" applyFill="1" applyBorder="1" applyAlignment="1" applyProtection="1">
      <alignment horizontal="center" vertical="center"/>
    </xf>
    <xf numFmtId="186" fontId="0" fillId="33" borderId="109" xfId="0" applyNumberFormat="1" applyFill="1" applyBorder="1" applyAlignment="1" applyProtection="1">
      <alignment horizontal="left" vertical="center" wrapText="1"/>
    </xf>
    <xf numFmtId="186" fontId="0" fillId="33" borderId="111" xfId="0" applyNumberFormat="1" applyFill="1" applyBorder="1" applyAlignment="1" applyProtection="1">
      <alignment horizontal="left" vertical="center"/>
    </xf>
    <xf numFmtId="189" fontId="0" fillId="33" borderId="121" xfId="0" applyNumberFormat="1" applyFill="1" applyBorder="1" applyAlignment="1" applyProtection="1">
      <alignment horizontal="left" vertical="center" wrapText="1"/>
    </xf>
    <xf numFmtId="0" fontId="118" fillId="33" borderId="0" xfId="0" applyFont="1" applyFill="1" applyAlignment="1" applyProtection="1">
      <alignment horizontal="center"/>
    </xf>
    <xf numFmtId="0" fontId="119" fillId="33" borderId="126" xfId="0" applyFont="1" applyFill="1" applyBorder="1" applyAlignment="1" applyProtection="1">
      <alignment horizontal="center"/>
    </xf>
    <xf numFmtId="0" fontId="119" fillId="33" borderId="0" xfId="0" applyFont="1" applyFill="1" applyBorder="1" applyAlignment="1" applyProtection="1">
      <alignment horizontal="center"/>
    </xf>
    <xf numFmtId="0" fontId="120" fillId="33" borderId="171" xfId="0" applyFont="1" applyFill="1" applyBorder="1" applyAlignment="1" applyProtection="1">
      <alignment horizontal="center" vertical="center" wrapText="1"/>
    </xf>
    <xf numFmtId="0" fontId="120" fillId="33" borderId="137" xfId="0" applyFont="1" applyFill="1" applyBorder="1" applyAlignment="1" applyProtection="1">
      <alignment horizontal="center" vertical="center" wrapText="1"/>
    </xf>
    <xf numFmtId="0" fontId="120" fillId="33" borderId="127" xfId="0" applyFont="1" applyFill="1" applyBorder="1" applyAlignment="1" applyProtection="1">
      <alignment horizontal="center" vertical="center" wrapText="1"/>
    </xf>
    <xf numFmtId="0" fontId="120" fillId="33" borderId="128" xfId="0" applyFont="1" applyFill="1" applyBorder="1" applyAlignment="1" applyProtection="1">
      <alignment horizontal="center" vertical="center" wrapText="1"/>
    </xf>
    <xf numFmtId="0" fontId="120" fillId="33" borderId="175" xfId="0" applyFont="1" applyFill="1" applyBorder="1" applyAlignment="1" applyProtection="1">
      <alignment horizontal="center" vertical="center" wrapText="1"/>
    </xf>
    <xf numFmtId="0" fontId="120" fillId="33" borderId="126" xfId="0" applyFont="1" applyFill="1" applyBorder="1" applyAlignment="1" applyProtection="1">
      <alignment horizontal="center" vertical="center" wrapText="1"/>
    </xf>
    <xf numFmtId="0" fontId="0" fillId="33" borderId="171" xfId="0" applyFill="1" applyBorder="1" applyAlignment="1" applyProtection="1">
      <alignment horizontal="center" vertical="center"/>
    </xf>
    <xf numFmtId="0" fontId="0" fillId="33" borderId="131" xfId="0" applyFill="1" applyBorder="1" applyAlignment="1" applyProtection="1">
      <alignment horizontal="center" vertical="center"/>
    </xf>
    <xf numFmtId="0" fontId="0" fillId="33" borderId="137" xfId="0" applyFill="1" applyBorder="1" applyAlignment="1" applyProtection="1">
      <alignment horizontal="center" vertical="center"/>
    </xf>
    <xf numFmtId="0" fontId="0" fillId="33" borderId="176" xfId="0" applyFill="1" applyBorder="1" applyAlignment="1" applyProtection="1">
      <alignment horizontal="center" vertical="center"/>
    </xf>
    <xf numFmtId="0" fontId="0" fillId="33" borderId="176" xfId="0" applyFill="1" applyBorder="1" applyAlignment="1" applyProtection="1">
      <alignment horizontal="left" vertical="center" wrapText="1"/>
    </xf>
    <xf numFmtId="0" fontId="0" fillId="33" borderId="171" xfId="0" applyFill="1" applyBorder="1" applyAlignment="1" applyProtection="1">
      <alignment horizontal="center" vertical="center" wrapText="1"/>
    </xf>
    <xf numFmtId="0" fontId="0" fillId="33" borderId="131" xfId="0" applyFill="1" applyBorder="1" applyAlignment="1" applyProtection="1">
      <alignment horizontal="center" vertical="center" wrapText="1"/>
    </xf>
    <xf numFmtId="0" fontId="0" fillId="33" borderId="137" xfId="0" applyFill="1" applyBorder="1" applyAlignment="1" applyProtection="1">
      <alignment horizontal="center" vertical="center" wrapText="1"/>
    </xf>
    <xf numFmtId="0" fontId="119" fillId="33" borderId="126" xfId="0" applyFont="1" applyFill="1" applyBorder="1" applyAlignment="1" applyProtection="1">
      <alignment horizontal="center"/>
      <protection locked="0"/>
    </xf>
    <xf numFmtId="0" fontId="120" fillId="33" borderId="171" xfId="0" applyFont="1" applyFill="1" applyBorder="1" applyAlignment="1" applyProtection="1">
      <alignment horizontal="center" wrapText="1"/>
      <protection locked="0"/>
    </xf>
    <xf numFmtId="0" fontId="120" fillId="33" borderId="137" xfId="0" applyFont="1" applyFill="1" applyBorder="1" applyAlignment="1" applyProtection="1">
      <alignment horizontal="center" wrapText="1"/>
      <protection locked="0"/>
    </xf>
    <xf numFmtId="0" fontId="120" fillId="33" borderId="127" xfId="0" applyFont="1" applyFill="1" applyBorder="1" applyAlignment="1" applyProtection="1">
      <alignment horizontal="center" wrapText="1"/>
      <protection locked="0"/>
    </xf>
    <xf numFmtId="0" fontId="120" fillId="33" borderId="128" xfId="0" applyFont="1" applyFill="1" applyBorder="1" applyAlignment="1" applyProtection="1">
      <alignment horizontal="center" wrapText="1"/>
      <protection locked="0"/>
    </xf>
    <xf numFmtId="0" fontId="120" fillId="33" borderId="172" xfId="0" applyFont="1" applyFill="1" applyBorder="1" applyAlignment="1" applyProtection="1">
      <alignment horizontal="center" wrapText="1"/>
      <protection locked="0"/>
    </xf>
    <xf numFmtId="0" fontId="120" fillId="33" borderId="175" xfId="0" applyFont="1" applyFill="1" applyBorder="1" applyAlignment="1" applyProtection="1">
      <alignment horizontal="center" wrapText="1"/>
      <protection locked="0"/>
    </xf>
    <xf numFmtId="0" fontId="120" fillId="33" borderId="126" xfId="0" applyFont="1" applyFill="1" applyBorder="1" applyAlignment="1" applyProtection="1">
      <alignment horizontal="center" wrapText="1"/>
      <protection locked="0"/>
    </xf>
    <xf numFmtId="0" fontId="120" fillId="33" borderId="174" xfId="0" applyFont="1" applyFill="1" applyBorder="1" applyAlignment="1" applyProtection="1">
      <alignment horizontal="center" wrapText="1"/>
      <protection locked="0"/>
    </xf>
    <xf numFmtId="0" fontId="23" fillId="33" borderId="171" xfId="0" applyFont="1" applyFill="1" applyBorder="1" applyAlignment="1" applyProtection="1">
      <alignment horizontal="center" wrapText="1"/>
      <protection locked="0"/>
    </xf>
    <xf numFmtId="0" fontId="23" fillId="33" borderId="131" xfId="0" applyFont="1" applyFill="1" applyBorder="1" applyAlignment="1" applyProtection="1">
      <alignment horizontal="center" wrapText="1"/>
      <protection locked="0"/>
    </xf>
    <xf numFmtId="0" fontId="23" fillId="33" borderId="137" xfId="0" applyFont="1" applyFill="1" applyBorder="1" applyAlignment="1" applyProtection="1">
      <alignment horizontal="center" wrapText="1"/>
      <protection locked="0"/>
    </xf>
    <xf numFmtId="0" fontId="23" fillId="33" borderId="177" xfId="0" applyFont="1" applyFill="1" applyBorder="1" applyAlignment="1" applyProtection="1">
      <alignment horizontal="center" wrapText="1"/>
      <protection locked="0"/>
    </xf>
    <xf numFmtId="0" fontId="23" fillId="33" borderId="178" xfId="0" applyFont="1" applyFill="1" applyBorder="1" applyAlignment="1" applyProtection="1">
      <alignment horizontal="center" wrapText="1"/>
      <protection locked="0"/>
    </xf>
    <xf numFmtId="0" fontId="23" fillId="33" borderId="171" xfId="0" applyFont="1" applyFill="1" applyBorder="1" applyAlignment="1" applyProtection="1">
      <alignment horizontal="justify" wrapText="1"/>
      <protection locked="0"/>
    </xf>
    <xf numFmtId="0" fontId="23" fillId="33" borderId="137" xfId="0" applyFont="1" applyFill="1" applyBorder="1" applyAlignment="1" applyProtection="1">
      <alignment horizontal="justify" wrapText="1"/>
      <protection locked="0"/>
    </xf>
    <xf numFmtId="0" fontId="23" fillId="33" borderId="127" xfId="0" applyFont="1" applyFill="1" applyBorder="1" applyAlignment="1" applyProtection="1">
      <alignment horizontal="center" wrapText="1"/>
      <protection locked="0"/>
    </xf>
    <xf numFmtId="0" fontId="0" fillId="33" borderId="128" xfId="0" applyFill="1" applyBorder="1" applyProtection="1">
      <alignment vertical="center"/>
      <protection locked="0"/>
    </xf>
    <xf numFmtId="0" fontId="0" fillId="33" borderId="172" xfId="0" applyFill="1" applyBorder="1" applyProtection="1">
      <alignment vertical="center"/>
      <protection locked="0"/>
    </xf>
    <xf numFmtId="0" fontId="0" fillId="33" borderId="175" xfId="0" applyFill="1" applyBorder="1" applyProtection="1">
      <alignment vertical="center"/>
      <protection locked="0"/>
    </xf>
    <xf numFmtId="0" fontId="0" fillId="33" borderId="126" xfId="0" applyFill="1" applyBorder="1" applyProtection="1">
      <alignment vertical="center"/>
      <protection locked="0"/>
    </xf>
    <xf numFmtId="0" fontId="0" fillId="33" borderId="174" xfId="0" applyFill="1" applyBorder="1" applyProtection="1">
      <alignment vertical="center"/>
      <protection locked="0"/>
    </xf>
    <xf numFmtId="0" fontId="23" fillId="33" borderId="177" xfId="0" applyFont="1" applyFill="1" applyBorder="1" applyAlignment="1" applyProtection="1">
      <alignment horizontal="justify" wrapText="1"/>
      <protection locked="0"/>
    </xf>
    <xf numFmtId="0" fontId="23" fillId="33" borderId="178" xfId="0" applyFont="1" applyFill="1" applyBorder="1" applyAlignment="1" applyProtection="1">
      <alignment horizontal="justify" wrapText="1"/>
      <protection locked="0"/>
    </xf>
    <xf numFmtId="0" fontId="23" fillId="33" borderId="172" xfId="0" applyFont="1" applyFill="1" applyBorder="1" applyAlignment="1" applyProtection="1">
      <alignment horizontal="center" wrapText="1"/>
      <protection locked="0"/>
    </xf>
    <xf numFmtId="0" fontId="23" fillId="33" borderId="179" xfId="0" applyFont="1" applyFill="1" applyBorder="1" applyAlignment="1" applyProtection="1">
      <alignment horizontal="center" wrapText="1"/>
      <protection locked="0"/>
    </xf>
    <xf numFmtId="0" fontId="23" fillId="33" borderId="180" xfId="0" applyFont="1" applyFill="1" applyBorder="1" applyAlignment="1" applyProtection="1">
      <alignment horizontal="center" wrapText="1"/>
      <protection locked="0"/>
    </xf>
    <xf numFmtId="0" fontId="23" fillId="33" borderId="173" xfId="0" applyFont="1" applyFill="1" applyBorder="1" applyAlignment="1" applyProtection="1">
      <alignment horizontal="center" wrapText="1"/>
      <protection locked="0"/>
    </xf>
    <xf numFmtId="0" fontId="23" fillId="33" borderId="175" xfId="0" applyFont="1" applyFill="1" applyBorder="1" applyAlignment="1" applyProtection="1">
      <alignment horizontal="center" wrapText="1"/>
      <protection locked="0"/>
    </xf>
    <xf numFmtId="0" fontId="23" fillId="33" borderId="171" xfId="0" applyFont="1" applyFill="1" applyBorder="1" applyAlignment="1" applyProtection="1">
      <alignment horizontal="left" wrapText="1"/>
      <protection locked="0"/>
    </xf>
    <xf numFmtId="0" fontId="23" fillId="33" borderId="131" xfId="0" applyFont="1" applyFill="1" applyBorder="1" applyAlignment="1" applyProtection="1">
      <alignment horizontal="left" wrapText="1"/>
      <protection locked="0"/>
    </xf>
    <xf numFmtId="0" fontId="23" fillId="33" borderId="137" xfId="0" applyFont="1" applyFill="1" applyBorder="1" applyAlignment="1" applyProtection="1">
      <alignment horizontal="left" wrapText="1"/>
      <protection locked="0"/>
    </xf>
    <xf numFmtId="0" fontId="57" fillId="33" borderId="171" xfId="0" applyFont="1" applyFill="1" applyBorder="1" applyAlignment="1" applyProtection="1">
      <alignment horizontal="left" wrapText="1"/>
      <protection locked="0"/>
    </xf>
    <xf numFmtId="0" fontId="57" fillId="33" borderId="131" xfId="0" applyFont="1" applyFill="1" applyBorder="1" applyAlignment="1" applyProtection="1">
      <alignment horizontal="left" wrapText="1"/>
      <protection locked="0"/>
    </xf>
    <xf numFmtId="0" fontId="57" fillId="33" borderId="137" xfId="0" applyFont="1" applyFill="1" applyBorder="1" applyAlignment="1" applyProtection="1">
      <alignment horizontal="left" wrapText="1"/>
      <protection locked="0"/>
    </xf>
    <xf numFmtId="0" fontId="123" fillId="33" borderId="0" xfId="0" applyFont="1" applyFill="1" applyAlignment="1" applyProtection="1">
      <alignment horizontal="left" vertical="center"/>
      <protection locked="0"/>
    </xf>
    <xf numFmtId="0" fontId="94" fillId="33" borderId="0" xfId="0" applyFont="1" applyFill="1" applyAlignment="1" applyProtection="1">
      <alignment horizontal="left" vertical="center"/>
      <protection locked="0"/>
    </xf>
    <xf numFmtId="0" fontId="122" fillId="33" borderId="0" xfId="0" applyFont="1" applyFill="1" applyAlignment="1" applyProtection="1">
      <alignment horizontal="center" vertical="center"/>
      <protection locked="0"/>
    </xf>
    <xf numFmtId="0" fontId="124" fillId="33" borderId="0" xfId="0" applyFont="1" applyFill="1" applyAlignment="1" applyProtection="1">
      <alignment horizontal="left" vertical="center"/>
      <protection locked="0"/>
    </xf>
    <xf numFmtId="0" fontId="125" fillId="33" borderId="0" xfId="0" applyFont="1" applyFill="1" applyAlignment="1" applyProtection="1">
      <alignment horizontal="left" vertical="center"/>
      <protection locked="0"/>
    </xf>
    <xf numFmtId="0" fontId="5" fillId="5" borderId="0" xfId="0" applyFont="1" applyFill="1" applyBorder="1" applyAlignment="1" applyProtection="1">
      <alignment vertical="center"/>
    </xf>
    <xf numFmtId="0" fontId="0" fillId="0" borderId="0" xfId="0" applyFont="1" applyBorder="1" applyAlignment="1" applyProtection="1">
      <alignment vertical="center"/>
      <protection locked="0"/>
    </xf>
    <xf numFmtId="0" fontId="2" fillId="2" borderId="3" xfId="0" applyFont="1" applyFill="1" applyBorder="1" applyAlignment="1" applyProtection="1">
      <alignment horizontal="center" vertical="center"/>
      <protection locked="0"/>
    </xf>
    <xf numFmtId="0" fontId="2" fillId="2" borderId="96" xfId="0" applyFont="1" applyFill="1" applyBorder="1" applyAlignment="1" applyProtection="1">
      <alignment horizontal="left" vertical="center"/>
      <protection locked="0"/>
    </xf>
    <xf numFmtId="0" fontId="2" fillId="5" borderId="98" xfId="0" applyFont="1" applyFill="1" applyBorder="1" applyAlignment="1" applyProtection="1">
      <alignment horizontal="center" vertical="center"/>
    </xf>
    <xf numFmtId="0" fontId="2" fillId="5" borderId="19" xfId="0" applyFont="1" applyFill="1" applyBorder="1" applyAlignment="1" applyProtection="1">
      <alignment vertical="center"/>
    </xf>
    <xf numFmtId="0" fontId="2" fillId="2" borderId="19" xfId="0" applyFont="1" applyFill="1" applyBorder="1" applyAlignment="1" applyProtection="1">
      <alignment horizontal="center" vertical="center"/>
      <protection locked="0"/>
    </xf>
    <xf numFmtId="31" fontId="2" fillId="5" borderId="12" xfId="0" applyNumberFormat="1" applyFont="1" applyFill="1" applyBorder="1" applyAlignment="1" applyProtection="1">
      <alignment vertical="center"/>
    </xf>
    <xf numFmtId="0" fontId="2" fillId="2" borderId="12" xfId="0" applyFont="1" applyFill="1" applyBorder="1" applyAlignment="1" applyProtection="1">
      <alignment horizontal="center" vertical="center"/>
      <protection locked="0"/>
    </xf>
    <xf numFmtId="0" fontId="2" fillId="5" borderId="98" xfId="0" applyFont="1" applyFill="1" applyBorder="1" applyAlignment="1" applyProtection="1">
      <alignment horizontal="center" vertical="center" wrapText="1"/>
    </xf>
    <xf numFmtId="0" fontId="2" fillId="0" borderId="8" xfId="0" applyFont="1" applyFill="1" applyBorder="1" applyAlignment="1" applyProtection="1">
      <alignment horizontal="center" vertical="center"/>
      <protection locked="0"/>
    </xf>
    <xf numFmtId="0" fontId="2" fillId="2" borderId="7" xfId="0" applyFont="1" applyFill="1" applyBorder="1" applyAlignment="1" applyProtection="1">
      <alignment horizontal="center" vertical="center"/>
      <protection locked="0"/>
    </xf>
    <xf numFmtId="0" fontId="2" fillId="2" borderId="10" xfId="0" applyFont="1" applyFill="1" applyBorder="1" applyAlignment="1" applyProtection="1">
      <alignment horizontal="center" vertical="center"/>
      <protection locked="0"/>
    </xf>
    <xf numFmtId="49" fontId="2" fillId="5" borderId="22" xfId="0" applyNumberFormat="1" applyFont="1" applyFill="1" applyBorder="1" applyAlignment="1" applyProtection="1">
      <alignment horizontal="center" vertical="center"/>
      <protection locked="0"/>
    </xf>
    <xf numFmtId="0" fontId="2" fillId="2" borderId="8" xfId="0" applyFont="1" applyFill="1" applyBorder="1" applyAlignment="1" applyProtection="1">
      <alignment horizontal="center" vertical="center"/>
      <protection locked="0"/>
    </xf>
    <xf numFmtId="187" fontId="2" fillId="3" borderId="9" xfId="0" applyNumberFormat="1" applyFont="1" applyFill="1" applyBorder="1" applyAlignment="1" applyProtection="1">
      <alignment horizontal="center" vertical="center"/>
      <protection locked="0"/>
    </xf>
    <xf numFmtId="0" fontId="27" fillId="0" borderId="0" xfId="0" applyFont="1" applyBorder="1" applyAlignment="1">
      <alignment horizontal="center" vertical="center"/>
    </xf>
    <xf numFmtId="0" fontId="2" fillId="0" borderId="98" xfId="0" applyFont="1" applyBorder="1" applyAlignment="1" applyProtection="1">
      <alignment horizontal="left" vertical="top" wrapText="1"/>
      <protection locked="0"/>
    </xf>
    <xf numFmtId="0" fontId="0" fillId="2" borderId="31" xfId="0" applyFill="1" applyBorder="1" applyAlignment="1" applyProtection="1">
      <alignment horizontal="center" vertical="center"/>
      <protection locked="0"/>
    </xf>
    <xf numFmtId="0" fontId="0" fillId="5" borderId="19" xfId="0" applyFill="1" applyBorder="1" applyAlignment="1" applyProtection="1">
      <alignment vertical="center" wrapText="1"/>
    </xf>
    <xf numFmtId="0" fontId="0" fillId="2" borderId="19" xfId="0" applyFill="1" applyBorder="1" applyAlignment="1" applyProtection="1">
      <alignment horizontal="center" vertical="center"/>
      <protection locked="0"/>
    </xf>
    <xf numFmtId="0" fontId="0" fillId="7" borderId="8" xfId="0" applyNumberFormat="1" applyFill="1" applyBorder="1" applyAlignment="1" applyProtection="1">
      <alignment horizontal="center" vertical="center"/>
      <protection locked="0"/>
    </xf>
    <xf numFmtId="0" fontId="0" fillId="5" borderId="8" xfId="0" applyFill="1" applyBorder="1" applyAlignment="1" applyProtection="1">
      <alignment horizontal="center" vertical="center"/>
    </xf>
    <xf numFmtId="49" fontId="0" fillId="5" borderId="22" xfId="0" applyNumberFormat="1" applyFont="1" applyFill="1" applyBorder="1" applyAlignment="1" applyProtection="1">
      <alignment horizontal="center" vertical="center"/>
    </xf>
    <xf numFmtId="0" fontId="0" fillId="5" borderId="12" xfId="0" applyNumberFormat="1" applyFill="1" applyBorder="1" applyAlignment="1" applyProtection="1">
      <alignment horizontal="center" vertical="center"/>
    </xf>
    <xf numFmtId="0" fontId="0" fillId="5" borderId="12" xfId="0" applyFill="1" applyBorder="1" applyAlignment="1" applyProtection="1">
      <alignment horizontal="center" vertical="center"/>
    </xf>
    <xf numFmtId="0" fontId="0" fillId="2" borderId="6" xfId="0" applyFont="1" applyFill="1" applyBorder="1" applyAlignment="1" applyProtection="1">
      <alignment vertical="center"/>
      <protection locked="0"/>
    </xf>
    <xf numFmtId="0" fontId="0" fillId="6" borderId="19" xfId="0" applyFill="1" applyBorder="1" applyAlignment="1" applyProtection="1">
      <alignment vertical="center"/>
      <protection locked="0"/>
    </xf>
    <xf numFmtId="0" fontId="0" fillId="2" borderId="33" xfId="0" applyFont="1" applyFill="1" applyBorder="1" applyAlignment="1" applyProtection="1">
      <alignment horizontal="center" vertical="center"/>
      <protection locked="0"/>
    </xf>
    <xf numFmtId="0" fontId="0" fillId="2" borderId="11" xfId="0" applyFont="1" applyFill="1" applyBorder="1" applyAlignment="1" applyProtection="1">
      <alignment horizontal="center" vertical="center"/>
      <protection locked="0"/>
    </xf>
    <xf numFmtId="0" fontId="0" fillId="2" borderId="7" xfId="0" applyFont="1" applyFill="1" applyBorder="1" applyAlignment="1" applyProtection="1">
      <alignment vertical="center"/>
      <protection locked="0"/>
    </xf>
    <xf numFmtId="0" fontId="0" fillId="6" borderId="8" xfId="0" applyFill="1" applyBorder="1" applyAlignment="1" applyProtection="1">
      <alignment vertical="center"/>
      <protection locked="0"/>
    </xf>
    <xf numFmtId="0" fontId="0" fillId="2" borderId="10" xfId="0" applyFont="1" applyFill="1" applyBorder="1" applyAlignment="1" applyProtection="1">
      <alignment vertical="center"/>
      <protection locked="0"/>
    </xf>
    <xf numFmtId="0" fontId="0" fillId="6" borderId="12" xfId="0" applyFill="1" applyBorder="1" applyAlignment="1" applyProtection="1">
      <alignment vertical="center"/>
      <protection locked="0"/>
    </xf>
    <xf numFmtId="0" fontId="0" fillId="2" borderId="36" xfId="0" applyFont="1" applyFill="1" applyBorder="1" applyAlignment="1" applyProtection="1">
      <alignment vertical="center"/>
      <protection locked="0"/>
    </xf>
    <xf numFmtId="0" fontId="0" fillId="6" borderId="9" xfId="0" applyFill="1" applyBorder="1" applyAlignment="1" applyProtection="1">
      <alignment horizontal="center" vertical="center"/>
      <protection locked="0"/>
    </xf>
    <xf numFmtId="0" fontId="0" fillId="2" borderId="30" xfId="0" applyFont="1" applyFill="1" applyBorder="1" applyAlignment="1" applyProtection="1">
      <alignment vertical="center"/>
      <protection locked="0"/>
    </xf>
    <xf numFmtId="0" fontId="0" fillId="0" borderId="35" xfId="0" applyFont="1" applyBorder="1" applyAlignment="1" applyProtection="1">
      <alignment horizontal="center" vertical="center"/>
      <protection locked="0"/>
    </xf>
    <xf numFmtId="0" fontId="0" fillId="6" borderId="11" xfId="0" applyFill="1" applyBorder="1" applyAlignment="1" applyProtection="1">
      <alignment horizontal="center" vertical="center"/>
      <protection locked="0"/>
    </xf>
    <xf numFmtId="0" fontId="9" fillId="2" borderId="0" xfId="0" applyFont="1" applyFill="1" applyBorder="1" applyAlignment="1" applyProtection="1">
      <alignment horizontal="center" vertical="center"/>
    </xf>
    <xf numFmtId="0" fontId="0" fillId="2" borderId="0" xfId="0" applyFont="1" applyFill="1" applyBorder="1" applyAlignment="1" applyProtection="1">
      <alignment horizontal="left"/>
      <protection locked="0"/>
    </xf>
    <xf numFmtId="0" fontId="2" fillId="2" borderId="20" xfId="0" applyFont="1" applyFill="1" applyBorder="1" applyAlignment="1" applyProtection="1">
      <alignment horizontal="right"/>
      <protection locked="0"/>
    </xf>
    <xf numFmtId="49" fontId="2" fillId="5" borderId="20" xfId="0" applyNumberFormat="1" applyFont="1" applyFill="1" applyBorder="1" applyAlignment="1" applyProtection="1">
      <alignment horizontal="center"/>
    </xf>
    <xf numFmtId="0" fontId="2" fillId="0" borderId="21" xfId="0" applyFont="1" applyBorder="1" applyAlignment="1" applyProtection="1">
      <alignment vertical="center"/>
      <protection locked="0"/>
    </xf>
    <xf numFmtId="0" fontId="2" fillId="2" borderId="10" xfId="0" applyFont="1" applyFill="1" applyBorder="1" applyAlignment="1" applyProtection="1">
      <alignment horizontal="center"/>
      <protection locked="0"/>
    </xf>
    <xf numFmtId="0" fontId="2" fillId="0" borderId="2" xfId="0" applyFont="1" applyBorder="1" applyAlignment="1" applyProtection="1">
      <protection locked="0"/>
    </xf>
    <xf numFmtId="0" fontId="2" fillId="2" borderId="12" xfId="0" applyFont="1" applyFill="1" applyBorder="1" applyAlignment="1" applyProtection="1">
      <alignment horizontal="center"/>
      <protection locked="0"/>
    </xf>
    <xf numFmtId="0" fontId="2" fillId="2" borderId="4" xfId="0" applyFont="1" applyFill="1" applyBorder="1" applyAlignment="1" applyProtection="1">
      <protection locked="0"/>
    </xf>
    <xf numFmtId="0" fontId="2" fillId="0" borderId="21" xfId="0" applyFont="1" applyBorder="1" applyAlignment="1" applyProtection="1">
      <protection locked="0"/>
    </xf>
    <xf numFmtId="0" fontId="2" fillId="0" borderId="27" xfId="0" applyFont="1" applyBorder="1" applyAlignment="1" applyProtection="1">
      <protection locked="0"/>
    </xf>
    <xf numFmtId="0" fontId="2" fillId="2" borderId="3" xfId="0" applyFont="1" applyFill="1" applyBorder="1" applyAlignment="1" applyProtection="1">
      <alignment vertical="center" wrapText="1"/>
      <protection locked="0"/>
    </xf>
    <xf numFmtId="0" fontId="2" fillId="0" borderId="28" xfId="0" applyFont="1" applyBorder="1" applyAlignment="1" applyProtection="1">
      <protection locked="0"/>
    </xf>
    <xf numFmtId="0" fontId="2" fillId="5" borderId="66" xfId="0" applyFont="1" applyFill="1" applyBorder="1" applyAlignment="1" applyProtection="1"/>
    <xf numFmtId="0" fontId="2" fillId="2" borderId="35" xfId="0" applyFont="1" applyFill="1" applyBorder="1" applyAlignment="1" applyProtection="1">
      <alignment horizontal="center" vertical="center"/>
      <protection locked="0"/>
    </xf>
    <xf numFmtId="0" fontId="2" fillId="2" borderId="37" xfId="0" applyFont="1" applyFill="1" applyBorder="1" applyAlignment="1" applyProtection="1">
      <alignment vertical="center" wrapText="1"/>
      <protection locked="0"/>
    </xf>
    <xf numFmtId="0" fontId="2" fillId="0" borderId="37" xfId="0" applyFont="1" applyBorder="1" applyAlignment="1" applyProtection="1">
      <protection locked="0"/>
    </xf>
    <xf numFmtId="0" fontId="2" fillId="5" borderId="13" xfId="0" applyFont="1" applyFill="1" applyBorder="1" applyAlignment="1" applyProtection="1"/>
    <xf numFmtId="0" fontId="2" fillId="2" borderId="4" xfId="0" applyFont="1" applyFill="1" applyBorder="1" applyAlignment="1" applyProtection="1">
      <alignment horizontal="center" vertical="center" wrapText="1"/>
      <protection locked="0"/>
    </xf>
    <xf numFmtId="0" fontId="2" fillId="2" borderId="2" xfId="0" applyFont="1" applyFill="1" applyBorder="1" applyAlignment="1" applyProtection="1">
      <alignment vertical="center" wrapText="1"/>
      <protection locked="0"/>
    </xf>
    <xf numFmtId="0" fontId="2" fillId="2" borderId="32" xfId="0" applyFont="1" applyFill="1" applyBorder="1" applyAlignment="1" applyProtection="1">
      <alignment vertical="center" wrapText="1"/>
      <protection locked="0"/>
    </xf>
    <xf numFmtId="0" fontId="2" fillId="2" borderId="3" xfId="0" applyFont="1" applyFill="1" applyBorder="1" applyAlignment="1" applyProtection="1">
      <protection locked="0"/>
    </xf>
    <xf numFmtId="0" fontId="2" fillId="0" borderId="1" xfId="0" applyFont="1" applyBorder="1" applyAlignment="1" applyProtection="1">
      <alignment vertical="top"/>
      <protection locked="0"/>
    </xf>
    <xf numFmtId="0" fontId="2" fillId="0" borderId="32" xfId="0" applyFont="1" applyBorder="1" applyAlignment="1" applyProtection="1">
      <alignment horizontal="center"/>
      <protection locked="0"/>
    </xf>
    <xf numFmtId="0" fontId="2" fillId="0" borderId="31" xfId="0" applyFont="1" applyBorder="1" applyAlignment="1" applyProtection="1">
      <alignment horizontal="center"/>
      <protection locked="0"/>
    </xf>
    <xf numFmtId="0" fontId="2" fillId="0" borderId="37" xfId="0" applyFont="1" applyBorder="1" applyAlignment="1" applyProtection="1">
      <alignment vertical="center"/>
      <protection locked="0"/>
    </xf>
    <xf numFmtId="0" fontId="2" fillId="0" borderId="28" xfId="0" applyFont="1" applyBorder="1" applyAlignment="1" applyProtection="1">
      <alignment vertical="top"/>
      <protection locked="0"/>
    </xf>
    <xf numFmtId="0" fontId="2" fillId="0" borderId="2" xfId="0" applyFont="1" applyBorder="1" applyAlignment="1" applyProtection="1">
      <alignment vertical="top"/>
      <protection locked="0"/>
    </xf>
    <xf numFmtId="0" fontId="2" fillId="2" borderId="3" xfId="0" applyFont="1" applyFill="1" applyBorder="1" applyAlignment="1" applyProtection="1">
      <alignment horizontal="center" vertical="center" wrapText="1"/>
      <protection locked="0"/>
    </xf>
    <xf numFmtId="0" fontId="2" fillId="2" borderId="3" xfId="0" applyFont="1" applyFill="1" applyBorder="1" applyAlignment="1" applyProtection="1">
      <alignment vertical="top"/>
      <protection locked="0"/>
    </xf>
    <xf numFmtId="0" fontId="2" fillId="2" borderId="31" xfId="0" applyFont="1" applyFill="1" applyBorder="1" applyAlignment="1" applyProtection="1">
      <alignment vertical="top"/>
      <protection locked="0"/>
    </xf>
    <xf numFmtId="0" fontId="2" fillId="2" borderId="31" xfId="0" applyFont="1" applyFill="1" applyBorder="1" applyAlignment="1" applyProtection="1">
      <protection locked="0"/>
    </xf>
    <xf numFmtId="0" fontId="2" fillId="0" borderId="28" xfId="0" applyFont="1" applyBorder="1" applyAlignment="1" applyProtection="1">
      <alignment vertical="center"/>
      <protection locked="0"/>
    </xf>
    <xf numFmtId="0" fontId="2" fillId="0" borderId="2" xfId="0" applyFont="1" applyBorder="1" applyAlignment="1" applyProtection="1">
      <alignment vertical="center"/>
      <protection locked="0"/>
    </xf>
    <xf numFmtId="0" fontId="2" fillId="2" borderId="27" xfId="0" applyFont="1" applyFill="1" applyBorder="1" applyAlignment="1" applyProtection="1">
      <protection locked="0"/>
    </xf>
    <xf numFmtId="0" fontId="2" fillId="2" borderId="0" xfId="0" applyFont="1" applyFill="1" applyBorder="1" applyAlignment="1" applyProtection="1">
      <alignment horizontal="center"/>
      <protection locked="0"/>
    </xf>
    <xf numFmtId="0" fontId="2" fillId="5" borderId="0" xfId="0" applyFont="1" applyFill="1" applyBorder="1" applyAlignment="1" applyProtection="1"/>
    <xf numFmtId="0" fontId="2" fillId="2" borderId="28" xfId="0" applyFont="1" applyFill="1" applyBorder="1" applyAlignment="1" applyProtection="1">
      <alignment vertical="center" wrapText="1"/>
      <protection locked="0"/>
    </xf>
    <xf numFmtId="0" fontId="2" fillId="0" borderId="5" xfId="0" applyFont="1" applyBorder="1" applyAlignment="1" applyProtection="1">
      <alignment vertical="center"/>
      <protection locked="0"/>
    </xf>
    <xf numFmtId="0" fontId="2" fillId="0" borderId="0" xfId="0" applyFont="1" applyBorder="1" applyAlignment="1" applyProtection="1">
      <protection locked="0"/>
    </xf>
    <xf numFmtId="0" fontId="2" fillId="0" borderId="20" xfId="0" applyFont="1" applyBorder="1" applyAlignment="1" applyProtection="1">
      <alignment vertical="center"/>
      <protection locked="0"/>
    </xf>
    <xf numFmtId="0" fontId="2" fillId="2" borderId="30" xfId="0" applyFont="1" applyFill="1" applyBorder="1" applyAlignment="1" applyProtection="1">
      <alignment vertical="center"/>
      <protection locked="0"/>
    </xf>
    <xf numFmtId="0" fontId="2" fillId="2" borderId="0" xfId="0" applyFont="1" applyFill="1" applyBorder="1" applyAlignment="1" applyProtection="1">
      <protection locked="0"/>
    </xf>
    <xf numFmtId="0" fontId="0" fillId="0" borderId="4" xfId="0" applyFont="1" applyBorder="1" applyAlignment="1" applyProtection="1">
      <alignment vertical="top" wrapText="1"/>
      <protection locked="0"/>
    </xf>
    <xf numFmtId="0" fontId="0" fillId="0" borderId="3" xfId="0" applyFont="1" applyBorder="1" applyAlignment="1" applyProtection="1">
      <alignment horizontal="left" vertical="top"/>
      <protection locked="0"/>
    </xf>
    <xf numFmtId="0" fontId="0" fillId="0" borderId="31" xfId="0" applyFont="1" applyBorder="1" applyAlignment="1" applyProtection="1">
      <alignment vertical="top" wrapText="1"/>
      <protection locked="0"/>
    </xf>
    <xf numFmtId="0" fontId="0" fillId="5" borderId="30" xfId="0" applyFont="1" applyFill="1" applyBorder="1" applyAlignment="1" applyProtection="1">
      <alignment vertical="center"/>
    </xf>
    <xf numFmtId="0" fontId="0" fillId="5" borderId="3" xfId="0" applyFont="1" applyFill="1" applyBorder="1" applyAlignment="1" applyProtection="1">
      <alignment horizontal="left" vertical="center"/>
    </xf>
    <xf numFmtId="0" fontId="16" fillId="0" borderId="32" xfId="0" applyFont="1" applyBorder="1" applyAlignment="1" applyProtection="1">
      <alignment vertical="center"/>
      <protection locked="0"/>
    </xf>
    <xf numFmtId="0" fontId="16" fillId="0" borderId="4" xfId="0" applyFont="1" applyBorder="1" applyAlignment="1" applyProtection="1">
      <alignment vertical="center"/>
      <protection locked="0"/>
    </xf>
    <xf numFmtId="0" fontId="16" fillId="2" borderId="30" xfId="0" applyFont="1" applyFill="1" applyBorder="1" applyAlignment="1" applyProtection="1">
      <alignment horizontal="center" vertical="center"/>
      <protection locked="0"/>
    </xf>
    <xf numFmtId="0" fontId="16" fillId="2" borderId="3" xfId="0" applyFont="1" applyFill="1" applyBorder="1" applyAlignment="1" applyProtection="1">
      <alignment horizontal="center" vertical="center"/>
      <protection locked="0"/>
    </xf>
    <xf numFmtId="0" fontId="16" fillId="5" borderId="9" xfId="0" applyFont="1" applyFill="1" applyBorder="1" applyAlignment="1" applyProtection="1">
      <alignment horizontal="left" vertical="center"/>
    </xf>
    <xf numFmtId="0" fontId="16" fillId="0" borderId="14" xfId="0" applyFont="1" applyBorder="1" applyAlignment="1" applyProtection="1">
      <alignment horizontal="center" vertical="center"/>
      <protection locked="0"/>
    </xf>
    <xf numFmtId="0" fontId="16" fillId="0" borderId="10" xfId="0" applyFont="1" applyBorder="1" applyAlignment="1" applyProtection="1">
      <alignment horizontal="left" vertical="center"/>
      <protection locked="0"/>
    </xf>
    <xf numFmtId="0" fontId="16" fillId="0" borderId="22" xfId="0" applyFont="1" applyBorder="1" applyAlignment="1" applyProtection="1">
      <alignment horizontal="left" vertical="center"/>
      <protection locked="0"/>
    </xf>
    <xf numFmtId="0" fontId="16" fillId="5" borderId="25" xfId="0" applyFont="1" applyFill="1" applyBorder="1" applyAlignment="1" applyProtection="1">
      <alignment vertical="center"/>
    </xf>
    <xf numFmtId="0" fontId="16" fillId="5" borderId="34" xfId="0" applyFont="1" applyFill="1" applyBorder="1" applyAlignment="1" applyProtection="1">
      <alignment vertical="center"/>
    </xf>
    <xf numFmtId="0" fontId="16" fillId="2" borderId="99" xfId="0" applyFont="1" applyFill="1" applyBorder="1" applyAlignment="1" applyProtection="1">
      <alignment horizontal="center" vertical="center"/>
      <protection locked="0"/>
    </xf>
    <xf numFmtId="0" fontId="16" fillId="2" borderId="100" xfId="0" applyFont="1" applyFill="1" applyBorder="1" applyAlignment="1" applyProtection="1">
      <alignment horizontal="center" vertical="center"/>
      <protection locked="0"/>
    </xf>
    <xf numFmtId="0" fontId="16" fillId="7" borderId="25" xfId="0" applyFont="1" applyFill="1" applyBorder="1" applyAlignment="1" applyProtection="1">
      <alignment vertical="center"/>
      <protection locked="0"/>
    </xf>
    <xf numFmtId="0" fontId="16" fillId="5" borderId="7" xfId="0" applyFont="1" applyFill="1" applyBorder="1" applyAlignment="1" applyProtection="1">
      <alignment horizontal="left" vertical="center"/>
    </xf>
    <xf numFmtId="0" fontId="0" fillId="2" borderId="101" xfId="0" applyFont="1" applyFill="1" applyBorder="1" applyAlignment="1" applyProtection="1">
      <alignment vertical="center"/>
      <protection locked="0"/>
    </xf>
    <xf numFmtId="0" fontId="0" fillId="2" borderId="92" xfId="0" applyFont="1" applyFill="1" applyBorder="1" applyAlignment="1" applyProtection="1">
      <alignment horizontal="center" vertical="center"/>
      <protection locked="0"/>
    </xf>
    <xf numFmtId="0" fontId="0" fillId="2" borderId="102" xfId="0" applyFont="1" applyFill="1" applyBorder="1" applyAlignment="1" applyProtection="1">
      <alignment vertical="center" wrapText="1"/>
      <protection locked="0"/>
    </xf>
    <xf numFmtId="0" fontId="0" fillId="2" borderId="102" xfId="0" applyFont="1" applyFill="1" applyBorder="1" applyAlignment="1" applyProtection="1">
      <alignment vertical="center"/>
      <protection locked="0"/>
    </xf>
    <xf numFmtId="0" fontId="16" fillId="2" borderId="103" xfId="0" applyFont="1" applyFill="1" applyBorder="1" applyAlignment="1" applyProtection="1">
      <alignment vertical="center" wrapText="1"/>
      <protection locked="0"/>
    </xf>
    <xf numFmtId="0" fontId="10" fillId="2" borderId="92" xfId="0" applyFont="1" applyFill="1" applyBorder="1" applyAlignment="1" applyProtection="1">
      <alignment vertical="center"/>
      <protection locked="0"/>
    </xf>
    <xf numFmtId="0" fontId="10" fillId="2" borderId="101" xfId="0" applyFont="1" applyFill="1" applyBorder="1" applyAlignment="1" applyProtection="1">
      <alignment horizontal="center" vertical="center"/>
      <protection locked="0"/>
    </xf>
    <xf numFmtId="0" fontId="9" fillId="2" borderId="0" xfId="0" applyFont="1" applyFill="1" applyBorder="1" applyAlignment="1" applyProtection="1">
      <alignment horizontal="center" vertical="center" wrapText="1"/>
      <protection locked="0"/>
    </xf>
    <xf numFmtId="0" fontId="31" fillId="2" borderId="0" xfId="0" applyFont="1" applyFill="1" applyBorder="1" applyAlignment="1" applyProtection="1">
      <alignment horizontal="center" vertical="center" wrapText="1" shrinkToFit="1"/>
      <protection locked="0"/>
    </xf>
    <xf numFmtId="0" fontId="0" fillId="5" borderId="38" xfId="0" applyFont="1" applyFill="1" applyBorder="1" applyAlignment="1" applyProtection="1">
      <alignment wrapText="1" shrinkToFit="1"/>
    </xf>
    <xf numFmtId="0" fontId="0" fillId="2" borderId="38" xfId="0" applyFont="1" applyFill="1" applyBorder="1" applyAlignment="1" applyProtection="1">
      <alignment horizontal="center" wrapText="1" shrinkToFit="1"/>
      <protection locked="0"/>
    </xf>
    <xf numFmtId="0" fontId="10" fillId="2" borderId="92" xfId="0" applyFont="1" applyFill="1" applyBorder="1" applyAlignment="1" applyProtection="1">
      <alignment horizontal="center" vertical="center"/>
      <protection locked="0"/>
    </xf>
    <xf numFmtId="0" fontId="0" fillId="7" borderId="3" xfId="0" applyFont="1" applyFill="1" applyBorder="1" applyAlignment="1" applyProtection="1">
      <alignment horizontal="center" vertical="center"/>
    </xf>
    <xf numFmtId="0" fontId="0" fillId="0" borderId="3" xfId="0" applyFont="1" applyBorder="1" applyAlignment="1" applyProtection="1">
      <alignment horizontal="center" vertical="center"/>
      <protection locked="0"/>
    </xf>
    <xf numFmtId="0" fontId="0" fillId="2" borderId="0" xfId="0" applyFont="1" applyFill="1" applyBorder="1" applyAlignment="1" applyProtection="1">
      <alignment horizontal="center"/>
      <protection locked="0"/>
    </xf>
    <xf numFmtId="0" fontId="0" fillId="5" borderId="20" xfId="0" applyFont="1" applyFill="1" applyBorder="1" applyAlignment="1" applyProtection="1">
      <alignment horizontal="center" shrinkToFit="1"/>
    </xf>
    <xf numFmtId="0" fontId="0" fillId="5" borderId="0" xfId="0" applyFont="1" applyFill="1" applyBorder="1" applyAlignment="1" applyProtection="1">
      <alignment horizontal="left"/>
    </xf>
    <xf numFmtId="0" fontId="16" fillId="0" borderId="29" xfId="0" applyFont="1" applyFill="1" applyBorder="1" applyAlignment="1" applyProtection="1">
      <alignment horizontal="center" vertical="top" wrapText="1"/>
      <protection locked="0"/>
    </xf>
    <xf numFmtId="0" fontId="2" fillId="2" borderId="0" xfId="0" applyFont="1" applyFill="1" applyBorder="1" applyAlignment="1" applyProtection="1">
      <alignment vertical="center"/>
      <protection locked="0"/>
    </xf>
    <xf numFmtId="0" fontId="2" fillId="0" borderId="0" xfId="0" applyFont="1" applyFill="1" applyBorder="1" applyAlignment="1" applyProtection="1">
      <alignment horizontal="center"/>
      <protection locked="0"/>
    </xf>
    <xf numFmtId="0" fontId="16" fillId="5" borderId="19" xfId="0" applyFont="1" applyFill="1" applyBorder="1" applyAlignment="1" applyProtection="1">
      <alignment vertical="center"/>
    </xf>
    <xf numFmtId="31" fontId="16" fillId="5" borderId="11" xfId="0" applyNumberFormat="1" applyFont="1" applyFill="1" applyBorder="1" applyAlignment="1" applyProtection="1">
      <alignment horizontal="center" vertical="center"/>
    </xf>
    <xf numFmtId="31" fontId="16" fillId="0" borderId="12" xfId="0" applyNumberFormat="1" applyFont="1" applyFill="1" applyBorder="1" applyAlignment="1" applyProtection="1">
      <alignment vertical="center"/>
    </xf>
    <xf numFmtId="0" fontId="16" fillId="5" borderId="22" xfId="0" applyFont="1" applyFill="1" applyBorder="1" applyAlignment="1" applyProtection="1">
      <alignment horizontal="center" vertical="center"/>
    </xf>
    <xf numFmtId="0" fontId="16" fillId="2" borderId="26" xfId="0" applyFont="1" applyFill="1" applyBorder="1" applyAlignment="1" applyProtection="1">
      <alignment horizontal="center" vertical="center" wrapText="1"/>
      <protection locked="0"/>
    </xf>
    <xf numFmtId="0" fontId="16" fillId="0" borderId="28" xfId="0" applyFont="1" applyFill="1" applyBorder="1" applyAlignment="1" applyProtection="1">
      <alignment horizontal="center" vertical="top"/>
      <protection locked="0"/>
    </xf>
    <xf numFmtId="0" fontId="16" fillId="2" borderId="6" xfId="0" applyFont="1" applyFill="1" applyBorder="1" applyAlignment="1" applyProtection="1">
      <alignment vertical="center"/>
      <protection locked="0"/>
    </xf>
    <xf numFmtId="0" fontId="16" fillId="7" borderId="11" xfId="0" applyNumberFormat="1" applyFont="1" applyFill="1" applyBorder="1" applyAlignment="1" applyProtection="1">
      <alignment horizontal="center"/>
      <protection locked="0"/>
    </xf>
    <xf numFmtId="0" fontId="2" fillId="2" borderId="33" xfId="0" applyFont="1" applyFill="1" applyBorder="1" applyAlignment="1" applyProtection="1">
      <alignment horizontal="center" vertical="center"/>
      <protection locked="0"/>
    </xf>
    <xf numFmtId="0" fontId="2" fillId="2" borderId="34" xfId="0" applyFont="1" applyFill="1" applyBorder="1" applyAlignment="1" applyProtection="1">
      <alignment horizontal="center" vertical="center"/>
      <protection locked="0"/>
    </xf>
    <xf numFmtId="0" fontId="2" fillId="2" borderId="34" xfId="0" applyFont="1" applyFill="1" applyBorder="1" applyAlignment="1" applyProtection="1">
      <alignment horizontal="center" vertical="center" wrapText="1"/>
      <protection locked="0"/>
    </xf>
    <xf numFmtId="0" fontId="2" fillId="2" borderId="6" xfId="0" applyFont="1" applyFill="1" applyBorder="1" applyAlignment="1" applyProtection="1">
      <alignment horizontal="center" vertical="center"/>
      <protection locked="0"/>
    </xf>
    <xf numFmtId="0" fontId="2" fillId="5" borderId="66" xfId="0" applyFont="1" applyFill="1" applyBorder="1" applyAlignment="1" applyProtection="1">
      <alignment vertical="center"/>
    </xf>
    <xf numFmtId="0" fontId="2" fillId="7" borderId="19" xfId="0" applyNumberFormat="1" applyFont="1" applyFill="1" applyBorder="1" applyAlignment="1" applyProtection="1">
      <alignment horizontal="center" vertical="center"/>
      <protection locked="0"/>
    </xf>
    <xf numFmtId="0" fontId="2" fillId="5" borderId="59" xfId="0" applyNumberFormat="1" applyFont="1" applyFill="1" applyBorder="1" applyAlignment="1" applyProtection="1">
      <alignment horizontal="center" vertical="center"/>
    </xf>
    <xf numFmtId="49" fontId="2" fillId="5" borderId="35" xfId="0" applyNumberFormat="1" applyFont="1" applyFill="1" applyBorder="1" applyAlignment="1" applyProtection="1">
      <alignment horizontal="center" vertical="center"/>
    </xf>
    <xf numFmtId="31" fontId="2" fillId="5" borderId="16" xfId="0" applyNumberFormat="1" applyFont="1" applyFill="1" applyBorder="1" applyAlignment="1" applyProtection="1">
      <alignment vertical="center"/>
    </xf>
    <xf numFmtId="0" fontId="2" fillId="5" borderId="12" xfId="0" applyNumberFormat="1" applyFont="1" applyFill="1" applyBorder="1" applyAlignment="1" applyProtection="1">
      <alignment horizontal="center" vertical="center"/>
    </xf>
    <xf numFmtId="0" fontId="2" fillId="0" borderId="19" xfId="0" applyFont="1" applyBorder="1" applyAlignment="1" applyProtection="1">
      <alignment horizontal="center" vertical="center"/>
      <protection locked="0"/>
    </xf>
    <xf numFmtId="179" fontId="2" fillId="0" borderId="19" xfId="0" applyNumberFormat="1" applyFont="1" applyBorder="1" applyAlignment="1" applyProtection="1">
      <alignment horizontal="center" vertical="center"/>
      <protection locked="0"/>
    </xf>
    <xf numFmtId="0" fontId="2" fillId="3" borderId="59" xfId="0" applyFont="1" applyFill="1" applyBorder="1" applyAlignment="1" applyProtection="1">
      <alignment vertical="center"/>
    </xf>
    <xf numFmtId="0" fontId="2" fillId="0" borderId="8" xfId="0" applyFont="1" applyBorder="1" applyAlignment="1" applyProtection="1">
      <alignment horizontal="center" vertical="center"/>
      <protection locked="0"/>
    </xf>
    <xf numFmtId="179" fontId="2" fillId="0" borderId="8" xfId="0" applyNumberFormat="1" applyFont="1" applyBorder="1" applyAlignment="1" applyProtection="1">
      <alignment horizontal="center" vertical="center"/>
      <protection locked="0"/>
    </xf>
    <xf numFmtId="0" fontId="2" fillId="3" borderId="8" xfId="0" applyFont="1" applyFill="1" applyBorder="1" applyAlignment="1" applyProtection="1">
      <alignment vertical="center"/>
    </xf>
    <xf numFmtId="0" fontId="43" fillId="0" borderId="1" xfId="0" applyFont="1" applyFill="1" applyBorder="1" applyAlignment="1" applyProtection="1">
      <alignment horizontal="center" wrapText="1"/>
      <protection locked="0"/>
    </xf>
    <xf numFmtId="0" fontId="2" fillId="3" borderId="106" xfId="0" applyFont="1" applyFill="1" applyBorder="1" applyAlignment="1" applyProtection="1">
      <alignment vertical="center"/>
    </xf>
    <xf numFmtId="0" fontId="2" fillId="3" borderId="28" xfId="0" applyFont="1" applyFill="1" applyBorder="1" applyAlignment="1" applyProtection="1">
      <alignment vertical="center"/>
    </xf>
    <xf numFmtId="0" fontId="0" fillId="0" borderId="1" xfId="0" applyFont="1" applyFill="1" applyBorder="1" applyAlignment="1" applyProtection="1">
      <protection locked="0"/>
    </xf>
    <xf numFmtId="0" fontId="2" fillId="3" borderId="105" xfId="0" applyFont="1" applyFill="1" applyBorder="1" applyAlignment="1" applyProtection="1">
      <alignment vertical="center"/>
    </xf>
    <xf numFmtId="0" fontId="2" fillId="3" borderId="2" xfId="0" applyFont="1" applyFill="1" applyBorder="1" applyAlignment="1" applyProtection="1">
      <alignment vertical="center"/>
    </xf>
    <xf numFmtId="0" fontId="0" fillId="0" borderId="0" xfId="0" applyFont="1" applyBorder="1" applyAlignment="1" applyProtection="1">
      <protection locked="0"/>
    </xf>
    <xf numFmtId="0" fontId="2" fillId="3" borderId="104" xfId="0" applyFont="1" applyFill="1" applyBorder="1" applyAlignment="1" applyProtection="1">
      <alignment vertical="center"/>
    </xf>
    <xf numFmtId="0" fontId="2" fillId="0" borderId="37" xfId="0" applyFont="1" applyFill="1" applyBorder="1" applyAlignment="1" applyProtection="1">
      <alignment vertical="center"/>
      <protection locked="0"/>
    </xf>
    <xf numFmtId="0" fontId="0" fillId="0" borderId="1" xfId="0" applyFont="1" applyFill="1" applyBorder="1" applyAlignment="1" applyProtection="1">
      <alignment vertical="center"/>
      <protection locked="0"/>
    </xf>
    <xf numFmtId="0" fontId="0" fillId="0" borderId="0" xfId="0" applyBorder="1" applyAlignment="1" applyProtection="1">
      <protection locked="0"/>
    </xf>
    <xf numFmtId="0" fontId="0" fillId="0" borderId="0" xfId="0" applyFont="1" applyBorder="1" applyAlignment="1" applyProtection="1">
      <alignment wrapText="1"/>
      <protection locked="0"/>
    </xf>
    <xf numFmtId="0" fontId="9" fillId="2" borderId="0" xfId="0" applyFont="1" applyFill="1" applyBorder="1" applyAlignment="1">
      <alignment horizontal="left"/>
    </xf>
    <xf numFmtId="0" fontId="2" fillId="5" borderId="0" xfId="0" applyFont="1" applyFill="1" applyBorder="1" applyAlignment="1" applyProtection="1">
      <alignment horizontal="left" vertical="center"/>
    </xf>
    <xf numFmtId="4" fontId="2" fillId="5" borderId="0" xfId="0" applyNumberFormat="1" applyFont="1" applyFill="1" applyBorder="1" applyAlignment="1" applyProtection="1">
      <alignment horizontal="center" vertical="center"/>
    </xf>
    <xf numFmtId="0" fontId="0" fillId="2" borderId="31" xfId="0" applyFont="1" applyFill="1" applyBorder="1" applyAlignment="1">
      <alignment horizontal="center" vertical="center"/>
    </xf>
    <xf numFmtId="0" fontId="2" fillId="3" borderId="31" xfId="0" applyFont="1" applyFill="1" applyBorder="1" applyAlignment="1" applyProtection="1">
      <alignment horizontal="center"/>
    </xf>
    <xf numFmtId="0" fontId="2" fillId="3" borderId="3" xfId="0" applyFont="1" applyFill="1" applyBorder="1" applyAlignment="1" applyProtection="1">
      <alignment horizontal="center"/>
    </xf>
    <xf numFmtId="0" fontId="2" fillId="5" borderId="0" xfId="0" applyFont="1" applyFill="1" applyBorder="1" applyAlignment="1" applyProtection="1">
      <alignment horizontal="left"/>
    </xf>
    <xf numFmtId="188" fontId="2" fillId="5" borderId="20" xfId="0" applyNumberFormat="1" applyFont="1" applyFill="1" applyBorder="1" applyAlignment="1" applyProtection="1">
      <alignment horizontal="center"/>
    </xf>
    <xf numFmtId="0" fontId="2" fillId="2" borderId="11" xfId="0" applyFont="1" applyFill="1" applyBorder="1" applyAlignment="1" applyProtection="1">
      <alignment horizontal="center" vertical="center"/>
      <protection locked="0"/>
    </xf>
    <xf numFmtId="0" fontId="2" fillId="2" borderId="7" xfId="0" applyFont="1" applyFill="1" applyBorder="1" applyAlignment="1" applyProtection="1">
      <alignment horizontal="center" vertical="center" wrapText="1"/>
      <protection locked="0"/>
    </xf>
    <xf numFmtId="0" fontId="2" fillId="2" borderId="8" xfId="0" applyFont="1" applyFill="1" applyBorder="1" applyAlignment="1" applyProtection="1">
      <alignment horizontal="center" vertical="center" wrapText="1"/>
      <protection locked="0"/>
    </xf>
    <xf numFmtId="0" fontId="2" fillId="2" borderId="7" xfId="0" applyFont="1" applyFill="1" applyBorder="1" applyAlignment="1" applyProtection="1">
      <alignment horizontal="center" vertical="center" textRotation="255"/>
      <protection locked="0"/>
    </xf>
    <xf numFmtId="0" fontId="2" fillId="4" borderId="64" xfId="0" applyFont="1" applyFill="1" applyBorder="1" applyAlignment="1" applyProtection="1">
      <alignment horizontal="center" vertical="center" wrapText="1"/>
      <protection locked="0"/>
    </xf>
    <xf numFmtId="0" fontId="2" fillId="4" borderId="2" xfId="0" applyFont="1" applyFill="1" applyBorder="1" applyAlignment="1" applyProtection="1">
      <alignment horizontal="center" vertical="center" wrapText="1"/>
      <protection locked="0"/>
    </xf>
    <xf numFmtId="0" fontId="2" fillId="4" borderId="62" xfId="0" applyFont="1" applyFill="1" applyBorder="1" applyAlignment="1" applyProtection="1">
      <alignment horizontal="center" vertical="center" wrapText="1"/>
      <protection locked="0"/>
    </xf>
    <xf numFmtId="0" fontId="2" fillId="4" borderId="108" xfId="0" applyFont="1" applyFill="1" applyBorder="1" applyAlignment="1" applyProtection="1">
      <alignment horizontal="center" vertical="center" wrapText="1"/>
      <protection locked="0"/>
    </xf>
    <xf numFmtId="0" fontId="2" fillId="4" borderId="8" xfId="0" applyFont="1" applyFill="1" applyBorder="1" applyAlignment="1" applyProtection="1">
      <alignment horizontal="center" vertical="center" wrapText="1"/>
      <protection locked="0"/>
    </xf>
    <xf numFmtId="0" fontId="2" fillId="4" borderId="9" xfId="0" applyFont="1" applyFill="1" applyBorder="1" applyAlignment="1" applyProtection="1">
      <alignment horizontal="center" vertical="center" wrapText="1"/>
      <protection locked="0"/>
    </xf>
    <xf numFmtId="0" fontId="0" fillId="2" borderId="0" xfId="0" applyFont="1" applyFill="1" applyBorder="1" applyAlignment="1">
      <alignment vertical="top" wrapText="1"/>
    </xf>
    <xf numFmtId="0" fontId="51" fillId="2" borderId="10" xfId="0" applyFont="1" applyFill="1" applyBorder="1" applyAlignment="1" applyProtection="1">
      <alignment horizontal="center" vertical="center" wrapText="1"/>
      <protection locked="0"/>
    </xf>
    <xf numFmtId="0" fontId="51" fillId="0" borderId="22" xfId="0" applyFont="1" applyBorder="1" applyAlignment="1" applyProtection="1">
      <protection locked="0"/>
    </xf>
    <xf numFmtId="180" fontId="2" fillId="2" borderId="8" xfId="0" applyNumberFormat="1" applyFont="1" applyFill="1" applyBorder="1" applyAlignment="1" applyProtection="1">
      <alignment horizontal="center" vertical="center" wrapText="1" shrinkToFit="1"/>
      <protection locked="0"/>
    </xf>
    <xf numFmtId="180" fontId="2" fillId="0" borderId="8" xfId="0" applyNumberFormat="1" applyFont="1" applyFill="1" applyBorder="1" applyAlignment="1" applyProtection="1">
      <alignment horizontal="center" vertical="center" wrapText="1" shrinkToFit="1"/>
      <protection locked="0"/>
    </xf>
    <xf numFmtId="180" fontId="42" fillId="7" borderId="8" xfId="0" applyNumberFormat="1" applyFont="1" applyFill="1" applyBorder="1" applyAlignment="1" applyProtection="1">
      <alignment horizontal="center" vertical="center" shrinkToFit="1"/>
      <protection locked="0"/>
    </xf>
    <xf numFmtId="180" fontId="2" fillId="2" borderId="68" xfId="0" applyNumberFormat="1" applyFont="1" applyFill="1" applyBorder="1" applyAlignment="1" applyProtection="1">
      <alignment horizontal="center" vertical="center" wrapText="1" shrinkToFit="1"/>
      <protection locked="0"/>
    </xf>
    <xf numFmtId="180" fontId="2" fillId="2" borderId="63" xfId="0" applyNumberFormat="1" applyFont="1" applyFill="1" applyBorder="1" applyAlignment="1" applyProtection="1">
      <alignment horizontal="center" vertical="center" wrapText="1" shrinkToFit="1"/>
      <protection locked="0"/>
    </xf>
    <xf numFmtId="180" fontId="2" fillId="0" borderId="68" xfId="0" applyNumberFormat="1" applyFont="1" applyFill="1" applyBorder="1" applyAlignment="1" applyProtection="1">
      <alignment horizontal="center" vertical="center" wrapText="1" shrinkToFit="1"/>
      <protection locked="0"/>
    </xf>
    <xf numFmtId="180" fontId="2" fillId="0" borderId="63" xfId="0" applyNumberFormat="1" applyFont="1" applyFill="1" applyBorder="1" applyAlignment="1" applyProtection="1">
      <alignment horizontal="center" vertical="center" wrapText="1" shrinkToFit="1"/>
      <protection locked="0"/>
    </xf>
    <xf numFmtId="180" fontId="42" fillId="7" borderId="68" xfId="0" applyNumberFormat="1" applyFont="1" applyFill="1" applyBorder="1" applyAlignment="1" applyProtection="1">
      <alignment horizontal="center" vertical="center" shrinkToFit="1"/>
      <protection locked="0"/>
    </xf>
    <xf numFmtId="180" fontId="42" fillId="7" borderId="63" xfId="0" applyNumberFormat="1" applyFont="1" applyFill="1" applyBorder="1" applyAlignment="1" applyProtection="1">
      <alignment horizontal="center" vertical="center" shrinkToFit="1"/>
      <protection locked="0"/>
    </xf>
    <xf numFmtId="0" fontId="9" fillId="2" borderId="20" xfId="0" applyFont="1" applyFill="1" applyBorder="1" applyAlignment="1" applyProtection="1">
      <alignment horizontal="center" vertical="center"/>
      <protection locked="0"/>
    </xf>
    <xf numFmtId="0" fontId="2" fillId="5" borderId="6" xfId="0" applyFont="1" applyFill="1" applyBorder="1" applyAlignment="1" applyProtection="1">
      <alignment horizontal="left" vertical="center" wrapText="1"/>
    </xf>
    <xf numFmtId="49" fontId="2" fillId="5" borderId="22" xfId="0" applyNumberFormat="1" applyFont="1" applyFill="1" applyBorder="1" applyAlignment="1" applyProtection="1">
      <alignment horizontal="center" vertical="center"/>
    </xf>
    <xf numFmtId="0" fontId="2" fillId="5" borderId="10" xfId="0" applyFont="1" applyFill="1" applyBorder="1" applyAlignment="1" applyProtection="1">
      <alignment horizontal="left" vertical="center"/>
    </xf>
    <xf numFmtId="180" fontId="42" fillId="5" borderId="8" xfId="0" applyNumberFormat="1" applyFont="1" applyFill="1" applyBorder="1" applyAlignment="1" applyProtection="1">
      <alignment horizontal="center" vertical="center"/>
    </xf>
    <xf numFmtId="180" fontId="42" fillId="0" borderId="8" xfId="0" applyNumberFormat="1" applyFont="1" applyFill="1" applyBorder="1" applyAlignment="1" applyProtection="1">
      <alignment horizontal="center" vertical="center"/>
      <protection locked="0"/>
    </xf>
    <xf numFmtId="0" fontId="2" fillId="2" borderId="3" xfId="0" applyFont="1" applyFill="1" applyBorder="1" applyAlignment="1" applyProtection="1">
      <alignment vertical="center"/>
      <protection locked="0"/>
    </xf>
    <xf numFmtId="3" fontId="2" fillId="2" borderId="19" xfId="0" applyNumberFormat="1" applyFont="1" applyFill="1" applyBorder="1" applyAlignment="1" applyProtection="1">
      <alignment horizontal="center" vertical="center"/>
      <protection locked="0"/>
    </xf>
    <xf numFmtId="180" fontId="2" fillId="2" borderId="8" xfId="0" applyNumberFormat="1" applyFont="1" applyFill="1" applyBorder="1" applyAlignment="1" applyProtection="1">
      <alignment horizontal="center" vertical="center"/>
    </xf>
    <xf numFmtId="179" fontId="42" fillId="3" borderId="8" xfId="0" applyNumberFormat="1" applyFont="1" applyFill="1" applyBorder="1" applyAlignment="1" applyProtection="1">
      <alignment horizontal="center" vertical="center"/>
    </xf>
    <xf numFmtId="180" fontId="42" fillId="3" borderId="8" xfId="0" applyNumberFormat="1" applyFont="1" applyFill="1" applyBorder="1" applyAlignment="1" applyProtection="1">
      <alignment horizontal="center" vertical="center"/>
    </xf>
    <xf numFmtId="0" fontId="2" fillId="0" borderId="1" xfId="0" applyFont="1" applyBorder="1" applyAlignment="1" applyProtection="1">
      <alignment vertical="center" wrapText="1"/>
      <protection locked="0"/>
    </xf>
    <xf numFmtId="0" fontId="2" fillId="2" borderId="11" xfId="0" applyFont="1" applyFill="1" applyBorder="1" applyAlignment="1" applyProtection="1">
      <alignment horizontal="center" vertical="center" wrapText="1"/>
      <protection locked="0"/>
    </xf>
    <xf numFmtId="0" fontId="2" fillId="3" borderId="7" xfId="0" applyFont="1" applyFill="1" applyBorder="1" applyAlignment="1" applyProtection="1">
      <alignment horizontal="center" vertical="center"/>
    </xf>
    <xf numFmtId="180" fontId="42" fillId="0" borderId="9" xfId="0" applyNumberFormat="1" applyFont="1" applyFill="1" applyBorder="1" applyAlignment="1" applyProtection="1">
      <alignment vertical="center" shrinkToFit="1"/>
      <protection locked="0"/>
    </xf>
    <xf numFmtId="0" fontId="2" fillId="0" borderId="8" xfId="0" applyFont="1" applyFill="1" applyBorder="1" applyAlignment="1" applyProtection="1">
      <alignment horizontal="center" vertical="center" shrinkToFit="1"/>
      <protection locked="0"/>
    </xf>
    <xf numFmtId="180" fontId="42" fillId="4" borderId="9" xfId="0" applyNumberFormat="1" applyFont="1" applyFill="1" applyBorder="1" applyAlignment="1" applyProtection="1">
      <alignment vertical="center" shrinkToFit="1"/>
      <protection locked="0"/>
    </xf>
    <xf numFmtId="180" fontId="42" fillId="0" borderId="9" xfId="0" applyNumberFormat="1" applyFont="1" applyFill="1" applyBorder="1" applyAlignment="1" applyProtection="1">
      <alignment vertical="center"/>
      <protection locked="0"/>
    </xf>
    <xf numFmtId="0" fontId="63" fillId="2" borderId="7" xfId="0" applyFont="1" applyFill="1" applyBorder="1" applyAlignment="1" applyProtection="1">
      <alignment horizontal="center" vertical="center" wrapText="1"/>
      <protection locked="0"/>
    </xf>
    <xf numFmtId="180" fontId="42" fillId="28" borderId="23" xfId="0" applyNumberFormat="1" applyFont="1" applyFill="1" applyBorder="1" applyAlignment="1" applyProtection="1">
      <alignment horizontal="center" vertical="center"/>
    </xf>
    <xf numFmtId="180" fontId="42" fillId="28" borderId="15" xfId="0" applyNumberFormat="1" applyFont="1" applyFill="1" applyBorder="1" applyAlignment="1" applyProtection="1">
      <alignment horizontal="center" vertical="center"/>
    </xf>
    <xf numFmtId="180" fontId="2" fillId="2" borderId="17" xfId="0" applyNumberFormat="1" applyFont="1" applyFill="1" applyBorder="1" applyAlignment="1" applyProtection="1">
      <alignment horizontal="center" vertical="center"/>
    </xf>
    <xf numFmtId="180" fontId="2" fillId="2" borderId="16" xfId="0" applyNumberFormat="1" applyFont="1" applyFill="1" applyBorder="1" applyAlignment="1" applyProtection="1">
      <alignment horizontal="center" vertical="center"/>
    </xf>
    <xf numFmtId="180" fontId="42" fillId="3" borderId="9" xfId="0" applyNumberFormat="1" applyFont="1" applyFill="1" applyBorder="1" applyAlignment="1" applyProtection="1">
      <alignment vertical="center" shrinkToFit="1"/>
    </xf>
    <xf numFmtId="180" fontId="42" fillId="5" borderId="9" xfId="0" applyNumberFormat="1" applyFont="1" applyFill="1" applyBorder="1" applyAlignment="1" applyProtection="1">
      <alignment vertical="center" shrinkToFit="1"/>
    </xf>
    <xf numFmtId="10" fontId="74" fillId="0" borderId="9" xfId="1" applyNumberFormat="1" applyFill="1" applyBorder="1" applyProtection="1">
      <alignment vertical="center"/>
    </xf>
    <xf numFmtId="0" fontId="2" fillId="3" borderId="10" xfId="0" applyFont="1" applyFill="1" applyBorder="1" applyAlignment="1" applyProtection="1">
      <alignment horizontal="center" vertical="center"/>
    </xf>
    <xf numFmtId="0" fontId="2" fillId="0" borderId="12" xfId="0" applyFont="1" applyFill="1" applyBorder="1" applyAlignment="1" applyProtection="1">
      <alignment horizontal="center" vertical="center" shrinkToFit="1"/>
      <protection locked="0"/>
    </xf>
    <xf numFmtId="180" fontId="42" fillId="3" borderId="35" xfId="0" applyNumberFormat="1" applyFont="1" applyFill="1" applyBorder="1" applyAlignment="1" applyProtection="1">
      <alignment vertical="center"/>
    </xf>
    <xf numFmtId="0" fontId="2" fillId="3" borderId="27" xfId="0" applyFont="1" applyFill="1" applyBorder="1" applyAlignment="1" applyProtection="1">
      <alignment horizontal="left" vertical="center"/>
    </xf>
    <xf numFmtId="0" fontId="2" fillId="3" borderId="28" xfId="0" applyFont="1" applyFill="1" applyBorder="1" applyAlignment="1" applyProtection="1">
      <alignment horizontal="left" vertical="center"/>
    </xf>
    <xf numFmtId="0" fontId="2" fillId="2" borderId="96" xfId="0" applyFont="1" applyFill="1" applyBorder="1" applyAlignment="1" applyProtection="1">
      <alignment horizontal="center" vertical="center" wrapText="1"/>
      <protection locked="0"/>
    </xf>
    <xf numFmtId="0" fontId="53" fillId="0" borderId="0" xfId="0" applyFont="1" applyBorder="1" applyAlignment="1" applyProtection="1">
      <alignment vertical="center" wrapText="1"/>
      <protection locked="0"/>
    </xf>
    <xf numFmtId="0" fontId="53" fillId="0" borderId="0" xfId="0" applyFont="1" applyFill="1" applyBorder="1" applyAlignment="1" applyProtection="1">
      <alignment vertical="center" wrapText="1"/>
      <protection locked="0"/>
    </xf>
    <xf numFmtId="0" fontId="2" fillId="3" borderId="95" xfId="0" applyFont="1" applyFill="1" applyBorder="1" applyAlignment="1" applyProtection="1">
      <alignment horizontal="center" vertical="center"/>
    </xf>
    <xf numFmtId="0" fontId="2" fillId="0" borderId="100" xfId="0" applyFont="1" applyBorder="1" applyAlignment="1" applyProtection="1">
      <alignment vertical="center"/>
      <protection locked="0"/>
    </xf>
    <xf numFmtId="0" fontId="2" fillId="2" borderId="98" xfId="0" applyFont="1" applyFill="1" applyBorder="1" applyAlignment="1" applyProtection="1">
      <alignment horizontal="center" vertical="center" wrapText="1"/>
      <protection locked="0"/>
    </xf>
    <xf numFmtId="0" fontId="2" fillId="7" borderId="26" xfId="0" applyFont="1" applyFill="1" applyBorder="1" applyAlignment="1" applyProtection="1">
      <alignment horizontal="right" vertical="center"/>
      <protection locked="0"/>
    </xf>
    <xf numFmtId="0" fontId="2" fillId="7" borderId="27" xfId="0" applyFont="1" applyFill="1" applyBorder="1" applyAlignment="1" applyProtection="1">
      <alignment horizontal="right" vertical="center"/>
      <protection locked="0"/>
    </xf>
    <xf numFmtId="0" fontId="0" fillId="5" borderId="19" xfId="0" applyFill="1" applyBorder="1" applyAlignment="1" applyProtection="1">
      <alignment vertical="center"/>
    </xf>
    <xf numFmtId="0" fontId="2" fillId="5" borderId="8" xfId="0" applyFont="1" applyFill="1" applyBorder="1" applyAlignment="1" applyProtection="1">
      <alignment horizontal="center" vertical="center"/>
    </xf>
    <xf numFmtId="0" fontId="2" fillId="5" borderId="12" xfId="0" applyFont="1" applyFill="1" applyBorder="1" applyAlignment="1" applyProtection="1">
      <alignment horizontal="center" vertical="center"/>
    </xf>
    <xf numFmtId="0" fontId="12" fillId="0" borderId="1" xfId="2" applyNumberFormat="1" applyFont="1" applyFill="1" applyBorder="1" applyAlignment="1" applyProtection="1">
      <protection locked="0"/>
    </xf>
    <xf numFmtId="180" fontId="42" fillId="5" borderId="8" xfId="0" applyNumberFormat="1" applyFont="1" applyFill="1" applyBorder="1" applyAlignment="1" applyProtection="1">
      <alignment vertical="center"/>
    </xf>
    <xf numFmtId="180" fontId="42" fillId="0" borderId="8" xfId="0" applyNumberFormat="1" applyFont="1" applyFill="1" applyBorder="1" applyAlignment="1" applyProtection="1">
      <alignment vertical="center"/>
      <protection locked="0"/>
    </xf>
    <xf numFmtId="180" fontId="42" fillId="3" borderId="8" xfId="0" applyNumberFormat="1" applyFont="1" applyFill="1" applyBorder="1" applyAlignment="1" applyProtection="1">
      <alignment vertical="center"/>
    </xf>
    <xf numFmtId="0" fontId="2" fillId="0" borderId="9" xfId="0" applyFont="1" applyFill="1" applyBorder="1" applyAlignment="1" applyProtection="1">
      <alignment vertical="center"/>
      <protection locked="0"/>
    </xf>
    <xf numFmtId="180" fontId="42" fillId="5" borderId="19" xfId="0" applyNumberFormat="1" applyFont="1" applyFill="1" applyBorder="1" applyAlignment="1" applyProtection="1">
      <alignment vertical="center"/>
    </xf>
    <xf numFmtId="180" fontId="42" fillId="0" borderId="19" xfId="0" applyNumberFormat="1" applyFont="1" applyFill="1" applyBorder="1" applyAlignment="1" applyProtection="1">
      <alignment vertical="center"/>
      <protection locked="0"/>
    </xf>
    <xf numFmtId="0" fontId="2" fillId="2" borderId="33" xfId="0" applyFont="1" applyFill="1" applyBorder="1" applyAlignment="1" applyProtection="1">
      <alignment horizontal="center" vertical="center" wrapText="1"/>
      <protection locked="0"/>
    </xf>
    <xf numFmtId="0" fontId="2" fillId="2" borderId="35" xfId="0" applyFont="1" applyFill="1" applyBorder="1" applyAlignment="1" applyProtection="1">
      <alignment horizontal="center" vertical="center" wrapText="1"/>
      <protection locked="0"/>
    </xf>
    <xf numFmtId="0" fontId="2" fillId="0" borderId="11" xfId="0" applyFont="1" applyFill="1" applyBorder="1" applyAlignment="1" applyProtection="1">
      <alignment vertical="center"/>
      <protection locked="0"/>
    </xf>
    <xf numFmtId="180" fontId="42" fillId="3" borderId="59" xfId="0" applyNumberFormat="1" applyFont="1" applyFill="1" applyBorder="1" applyAlignment="1" applyProtection="1">
      <alignment vertical="center"/>
    </xf>
    <xf numFmtId="0" fontId="2" fillId="2" borderId="7" xfId="0" applyFont="1" applyFill="1" applyBorder="1" applyAlignment="1" applyProtection="1">
      <alignment horizontal="center" vertical="center"/>
    </xf>
    <xf numFmtId="180" fontId="2" fillId="2" borderId="68" xfId="0" applyNumberFormat="1" applyFont="1" applyFill="1" applyBorder="1" applyAlignment="1" applyProtection="1">
      <alignment horizontal="center" vertical="center"/>
    </xf>
    <xf numFmtId="0" fontId="2" fillId="2" borderId="107" xfId="0" applyFont="1" applyFill="1" applyBorder="1" applyAlignment="1" applyProtection="1">
      <alignment horizontal="center" vertical="center"/>
      <protection locked="0"/>
    </xf>
    <xf numFmtId="0" fontId="2" fillId="3" borderId="22" xfId="0" applyFont="1" applyFill="1" applyBorder="1" applyAlignment="1" applyProtection="1">
      <alignment horizontal="center" vertical="center"/>
    </xf>
    <xf numFmtId="0" fontId="2" fillId="0" borderId="0" xfId="0" applyFont="1" applyBorder="1" applyAlignment="1" applyProtection="1">
      <alignment vertical="center" wrapText="1"/>
      <protection locked="0"/>
    </xf>
    <xf numFmtId="0" fontId="2" fillId="2" borderId="10" xfId="0" applyFont="1" applyFill="1" applyBorder="1" applyAlignment="1" applyProtection="1">
      <alignment horizontal="center" vertical="center"/>
    </xf>
    <xf numFmtId="180" fontId="2" fillId="2" borderId="12" xfId="0" applyNumberFormat="1" applyFont="1" applyFill="1" applyBorder="1" applyAlignment="1" applyProtection="1">
      <alignment horizontal="center" vertical="center"/>
    </xf>
    <xf numFmtId="180" fontId="42" fillId="3" borderId="12" xfId="0" applyNumberFormat="1" applyFont="1" applyFill="1" applyBorder="1" applyAlignment="1" applyProtection="1">
      <alignment horizontal="center" vertical="center"/>
    </xf>
    <xf numFmtId="0" fontId="2" fillId="0" borderId="22" xfId="0" applyFont="1" applyFill="1" applyBorder="1" applyAlignment="1" applyProtection="1">
      <alignment horizontal="center" vertical="center"/>
      <protection locked="0"/>
    </xf>
    <xf numFmtId="0" fontId="2" fillId="2" borderId="6" xfId="0" applyFont="1" applyFill="1" applyBorder="1" applyAlignment="1" applyProtection="1">
      <alignment horizontal="center" vertical="center" wrapText="1"/>
      <protection locked="0"/>
    </xf>
    <xf numFmtId="0" fontId="2" fillId="7" borderId="60" xfId="0" applyFont="1" applyFill="1" applyBorder="1" applyAlignment="1" applyProtection="1">
      <alignment horizontal="right" vertical="center"/>
      <protection locked="0"/>
    </xf>
    <xf numFmtId="0" fontId="51" fillId="0" borderId="72" xfId="0" applyFont="1" applyBorder="1" applyAlignment="1" applyProtection="1">
      <alignment vertical="center"/>
      <protection locked="0"/>
    </xf>
    <xf numFmtId="0" fontId="2" fillId="2" borderId="73" xfId="0" applyFont="1" applyFill="1" applyBorder="1" applyAlignment="1" applyProtection="1">
      <alignment horizontal="center" vertical="center"/>
    </xf>
    <xf numFmtId="180" fontId="42" fillId="3" borderId="68" xfId="0" applyNumberFormat="1" applyFont="1" applyFill="1" applyBorder="1" applyAlignment="1" applyProtection="1">
      <alignment vertical="center"/>
    </xf>
    <xf numFmtId="0" fontId="2" fillId="0" borderId="74" xfId="0" applyFont="1" applyFill="1" applyBorder="1" applyAlignment="1" applyProtection="1">
      <alignment vertical="center"/>
      <protection locked="0"/>
    </xf>
    <xf numFmtId="0" fontId="2" fillId="2" borderId="73" xfId="0" applyFont="1" applyFill="1" applyBorder="1" applyAlignment="1" applyProtection="1">
      <alignment horizontal="center" vertical="center"/>
      <protection locked="0"/>
    </xf>
    <xf numFmtId="180" fontId="42" fillId="5" borderId="68" xfId="0" applyNumberFormat="1" applyFont="1" applyFill="1" applyBorder="1" applyAlignment="1" applyProtection="1">
      <alignment horizontal="center" vertical="center"/>
    </xf>
    <xf numFmtId="0" fontId="2" fillId="0" borderId="74" xfId="0" applyFont="1" applyFill="1" applyBorder="1" applyAlignment="1" applyProtection="1">
      <alignment horizontal="center" vertical="center"/>
      <protection locked="0"/>
    </xf>
    <xf numFmtId="0" fontId="9" fillId="2" borderId="20" xfId="0" applyFont="1" applyFill="1" applyBorder="1" applyAlignment="1" applyProtection="1">
      <alignment horizontal="center" vertical="top"/>
      <protection locked="0"/>
    </xf>
    <xf numFmtId="0" fontId="0" fillId="0" borderId="0" xfId="0" applyFont="1" applyBorder="1" applyAlignment="1" applyProtection="1">
      <alignment horizontal="center" vertical="center"/>
      <protection locked="0"/>
    </xf>
    <xf numFmtId="0" fontId="2" fillId="5" borderId="10" xfId="0" applyFont="1" applyFill="1" applyBorder="1" applyAlignment="1" applyProtection="1">
      <alignment horizontal="center" vertical="center"/>
    </xf>
    <xf numFmtId="0" fontId="2" fillId="2" borderId="71" xfId="0" applyFont="1" applyFill="1" applyBorder="1" applyAlignment="1" applyProtection="1">
      <alignment horizontal="center" vertical="center"/>
      <protection locked="0"/>
    </xf>
    <xf numFmtId="0" fontId="2" fillId="3" borderId="11" xfId="0" applyFont="1" applyFill="1" applyBorder="1" applyAlignment="1" applyProtection="1">
      <alignment horizontal="center" vertical="center"/>
    </xf>
    <xf numFmtId="0" fontId="2" fillId="3" borderId="9" xfId="0" applyFont="1" applyFill="1" applyBorder="1" applyAlignment="1" applyProtection="1">
      <alignment horizontal="center" vertical="center"/>
    </xf>
    <xf numFmtId="0" fontId="2" fillId="2" borderId="10" xfId="0" applyFont="1" applyFill="1" applyBorder="1" applyAlignment="1" applyProtection="1">
      <alignment horizontal="center" vertical="center" wrapText="1"/>
      <protection locked="0"/>
    </xf>
    <xf numFmtId="0" fontId="2" fillId="7" borderId="60" xfId="0" applyFont="1" applyFill="1" applyBorder="1" applyAlignment="1" applyProtection="1">
      <alignment horizontal="right" vertical="top" wrapText="1"/>
      <protection locked="0"/>
    </xf>
    <xf numFmtId="0" fontId="2" fillId="3" borderId="28" xfId="0" applyFont="1" applyFill="1" applyBorder="1" applyAlignment="1" applyProtection="1">
      <alignment horizontal="left" vertical="top" wrapText="1"/>
    </xf>
    <xf numFmtId="0" fontId="2" fillId="0" borderId="72" xfId="0" applyFont="1" applyBorder="1" applyAlignment="1" applyProtection="1">
      <alignment vertical="top" wrapText="1"/>
      <protection locked="0"/>
    </xf>
    <xf numFmtId="0" fontId="2" fillId="2" borderId="63" xfId="0" applyFont="1" applyFill="1" applyBorder="1" applyAlignment="1" applyProtection="1">
      <alignment horizontal="center" vertical="center" wrapText="1"/>
      <protection locked="0"/>
    </xf>
    <xf numFmtId="0" fontId="2" fillId="5" borderId="10" xfId="0" applyFont="1" applyFill="1" applyBorder="1" applyAlignment="1" applyProtection="1">
      <alignment vertical="center"/>
    </xf>
    <xf numFmtId="0" fontId="2" fillId="5" borderId="68" xfId="0" applyFont="1" applyFill="1" applyBorder="1" applyAlignment="1" applyProtection="1">
      <alignment horizontal="center" vertical="center"/>
    </xf>
    <xf numFmtId="0" fontId="2" fillId="5" borderId="6" xfId="0" applyFont="1" applyFill="1" applyBorder="1" applyAlignment="1" applyProtection="1">
      <alignment vertical="center"/>
    </xf>
    <xf numFmtId="0" fontId="2" fillId="7" borderId="19" xfId="0" applyFont="1" applyFill="1" applyBorder="1" applyAlignment="1" applyProtection="1">
      <alignment horizontal="center" vertical="center"/>
      <protection locked="0"/>
    </xf>
    <xf numFmtId="0" fontId="2" fillId="5" borderId="19" xfId="0" applyFont="1" applyFill="1" applyBorder="1" applyAlignment="1" applyProtection="1">
      <alignment horizontal="center" vertical="center"/>
    </xf>
    <xf numFmtId="0" fontId="2" fillId="2" borderId="60" xfId="0" applyFont="1" applyFill="1" applyBorder="1" applyAlignment="1" applyProtection="1">
      <alignment horizontal="center" vertical="center"/>
      <protection locked="0"/>
    </xf>
    <xf numFmtId="0" fontId="2" fillId="0" borderId="70" xfId="0" applyFont="1" applyFill="1" applyBorder="1" applyAlignment="1" applyProtection="1">
      <alignment horizontal="center" vertical="center"/>
      <protection locked="0"/>
    </xf>
    <xf numFmtId="0" fontId="2" fillId="2" borderId="63" xfId="0" applyFont="1" applyFill="1" applyBorder="1" applyAlignment="1" applyProtection="1">
      <alignment horizontal="center" vertical="center"/>
      <protection locked="0"/>
    </xf>
    <xf numFmtId="0" fontId="43" fillId="0" borderId="1" xfId="2" applyNumberFormat="1" applyFont="1" applyFill="1" applyBorder="1" applyAlignment="1" applyProtection="1">
      <alignment vertical="center" wrapText="1"/>
      <protection locked="0"/>
    </xf>
    <xf numFmtId="0" fontId="2" fillId="2" borderId="19" xfId="0" applyFont="1" applyFill="1" applyBorder="1" applyAlignment="1" applyProtection="1">
      <alignment horizontal="center" vertical="center" wrapText="1"/>
      <protection locked="0"/>
    </xf>
    <xf numFmtId="180" fontId="2" fillId="2" borderId="19" xfId="0" applyNumberFormat="1" applyFont="1" applyFill="1" applyBorder="1" applyAlignment="1" applyProtection="1">
      <alignment horizontal="center" vertical="center" wrapText="1"/>
      <protection locked="0"/>
    </xf>
    <xf numFmtId="180" fontId="2" fillId="2" borderId="59" xfId="0" applyNumberFormat="1" applyFont="1" applyFill="1" applyBorder="1" applyAlignment="1" applyProtection="1">
      <alignment horizontal="center" vertical="center" wrapText="1"/>
      <protection locked="0"/>
    </xf>
    <xf numFmtId="180" fontId="2" fillId="2" borderId="63" xfId="0" applyNumberFormat="1" applyFont="1" applyFill="1" applyBorder="1" applyAlignment="1" applyProtection="1">
      <alignment horizontal="center" vertical="center" wrapText="1"/>
      <protection locked="0"/>
    </xf>
    <xf numFmtId="0" fontId="52" fillId="5" borderId="12" xfId="0" applyNumberFormat="1" applyFont="1" applyFill="1" applyBorder="1" applyAlignment="1" applyProtection="1">
      <alignment horizontal="center" vertical="center"/>
    </xf>
    <xf numFmtId="0" fontId="2" fillId="5" borderId="6" xfId="0" applyFont="1" applyFill="1" applyBorder="1" applyAlignment="1" applyProtection="1">
      <alignment horizontal="left" vertical="center"/>
    </xf>
    <xf numFmtId="0" fontId="52" fillId="5" borderId="19" xfId="0" applyNumberFormat="1" applyFont="1" applyFill="1" applyBorder="1" applyAlignment="1" applyProtection="1">
      <alignment horizontal="center" vertical="center"/>
    </xf>
    <xf numFmtId="0" fontId="2" fillId="7" borderId="60" xfId="0" applyFont="1" applyFill="1" applyBorder="1" applyAlignment="1" applyProtection="1">
      <alignment horizontal="right" vertical="center" wrapText="1"/>
      <protection locked="0"/>
    </xf>
    <xf numFmtId="0" fontId="2" fillId="2" borderId="59" xfId="0" applyFont="1" applyFill="1" applyBorder="1" applyAlignment="1" applyProtection="1">
      <alignment horizontal="center" vertical="center" wrapText="1"/>
      <protection locked="0"/>
    </xf>
    <xf numFmtId="0" fontId="2" fillId="2" borderId="60" xfId="0" applyFont="1" applyFill="1" applyBorder="1" applyAlignment="1" applyProtection="1">
      <alignment horizontal="center" vertical="center" wrapText="1"/>
      <protection locked="0"/>
    </xf>
    <xf numFmtId="0" fontId="2" fillId="2" borderId="27" xfId="0" applyFont="1" applyFill="1" applyBorder="1" applyAlignment="1" applyProtection="1">
      <alignment horizontal="center" vertical="center" wrapText="1"/>
      <protection locked="0"/>
    </xf>
    <xf numFmtId="0" fontId="2" fillId="2" borderId="106" xfId="0" applyFont="1" applyFill="1" applyBorder="1" applyAlignment="1" applyProtection="1">
      <alignment horizontal="center" vertical="center" wrapText="1"/>
      <protection locked="0"/>
    </xf>
    <xf numFmtId="0" fontId="2" fillId="3" borderId="12" xfId="0" applyFont="1" applyFill="1" applyBorder="1" applyAlignment="1" applyProtection="1">
      <alignment horizontal="center" vertical="center" wrapText="1"/>
    </xf>
    <xf numFmtId="0" fontId="2" fillId="2" borderId="69" xfId="0" applyFont="1" applyFill="1" applyBorder="1" applyAlignment="1" applyProtection="1">
      <alignment horizontal="center" vertical="center" wrapText="1"/>
      <protection locked="0"/>
    </xf>
    <xf numFmtId="0" fontId="2" fillId="2" borderId="59" xfId="0" applyFont="1" applyFill="1" applyBorder="1" applyAlignment="1" applyProtection="1">
      <alignment horizontal="center" vertical="center"/>
      <protection locked="0"/>
    </xf>
    <xf numFmtId="0" fontId="2" fillId="0" borderId="0" xfId="0" applyFont="1" applyBorder="1" applyAlignment="1">
      <alignment horizontal="right" vertical="center"/>
    </xf>
    <xf numFmtId="0" fontId="2" fillId="3" borderId="35" xfId="0" applyFont="1" applyFill="1" applyBorder="1" applyAlignment="1" applyProtection="1">
      <alignment horizontal="center" vertical="center" wrapText="1"/>
    </xf>
    <xf numFmtId="0" fontId="2" fillId="3" borderId="28" xfId="0" applyFont="1" applyFill="1" applyBorder="1" applyAlignment="1" applyProtection="1">
      <alignment horizontal="left" vertical="center" wrapText="1"/>
    </xf>
    <xf numFmtId="0" fontId="2" fillId="3" borderId="34" xfId="0" applyFont="1" applyFill="1" applyBorder="1" applyAlignment="1" applyProtection="1">
      <alignment horizontal="center" vertical="center" wrapText="1"/>
    </xf>
    <xf numFmtId="0" fontId="2" fillId="3" borderId="22" xfId="0" applyFont="1" applyFill="1" applyBorder="1" applyAlignment="1" applyProtection="1">
      <alignment horizontal="center" vertical="center" wrapText="1"/>
    </xf>
    <xf numFmtId="0" fontId="2" fillId="5" borderId="6" xfId="0" applyFont="1" applyFill="1" applyBorder="1" applyAlignment="1" applyProtection="1">
      <alignment vertical="center" wrapText="1"/>
    </xf>
    <xf numFmtId="0" fontId="2" fillId="5" borderId="10" xfId="0" applyFont="1" applyFill="1" applyBorder="1" applyAlignment="1" applyProtection="1">
      <alignment vertical="center" wrapText="1"/>
    </xf>
    <xf numFmtId="0" fontId="2" fillId="2" borderId="96" xfId="0" applyFont="1" applyFill="1" applyBorder="1" applyAlignment="1" applyProtection="1">
      <alignment vertical="center"/>
      <protection locked="0"/>
    </xf>
    <xf numFmtId="0" fontId="2" fillId="2" borderId="8" xfId="0" applyFont="1" applyFill="1" applyBorder="1" applyAlignment="1" applyProtection="1">
      <alignment vertical="center"/>
      <protection locked="0"/>
    </xf>
    <xf numFmtId="0" fontId="12" fillId="0" borderId="1" xfId="2" applyNumberFormat="1" applyFont="1" applyFill="1" applyBorder="1" applyAlignment="1" applyProtection="1">
      <alignment vertical="center"/>
      <protection locked="0"/>
    </xf>
    <xf numFmtId="0" fontId="2" fillId="2" borderId="12" xfId="0" applyFont="1" applyFill="1" applyBorder="1" applyAlignment="1" applyProtection="1">
      <alignment vertical="center"/>
      <protection locked="0"/>
    </xf>
    <xf numFmtId="0" fontId="2" fillId="2" borderId="94" xfId="0" applyFont="1" applyFill="1" applyBorder="1" applyAlignment="1" applyProtection="1">
      <alignment vertical="center"/>
      <protection locked="0"/>
    </xf>
    <xf numFmtId="0" fontId="2" fillId="3" borderId="74" xfId="0" applyFont="1" applyFill="1" applyBorder="1" applyAlignment="1" applyProtection="1">
      <alignment horizontal="center" vertical="center" wrapText="1"/>
    </xf>
    <xf numFmtId="0" fontId="2" fillId="3" borderId="90" xfId="0" applyFont="1" applyFill="1" applyBorder="1" applyAlignment="1" applyProtection="1">
      <alignment horizontal="center" vertical="center" wrapText="1"/>
    </xf>
    <xf numFmtId="0" fontId="2" fillId="3" borderId="34" xfId="0" applyFont="1" applyFill="1" applyBorder="1" applyAlignment="1" applyProtection="1">
      <alignment horizontal="center" vertical="center" shrinkToFit="1"/>
    </xf>
    <xf numFmtId="180" fontId="2" fillId="3" borderId="35" xfId="0" applyNumberFormat="1" applyFont="1" applyFill="1" applyBorder="1" applyAlignment="1" applyProtection="1">
      <alignment horizontal="center" vertical="center" shrinkToFit="1"/>
    </xf>
    <xf numFmtId="0" fontId="2" fillId="0" borderId="72" xfId="0" applyFont="1" applyBorder="1" applyAlignment="1" applyProtection="1">
      <alignment vertical="center"/>
      <protection locked="0"/>
    </xf>
    <xf numFmtId="0" fontId="52" fillId="2" borderId="94" xfId="0" applyFont="1" applyFill="1" applyBorder="1" applyAlignment="1" applyProtection="1">
      <alignment vertical="center"/>
      <protection locked="0"/>
    </xf>
    <xf numFmtId="180" fontId="42" fillId="0" borderId="8" xfId="0" applyNumberFormat="1" applyFont="1" applyBorder="1" applyAlignment="1">
      <alignment horizontal="center" vertical="center"/>
    </xf>
    <xf numFmtId="0" fontId="2" fillId="7" borderId="8" xfId="0" applyNumberFormat="1" applyFont="1" applyFill="1" applyBorder="1" applyAlignment="1" applyProtection="1">
      <alignment horizontal="center" vertical="center"/>
      <protection locked="0"/>
    </xf>
    <xf numFmtId="49" fontId="2" fillId="0" borderId="22" xfId="0" applyNumberFormat="1" applyFont="1" applyFill="1" applyBorder="1" applyAlignment="1" applyProtection="1">
      <alignment horizontal="center" vertical="center"/>
    </xf>
    <xf numFmtId="180" fontId="42" fillId="13" borderId="12" xfId="0" applyNumberFormat="1" applyFont="1" applyFill="1" applyBorder="1" applyAlignment="1">
      <alignment horizontal="center" vertical="center"/>
    </xf>
    <xf numFmtId="0" fontId="75" fillId="2" borderId="70" xfId="0" applyFont="1" applyFill="1" applyBorder="1" applyAlignment="1">
      <alignment horizontal="center" vertical="center" wrapText="1"/>
    </xf>
    <xf numFmtId="0" fontId="75" fillId="2" borderId="72" xfId="0" applyFont="1" applyFill="1" applyBorder="1" applyAlignment="1">
      <alignment horizontal="center" vertical="center" wrapText="1"/>
    </xf>
    <xf numFmtId="0" fontId="2" fillId="2" borderId="19" xfId="0" applyFont="1" applyFill="1" applyBorder="1" applyAlignment="1" applyProtection="1">
      <alignment vertical="center"/>
      <protection locked="0"/>
    </xf>
    <xf numFmtId="180" fontId="42" fillId="3" borderId="19" xfId="0" applyNumberFormat="1" applyFont="1" applyFill="1" applyBorder="1" applyAlignment="1" applyProtection="1">
      <alignment vertical="center"/>
    </xf>
    <xf numFmtId="0" fontId="2" fillId="0" borderId="7" xfId="0" applyFont="1" applyBorder="1" applyAlignment="1" applyProtection="1">
      <alignment vertical="center"/>
      <protection locked="0"/>
    </xf>
    <xf numFmtId="0" fontId="2" fillId="0" borderId="8" xfId="0" applyFont="1" applyBorder="1" applyAlignment="1" applyProtection="1">
      <alignment vertical="center"/>
      <protection locked="0"/>
    </xf>
    <xf numFmtId="180" fontId="42" fillId="0" borderId="8" xfId="0" applyNumberFormat="1" applyFont="1" applyFill="1" applyBorder="1" applyAlignment="1" applyProtection="1">
      <alignment vertical="center"/>
    </xf>
    <xf numFmtId="0" fontId="2" fillId="0" borderId="12" xfId="0" applyFont="1" applyBorder="1" applyAlignment="1" applyProtection="1">
      <alignment vertical="center"/>
      <protection locked="0"/>
    </xf>
    <xf numFmtId="0" fontId="2" fillId="0" borderId="10" xfId="0" applyFont="1" applyBorder="1" applyAlignment="1" applyProtection="1">
      <alignment vertical="center"/>
      <protection locked="0"/>
    </xf>
    <xf numFmtId="180" fontId="42" fillId="0" borderId="12" xfId="0" applyNumberFormat="1" applyFont="1" applyFill="1" applyBorder="1" applyAlignment="1" applyProtection="1">
      <alignment vertical="center"/>
      <protection locked="0"/>
    </xf>
    <xf numFmtId="180" fontId="42" fillId="3" borderId="12" xfId="0" applyNumberFormat="1" applyFont="1" applyFill="1" applyBorder="1" applyAlignment="1" applyProtection="1">
      <alignment vertical="center"/>
    </xf>
    <xf numFmtId="180" fontId="42" fillId="0" borderId="8" xfId="0" applyNumberFormat="1" applyFont="1" applyBorder="1" applyAlignment="1" applyProtection="1">
      <alignment vertical="center"/>
      <protection locked="0"/>
    </xf>
    <xf numFmtId="180" fontId="42" fillId="0" borderId="12" xfId="0" applyNumberFormat="1" applyFont="1" applyBorder="1" applyAlignment="1" applyProtection="1">
      <alignment vertical="center"/>
      <protection locked="0"/>
    </xf>
    <xf numFmtId="0" fontId="2" fillId="0" borderId="10" xfId="0" applyFont="1" applyFill="1" applyBorder="1" applyAlignment="1" applyProtection="1">
      <alignment vertical="center"/>
      <protection locked="0"/>
    </xf>
    <xf numFmtId="0" fontId="2" fillId="3" borderId="74" xfId="0" applyFont="1" applyFill="1" applyBorder="1" applyAlignment="1" applyProtection="1">
      <alignment horizontal="center" vertical="center"/>
    </xf>
    <xf numFmtId="0" fontId="2" fillId="3" borderId="78" xfId="0" applyFont="1" applyFill="1" applyBorder="1" applyAlignment="1" applyProtection="1">
      <alignment horizontal="center" vertical="center"/>
    </xf>
    <xf numFmtId="0" fontId="2" fillId="3" borderId="90" xfId="0" applyFont="1" applyFill="1" applyBorder="1" applyAlignment="1" applyProtection="1">
      <alignment horizontal="center" vertical="center"/>
    </xf>
    <xf numFmtId="0" fontId="2" fillId="0" borderId="1" xfId="0" applyFont="1" applyBorder="1" applyAlignment="1" applyProtection="1">
      <alignment wrapText="1"/>
      <protection locked="0"/>
    </xf>
    <xf numFmtId="0" fontId="2" fillId="2" borderId="10" xfId="0" applyFont="1" applyFill="1" applyBorder="1" applyAlignment="1" applyProtection="1">
      <alignment vertical="center"/>
    </xf>
    <xf numFmtId="0" fontId="2" fillId="2" borderId="7" xfId="0" applyFont="1" applyFill="1" applyBorder="1" applyAlignment="1" applyProtection="1">
      <alignment vertical="center"/>
    </xf>
    <xf numFmtId="0" fontId="2" fillId="2" borderId="6" xfId="0" applyFont="1" applyFill="1" applyBorder="1" applyAlignment="1" applyProtection="1">
      <alignment vertical="center"/>
    </xf>
    <xf numFmtId="0" fontId="2" fillId="2" borderId="6" xfId="0" applyFont="1" applyFill="1" applyBorder="1" applyAlignment="1" applyProtection="1">
      <alignment vertical="center"/>
      <protection locked="0"/>
    </xf>
    <xf numFmtId="49" fontId="2" fillId="0" borderId="1" xfId="0" applyNumberFormat="1" applyFont="1" applyBorder="1" applyAlignment="1" applyProtection="1">
      <alignment vertical="center" wrapText="1"/>
      <protection locked="0"/>
    </xf>
    <xf numFmtId="0" fontId="2" fillId="2" borderId="8" xfId="0" applyFont="1" applyFill="1" applyBorder="1" applyAlignment="1" applyProtection="1">
      <alignment horizontal="right" vertical="center"/>
    </xf>
    <xf numFmtId="0" fontId="2" fillId="2" borderId="6" xfId="0" applyFont="1" applyFill="1" applyBorder="1" applyAlignment="1" applyProtection="1">
      <alignment horizontal="right" vertical="center"/>
    </xf>
    <xf numFmtId="0" fontId="2" fillId="2" borderId="8" xfId="0" applyFont="1" applyFill="1" applyBorder="1" applyAlignment="1" applyProtection="1">
      <alignment horizontal="right" vertical="center"/>
      <protection locked="0"/>
    </xf>
    <xf numFmtId="180" fontId="42" fillId="5" borderId="12" xfId="0" applyNumberFormat="1" applyFont="1" applyFill="1" applyBorder="1" applyAlignment="1" applyProtection="1">
      <alignment vertical="center"/>
    </xf>
    <xf numFmtId="0" fontId="2" fillId="3" borderId="34" xfId="0" applyNumberFormat="1" applyFont="1" applyFill="1" applyBorder="1" applyAlignment="1" applyProtection="1">
      <alignment horizontal="center" vertical="center"/>
    </xf>
    <xf numFmtId="0" fontId="2" fillId="2" borderId="97" xfId="0" applyFont="1" applyFill="1" applyBorder="1" applyAlignment="1" applyProtection="1">
      <alignment horizontal="center" vertical="center"/>
      <protection locked="0"/>
    </xf>
    <xf numFmtId="0" fontId="2" fillId="2" borderId="76" xfId="0" applyFont="1" applyFill="1" applyBorder="1" applyAlignment="1" applyProtection="1">
      <alignment horizontal="center" vertical="center"/>
      <protection locked="0"/>
    </xf>
    <xf numFmtId="0" fontId="2" fillId="2" borderId="138" xfId="0" applyFont="1" applyFill="1" applyBorder="1" applyAlignment="1" applyProtection="1">
      <alignment horizontal="center" vertical="center"/>
      <protection locked="0"/>
    </xf>
    <xf numFmtId="0" fontId="2" fillId="2" borderId="1" xfId="0" applyFont="1" applyFill="1" applyBorder="1" applyAlignment="1" applyProtection="1">
      <alignment horizontal="center" vertical="center"/>
      <protection locked="0"/>
    </xf>
    <xf numFmtId="0" fontId="2" fillId="2" borderId="0" xfId="0" applyFont="1" applyFill="1" applyBorder="1" applyAlignment="1" applyProtection="1">
      <alignment horizontal="center" vertical="center"/>
      <protection locked="0"/>
    </xf>
    <xf numFmtId="0" fontId="2" fillId="2" borderId="105" xfId="0" applyFont="1" applyFill="1" applyBorder="1" applyAlignment="1" applyProtection="1">
      <alignment horizontal="center" vertical="center"/>
      <protection locked="0"/>
    </xf>
    <xf numFmtId="0" fontId="2" fillId="2" borderId="29" xfId="0" applyFont="1" applyFill="1" applyBorder="1" applyAlignment="1" applyProtection="1">
      <alignment horizontal="center" vertical="center"/>
      <protection locked="0"/>
    </xf>
    <xf numFmtId="0" fontId="2" fillId="2" borderId="20" xfId="0" applyFont="1" applyFill="1" applyBorder="1" applyAlignment="1" applyProtection="1">
      <alignment horizontal="center" vertical="center"/>
      <protection locked="0"/>
    </xf>
    <xf numFmtId="0" fontId="2" fillId="2" borderId="104" xfId="0" applyFont="1" applyFill="1" applyBorder="1" applyAlignment="1" applyProtection="1">
      <alignment horizontal="center" vertical="center"/>
      <protection locked="0"/>
    </xf>
    <xf numFmtId="0" fontId="51" fillId="2" borderId="17" xfId="0" applyFont="1" applyFill="1" applyBorder="1" applyAlignment="1" applyProtection="1">
      <alignment horizontal="right" vertical="center"/>
    </xf>
    <xf numFmtId="0" fontId="51" fillId="2" borderId="18" xfId="0" applyFont="1" applyFill="1" applyBorder="1" applyAlignment="1" applyProtection="1">
      <alignment horizontal="right" vertical="center"/>
    </xf>
    <xf numFmtId="0" fontId="51" fillId="2" borderId="16" xfId="0" applyFont="1" applyFill="1" applyBorder="1" applyAlignment="1" applyProtection="1">
      <alignment horizontal="right" vertical="center"/>
    </xf>
    <xf numFmtId="180" fontId="42" fillId="5" borderId="89" xfId="0" applyNumberFormat="1" applyFont="1" applyFill="1" applyBorder="1" applyAlignment="1" applyProtection="1">
      <alignment horizontal="center" vertical="center"/>
    </xf>
    <xf numFmtId="180" fontId="42" fillId="3" borderId="34" xfId="0" applyNumberFormat="1" applyFont="1" applyFill="1" applyBorder="1" applyAlignment="1" applyProtection="1">
      <alignment horizontal="center" vertical="center"/>
    </xf>
    <xf numFmtId="0" fontId="2" fillId="2" borderId="69" xfId="0" applyFont="1" applyFill="1" applyBorder="1" applyAlignment="1" applyProtection="1">
      <alignment horizontal="center" vertical="center"/>
      <protection locked="0"/>
    </xf>
    <xf numFmtId="0" fontId="2" fillId="3" borderId="35" xfId="0" applyFont="1" applyFill="1" applyBorder="1" applyAlignment="1" applyProtection="1">
      <alignment horizontal="center" vertical="center"/>
    </xf>
    <xf numFmtId="180" fontId="2" fillId="7" borderId="60" xfId="0" applyNumberFormat="1" applyFont="1" applyFill="1" applyBorder="1" applyAlignment="1" applyProtection="1">
      <alignment horizontal="right" vertical="center"/>
      <protection locked="0"/>
    </xf>
    <xf numFmtId="0" fontId="2" fillId="0" borderId="72" xfId="0" applyFont="1" applyFill="1" applyBorder="1" applyAlignment="1" applyProtection="1">
      <alignment horizontal="center" vertical="center"/>
      <protection locked="0"/>
    </xf>
    <xf numFmtId="180" fontId="2" fillId="3" borderId="28" xfId="0" applyNumberFormat="1" applyFont="1" applyFill="1" applyBorder="1" applyAlignment="1" applyProtection="1">
      <alignment horizontal="left" vertical="center"/>
    </xf>
    <xf numFmtId="0" fontId="2" fillId="2" borderId="3" xfId="0" applyFont="1" applyFill="1" applyBorder="1" applyAlignment="1">
      <alignment horizontal="center" vertical="center"/>
    </xf>
    <xf numFmtId="0" fontId="9" fillId="2" borderId="0" xfId="0" applyFont="1" applyFill="1" applyBorder="1" applyAlignment="1">
      <alignment horizontal="center"/>
    </xf>
    <xf numFmtId="0" fontId="2" fillId="2" borderId="6" xfId="0" applyFont="1" applyFill="1" applyBorder="1" applyAlignment="1">
      <alignment horizontal="center" vertical="center"/>
    </xf>
    <xf numFmtId="0" fontId="2" fillId="5" borderId="19" xfId="0" applyFont="1" applyFill="1" applyBorder="1" applyAlignment="1">
      <alignment vertical="center"/>
    </xf>
    <xf numFmtId="0" fontId="2" fillId="2" borderId="11" xfId="0" applyFont="1" applyFill="1" applyBorder="1" applyAlignment="1">
      <alignment horizontal="center" vertical="center"/>
    </xf>
    <xf numFmtId="0" fontId="2" fillId="2" borderId="10" xfId="0" applyFont="1" applyFill="1" applyBorder="1" applyAlignment="1">
      <alignment horizontal="center" vertical="center"/>
    </xf>
    <xf numFmtId="31" fontId="2" fillId="5" borderId="12" xfId="0" applyNumberFormat="1" applyFont="1" applyFill="1" applyBorder="1" applyAlignment="1">
      <alignment vertical="center"/>
    </xf>
    <xf numFmtId="49" fontId="2" fillId="5" borderId="90" xfId="0" applyNumberFormat="1" applyFont="1" applyFill="1" applyBorder="1" applyAlignment="1">
      <alignment horizontal="center" vertical="center"/>
    </xf>
    <xf numFmtId="0" fontId="12" fillId="0" borderId="1" xfId="2" applyNumberFormat="1" applyFont="1" applyFill="1" applyBorder="1" applyAlignment="1" applyProtection="1"/>
    <xf numFmtId="0" fontId="2" fillId="0" borderId="9" xfId="0" applyFont="1" applyFill="1" applyBorder="1" applyAlignment="1" applyProtection="1">
      <alignment vertical="center"/>
    </xf>
    <xf numFmtId="0" fontId="2" fillId="2" borderId="34" xfId="0" applyFont="1" applyFill="1" applyBorder="1" applyAlignment="1">
      <alignment horizontal="center" vertical="center" wrapText="1"/>
    </xf>
    <xf numFmtId="0" fontId="2" fillId="2" borderId="33" xfId="0" applyFont="1" applyFill="1" applyBorder="1" applyAlignment="1">
      <alignment horizontal="center" vertical="center" wrapText="1"/>
    </xf>
    <xf numFmtId="0" fontId="2" fillId="2" borderId="34" xfId="0" applyFont="1" applyFill="1" applyBorder="1" applyAlignment="1">
      <alignment horizontal="center" vertical="center"/>
    </xf>
    <xf numFmtId="0" fontId="2" fillId="2" borderId="35" xfId="0" applyFont="1" applyFill="1" applyBorder="1" applyAlignment="1" applyProtection="1">
      <alignment horizontal="center" vertical="center"/>
    </xf>
    <xf numFmtId="0" fontId="2" fillId="0" borderId="11" xfId="0" applyFont="1" applyFill="1" applyBorder="1" applyAlignment="1" applyProtection="1">
      <alignment vertical="center"/>
    </xf>
    <xf numFmtId="0" fontId="2" fillId="3" borderId="22" xfId="0" applyFont="1" applyFill="1" applyBorder="1" applyAlignment="1">
      <alignment horizontal="center" vertical="center"/>
    </xf>
    <xf numFmtId="0" fontId="2" fillId="0" borderId="0" xfId="0" applyFont="1" applyBorder="1" applyAlignment="1">
      <alignment wrapText="1"/>
    </xf>
    <xf numFmtId="0" fontId="2" fillId="2" borderId="33" xfId="0" applyFont="1" applyFill="1" applyBorder="1" applyAlignment="1">
      <alignment horizontal="center" vertical="center"/>
    </xf>
    <xf numFmtId="0" fontId="2" fillId="0" borderId="35" xfId="0" applyFont="1" applyFill="1" applyBorder="1" applyAlignment="1" applyProtection="1">
      <alignment vertical="center"/>
    </xf>
    <xf numFmtId="0" fontId="2" fillId="2" borderId="6" xfId="0" applyFont="1" applyFill="1" applyBorder="1" applyAlignment="1">
      <alignment vertical="center"/>
    </xf>
    <xf numFmtId="0" fontId="2" fillId="0" borderId="11" xfId="0" applyFont="1" applyFill="1" applyBorder="1" applyAlignment="1">
      <alignment vertical="center"/>
    </xf>
    <xf numFmtId="0" fontId="2" fillId="2" borderId="7" xfId="0" applyFont="1" applyFill="1" applyBorder="1" applyAlignment="1">
      <alignment horizontal="center" vertical="center"/>
    </xf>
    <xf numFmtId="0" fontId="2" fillId="2" borderId="8" xfId="0" applyFont="1" applyFill="1" applyBorder="1" applyAlignment="1">
      <alignment horizontal="center" vertical="center"/>
    </xf>
    <xf numFmtId="180" fontId="42" fillId="0" borderId="12" xfId="0" applyNumberFormat="1" applyFont="1" applyFill="1" applyBorder="1" applyAlignment="1">
      <alignment vertical="center"/>
    </xf>
    <xf numFmtId="0" fontId="2" fillId="0" borderId="1" xfId="0" applyFont="1" applyBorder="1" applyAlignment="1">
      <alignment wrapText="1"/>
    </xf>
    <xf numFmtId="0" fontId="2" fillId="0" borderId="9" xfId="0" applyFont="1" applyFill="1" applyBorder="1" applyAlignment="1">
      <alignment vertical="center"/>
    </xf>
    <xf numFmtId="0" fontId="2" fillId="2" borderId="6" xfId="0" applyFont="1" applyFill="1" applyBorder="1" applyAlignment="1">
      <alignment horizontal="center" vertical="center" wrapText="1"/>
    </xf>
    <xf numFmtId="0" fontId="2" fillId="0" borderId="72" xfId="0" applyFont="1" applyBorder="1" applyAlignment="1">
      <alignment vertical="center"/>
    </xf>
    <xf numFmtId="0" fontId="2" fillId="2" borderId="73" xfId="0" applyFont="1" applyFill="1" applyBorder="1" applyAlignment="1">
      <alignment horizontal="center" vertical="center"/>
    </xf>
    <xf numFmtId="0" fontId="2" fillId="3" borderId="34" xfId="0" applyNumberFormat="1" applyFont="1" applyFill="1" applyBorder="1" applyAlignment="1">
      <alignment horizontal="center" vertical="center"/>
    </xf>
    <xf numFmtId="180" fontId="2" fillId="0" borderId="35" xfId="0" applyNumberFormat="1" applyFont="1" applyFill="1" applyBorder="1" applyAlignment="1">
      <alignment vertical="center"/>
    </xf>
    <xf numFmtId="0" fontId="2" fillId="0" borderId="22" xfId="0" applyFont="1" applyFill="1" applyBorder="1" applyAlignment="1" applyProtection="1">
      <alignment vertical="center"/>
    </xf>
    <xf numFmtId="0" fontId="2" fillId="3" borderId="28" xfId="0" applyFont="1" applyFill="1" applyBorder="1" applyAlignment="1">
      <alignment horizontal="left" vertical="center"/>
    </xf>
    <xf numFmtId="180" fontId="2" fillId="0" borderId="74" xfId="0" applyNumberFormat="1" applyFont="1" applyFill="1" applyBorder="1" applyAlignment="1">
      <alignment vertical="center"/>
    </xf>
    <xf numFmtId="180" fontId="42" fillId="5" borderId="68" xfId="0" applyNumberFormat="1" applyFont="1" applyFill="1" applyBorder="1" applyAlignment="1" applyProtection="1">
      <alignment vertical="center"/>
    </xf>
    <xf numFmtId="180" fontId="42" fillId="0" borderId="68" xfId="0" applyNumberFormat="1" applyFont="1" applyFill="1" applyBorder="1" applyAlignment="1" applyProtection="1">
      <alignment vertical="center"/>
      <protection locked="0"/>
    </xf>
    <xf numFmtId="180" fontId="42" fillId="3" borderId="22" xfId="0" applyNumberFormat="1" applyFont="1" applyFill="1" applyBorder="1" applyAlignment="1" applyProtection="1">
      <alignment vertical="center"/>
    </xf>
    <xf numFmtId="0" fontId="2" fillId="2" borderId="9" xfId="0" applyFont="1" applyFill="1" applyBorder="1" applyAlignment="1" applyProtection="1">
      <alignment horizontal="center" vertical="center"/>
      <protection locked="0"/>
    </xf>
    <xf numFmtId="0" fontId="2" fillId="2" borderId="33" xfId="0" applyFont="1" applyFill="1" applyBorder="1" applyAlignment="1" applyProtection="1">
      <alignment vertical="center" wrapText="1"/>
      <protection locked="0"/>
    </xf>
    <xf numFmtId="0" fontId="2" fillId="3" borderId="35" xfId="0" applyNumberFormat="1" applyFont="1" applyFill="1" applyBorder="1" applyAlignment="1" applyProtection="1">
      <alignment horizontal="center" vertical="center"/>
    </xf>
    <xf numFmtId="0" fontId="2" fillId="0" borderId="108" xfId="0" applyFont="1" applyBorder="1" applyAlignment="1" applyProtection="1">
      <alignment vertical="center"/>
      <protection locked="0"/>
    </xf>
    <xf numFmtId="0" fontId="2" fillId="5" borderId="13" xfId="0" applyFont="1" applyFill="1" applyBorder="1" applyAlignment="1" applyProtection="1">
      <alignment vertical="center" wrapText="1"/>
    </xf>
    <xf numFmtId="0" fontId="2" fillId="5" borderId="8" xfId="0" applyNumberFormat="1" applyFont="1" applyFill="1" applyBorder="1" applyAlignment="1" applyProtection="1">
      <alignment horizontal="center" vertical="center"/>
    </xf>
    <xf numFmtId="0" fontId="2" fillId="5" borderId="14" xfId="0" applyFont="1" applyFill="1" applyBorder="1" applyAlignment="1" applyProtection="1">
      <alignment vertical="center"/>
    </xf>
    <xf numFmtId="180" fontId="42" fillId="13" borderId="19" xfId="0" applyNumberFormat="1" applyFont="1" applyFill="1" applyBorder="1" applyAlignment="1">
      <alignment vertical="center"/>
    </xf>
    <xf numFmtId="180" fontId="42" fillId="13" borderId="8" xfId="0" applyNumberFormat="1" applyFont="1" applyFill="1" applyBorder="1" applyAlignment="1">
      <alignment vertical="center"/>
    </xf>
    <xf numFmtId="0" fontId="2" fillId="2" borderId="13" xfId="0" applyFont="1" applyFill="1" applyBorder="1" applyAlignment="1" applyProtection="1">
      <alignment horizontal="center" vertical="center" wrapText="1"/>
      <protection locked="0"/>
    </xf>
    <xf numFmtId="0" fontId="2" fillId="0" borderId="72" xfId="0" applyFont="1" applyBorder="1" applyAlignment="1" applyProtection="1">
      <alignment horizontal="center" vertical="top" wrapText="1"/>
      <protection locked="0"/>
    </xf>
    <xf numFmtId="0" fontId="2" fillId="13" borderId="22" xfId="0" applyFont="1" applyFill="1" applyBorder="1" applyAlignment="1" applyProtection="1">
      <alignment horizontal="center" vertical="center"/>
    </xf>
    <xf numFmtId="0" fontId="2" fillId="3" borderId="17" xfId="0" applyFont="1" applyFill="1" applyBorder="1" applyAlignment="1" applyProtection="1">
      <alignment horizontal="left" vertical="center"/>
    </xf>
    <xf numFmtId="0" fontId="2" fillId="3" borderId="16" xfId="0" applyFont="1" applyFill="1" applyBorder="1" applyAlignment="1" applyProtection="1">
      <alignment horizontal="left" vertical="center"/>
    </xf>
    <xf numFmtId="0" fontId="2" fillId="3" borderId="19" xfId="0" applyFont="1" applyFill="1" applyBorder="1" applyAlignment="1" applyProtection="1">
      <alignment vertical="center"/>
    </xf>
    <xf numFmtId="0" fontId="63" fillId="3" borderId="23" xfId="0" applyFont="1" applyFill="1" applyBorder="1" applyAlignment="1" applyProtection="1">
      <alignment horizontal="left" vertical="center"/>
    </xf>
    <xf numFmtId="0" fontId="63" fillId="3" borderId="15" xfId="0" applyFont="1" applyFill="1" applyBorder="1" applyAlignment="1" applyProtection="1">
      <alignment horizontal="left" vertical="center"/>
    </xf>
    <xf numFmtId="0" fontId="2" fillId="4" borderId="67" xfId="0" applyFont="1" applyFill="1" applyBorder="1" applyAlignment="1" applyProtection="1">
      <alignment horizontal="center" vertical="center"/>
      <protection locked="0"/>
    </xf>
    <xf numFmtId="0" fontId="2" fillId="2" borderId="91" xfId="0" applyFont="1" applyFill="1" applyBorder="1" applyAlignment="1" applyProtection="1">
      <alignment horizontal="center" vertical="center"/>
      <protection locked="0"/>
    </xf>
    <xf numFmtId="0" fontId="2" fillId="4" borderId="77" xfId="0" applyFont="1" applyFill="1" applyBorder="1" applyAlignment="1" applyProtection="1">
      <alignment vertical="center"/>
      <protection locked="0"/>
    </xf>
    <xf numFmtId="0" fontId="2" fillId="4" borderId="82" xfId="0" applyFont="1" applyFill="1" applyBorder="1" applyAlignment="1" applyProtection="1">
      <alignment vertical="center"/>
      <protection locked="0"/>
    </xf>
    <xf numFmtId="0" fontId="2" fillId="4" borderId="77" xfId="0" applyFont="1" applyFill="1" applyBorder="1" applyAlignment="1" applyProtection="1">
      <alignment horizontal="center" vertical="center"/>
      <protection locked="0"/>
    </xf>
    <xf numFmtId="0" fontId="2" fillId="4" borderId="82" xfId="0" applyFont="1" applyFill="1" applyBorder="1" applyAlignment="1" applyProtection="1">
      <alignment horizontal="center" vertical="center"/>
      <protection locked="0"/>
    </xf>
    <xf numFmtId="0" fontId="2" fillId="4" borderId="68" xfId="0" applyFont="1" applyFill="1" applyBorder="1" applyAlignment="1" applyProtection="1">
      <alignment vertical="center"/>
      <protection locked="0"/>
    </xf>
    <xf numFmtId="0" fontId="63" fillId="31" borderId="8" xfId="0" applyFont="1" applyFill="1" applyBorder="1" applyAlignment="1" applyProtection="1">
      <alignment vertical="center"/>
    </xf>
    <xf numFmtId="0" fontId="2" fillId="5" borderId="8" xfId="0" applyFont="1" applyFill="1" applyBorder="1" applyAlignment="1" applyProtection="1">
      <alignment vertical="center" shrinkToFit="1"/>
    </xf>
    <xf numFmtId="0" fontId="2" fillId="3" borderId="8" xfId="0" applyFont="1" applyFill="1" applyBorder="1" applyAlignment="1" applyProtection="1">
      <alignment vertical="center" shrinkToFit="1"/>
    </xf>
    <xf numFmtId="0" fontId="2" fillId="32" borderId="8" xfId="0" applyFont="1" applyFill="1" applyBorder="1" applyAlignment="1" applyProtection="1">
      <alignment vertical="center"/>
    </xf>
    <xf numFmtId="0" fontId="51" fillId="3" borderId="8" xfId="0" applyFont="1" applyFill="1" applyBorder="1" applyAlignment="1" applyProtection="1">
      <alignment vertical="center"/>
    </xf>
    <xf numFmtId="0" fontId="51" fillId="31" borderId="8" xfId="0" applyFont="1" applyFill="1" applyBorder="1" applyAlignment="1" applyProtection="1">
      <alignment vertical="center"/>
    </xf>
    <xf numFmtId="0" fontId="51" fillId="5" borderId="8" xfId="0" applyFont="1" applyFill="1" applyBorder="1" applyAlignment="1" applyProtection="1">
      <alignment vertical="center"/>
    </xf>
    <xf numFmtId="0" fontId="2" fillId="0" borderId="12" xfId="0" applyFont="1" applyFill="1" applyBorder="1" applyAlignment="1" applyProtection="1">
      <alignment vertical="center"/>
    </xf>
    <xf numFmtId="0" fontId="2" fillId="3" borderId="23" xfId="0" applyFont="1" applyFill="1" applyBorder="1" applyAlignment="1" applyProtection="1">
      <alignment horizontal="left" vertical="center"/>
    </xf>
    <xf numFmtId="0" fontId="2" fillId="3" borderId="15" xfId="0" applyFont="1" applyFill="1" applyBorder="1" applyAlignment="1" applyProtection="1">
      <alignment horizontal="left" vertical="center"/>
    </xf>
    <xf numFmtId="0" fontId="9" fillId="14" borderId="0" xfId="0" applyFont="1" applyFill="1" applyBorder="1" applyAlignment="1">
      <alignment horizontal="center" vertical="center"/>
    </xf>
    <xf numFmtId="49" fontId="2" fillId="12" borderId="60" xfId="0" applyNumberFormat="1" applyFont="1" applyFill="1" applyBorder="1" applyAlignment="1">
      <alignment vertical="center"/>
    </xf>
    <xf numFmtId="49" fontId="2" fillId="12" borderId="27" xfId="0" applyNumberFormat="1" applyFont="1" applyFill="1" applyBorder="1" applyAlignment="1">
      <alignment vertical="center"/>
    </xf>
    <xf numFmtId="49" fontId="2" fillId="12" borderId="28" xfId="0" applyNumberFormat="1" applyFont="1" applyFill="1" applyBorder="1" applyAlignment="1">
      <alignment vertical="center"/>
    </xf>
    <xf numFmtId="49" fontId="2" fillId="12" borderId="17" xfId="0" applyNumberFormat="1" applyFont="1" applyFill="1" applyBorder="1" applyAlignment="1">
      <alignment vertical="center"/>
    </xf>
    <xf numFmtId="0" fontId="2" fillId="12" borderId="95" xfId="0" applyNumberFormat="1" applyFont="1" applyFill="1" applyBorder="1" applyAlignment="1">
      <alignment vertical="center"/>
    </xf>
    <xf numFmtId="0" fontId="2" fillId="2" borderId="112" xfId="0" applyFont="1" applyFill="1" applyBorder="1" applyAlignment="1" applyProtection="1">
      <alignment horizontal="center" vertical="center"/>
      <protection locked="0"/>
    </xf>
    <xf numFmtId="0" fontId="2" fillId="2" borderId="113" xfId="0" applyFont="1" applyFill="1" applyBorder="1" applyAlignment="1" applyProtection="1">
      <alignment horizontal="center" vertical="center"/>
      <protection locked="0"/>
    </xf>
    <xf numFmtId="0" fontId="2" fillId="2" borderId="114" xfId="0" applyFont="1" applyFill="1" applyBorder="1" applyAlignment="1" applyProtection="1">
      <alignment horizontal="center" vertical="center"/>
      <protection locked="0"/>
    </xf>
    <xf numFmtId="0" fontId="2" fillId="12" borderId="19" xfId="0" applyFont="1" applyFill="1" applyBorder="1" applyAlignment="1">
      <alignment vertical="center"/>
    </xf>
    <xf numFmtId="0" fontId="2" fillId="12" borderId="12" xfId="0" applyFont="1" applyFill="1" applyBorder="1" applyAlignment="1">
      <alignment vertical="center"/>
    </xf>
    <xf numFmtId="0" fontId="2" fillId="14" borderId="163" xfId="0" applyFont="1" applyFill="1" applyBorder="1" applyAlignment="1">
      <alignment horizontal="center" vertical="center" wrapText="1"/>
    </xf>
    <xf numFmtId="0" fontId="2" fillId="14" borderId="93" xfId="0" applyFont="1" applyFill="1" applyBorder="1" applyAlignment="1">
      <alignment horizontal="center" vertical="center" wrapText="1"/>
    </xf>
    <xf numFmtId="177" fontId="42" fillId="12" borderId="154" xfId="0" applyNumberFormat="1" applyFont="1" applyFill="1" applyBorder="1" applyAlignment="1">
      <alignment horizontal="center" vertical="center"/>
    </xf>
    <xf numFmtId="177" fontId="42" fillId="12" borderId="154" xfId="0" applyNumberFormat="1" applyFont="1" applyFill="1" applyBorder="1" applyAlignment="1">
      <alignment horizontal="center" vertical="center" wrapText="1"/>
    </xf>
    <xf numFmtId="0" fontId="2" fillId="14" borderId="165" xfId="0" applyFont="1" applyFill="1" applyBorder="1" applyAlignment="1">
      <alignment horizontal="center" vertical="center" wrapText="1"/>
    </xf>
    <xf numFmtId="0" fontId="2" fillId="14" borderId="162" xfId="0" applyFont="1" applyFill="1" applyBorder="1" applyAlignment="1">
      <alignment horizontal="center" vertical="center" wrapText="1"/>
    </xf>
    <xf numFmtId="0" fontId="25" fillId="0" borderId="166" xfId="0" applyFont="1" applyBorder="1" applyAlignment="1">
      <alignment horizontal="center" vertical="top" wrapText="1"/>
    </xf>
    <xf numFmtId="0" fontId="25" fillId="0" borderId="167" xfId="0" applyFont="1" applyBorder="1" applyAlignment="1">
      <alignment horizontal="center" vertical="top" wrapText="1"/>
    </xf>
    <xf numFmtId="0" fontId="68" fillId="0" borderId="109" xfId="0" applyFont="1" applyBorder="1" applyAlignment="1">
      <alignment horizontal="center" vertical="center" wrapText="1"/>
    </xf>
    <xf numFmtId="0" fontId="68" fillId="0" borderId="110" xfId="0" applyFont="1" applyBorder="1" applyAlignment="1">
      <alignment horizontal="center" vertical="center" wrapText="1"/>
    </xf>
    <xf numFmtId="177" fontId="42" fillId="12" borderId="161" xfId="0" applyNumberFormat="1" applyFont="1" applyFill="1" applyBorder="1" applyAlignment="1">
      <alignment horizontal="center" vertical="center"/>
    </xf>
    <xf numFmtId="177" fontId="42" fillId="0" borderId="162" xfId="0" applyNumberFormat="1" applyFont="1" applyBorder="1" applyAlignment="1">
      <alignment horizontal="center" vertical="center"/>
    </xf>
    <xf numFmtId="177" fontId="42" fillId="0" borderId="152" xfId="0" applyNumberFormat="1" applyFont="1" applyBorder="1" applyAlignment="1">
      <alignment horizontal="center" vertical="center"/>
    </xf>
    <xf numFmtId="177" fontId="42" fillId="12" borderId="162" xfId="0" applyNumberFormat="1" applyFont="1" applyFill="1" applyBorder="1" applyAlignment="1">
      <alignment horizontal="center" vertical="center"/>
    </xf>
    <xf numFmtId="177" fontId="42" fillId="12" borderId="152" xfId="0" applyNumberFormat="1" applyFont="1" applyFill="1" applyBorder="1" applyAlignment="1">
      <alignment horizontal="center" vertical="center"/>
    </xf>
    <xf numFmtId="177" fontId="42" fillId="0" borderId="93" xfId="0" applyNumberFormat="1" applyFont="1" applyBorder="1" applyAlignment="1">
      <alignment horizontal="center" vertical="center"/>
    </xf>
    <xf numFmtId="0" fontId="2" fillId="14" borderId="164" xfId="0" applyFont="1" applyFill="1" applyBorder="1" applyAlignment="1">
      <alignment horizontal="center" vertical="center" wrapText="1"/>
    </xf>
    <xf numFmtId="0" fontId="2" fillId="14" borderId="156" xfId="0" applyFont="1" applyFill="1" applyBorder="1" applyAlignment="1">
      <alignment horizontal="center" vertical="center" wrapText="1"/>
    </xf>
    <xf numFmtId="177" fontId="42" fillId="0" borderId="168" xfId="0" applyNumberFormat="1" applyFont="1" applyBorder="1" applyAlignment="1">
      <alignment horizontal="center" vertical="center"/>
    </xf>
    <xf numFmtId="177" fontId="42" fillId="0" borderId="169" xfId="0" applyNumberFormat="1" applyFont="1" applyBorder="1" applyAlignment="1">
      <alignment horizontal="center" vertical="center"/>
    </xf>
    <xf numFmtId="177" fontId="42" fillId="0" borderId="152" xfId="0" applyNumberFormat="1" applyFont="1" applyBorder="1" applyAlignment="1">
      <alignment horizontal="center" vertical="center" wrapText="1"/>
    </xf>
    <xf numFmtId="177" fontId="42" fillId="12" borderId="152" xfId="0" applyNumberFormat="1" applyFont="1" applyFill="1" applyBorder="1" applyAlignment="1">
      <alignment horizontal="center" vertical="center" wrapText="1"/>
    </xf>
    <xf numFmtId="177" fontId="42" fillId="0" borderId="169" xfId="0" applyNumberFormat="1" applyFont="1" applyBorder="1" applyAlignment="1">
      <alignment horizontal="center" vertical="center" wrapText="1"/>
    </xf>
    <xf numFmtId="0" fontId="0" fillId="14" borderId="115" xfId="0" applyFill="1" applyBorder="1" applyAlignment="1">
      <alignment horizontal="center" vertical="center"/>
    </xf>
    <xf numFmtId="0" fontId="0" fillId="14" borderId="116" xfId="0" applyFill="1" applyBorder="1" applyAlignment="1">
      <alignment horizontal="center" vertical="center"/>
    </xf>
    <xf numFmtId="49" fontId="2" fillId="12" borderId="61" xfId="0" applyNumberFormat="1" applyFont="1" applyFill="1" applyBorder="1" applyAlignment="1">
      <alignment vertical="center"/>
    </xf>
    <xf numFmtId="0" fontId="2" fillId="12" borderId="80" xfId="0" applyNumberFormat="1" applyFont="1" applyFill="1" applyBorder="1" applyAlignment="1">
      <alignment vertical="center"/>
    </xf>
    <xf numFmtId="49" fontId="2" fillId="12" borderId="23" xfId="0" applyNumberFormat="1" applyFont="1" applyFill="1" applyBorder="1" applyAlignment="1">
      <alignment vertical="center"/>
    </xf>
    <xf numFmtId="49" fontId="2" fillId="12" borderId="25" xfId="0" applyNumberFormat="1" applyFont="1" applyFill="1" applyBorder="1" applyAlignment="1">
      <alignment vertical="center"/>
    </xf>
    <xf numFmtId="49" fontId="2" fillId="12" borderId="95" xfId="0" applyNumberFormat="1" applyFont="1" applyFill="1" applyBorder="1" applyAlignment="1">
      <alignment vertical="center"/>
    </xf>
    <xf numFmtId="0" fontId="2" fillId="12" borderId="8" xfId="0" applyFont="1" applyFill="1" applyBorder="1" applyAlignment="1">
      <alignment vertical="center"/>
    </xf>
    <xf numFmtId="49" fontId="2" fillId="12" borderId="12" xfId="0" applyNumberFormat="1" applyFont="1" applyFill="1" applyBorder="1" applyAlignment="1">
      <alignment vertical="center"/>
    </xf>
    <xf numFmtId="0" fontId="2" fillId="0" borderId="158" xfId="0" applyFont="1" applyBorder="1" applyAlignment="1">
      <alignment horizontal="center" vertical="center" wrapText="1"/>
    </xf>
    <xf numFmtId="0" fontId="2" fillId="0" borderId="159" xfId="0" applyFont="1" applyBorder="1" applyAlignment="1">
      <alignment horizontal="center" vertical="center" wrapText="1"/>
    </xf>
    <xf numFmtId="0" fontId="2" fillId="0" borderId="156" xfId="0" applyFont="1" applyBorder="1" applyAlignment="1">
      <alignment horizontal="center" vertical="center" wrapText="1"/>
    </xf>
    <xf numFmtId="0" fontId="2" fillId="0" borderId="152" xfId="0" applyFont="1" applyBorder="1" applyAlignment="1">
      <alignment horizontal="center" vertical="center" wrapText="1"/>
    </xf>
    <xf numFmtId="0" fontId="2" fillId="0" borderId="153" xfId="0" applyFont="1" applyFill="1" applyBorder="1" applyAlignment="1">
      <alignment horizontal="center" vertical="center" wrapText="1"/>
    </xf>
    <xf numFmtId="0" fontId="2" fillId="0" borderId="154" xfId="0" applyFont="1" applyFill="1" applyBorder="1" applyAlignment="1">
      <alignment horizontal="center" vertical="center" wrapText="1"/>
    </xf>
    <xf numFmtId="0" fontId="2" fillId="0" borderId="156" xfId="0" applyFont="1" applyFill="1" applyBorder="1" applyAlignment="1">
      <alignment horizontal="center" vertical="center" wrapText="1"/>
    </xf>
    <xf numFmtId="0" fontId="2" fillId="0" borderId="152" xfId="0" applyFont="1" applyFill="1" applyBorder="1" applyAlignment="1">
      <alignment horizontal="center" vertical="center" wrapText="1"/>
    </xf>
    <xf numFmtId="0" fontId="9" fillId="33" borderId="0" xfId="0" applyFont="1" applyFill="1" applyBorder="1" applyAlignment="1">
      <alignment horizontal="right" vertical="center"/>
    </xf>
    <xf numFmtId="0" fontId="2" fillId="33" borderId="93" xfId="0" applyFont="1" applyFill="1" applyBorder="1" applyAlignment="1">
      <alignment horizontal="center" vertical="center"/>
    </xf>
    <xf numFmtId="0" fontId="74" fillId="33" borderId="0" xfId="0" applyFont="1" applyFill="1" applyAlignment="1">
      <alignment horizontal="left" vertical="center"/>
    </xf>
    <xf numFmtId="0" fontId="68" fillId="33" borderId="111" xfId="0" applyFont="1" applyFill="1" applyBorder="1" applyAlignment="1">
      <alignment horizontal="center" vertical="center"/>
    </xf>
    <xf numFmtId="0" fontId="2" fillId="33" borderId="115" xfId="0" applyFont="1" applyFill="1" applyBorder="1" applyAlignment="1">
      <alignment horizontal="center" vertical="center"/>
    </xf>
    <xf numFmtId="0" fontId="2" fillId="33" borderId="118" xfId="0" applyFont="1" applyFill="1" applyBorder="1" applyAlignment="1">
      <alignment horizontal="center" vertical="center"/>
    </xf>
    <xf numFmtId="0" fontId="2" fillId="33" borderId="116" xfId="0" applyFont="1" applyFill="1" applyBorder="1" applyAlignment="1">
      <alignment horizontal="center" vertical="center"/>
    </xf>
    <xf numFmtId="0" fontId="2" fillId="33" borderId="115" xfId="0" applyFont="1" applyFill="1" applyBorder="1" applyAlignment="1">
      <alignment horizontal="center" vertical="center" wrapText="1"/>
    </xf>
    <xf numFmtId="0" fontId="2" fillId="33" borderId="116" xfId="0" applyFont="1" applyFill="1" applyBorder="1" applyAlignment="1">
      <alignment horizontal="center" vertical="center" wrapText="1"/>
    </xf>
    <xf numFmtId="0" fontId="2" fillId="33" borderId="93" xfId="0" applyFont="1" applyFill="1" applyBorder="1" applyAlignment="1">
      <alignment horizontal="center" vertical="center" wrapText="1"/>
    </xf>
    <xf numFmtId="0" fontId="68" fillId="33" borderId="110" xfId="0" applyFont="1" applyFill="1" applyBorder="1" applyAlignment="1">
      <alignment horizontal="center" vertical="center"/>
    </xf>
    <xf numFmtId="0" fontId="2" fillId="33" borderId="118" xfId="0" applyFont="1" applyFill="1" applyBorder="1" applyAlignment="1">
      <alignment horizontal="center" vertical="center" wrapText="1"/>
    </xf>
    <xf numFmtId="0" fontId="2" fillId="33" borderId="109" xfId="0" applyFont="1" applyFill="1" applyBorder="1" applyAlignment="1">
      <alignment horizontal="center" vertical="center"/>
    </xf>
    <xf numFmtId="0" fontId="2" fillId="33" borderId="111" xfId="0" applyFont="1" applyFill="1" applyBorder="1" applyAlignment="1">
      <alignment horizontal="center" vertical="center"/>
    </xf>
    <xf numFmtId="0" fontId="2" fillId="33" borderId="110" xfId="0" applyFont="1" applyFill="1" applyBorder="1" applyAlignment="1">
      <alignment horizontal="center" vertical="center"/>
    </xf>
    <xf numFmtId="0" fontId="2" fillId="33" borderId="93" xfId="0" applyNumberFormat="1" applyFont="1" applyFill="1" applyBorder="1" applyAlignment="1" applyProtection="1">
      <alignment horizontal="center" vertical="center"/>
    </xf>
    <xf numFmtId="0" fontId="2" fillId="33" borderId="115" xfId="0" applyNumberFormat="1" applyFont="1" applyFill="1" applyBorder="1" applyAlignment="1" applyProtection="1">
      <alignment horizontal="center" vertical="center" wrapText="1"/>
    </xf>
    <xf numFmtId="0" fontId="2" fillId="33" borderId="118" xfId="0" applyNumberFormat="1" applyFont="1" applyFill="1" applyBorder="1" applyAlignment="1" applyProtection="1">
      <alignment horizontal="center" vertical="center" wrapText="1"/>
    </xf>
    <xf numFmtId="0" fontId="2" fillId="33" borderId="93" xfId="0" applyNumberFormat="1" applyFont="1" applyFill="1" applyBorder="1" applyAlignment="1" applyProtection="1">
      <alignment horizontal="center" vertical="center" wrapText="1"/>
    </xf>
    <xf numFmtId="0" fontId="2" fillId="33" borderId="120" xfId="0" applyNumberFormat="1" applyFont="1" applyFill="1" applyBorder="1" applyAlignment="1" applyProtection="1">
      <alignment horizontal="center" vertical="center" wrapText="1"/>
    </xf>
    <xf numFmtId="0" fontId="2" fillId="33" borderId="121" xfId="0" applyNumberFormat="1" applyFont="1" applyFill="1" applyBorder="1" applyAlignment="1" applyProtection="1">
      <alignment horizontal="center" vertical="center" wrapText="1"/>
    </xf>
    <xf numFmtId="0" fontId="2" fillId="33" borderId="122" xfId="0" applyNumberFormat="1" applyFont="1" applyFill="1" applyBorder="1" applyAlignment="1" applyProtection="1">
      <alignment horizontal="center" vertical="center" wrapText="1"/>
    </xf>
    <xf numFmtId="0" fontId="74" fillId="0" borderId="0" xfId="0" applyFont="1" applyFill="1" applyAlignment="1">
      <alignment wrapText="1"/>
    </xf>
    <xf numFmtId="0" fontId="2" fillId="33" borderId="115" xfId="0" applyNumberFormat="1" applyFont="1" applyFill="1" applyBorder="1" applyAlignment="1" applyProtection="1">
      <alignment horizontal="center" vertical="center"/>
    </xf>
    <xf numFmtId="0" fontId="2" fillId="33" borderId="118" xfId="0" applyNumberFormat="1" applyFont="1" applyFill="1" applyBorder="1" applyAlignment="1" applyProtection="1">
      <alignment horizontal="center" vertical="center"/>
    </xf>
    <xf numFmtId="0" fontId="51" fillId="33" borderId="152" xfId="0" applyFont="1" applyFill="1" applyBorder="1" applyAlignment="1">
      <alignment vertical="center"/>
    </xf>
    <xf numFmtId="0" fontId="51" fillId="33" borderId="157" xfId="0" applyFont="1" applyFill="1" applyBorder="1" applyAlignment="1">
      <alignment vertical="center"/>
    </xf>
    <xf numFmtId="0" fontId="51" fillId="33" borderId="152" xfId="0" applyFont="1" applyFill="1" applyBorder="1" applyAlignment="1">
      <alignment horizontal="center" vertical="center"/>
    </xf>
    <xf numFmtId="0" fontId="55" fillId="33" borderId="159" xfId="0" applyFont="1" applyFill="1" applyBorder="1" applyAlignment="1">
      <alignment horizontal="center" vertical="center"/>
    </xf>
    <xf numFmtId="0" fontId="55" fillId="33" borderId="160" xfId="0" applyFont="1" applyFill="1" applyBorder="1" applyAlignment="1">
      <alignment horizontal="center" vertical="center"/>
    </xf>
    <xf numFmtId="0" fontId="51" fillId="33" borderId="109" xfId="0" applyFont="1" applyFill="1" applyBorder="1" applyAlignment="1">
      <alignment vertical="center"/>
    </xf>
    <xf numFmtId="0" fontId="51" fillId="33" borderId="111" xfId="0" applyFont="1" applyFill="1" applyBorder="1" applyAlignment="1">
      <alignment vertical="center"/>
    </xf>
    <xf numFmtId="0" fontId="51" fillId="33" borderId="119" xfId="0" applyFont="1" applyFill="1" applyBorder="1" applyAlignment="1">
      <alignment vertical="center"/>
    </xf>
    <xf numFmtId="0" fontId="51" fillId="33" borderId="124" xfId="0" applyFont="1" applyFill="1" applyBorder="1" applyAlignment="1">
      <alignment vertical="center"/>
    </xf>
    <xf numFmtId="0" fontId="51" fillId="33" borderId="154" xfId="0" applyFont="1" applyFill="1" applyBorder="1" applyAlignment="1">
      <alignment vertical="center"/>
    </xf>
    <xf numFmtId="0" fontId="51" fillId="33" borderId="155" xfId="0" applyFont="1" applyFill="1" applyBorder="1" applyAlignment="1">
      <alignment vertical="center"/>
    </xf>
    <xf numFmtId="0" fontId="51" fillId="33" borderId="182" xfId="0" applyFont="1" applyFill="1" applyBorder="1" applyAlignment="1">
      <alignment horizontal="center" vertical="center" wrapText="1"/>
    </xf>
    <xf numFmtId="0" fontId="51" fillId="33" borderId="185" xfId="0" applyFont="1" applyFill="1" applyBorder="1" applyAlignment="1">
      <alignment horizontal="center" vertical="center" wrapText="1"/>
    </xf>
    <xf numFmtId="0" fontId="51" fillId="33" borderId="188" xfId="0" applyFont="1" applyFill="1" applyBorder="1" applyAlignment="1">
      <alignment horizontal="center" vertical="center" wrapText="1"/>
    </xf>
    <xf numFmtId="0" fontId="51" fillId="33" borderId="153" xfId="0" applyFont="1" applyFill="1" applyBorder="1" applyAlignment="1">
      <alignment horizontal="center" vertical="center"/>
    </xf>
    <xf numFmtId="0" fontId="51" fillId="33" borderId="155" xfId="0" applyFont="1" applyFill="1" applyBorder="1" applyAlignment="1">
      <alignment horizontal="center" vertical="center"/>
    </xf>
    <xf numFmtId="0" fontId="51" fillId="33" borderId="153" xfId="0" applyFont="1" applyFill="1" applyBorder="1" applyAlignment="1">
      <alignment horizontal="center" vertical="center" wrapText="1"/>
    </xf>
    <xf numFmtId="0" fontId="51" fillId="33" borderId="155" xfId="0" applyFont="1" applyFill="1" applyBorder="1" applyAlignment="1">
      <alignment horizontal="center" vertical="center" wrapText="1"/>
    </xf>
    <xf numFmtId="0" fontId="51" fillId="33" borderId="154" xfId="0" applyFont="1" applyFill="1" applyBorder="1" applyAlignment="1">
      <alignment horizontal="center" vertical="center"/>
    </xf>
    <xf numFmtId="0" fontId="51" fillId="33" borderId="156" xfId="0" applyFont="1" applyFill="1" applyBorder="1" applyAlignment="1">
      <alignment horizontal="center" vertical="center" wrapText="1"/>
    </xf>
    <xf numFmtId="0" fontId="51" fillId="33" borderId="157" xfId="0" applyFont="1" applyFill="1" applyBorder="1" applyAlignment="1">
      <alignment horizontal="center" vertical="center" wrapText="1"/>
    </xf>
    <xf numFmtId="0" fontId="51" fillId="33" borderId="152" xfId="0" applyFont="1" applyFill="1" applyBorder="1" applyAlignment="1">
      <alignment horizontal="center" vertical="center" wrapText="1"/>
    </xf>
    <xf numFmtId="0" fontId="51" fillId="33" borderId="183" xfId="0" applyFont="1" applyFill="1" applyBorder="1" applyAlignment="1">
      <alignment horizontal="center" vertical="center"/>
    </xf>
    <xf numFmtId="0" fontId="51" fillId="33" borderId="184" xfId="0" applyFont="1" applyFill="1" applyBorder="1" applyAlignment="1">
      <alignment horizontal="center" vertical="center"/>
    </xf>
    <xf numFmtId="0" fontId="51" fillId="33" borderId="186" xfId="0" applyFont="1" applyFill="1" applyBorder="1" applyAlignment="1">
      <alignment horizontal="center" vertical="center"/>
    </xf>
    <xf numFmtId="0" fontId="51" fillId="33" borderId="187" xfId="0" applyFont="1" applyFill="1" applyBorder="1" applyAlignment="1">
      <alignment horizontal="center" vertical="center"/>
    </xf>
    <xf numFmtId="0" fontId="51" fillId="33" borderId="189" xfId="0" applyFont="1" applyFill="1" applyBorder="1" applyAlignment="1">
      <alignment horizontal="center" vertical="center"/>
    </xf>
    <xf numFmtId="0" fontId="51" fillId="33" borderId="190" xfId="0" applyFont="1" applyFill="1" applyBorder="1" applyAlignment="1">
      <alignment horizontal="center" vertical="center"/>
    </xf>
    <xf numFmtId="49" fontId="10" fillId="27" borderId="93" xfId="0" applyNumberFormat="1" applyFont="1" applyFill="1" applyBorder="1" applyAlignment="1">
      <alignment vertical="center"/>
    </xf>
    <xf numFmtId="49" fontId="0" fillId="0" borderId="93" xfId="0" applyNumberFormat="1" applyBorder="1" applyAlignment="1">
      <alignment vertical="center"/>
    </xf>
    <xf numFmtId="0" fontId="2" fillId="22" borderId="93" xfId="0" applyFont="1" applyFill="1" applyBorder="1" applyAlignment="1">
      <alignment horizontal="center" vertical="center"/>
    </xf>
    <xf numFmtId="0" fontId="51" fillId="33" borderId="156" xfId="0" applyFont="1" applyFill="1" applyBorder="1" applyAlignment="1">
      <alignment horizontal="center" vertical="center"/>
    </xf>
    <xf numFmtId="0" fontId="19" fillId="33" borderId="154" xfId="0" applyFont="1" applyFill="1" applyBorder="1" applyAlignment="1">
      <alignment horizontal="center" vertical="center" wrapText="1"/>
    </xf>
    <xf numFmtId="0" fontId="19" fillId="33" borderId="155" xfId="0" applyFont="1" applyFill="1" applyBorder="1" applyAlignment="1">
      <alignment horizontal="center" vertical="center" wrapText="1"/>
    </xf>
    <xf numFmtId="0" fontId="51" fillId="0" borderId="152" xfId="0" applyFont="1" applyFill="1" applyBorder="1" applyAlignment="1">
      <alignment horizontal="center" vertical="center"/>
    </xf>
    <xf numFmtId="0" fontId="51" fillId="33" borderId="157" xfId="0" applyFont="1" applyFill="1" applyBorder="1" applyAlignment="1">
      <alignment horizontal="center" vertical="center"/>
    </xf>
    <xf numFmtId="0" fontId="51" fillId="35" borderId="152" xfId="0" applyFont="1" applyFill="1" applyBorder="1" applyAlignment="1">
      <alignment horizontal="center" vertical="center"/>
    </xf>
    <xf numFmtId="0" fontId="74" fillId="33" borderId="0" xfId="0" applyFont="1" applyFill="1" applyAlignment="1">
      <alignment vertical="center"/>
    </xf>
    <xf numFmtId="0" fontId="26" fillId="33" borderId="111" xfId="0" applyFont="1" applyFill="1" applyBorder="1" applyAlignment="1">
      <alignment vertical="center"/>
    </xf>
    <xf numFmtId="0" fontId="74" fillId="33" borderId="0" xfId="0" applyFont="1" applyFill="1" applyBorder="1" applyAlignment="1">
      <alignment horizontal="left" vertical="center"/>
    </xf>
    <xf numFmtId="0" fontId="74" fillId="0" borderId="0" xfId="0" applyFont="1" applyAlignment="1">
      <alignment wrapText="1"/>
    </xf>
    <xf numFmtId="0" fontId="10" fillId="33" borderId="111" xfId="0" applyFont="1" applyFill="1" applyBorder="1" applyAlignment="1">
      <alignment horizontal="center" vertical="center"/>
    </xf>
    <xf numFmtId="0" fontId="74" fillId="0" borderId="0" xfId="0" applyFont="1" applyAlignment="1">
      <alignment vertical="center" wrapText="1"/>
    </xf>
    <xf numFmtId="0" fontId="74" fillId="33" borderId="116" xfId="0" applyFont="1" applyFill="1" applyBorder="1" applyAlignment="1">
      <alignment horizontal="center" vertical="center" wrapText="1"/>
    </xf>
    <xf numFmtId="0" fontId="2" fillId="33" borderId="123" xfId="0" applyFont="1" applyFill="1" applyBorder="1" applyAlignment="1">
      <alignment horizontal="center" vertical="center"/>
    </xf>
    <xf numFmtId="0" fontId="74" fillId="33" borderId="119" xfId="0" applyFont="1" applyFill="1" applyBorder="1" applyAlignment="1">
      <alignment horizontal="right" vertical="center"/>
    </xf>
    <xf numFmtId="0" fontId="0" fillId="33" borderId="119" xfId="0" applyFill="1" applyBorder="1" applyAlignment="1">
      <alignment horizontal="right" vertical="center"/>
    </xf>
    <xf numFmtId="0" fontId="0" fillId="33" borderId="110" xfId="0" applyFill="1" applyBorder="1" applyAlignment="1"/>
    <xf numFmtId="0" fontId="2" fillId="0" borderId="115" xfId="0" applyFont="1" applyFill="1" applyBorder="1" applyAlignment="1">
      <alignment horizontal="center" vertical="center"/>
    </xf>
    <xf numFmtId="0" fontId="2" fillId="0" borderId="118" xfId="0" applyFont="1" applyFill="1" applyBorder="1" applyAlignment="1">
      <alignment horizontal="center" vertical="center"/>
    </xf>
    <xf numFmtId="0" fontId="2" fillId="33" borderId="121" xfId="0" applyFont="1" applyFill="1" applyBorder="1" applyAlignment="1">
      <alignment horizontal="center" vertical="center"/>
    </xf>
    <xf numFmtId="0" fontId="2" fillId="33" borderId="109" xfId="0" applyFont="1" applyFill="1" applyBorder="1" applyAlignment="1">
      <alignment horizontal="center" vertical="center" wrapText="1"/>
    </xf>
    <xf numFmtId="0" fontId="2" fillId="33" borderId="110" xfId="0" applyFont="1" applyFill="1" applyBorder="1" applyAlignment="1">
      <alignment horizontal="center" vertical="center" wrapText="1"/>
    </xf>
    <xf numFmtId="0" fontId="25" fillId="33" borderId="109" xfId="0" applyFont="1" applyFill="1" applyBorder="1" applyAlignment="1">
      <alignment vertical="center"/>
    </xf>
    <xf numFmtId="0" fontId="25" fillId="33" borderId="111" xfId="0" applyFont="1" applyFill="1" applyBorder="1" applyAlignment="1">
      <alignment vertical="center"/>
    </xf>
    <xf numFmtId="0" fontId="25" fillId="33" borderId="110" xfId="0" applyFont="1" applyFill="1" applyBorder="1" applyAlignment="1">
      <alignment vertical="center"/>
    </xf>
    <xf numFmtId="0" fontId="74" fillId="33" borderId="0" xfId="0" applyFont="1" applyFill="1" applyAlignment="1">
      <alignment vertical="center" wrapText="1"/>
    </xf>
    <xf numFmtId="0" fontId="2" fillId="33" borderId="193" xfId="0" applyFont="1" applyFill="1" applyBorder="1" applyAlignment="1">
      <alignment horizontal="center" vertical="center"/>
    </xf>
    <xf numFmtId="0" fontId="2" fillId="33" borderId="194" xfId="0" applyFont="1" applyFill="1" applyBorder="1" applyAlignment="1">
      <alignment horizontal="center" vertical="center"/>
    </xf>
    <xf numFmtId="0" fontId="2" fillId="22" borderId="0" xfId="0" applyFont="1" applyFill="1" applyAlignment="1">
      <alignment horizontal="center" vertical="center" wrapText="1"/>
    </xf>
    <xf numFmtId="0" fontId="2" fillId="33" borderId="121" xfId="0" applyFont="1" applyFill="1" applyBorder="1" applyAlignment="1">
      <alignment horizontal="left" vertical="center"/>
    </xf>
    <xf numFmtId="0" fontId="74" fillId="33" borderId="0" xfId="0" applyFont="1" applyFill="1" applyBorder="1" applyAlignment="1">
      <alignment vertical="center" wrapText="1"/>
    </xf>
    <xf numFmtId="0" fontId="2" fillId="33" borderId="109" xfId="0" applyFont="1" applyFill="1" applyBorder="1" applyAlignment="1">
      <alignment horizontal="left" vertical="center"/>
    </xf>
    <xf numFmtId="0" fontId="2" fillId="33" borderId="111" xfId="0" applyFont="1" applyFill="1" applyBorder="1" applyAlignment="1">
      <alignment horizontal="left" vertical="center"/>
    </xf>
    <xf numFmtId="0" fontId="0" fillId="33" borderId="93" xfId="0" applyFill="1" applyBorder="1" applyAlignment="1">
      <alignment horizontal="center" vertical="center" wrapText="1"/>
    </xf>
    <xf numFmtId="0" fontId="74" fillId="33" borderId="93" xfId="0" applyFont="1" applyFill="1" applyBorder="1" applyAlignment="1">
      <alignment horizontal="center" vertical="center"/>
    </xf>
    <xf numFmtId="0" fontId="2" fillId="33" borderId="120" xfId="0" applyFont="1" applyFill="1" applyBorder="1" applyAlignment="1" applyProtection="1">
      <alignment horizontal="center" vertical="center" wrapText="1"/>
      <protection hidden="1"/>
    </xf>
    <xf numFmtId="0" fontId="2" fillId="33" borderId="125" xfId="0" applyFont="1" applyFill="1" applyBorder="1" applyAlignment="1" applyProtection="1">
      <alignment horizontal="center" vertical="center" wrapText="1"/>
      <protection hidden="1"/>
    </xf>
    <xf numFmtId="0" fontId="2" fillId="33" borderId="123" xfId="0" applyFont="1" applyFill="1" applyBorder="1" applyAlignment="1" applyProtection="1">
      <alignment horizontal="center" vertical="center" wrapText="1"/>
      <protection hidden="1"/>
    </xf>
    <xf numFmtId="0" fontId="2" fillId="33" borderId="93" xfId="0" applyFont="1" applyFill="1" applyBorder="1" applyAlignment="1" applyProtection="1">
      <alignment horizontal="center" vertical="center" wrapText="1"/>
      <protection hidden="1"/>
    </xf>
    <xf numFmtId="0" fontId="2" fillId="33" borderId="109" xfId="0" applyFont="1" applyFill="1" applyBorder="1" applyAlignment="1" applyProtection="1">
      <alignment horizontal="left" vertical="center" wrapText="1"/>
      <protection hidden="1"/>
    </xf>
    <xf numFmtId="0" fontId="2" fillId="33" borderId="111" xfId="0" applyFont="1" applyFill="1" applyBorder="1" applyAlignment="1" applyProtection="1">
      <alignment horizontal="left" vertical="center" wrapText="1"/>
      <protection hidden="1"/>
    </xf>
    <xf numFmtId="0" fontId="2" fillId="33" borderId="93" xfId="0" applyFont="1" applyFill="1" applyBorder="1" applyAlignment="1">
      <alignment vertical="center"/>
    </xf>
    <xf numFmtId="180" fontId="42" fillId="0" borderId="93" xfId="4" applyFont="1" applyFill="1" applyBorder="1">
      <alignment vertical="center"/>
    </xf>
    <xf numFmtId="0" fontId="53" fillId="33" borderId="93" xfId="0" applyFont="1" applyFill="1" applyBorder="1" applyAlignment="1">
      <alignment horizontal="left" vertical="center"/>
    </xf>
    <xf numFmtId="0" fontId="2" fillId="33" borderId="93" xfId="0" applyFont="1" applyFill="1" applyBorder="1" applyAlignment="1">
      <alignment horizontal="left" vertical="center"/>
    </xf>
    <xf numFmtId="0" fontId="68" fillId="33" borderId="111" xfId="0" applyFont="1" applyFill="1" applyBorder="1" applyAlignment="1">
      <alignment horizontal="center" vertical="center" wrapText="1"/>
    </xf>
    <xf numFmtId="0" fontId="68" fillId="33" borderId="110" xfId="0" applyFont="1" applyFill="1" applyBorder="1" applyAlignment="1">
      <alignment horizontal="center" vertical="center" wrapText="1"/>
    </xf>
    <xf numFmtId="0" fontId="2" fillId="33" borderId="120" xfId="0" applyFont="1" applyFill="1" applyBorder="1" applyAlignment="1">
      <alignment horizontal="center" vertical="center" wrapText="1"/>
    </xf>
    <xf numFmtId="0" fontId="2" fillId="33" borderId="121" xfId="0" applyFont="1" applyFill="1" applyBorder="1" applyAlignment="1">
      <alignment horizontal="center" vertical="center" wrapText="1"/>
    </xf>
    <xf numFmtId="0" fontId="1" fillId="0" borderId="0" xfId="0" applyFont="1" applyFill="1" applyAlignment="1">
      <alignment vertical="center" wrapText="1"/>
    </xf>
    <xf numFmtId="0" fontId="2" fillId="33" borderId="122" xfId="0" applyFont="1" applyFill="1" applyBorder="1" applyAlignment="1">
      <alignment horizontal="center" vertical="center" wrapText="1"/>
    </xf>
    <xf numFmtId="0" fontId="68" fillId="33" borderId="0" xfId="0" applyFont="1" applyFill="1" applyBorder="1" applyAlignment="1">
      <alignment horizontal="center" vertical="center" wrapText="1"/>
    </xf>
    <xf numFmtId="0" fontId="2" fillId="30" borderId="0" xfId="0" applyFont="1" applyFill="1" applyAlignment="1">
      <alignment horizontal="center" vertical="center"/>
    </xf>
    <xf numFmtId="0" fontId="2" fillId="30" borderId="0" xfId="0" applyFont="1" applyFill="1" applyBorder="1" applyAlignment="1">
      <alignment horizontal="left" vertical="center"/>
    </xf>
    <xf numFmtId="0" fontId="2" fillId="30" borderId="0" xfId="0" applyFont="1" applyFill="1" applyBorder="1" applyAlignment="1" applyProtection="1">
      <alignment horizontal="center" vertical="center"/>
      <protection hidden="1"/>
    </xf>
    <xf numFmtId="0" fontId="2" fillId="0" borderId="93" xfId="0" applyFont="1" applyBorder="1" applyAlignment="1">
      <alignment horizontal="center" vertical="center" wrapText="1"/>
    </xf>
    <xf numFmtId="180" fontId="42" fillId="32" borderId="93" xfId="4" applyFont="1" applyFill="1" applyBorder="1">
      <alignment vertical="center"/>
    </xf>
    <xf numFmtId="0" fontId="2" fillId="33" borderId="93" xfId="0" applyFont="1" applyFill="1" applyBorder="1" applyAlignment="1">
      <alignment horizontal="center" vertical="center" textRotation="255" wrapText="1"/>
    </xf>
    <xf numFmtId="0" fontId="2" fillId="5" borderId="20" xfId="0" applyFont="1" applyFill="1" applyBorder="1" applyAlignment="1" applyProtection="1"/>
    <xf numFmtId="0" fontId="2" fillId="5" borderId="20" xfId="0" applyFont="1" applyFill="1" applyBorder="1" applyAlignment="1" applyProtection="1">
      <alignment vertical="center"/>
    </xf>
    <xf numFmtId="0" fontId="2" fillId="2" borderId="20" xfId="0" applyFont="1" applyFill="1" applyBorder="1" applyAlignment="1" applyProtection="1">
      <alignment horizontal="right" vertical="center"/>
      <protection locked="0"/>
    </xf>
    <xf numFmtId="0" fontId="25" fillId="4" borderId="38" xfId="0" applyFont="1" applyFill="1" applyBorder="1" applyAlignment="1">
      <alignment horizontal="center" vertical="center"/>
    </xf>
    <xf numFmtId="0" fontId="60" fillId="4" borderId="117" xfId="0" applyFont="1" applyFill="1" applyBorder="1" applyAlignment="1">
      <alignment horizontal="center" vertical="center" wrapText="1"/>
    </xf>
    <xf numFmtId="0" fontId="60" fillId="4" borderId="145" xfId="2" applyNumberFormat="1" applyFont="1" applyFill="1" applyBorder="1" applyAlignment="1" applyProtection="1">
      <alignment horizontal="center" vertical="center" wrapText="1"/>
    </xf>
    <xf numFmtId="0" fontId="60" fillId="4" borderId="146" xfId="2" applyNumberFormat="1" applyFont="1" applyFill="1" applyBorder="1" applyAlignment="1" applyProtection="1">
      <alignment horizontal="center" vertical="center" wrapText="1"/>
    </xf>
    <xf numFmtId="0" fontId="60" fillId="0" borderId="23" xfId="0" applyFont="1" applyBorder="1" applyAlignment="1">
      <alignment horizontal="center" vertical="center"/>
    </xf>
    <xf numFmtId="0" fontId="60" fillId="0" borderId="15" xfId="0" applyFont="1" applyBorder="1" applyAlignment="1">
      <alignment horizontal="center" vertical="center"/>
    </xf>
    <xf numFmtId="0" fontId="60" fillId="4" borderId="150" xfId="2" applyNumberFormat="1" applyFont="1" applyFill="1" applyBorder="1" applyAlignment="1" applyProtection="1">
      <alignment horizontal="center" vertical="center" wrapText="1"/>
    </xf>
    <xf numFmtId="0" fontId="60" fillId="4" borderId="151" xfId="2" applyNumberFormat="1" applyFont="1" applyFill="1" applyBorder="1" applyAlignment="1" applyProtection="1">
      <alignment horizontal="center" vertical="center" wrapText="1"/>
    </xf>
    <xf numFmtId="0" fontId="60" fillId="4" borderId="62" xfId="2" applyNumberFormat="1" applyFont="1" applyFill="1" applyBorder="1" applyAlignment="1" applyProtection="1">
      <alignment horizontal="center" vertical="center" wrapText="1"/>
    </xf>
    <xf numFmtId="0" fontId="60" fillId="4" borderId="140" xfId="2" applyNumberFormat="1" applyFont="1" applyFill="1" applyBorder="1" applyAlignment="1" applyProtection="1">
      <alignment horizontal="center" vertical="center" wrapText="1"/>
    </xf>
    <xf numFmtId="0" fontId="61" fillId="4" borderId="147" xfId="0" applyFont="1" applyFill="1" applyBorder="1" applyAlignment="1">
      <alignment horizontal="center" vertical="center"/>
    </xf>
    <xf numFmtId="0" fontId="61" fillId="4" borderId="148" xfId="0" applyFont="1" applyFill="1" applyBorder="1" applyAlignment="1">
      <alignment horizontal="center" vertical="center"/>
    </xf>
    <xf numFmtId="0" fontId="61" fillId="4" borderId="143" xfId="0" applyFont="1" applyFill="1" applyBorder="1" applyAlignment="1">
      <alignment horizontal="center" vertical="center"/>
    </xf>
    <xf numFmtId="0" fontId="2" fillId="5" borderId="19" xfId="0" applyFont="1" applyFill="1" applyBorder="1" applyAlignment="1" applyProtection="1">
      <alignment vertical="center" wrapText="1"/>
    </xf>
    <xf numFmtId="0" fontId="2" fillId="5" borderId="17" xfId="0" applyNumberFormat="1" applyFont="1" applyFill="1" applyBorder="1" applyAlignment="1" applyProtection="1">
      <alignment horizontal="center" vertical="center"/>
    </xf>
    <xf numFmtId="0" fontId="2" fillId="5" borderId="16" xfId="0" applyNumberFormat="1" applyFont="1" applyFill="1" applyBorder="1" applyAlignment="1" applyProtection="1">
      <alignment horizontal="center" vertical="center"/>
    </xf>
    <xf numFmtId="0" fontId="2" fillId="7" borderId="23" xfId="0" applyNumberFormat="1" applyFont="1" applyFill="1" applyBorder="1" applyAlignment="1" applyProtection="1">
      <alignment horizontal="center" vertical="center"/>
      <protection locked="0"/>
    </xf>
    <xf numFmtId="0" fontId="2" fillId="7" borderId="15" xfId="0" applyNumberFormat="1" applyFont="1" applyFill="1" applyBorder="1" applyAlignment="1" applyProtection="1">
      <alignment horizontal="center" vertical="center"/>
      <protection locked="0"/>
    </xf>
    <xf numFmtId="0" fontId="2" fillId="2" borderId="61" xfId="0" applyFont="1" applyFill="1" applyBorder="1" applyAlignment="1" applyProtection="1">
      <alignment horizontal="center" vertical="center"/>
      <protection locked="0"/>
    </xf>
    <xf numFmtId="0" fontId="2" fillId="2" borderId="66" xfId="0" applyFont="1" applyFill="1" applyBorder="1" applyAlignment="1" applyProtection="1">
      <alignment horizontal="center" vertical="center"/>
      <protection locked="0"/>
    </xf>
    <xf numFmtId="0" fontId="2" fillId="0" borderId="1" xfId="2" applyNumberFormat="1" applyFont="1" applyFill="1" applyBorder="1" applyAlignment="1" applyProtection="1">
      <alignment vertical="center" wrapText="1"/>
      <protection locked="0"/>
    </xf>
    <xf numFmtId="0" fontId="2" fillId="3" borderId="28" xfId="0" applyFont="1" applyFill="1" applyBorder="1" applyAlignment="1" applyProtection="1">
      <alignment horizontal="left"/>
    </xf>
    <xf numFmtId="0" fontId="2" fillId="3" borderId="11" xfId="0" applyFont="1" applyFill="1" applyBorder="1" applyAlignment="1" applyProtection="1">
      <alignment horizontal="center"/>
    </xf>
    <xf numFmtId="0" fontId="2" fillId="3" borderId="22" xfId="0" applyFont="1" applyFill="1" applyBorder="1" applyAlignment="1" applyProtection="1">
      <alignment horizontal="center"/>
    </xf>
    <xf numFmtId="0" fontId="2" fillId="7" borderId="60" xfId="0" applyFont="1" applyFill="1" applyBorder="1" applyAlignment="1" applyProtection="1">
      <alignment horizontal="right"/>
      <protection locked="0"/>
    </xf>
    <xf numFmtId="0" fontId="2" fillId="0" borderId="78" xfId="0" applyFont="1" applyBorder="1" applyAlignment="1" applyProtection="1">
      <alignment vertical="top" wrapText="1"/>
      <protection locked="0"/>
    </xf>
    <xf numFmtId="0" fontId="2" fillId="2" borderId="29" xfId="0" applyFont="1" applyFill="1" applyBorder="1" applyAlignment="1" applyProtection="1">
      <alignment horizontal="center"/>
      <protection locked="0"/>
    </xf>
    <xf numFmtId="0" fontId="2" fillId="0" borderId="0" xfId="0" applyFont="1" applyBorder="1" applyAlignment="1" applyProtection="1">
      <alignment horizontal="center" vertical="center"/>
      <protection locked="0"/>
    </xf>
    <xf numFmtId="185" fontId="2" fillId="5" borderId="22" xfId="0" applyNumberFormat="1" applyFont="1" applyFill="1" applyBorder="1" applyAlignment="1" applyProtection="1">
      <alignment horizontal="center" vertical="center"/>
      <protection locked="0"/>
    </xf>
    <xf numFmtId="0" fontId="2" fillId="0" borderId="35" xfId="0" quotePrefix="1" applyFont="1" applyBorder="1" applyAlignment="1" applyProtection="1">
      <alignment vertical="top" wrapText="1"/>
      <protection locked="0"/>
    </xf>
    <xf numFmtId="0" fontId="2" fillId="0" borderId="35" xfId="0" applyFont="1" applyBorder="1" applyAlignment="1" applyProtection="1">
      <alignment vertical="top" wrapText="1"/>
      <protection locked="0"/>
    </xf>
    <xf numFmtId="180" fontId="2" fillId="3" borderId="63" xfId="0" applyNumberFormat="1" applyFont="1" applyFill="1" applyBorder="1" applyAlignment="1" applyProtection="1">
      <alignment horizontal="center" vertical="center"/>
    </xf>
    <xf numFmtId="180" fontId="2" fillId="3" borderId="72" xfId="0" applyNumberFormat="1" applyFont="1" applyFill="1" applyBorder="1" applyAlignment="1" applyProtection="1">
      <alignment horizontal="center" vertical="center"/>
    </xf>
    <xf numFmtId="180" fontId="2" fillId="3" borderId="68" xfId="0" applyNumberFormat="1" applyFont="1" applyFill="1" applyBorder="1" applyAlignment="1" applyProtection="1">
      <alignment horizontal="center" vertical="center"/>
    </xf>
    <xf numFmtId="180" fontId="2" fillId="3" borderId="74" xfId="0" applyNumberFormat="1" applyFont="1" applyFill="1" applyBorder="1" applyAlignment="1" applyProtection="1">
      <alignment horizontal="center" vertical="center"/>
    </xf>
    <xf numFmtId="0" fontId="2" fillId="4" borderId="90" xfId="0" applyFont="1" applyFill="1" applyBorder="1" applyAlignment="1" applyProtection="1">
      <alignment horizontal="center" vertical="top" wrapText="1"/>
      <protection locked="0"/>
    </xf>
    <xf numFmtId="0" fontId="2" fillId="0" borderId="70" xfId="0" applyFont="1" applyFill="1" applyBorder="1" applyAlignment="1" applyProtection="1">
      <alignment horizontal="center"/>
      <protection locked="0"/>
    </xf>
    <xf numFmtId="0" fontId="2" fillId="4" borderId="78" xfId="0" applyFont="1" applyFill="1" applyBorder="1" applyAlignment="1" applyProtection="1">
      <alignment horizontal="center" vertical="top" wrapText="1"/>
      <protection locked="0"/>
    </xf>
    <xf numFmtId="0" fontId="2" fillId="0" borderId="78" xfId="0" applyFont="1" applyFill="1" applyBorder="1" applyAlignment="1" applyProtection="1">
      <alignment horizontal="center" vertical="top" wrapText="1"/>
      <protection locked="0"/>
    </xf>
    <xf numFmtId="31" fontId="2" fillId="5" borderId="12" xfId="0" applyNumberFormat="1" applyFont="1" applyFill="1" applyBorder="1" applyAlignment="1" applyProtection="1">
      <alignment vertical="center" wrapText="1"/>
    </xf>
    <xf numFmtId="49" fontId="63" fillId="0" borderId="59" xfId="0" applyNumberFormat="1" applyFont="1" applyFill="1" applyBorder="1" applyAlignment="1" applyProtection="1">
      <alignment horizontal="center" vertical="center"/>
      <protection locked="0"/>
    </xf>
    <xf numFmtId="0" fontId="2" fillId="0" borderId="19" xfId="0" applyFont="1" applyFill="1" applyBorder="1" applyAlignment="1" applyProtection="1">
      <alignment vertical="center"/>
      <protection locked="0"/>
    </xf>
    <xf numFmtId="0" fontId="2" fillId="5" borderId="23" xfId="0" applyNumberFormat="1" applyFont="1" applyFill="1" applyBorder="1" applyAlignment="1" applyProtection="1">
      <alignment horizontal="center" vertical="center"/>
      <protection locked="0"/>
    </xf>
    <xf numFmtId="0" fontId="2" fillId="7" borderId="8" xfId="0" applyFont="1" applyFill="1" applyBorder="1" applyAlignment="1" applyProtection="1">
      <alignment horizontal="center" vertical="center"/>
      <protection locked="0"/>
    </xf>
    <xf numFmtId="31" fontId="2" fillId="5" borderId="17" xfId="0" applyNumberFormat="1" applyFont="1" applyFill="1" applyBorder="1" applyAlignment="1" applyProtection="1">
      <alignment horizontal="center" vertical="center"/>
    </xf>
    <xf numFmtId="0" fontId="2" fillId="5" borderId="12" xfId="0" applyFont="1" applyFill="1" applyBorder="1" applyAlignment="1" applyProtection="1">
      <alignment horizontal="center" vertical="center"/>
      <protection locked="0"/>
    </xf>
    <xf numFmtId="0" fontId="2" fillId="2" borderId="30" xfId="0" applyFont="1" applyFill="1" applyBorder="1" applyAlignment="1" applyProtection="1">
      <alignment horizontal="center" vertical="center"/>
      <protection locked="0"/>
    </xf>
    <xf numFmtId="0" fontId="2" fillId="2" borderId="77" xfId="0" applyFont="1" applyFill="1" applyBorder="1" applyAlignment="1" applyProtection="1">
      <alignment horizontal="center" vertical="center"/>
      <protection locked="0"/>
    </xf>
    <xf numFmtId="0" fontId="2" fillId="2" borderId="7" xfId="0" applyFont="1" applyFill="1" applyBorder="1" applyAlignment="1" applyProtection="1">
      <alignment vertical="center"/>
      <protection locked="0"/>
    </xf>
    <xf numFmtId="49" fontId="63" fillId="0" borderId="8" xfId="0" applyNumberFormat="1" applyFont="1" applyFill="1" applyBorder="1" applyAlignment="1" applyProtection="1">
      <alignment horizontal="center" vertical="center"/>
      <protection locked="0"/>
    </xf>
    <xf numFmtId="180" fontId="2" fillId="0" borderId="8" xfId="0" applyNumberFormat="1" applyFont="1" applyBorder="1" applyAlignment="1" applyProtection="1">
      <alignment vertical="center"/>
      <protection locked="0"/>
    </xf>
    <xf numFmtId="0" fontId="2" fillId="2" borderId="6" xfId="0" applyFont="1" applyFill="1" applyBorder="1" applyAlignment="1" applyProtection="1">
      <alignment vertical="center" wrapText="1"/>
      <protection locked="0"/>
    </xf>
    <xf numFmtId="49" fontId="63" fillId="0" borderId="19" xfId="0" applyNumberFormat="1" applyFont="1" applyFill="1" applyBorder="1" applyAlignment="1" applyProtection="1">
      <alignment horizontal="center" vertical="center"/>
      <protection locked="0"/>
    </xf>
    <xf numFmtId="180" fontId="2" fillId="0" borderId="19" xfId="0" applyNumberFormat="1" applyFont="1" applyBorder="1" applyAlignment="1" applyProtection="1">
      <alignment vertical="center"/>
      <protection locked="0"/>
    </xf>
    <xf numFmtId="0" fontId="2" fillId="0" borderId="7" xfId="0" applyFont="1" applyFill="1" applyBorder="1" applyAlignment="1" applyProtection="1">
      <alignment horizontal="center" vertical="center" wrapText="1"/>
      <protection locked="0"/>
    </xf>
    <xf numFmtId="0" fontId="2" fillId="0" borderId="10" xfId="0" applyFont="1" applyFill="1" applyBorder="1" applyAlignment="1" applyProtection="1">
      <alignment vertical="center" wrapText="1"/>
      <protection locked="0"/>
    </xf>
    <xf numFmtId="180" fontId="2" fillId="0" borderId="12" xfId="0" applyNumberFormat="1" applyFont="1" applyFill="1" applyBorder="1" applyAlignment="1" applyProtection="1">
      <alignment vertical="center"/>
    </xf>
    <xf numFmtId="0" fontId="2" fillId="0" borderId="7" xfId="0" applyFont="1" applyFill="1" applyBorder="1" applyAlignment="1" applyProtection="1">
      <alignment vertical="center" wrapText="1"/>
      <protection locked="0"/>
    </xf>
    <xf numFmtId="180" fontId="2" fillId="0" borderId="12" xfId="0" applyNumberFormat="1" applyFont="1" applyBorder="1" applyAlignment="1" applyProtection="1">
      <alignment vertical="center"/>
      <protection locked="0"/>
    </xf>
    <xf numFmtId="49" fontId="63" fillId="0" borderId="61" xfId="0" applyNumberFormat="1" applyFont="1" applyFill="1" applyBorder="1" applyAlignment="1" applyProtection="1">
      <alignment horizontal="center" vertical="center" shrinkToFit="1"/>
      <protection locked="0"/>
    </xf>
    <xf numFmtId="49" fontId="63" fillId="0" borderId="66" xfId="0" applyNumberFormat="1" applyFont="1" applyFill="1" applyBorder="1" applyAlignment="1" applyProtection="1">
      <alignment horizontal="center" vertical="center" shrinkToFit="1"/>
      <protection locked="0"/>
    </xf>
    <xf numFmtId="0" fontId="2" fillId="0" borderId="7" xfId="0" applyFont="1" applyFill="1" applyBorder="1" applyAlignment="1" applyProtection="1">
      <alignment horizontal="center" vertical="center"/>
      <protection locked="0"/>
    </xf>
    <xf numFmtId="49" fontId="63" fillId="0" borderId="68" xfId="0" applyNumberFormat="1" applyFont="1" applyFill="1" applyBorder="1" applyAlignment="1" applyProtection="1">
      <alignment horizontal="center" vertical="center"/>
      <protection locked="0"/>
    </xf>
    <xf numFmtId="0" fontId="2" fillId="2" borderId="7" xfId="0" applyFont="1" applyFill="1" applyBorder="1" applyAlignment="1" applyProtection="1">
      <alignment vertical="center" wrapText="1"/>
      <protection locked="0"/>
    </xf>
    <xf numFmtId="0" fontId="2" fillId="0" borderId="78" xfId="0" applyFont="1" applyBorder="1" applyAlignment="1" applyProtection="1">
      <alignment horizontal="center" vertical="center"/>
      <protection locked="0"/>
    </xf>
    <xf numFmtId="0" fontId="2" fillId="0" borderId="72" xfId="0" applyFont="1" applyBorder="1" applyAlignment="1" applyProtection="1">
      <alignment horizontal="center" vertical="center"/>
      <protection locked="0"/>
    </xf>
    <xf numFmtId="0" fontId="2" fillId="2" borderId="33" xfId="0" applyFont="1" applyFill="1" applyBorder="1" applyAlignment="1" applyProtection="1">
      <alignment vertical="center"/>
      <protection locked="0"/>
    </xf>
    <xf numFmtId="49" fontId="63" fillId="0" borderId="77" xfId="0" applyNumberFormat="1" applyFont="1" applyFill="1" applyBorder="1" applyAlignment="1" applyProtection="1">
      <alignment horizontal="center" vertical="center" wrapText="1"/>
      <protection locked="0"/>
    </xf>
    <xf numFmtId="49" fontId="63" fillId="0" borderId="82" xfId="0" applyNumberFormat="1" applyFont="1" applyFill="1" applyBorder="1" applyAlignment="1" applyProtection="1">
      <alignment horizontal="center" vertical="center" wrapText="1"/>
      <protection locked="0"/>
    </xf>
    <xf numFmtId="180" fontId="2" fillId="0" borderId="34" xfId="0" applyNumberFormat="1" applyFont="1" applyFill="1" applyBorder="1" applyAlignment="1" applyProtection="1">
      <alignment vertical="center"/>
    </xf>
    <xf numFmtId="0" fontId="2" fillId="6" borderId="28" xfId="0" applyFont="1" applyFill="1" applyBorder="1" applyAlignment="1" applyProtection="1">
      <alignment horizontal="center" vertical="center"/>
      <protection locked="0"/>
    </xf>
    <xf numFmtId="0" fontId="2" fillId="5" borderId="12" xfId="0" applyNumberFormat="1" applyFont="1" applyFill="1" applyBorder="1" applyAlignment="1" applyProtection="1">
      <alignment horizontal="center"/>
    </xf>
    <xf numFmtId="0" fontId="2" fillId="2" borderId="20" xfId="0" applyFont="1" applyFill="1" applyBorder="1" applyAlignment="1" applyProtection="1">
      <protection locked="0"/>
    </xf>
    <xf numFmtId="0" fontId="2" fillId="5" borderId="69" xfId="0" applyFont="1" applyFill="1" applyBorder="1" applyAlignment="1" applyProtection="1">
      <alignment vertical="center"/>
    </xf>
    <xf numFmtId="0" fontId="2" fillId="5" borderId="19" xfId="0" applyNumberFormat="1" applyFont="1" applyFill="1" applyBorder="1" applyAlignment="1" applyProtection="1">
      <alignment horizontal="center"/>
    </xf>
    <xf numFmtId="0" fontId="0" fillId="0" borderId="0" xfId="0" applyBorder="1" applyAlignment="1" applyProtection="1">
      <alignment horizontal="center" vertical="center"/>
      <protection locked="0"/>
    </xf>
    <xf numFmtId="0" fontId="2" fillId="2" borderId="70" xfId="0" applyFont="1" applyFill="1" applyBorder="1" applyAlignment="1" applyProtection="1">
      <alignment horizontal="center" vertical="center"/>
      <protection locked="0"/>
    </xf>
    <xf numFmtId="0" fontId="2" fillId="5" borderId="10" xfId="0" applyFont="1" applyFill="1" applyBorder="1" applyAlignment="1" applyProtection="1">
      <alignment vertical="center" shrinkToFit="1"/>
    </xf>
    <xf numFmtId="0" fontId="12" fillId="0" borderId="1" xfId="2" applyNumberFormat="1" applyFont="1" applyFill="1" applyBorder="1" applyAlignment="1" applyProtection="1">
      <alignment horizontal="center" vertical="center"/>
      <protection locked="0"/>
    </xf>
    <xf numFmtId="0" fontId="2" fillId="2" borderId="107" xfId="0" applyFont="1" applyFill="1" applyBorder="1" applyAlignment="1" applyProtection="1">
      <alignment horizontal="center" vertical="center" wrapText="1"/>
      <protection locked="0"/>
    </xf>
    <xf numFmtId="0" fontId="2" fillId="2" borderId="71" xfId="0" applyFont="1" applyFill="1" applyBorder="1" applyAlignment="1" applyProtection="1">
      <alignment horizontal="center" vertical="center" wrapText="1"/>
      <protection locked="0"/>
    </xf>
    <xf numFmtId="0" fontId="2" fillId="7" borderId="64" xfId="0" applyFont="1" applyFill="1" applyBorder="1" applyAlignment="1" applyProtection="1">
      <alignment horizontal="right" vertical="top" wrapText="1"/>
      <protection locked="0"/>
    </xf>
    <xf numFmtId="0" fontId="2" fillId="3" borderId="2" xfId="0" applyFont="1" applyFill="1" applyBorder="1" applyAlignment="1" applyProtection="1">
      <alignment horizontal="left" vertical="top" wrapText="1"/>
    </xf>
    <xf numFmtId="0" fontId="2" fillId="0" borderId="72" xfId="0" quotePrefix="1" applyFont="1" applyBorder="1" applyAlignment="1" applyProtection="1">
      <alignment vertical="top" wrapText="1"/>
      <protection locked="0"/>
    </xf>
    <xf numFmtId="0" fontId="2" fillId="0" borderId="27" xfId="0" applyFont="1" applyBorder="1" applyAlignment="1" applyProtection="1">
      <alignment vertical="center"/>
      <protection hidden="1"/>
    </xf>
    <xf numFmtId="0" fontId="65" fillId="0" borderId="20" xfId="0" applyFont="1" applyBorder="1" applyAlignment="1" applyProtection="1">
      <alignment horizontal="center" vertical="center" wrapText="1"/>
      <protection hidden="1"/>
    </xf>
    <xf numFmtId="49" fontId="2" fillId="2" borderId="22" xfId="0" applyNumberFormat="1" applyFont="1" applyFill="1" applyBorder="1" applyAlignment="1" applyProtection="1">
      <alignment horizontal="center" vertical="center"/>
    </xf>
    <xf numFmtId="0" fontId="2" fillId="2" borderId="6" xfId="0" applyFont="1" applyFill="1" applyBorder="1" applyAlignment="1" applyProtection="1">
      <alignment horizontal="center" vertical="top" wrapText="1"/>
      <protection hidden="1"/>
    </xf>
    <xf numFmtId="0" fontId="2" fillId="7" borderId="19" xfId="0" applyFont="1" applyFill="1" applyBorder="1" applyAlignment="1" applyProtection="1">
      <alignment horizontal="right" vertical="top" wrapText="1"/>
      <protection hidden="1"/>
    </xf>
    <xf numFmtId="0" fontId="2" fillId="3" borderId="11" xfId="0" applyFont="1" applyFill="1" applyBorder="1" applyAlignment="1" applyProtection="1">
      <alignment horizontal="left" vertical="top" wrapText="1"/>
      <protection hidden="1"/>
    </xf>
    <xf numFmtId="0" fontId="2" fillId="2" borderId="10" xfId="0" applyFont="1" applyFill="1" applyBorder="1" applyAlignment="1" applyProtection="1">
      <alignment horizontal="center" vertical="top" wrapText="1"/>
      <protection hidden="1"/>
    </xf>
    <xf numFmtId="0" fontId="2" fillId="13" borderId="17" xfId="0" applyFont="1" applyFill="1" applyBorder="1" applyAlignment="1" applyProtection="1">
      <alignment horizontal="center" vertical="center" wrapText="1"/>
      <protection hidden="1"/>
    </xf>
    <xf numFmtId="0" fontId="2" fillId="13" borderId="18" xfId="0" applyFont="1" applyFill="1" applyBorder="1" applyAlignment="1" applyProtection="1">
      <alignment horizontal="center" vertical="center" wrapText="1"/>
      <protection hidden="1"/>
    </xf>
    <xf numFmtId="0" fontId="2" fillId="13" borderId="95" xfId="0" applyFont="1" applyFill="1" applyBorder="1" applyAlignment="1" applyProtection="1">
      <alignment horizontal="center" vertical="center" wrapText="1"/>
      <protection hidden="1"/>
    </xf>
    <xf numFmtId="0" fontId="2" fillId="2" borderId="33" xfId="0" applyFont="1" applyFill="1" applyBorder="1" applyAlignment="1" applyProtection="1">
      <alignment horizontal="center" vertical="center"/>
      <protection hidden="1"/>
    </xf>
    <xf numFmtId="0" fontId="2" fillId="2" borderId="19" xfId="0" applyFont="1" applyFill="1" applyBorder="1" applyAlignment="1" applyProtection="1">
      <alignment horizontal="center" vertical="center"/>
      <protection hidden="1"/>
    </xf>
    <xf numFmtId="0" fontId="65" fillId="0" borderId="0" xfId="0" applyFont="1" applyBorder="1" applyAlignment="1" applyProtection="1">
      <alignment horizontal="center" vertical="center"/>
      <protection hidden="1"/>
    </xf>
    <xf numFmtId="189" fontId="2" fillId="2" borderId="19" xfId="0" applyNumberFormat="1" applyFont="1" applyFill="1" applyBorder="1" applyAlignment="1" applyProtection="1">
      <alignment horizontal="center" vertical="center"/>
      <protection hidden="1"/>
    </xf>
    <xf numFmtId="0" fontId="2" fillId="2" borderId="10" xfId="0" applyFont="1" applyFill="1" applyBorder="1" applyAlignment="1" applyProtection="1">
      <alignment vertical="top"/>
      <protection hidden="1"/>
    </xf>
    <xf numFmtId="0" fontId="2" fillId="13" borderId="17" xfId="0" applyFont="1" applyFill="1" applyBorder="1" applyAlignment="1" applyProtection="1">
      <alignment horizontal="center" vertical="center"/>
      <protection hidden="1"/>
    </xf>
    <xf numFmtId="0" fontId="2" fillId="13" borderId="18" xfId="0" applyFont="1" applyFill="1" applyBorder="1" applyAlignment="1" applyProtection="1">
      <alignment horizontal="center" vertical="center"/>
      <protection hidden="1"/>
    </xf>
    <xf numFmtId="0" fontId="2" fillId="13" borderId="95" xfId="0" applyFont="1" applyFill="1" applyBorder="1" applyAlignment="1" applyProtection="1">
      <alignment horizontal="center" vertical="center"/>
      <protection hidden="1"/>
    </xf>
    <xf numFmtId="0" fontId="2" fillId="2" borderId="6" xfId="0" applyFont="1" applyFill="1" applyBorder="1" applyAlignment="1" applyProtection="1">
      <alignment vertical="top"/>
      <protection hidden="1"/>
    </xf>
    <xf numFmtId="0" fontId="2" fillId="7" borderId="61" xfId="0" applyFont="1" applyFill="1" applyBorder="1" applyAlignment="1" applyProtection="1">
      <alignment horizontal="right" vertical="top"/>
      <protection hidden="1"/>
    </xf>
    <xf numFmtId="0" fontId="2" fillId="3" borderId="11" xfId="0" applyFont="1" applyFill="1" applyBorder="1" applyAlignment="1" applyProtection="1">
      <alignment horizontal="left" vertical="top"/>
      <protection hidden="1"/>
    </xf>
    <xf numFmtId="0" fontId="2" fillId="2" borderId="73" xfId="0" applyFont="1" applyFill="1" applyBorder="1" applyAlignment="1" applyProtection="1">
      <alignment horizontal="center" vertical="center" wrapText="1"/>
      <protection locked="0"/>
    </xf>
    <xf numFmtId="0" fontId="2" fillId="2" borderId="91" xfId="0" applyFont="1" applyFill="1" applyBorder="1" applyAlignment="1" applyProtection="1">
      <alignment horizontal="center" vertical="center" wrapText="1"/>
      <protection locked="0"/>
    </xf>
    <xf numFmtId="0" fontId="0" fillId="0" borderId="0" xfId="0" applyFont="1" applyBorder="1" applyAlignment="1" applyProtection="1">
      <alignment horizontal="center" vertical="top"/>
      <protection locked="0"/>
    </xf>
    <xf numFmtId="0" fontId="2" fillId="30" borderId="11" xfId="0" applyFont="1" applyFill="1" applyBorder="1" applyAlignment="1" applyProtection="1">
      <alignment horizontal="center" vertical="center"/>
    </xf>
    <xf numFmtId="0" fontId="2" fillId="2" borderId="26" xfId="0" applyFont="1" applyFill="1" applyBorder="1" applyAlignment="1" applyProtection="1">
      <alignment horizontal="center" vertical="center"/>
      <protection locked="0"/>
    </xf>
    <xf numFmtId="0" fontId="2" fillId="2" borderId="106" xfId="0" applyFont="1" applyFill="1" applyBorder="1" applyAlignment="1" applyProtection="1">
      <alignment horizontal="center" vertical="center"/>
      <protection locked="0"/>
    </xf>
    <xf numFmtId="0" fontId="2" fillId="2" borderId="99" xfId="0" applyFont="1" applyFill="1" applyBorder="1" applyAlignment="1" applyProtection="1">
      <alignment horizontal="center" vertical="center"/>
      <protection locked="0"/>
    </xf>
    <xf numFmtId="0" fontId="2" fillId="2" borderId="140" xfId="0" applyFont="1" applyFill="1" applyBorder="1" applyAlignment="1" applyProtection="1">
      <alignment horizontal="center" vertical="center"/>
      <protection locked="0"/>
    </xf>
    <xf numFmtId="0" fontId="2" fillId="30" borderId="79" xfId="0" applyFont="1" applyFill="1" applyBorder="1" applyAlignment="1" applyProtection="1">
      <alignment horizontal="center" vertical="center"/>
    </xf>
    <xf numFmtId="0" fontId="2" fillId="30" borderId="76" xfId="0" applyFont="1" applyFill="1" applyBorder="1" applyAlignment="1" applyProtection="1">
      <alignment horizontal="center" vertical="center"/>
    </xf>
    <xf numFmtId="0" fontId="2" fillId="30" borderId="81" xfId="0" applyFont="1" applyFill="1" applyBorder="1" applyAlignment="1" applyProtection="1">
      <alignment horizontal="center" vertical="center"/>
    </xf>
    <xf numFmtId="0" fontId="2" fillId="3" borderId="203" xfId="0" applyFont="1" applyFill="1" applyBorder="1" applyAlignment="1" applyProtection="1">
      <alignment horizontal="left" vertical="top" wrapText="1"/>
    </xf>
    <xf numFmtId="0" fontId="2" fillId="7" borderId="202" xfId="0" applyFont="1" applyFill="1" applyBorder="1" applyAlignment="1" applyProtection="1">
      <alignment horizontal="right" vertical="top" wrapText="1"/>
      <protection locked="0"/>
    </xf>
    <xf numFmtId="0" fontId="2" fillId="0" borderId="72" xfId="0" applyFont="1" applyFill="1" applyBorder="1" applyAlignment="1" applyProtection="1">
      <alignment vertical="top" wrapText="1"/>
      <protection locked="0"/>
    </xf>
    <xf numFmtId="180" fontId="42" fillId="32" borderId="19" xfId="0" applyNumberFormat="1" applyFont="1" applyFill="1" applyBorder="1" applyAlignment="1" applyProtection="1">
      <alignment vertical="center"/>
      <protection locked="0"/>
    </xf>
    <xf numFmtId="0" fontId="2" fillId="2" borderId="61" xfId="0" applyFont="1" applyFill="1" applyBorder="1" applyAlignment="1" applyProtection="1">
      <alignment horizontal="center" vertical="center" shrinkToFit="1"/>
      <protection locked="0"/>
    </xf>
    <xf numFmtId="0" fontId="2" fillId="2" borderId="66" xfId="0" applyFont="1" applyFill="1" applyBorder="1" applyAlignment="1" applyProtection="1">
      <alignment horizontal="center" vertical="center" shrinkToFit="1"/>
      <protection locked="0"/>
    </xf>
    <xf numFmtId="31" fontId="2" fillId="2" borderId="17" xfId="0" applyNumberFormat="1" applyFont="1" applyFill="1" applyBorder="1" applyAlignment="1" applyProtection="1">
      <alignment horizontal="center" vertical="center"/>
      <protection locked="0"/>
    </xf>
    <xf numFmtId="31" fontId="2" fillId="2" borderId="16" xfId="0" applyNumberFormat="1" applyFont="1" applyFill="1" applyBorder="1" applyAlignment="1" applyProtection="1">
      <alignment horizontal="center" vertical="center"/>
      <protection locked="0"/>
    </xf>
    <xf numFmtId="180" fontId="42" fillId="32" borderId="23" xfId="0" applyNumberFormat="1" applyFont="1" applyFill="1" applyBorder="1" applyAlignment="1" applyProtection="1">
      <alignment horizontal="center" vertical="center"/>
      <protection locked="0"/>
    </xf>
    <xf numFmtId="180" fontId="42" fillId="32" borderId="15" xfId="0" applyNumberFormat="1" applyFont="1" applyFill="1" applyBorder="1" applyAlignment="1" applyProtection="1">
      <alignment horizontal="center" vertical="center"/>
      <protection locked="0"/>
    </xf>
    <xf numFmtId="0" fontId="2" fillId="3" borderId="81" xfId="0" applyFont="1" applyFill="1" applyBorder="1" applyAlignment="1" applyProtection="1">
      <alignment vertical="center"/>
    </xf>
    <xf numFmtId="0" fontId="2" fillId="2" borderId="36" xfId="0" quotePrefix="1" applyFont="1" applyFill="1" applyBorder="1" applyAlignment="1" applyProtection="1">
      <alignment horizontal="center" vertical="center"/>
      <protection locked="0"/>
    </xf>
    <xf numFmtId="0" fontId="2" fillId="2" borderId="15" xfId="0" applyFont="1" applyFill="1" applyBorder="1" applyAlignment="1" applyProtection="1">
      <alignment horizontal="center" vertical="center"/>
      <protection locked="0"/>
    </xf>
    <xf numFmtId="0" fontId="2" fillId="0" borderId="1" xfId="0" applyFont="1" applyBorder="1" applyAlignment="1">
      <alignment vertical="center" wrapText="1"/>
    </xf>
    <xf numFmtId="0" fontId="2" fillId="0" borderId="0" xfId="0" applyFont="1" applyBorder="1" applyAlignment="1">
      <alignment vertical="center" wrapText="1"/>
    </xf>
    <xf numFmtId="180" fontId="42" fillId="3" borderId="34" xfId="0" applyNumberFormat="1" applyFont="1" applyFill="1" applyBorder="1" applyAlignment="1" applyProtection="1">
      <alignment vertical="center"/>
    </xf>
    <xf numFmtId="0" fontId="2" fillId="3" borderId="34" xfId="0" applyFont="1" applyFill="1" applyBorder="1" applyAlignment="1" applyProtection="1">
      <alignment horizontal="center" vertical="center"/>
    </xf>
    <xf numFmtId="180" fontId="2" fillId="3" borderId="5" xfId="0" applyNumberFormat="1" applyFont="1" applyFill="1" applyBorder="1" applyAlignment="1" applyProtection="1">
      <alignment horizontal="center" vertical="center"/>
    </xf>
    <xf numFmtId="0" fontId="2" fillId="5" borderId="13" xfId="0" applyFont="1" applyFill="1" applyBorder="1" applyAlignment="1" applyProtection="1">
      <alignment vertical="center" shrinkToFit="1"/>
    </xf>
    <xf numFmtId="0" fontId="2" fillId="3" borderId="61" xfId="0" applyFont="1" applyFill="1" applyBorder="1" applyAlignment="1" applyProtection="1">
      <alignment horizontal="center" vertical="center"/>
    </xf>
    <xf numFmtId="180" fontId="42" fillId="7" borderId="59" xfId="0" applyNumberFormat="1" applyFont="1" applyFill="1" applyBorder="1" applyAlignment="1" applyProtection="1">
      <alignment vertical="center"/>
      <protection locked="0"/>
    </xf>
    <xf numFmtId="0" fontId="2" fillId="3" borderId="23" xfId="0" applyFont="1" applyFill="1" applyBorder="1" applyAlignment="1" applyProtection="1">
      <alignment horizontal="center" vertical="center"/>
    </xf>
    <xf numFmtId="180" fontId="42" fillId="7" borderId="8" xfId="0" applyNumberFormat="1" applyFont="1" applyFill="1" applyBorder="1" applyAlignment="1" applyProtection="1">
      <alignment vertical="center"/>
      <protection locked="0"/>
    </xf>
    <xf numFmtId="0" fontId="2" fillId="3" borderId="8" xfId="0" applyFont="1" applyFill="1" applyBorder="1" applyAlignment="1" applyProtection="1">
      <alignment horizontal="center" vertical="center"/>
    </xf>
    <xf numFmtId="0" fontId="2" fillId="2" borderId="17" xfId="0" applyFont="1" applyFill="1" applyBorder="1" applyAlignment="1" applyProtection="1">
      <alignment horizontal="center" vertical="center"/>
      <protection locked="0"/>
    </xf>
    <xf numFmtId="49" fontId="2" fillId="0" borderId="19" xfId="0" applyNumberFormat="1" applyFont="1" applyBorder="1" applyAlignment="1" applyProtection="1">
      <alignment horizontal="center" vertical="center"/>
      <protection locked="0"/>
    </xf>
    <xf numFmtId="49" fontId="2" fillId="0" borderId="8" xfId="0" applyNumberFormat="1" applyFont="1" applyBorder="1" applyAlignment="1" applyProtection="1">
      <alignment horizontal="center" vertical="center"/>
      <protection locked="0"/>
    </xf>
    <xf numFmtId="0" fontId="2" fillId="0" borderId="72" xfId="0" applyFont="1" applyBorder="1" applyAlignment="1" applyProtection="1">
      <alignment horizontal="left" vertical="top" wrapText="1"/>
      <protection locked="0"/>
    </xf>
    <xf numFmtId="0" fontId="0" fillId="5" borderId="0" xfId="0" applyFont="1" applyFill="1" applyBorder="1" applyAlignment="1" applyProtection="1">
      <alignment horizontal="center"/>
    </xf>
    <xf numFmtId="0" fontId="33" fillId="5" borderId="0" xfId="0" applyFont="1" applyFill="1" applyBorder="1" applyAlignment="1" applyProtection="1"/>
    <xf numFmtId="0" fontId="33" fillId="2" borderId="0" xfId="0" applyFont="1" applyFill="1" applyBorder="1" applyAlignment="1" applyProtection="1">
      <alignment horizontal="center"/>
      <protection locked="0"/>
    </xf>
    <xf numFmtId="49" fontId="26" fillId="5" borderId="0" xfId="0" applyNumberFormat="1" applyFont="1" applyFill="1" applyBorder="1" applyAlignment="1" applyProtection="1">
      <alignment horizontal="center"/>
    </xf>
    <xf numFmtId="0" fontId="12" fillId="0" borderId="0" xfId="2" applyNumberFormat="1" applyFont="1" applyFill="1" applyBorder="1" applyProtection="1">
      <alignment vertical="center"/>
      <protection locked="0"/>
    </xf>
    <xf numFmtId="0" fontId="26" fillId="0" borderId="0" xfId="0" applyFont="1" applyBorder="1" applyAlignment="1" applyProtection="1">
      <alignment horizontal="center"/>
      <protection locked="0"/>
    </xf>
    <xf numFmtId="0" fontId="0" fillId="0" borderId="0" xfId="0" applyFont="1" applyBorder="1" applyAlignment="1" applyProtection="1">
      <alignment horizontal="center"/>
      <protection locked="0"/>
    </xf>
    <xf numFmtId="49" fontId="0" fillId="5" borderId="0" xfId="0" applyNumberFormat="1" applyFont="1" applyFill="1" applyBorder="1" applyAlignment="1" applyProtection="1">
      <alignment horizontal="right" vertical="center"/>
    </xf>
    <xf numFmtId="0" fontId="9" fillId="2" borderId="109" xfId="0" applyFont="1" applyFill="1" applyBorder="1" applyAlignment="1" applyProtection="1">
      <alignment horizontal="center" vertical="center"/>
      <protection locked="0"/>
    </xf>
    <xf numFmtId="0" fontId="9" fillId="2" borderId="110" xfId="0" applyFont="1" applyFill="1" applyBorder="1" applyAlignment="1" applyProtection="1">
      <alignment horizontal="center" vertical="center"/>
      <protection locked="0"/>
    </xf>
    <xf numFmtId="0" fontId="0" fillId="2" borderId="109" xfId="0" applyFont="1" applyFill="1" applyBorder="1" applyAlignment="1" applyProtection="1">
      <alignment horizontal="center" vertical="center"/>
      <protection locked="0"/>
    </xf>
    <xf numFmtId="0" fontId="0" fillId="2" borderId="110" xfId="0" applyFont="1" applyFill="1" applyBorder="1" applyAlignment="1" applyProtection="1">
      <alignment horizontal="center" vertical="center"/>
      <protection locked="0"/>
    </xf>
    <xf numFmtId="0" fontId="0" fillId="0" borderId="0" xfId="0" applyFont="1" applyBorder="1" applyAlignment="1">
      <alignment horizontal="left" vertical="center"/>
    </xf>
    <xf numFmtId="0" fontId="2" fillId="2" borderId="1" xfId="0" applyFont="1" applyFill="1" applyBorder="1" applyAlignment="1" applyProtection="1">
      <alignment horizontal="left" vertical="top" wrapText="1"/>
      <protection locked="0"/>
    </xf>
    <xf numFmtId="180" fontId="42" fillId="0" borderId="12" xfId="0" applyNumberFormat="1" applyFont="1" applyFill="1" applyBorder="1" applyAlignment="1" applyProtection="1">
      <alignment horizontal="center" vertical="center" wrapText="1"/>
      <protection locked="0"/>
    </xf>
    <xf numFmtId="0" fontId="2" fillId="2" borderId="1" xfId="0" applyFont="1" applyFill="1" applyBorder="1" applyAlignment="1" applyProtection="1">
      <alignment vertical="center" wrapText="1"/>
      <protection locked="0"/>
    </xf>
    <xf numFmtId="0" fontId="2" fillId="0" borderId="72" xfId="0" applyFont="1" applyFill="1" applyBorder="1" applyAlignment="1" applyProtection="1">
      <alignment vertical="center"/>
      <protection locked="0"/>
    </xf>
    <xf numFmtId="0" fontId="2" fillId="3" borderId="70" xfId="0" applyFont="1" applyFill="1" applyBorder="1" applyAlignment="1" applyProtection="1">
      <alignment horizontal="center" vertical="center"/>
    </xf>
    <xf numFmtId="0" fontId="0" fillId="2" borderId="0" xfId="0" applyFont="1" applyFill="1" applyBorder="1" applyAlignment="1" applyProtection="1">
      <alignment horizontal="center" vertical="center"/>
      <protection locked="0"/>
    </xf>
    <xf numFmtId="0" fontId="2" fillId="2" borderId="0" xfId="0" applyFont="1" applyFill="1" applyBorder="1" applyAlignment="1" applyProtection="1">
      <alignment horizontal="left" vertical="top" wrapText="1"/>
      <protection locked="0"/>
    </xf>
    <xf numFmtId="0" fontId="2" fillId="2" borderId="99" xfId="0" applyFont="1" applyFill="1" applyBorder="1" applyAlignment="1" applyProtection="1">
      <alignment vertical="center"/>
      <protection locked="0"/>
    </xf>
    <xf numFmtId="180" fontId="42" fillId="0" borderId="63" xfId="0" applyNumberFormat="1" applyFont="1" applyFill="1" applyBorder="1" applyAlignment="1" applyProtection="1">
      <alignment vertical="center"/>
      <protection locked="0"/>
    </xf>
    <xf numFmtId="0" fontId="2" fillId="2" borderId="36" xfId="0" applyFont="1" applyFill="1" applyBorder="1" applyAlignment="1" applyProtection="1">
      <alignment vertical="center"/>
      <protection locked="0"/>
    </xf>
    <xf numFmtId="0" fontId="2" fillId="3" borderId="36" xfId="0" applyFont="1" applyFill="1" applyBorder="1" applyAlignment="1" applyProtection="1">
      <alignment vertical="center"/>
      <protection locked="0"/>
    </xf>
    <xf numFmtId="0" fontId="2" fillId="0" borderId="36" xfId="0" applyFont="1" applyBorder="1" applyAlignment="1" applyProtection="1">
      <alignment vertical="center"/>
      <protection locked="0"/>
    </xf>
    <xf numFmtId="0" fontId="2" fillId="2" borderId="14" xfId="0" applyFont="1" applyFill="1" applyBorder="1" applyAlignment="1" applyProtection="1">
      <alignment horizontal="center" vertical="center"/>
      <protection locked="0"/>
    </xf>
    <xf numFmtId="180" fontId="42" fillId="3" borderId="16" xfId="0" applyNumberFormat="1" applyFont="1" applyFill="1" applyBorder="1" applyAlignment="1" applyProtection="1">
      <alignment vertical="center"/>
    </xf>
    <xf numFmtId="0" fontId="2" fillId="3" borderId="80" xfId="0" applyFont="1" applyFill="1" applyBorder="1" applyAlignment="1" applyProtection="1">
      <alignment horizontal="center" vertical="center"/>
    </xf>
    <xf numFmtId="0" fontId="2" fillId="3" borderId="81" xfId="0" applyFont="1" applyFill="1" applyBorder="1" applyAlignment="1" applyProtection="1">
      <alignment horizontal="left" vertical="center"/>
    </xf>
    <xf numFmtId="0" fontId="9" fillId="2" borderId="20" xfId="0" applyFont="1" applyFill="1" applyBorder="1" applyAlignment="1">
      <alignment horizontal="center" vertical="top"/>
    </xf>
    <xf numFmtId="0" fontId="0" fillId="0" borderId="0" xfId="0" applyFont="1" applyBorder="1" applyAlignment="1">
      <alignment horizontal="center" vertical="center"/>
    </xf>
    <xf numFmtId="49" fontId="2" fillId="5" borderId="22" xfId="0" applyNumberFormat="1" applyFont="1" applyFill="1" applyBorder="1" applyAlignment="1">
      <alignment horizontal="center" vertical="center"/>
    </xf>
    <xf numFmtId="0" fontId="2" fillId="2" borderId="12" xfId="0" applyFont="1" applyFill="1" applyBorder="1" applyAlignment="1">
      <alignment horizontal="center" vertical="center"/>
    </xf>
    <xf numFmtId="0" fontId="2" fillId="2" borderId="107" xfId="0" applyFont="1" applyFill="1" applyBorder="1" applyAlignment="1">
      <alignment horizontal="center" vertical="center" wrapText="1"/>
    </xf>
    <xf numFmtId="0" fontId="2" fillId="0" borderId="34" xfId="0" applyFont="1" applyFill="1" applyBorder="1" applyAlignment="1">
      <alignment horizontal="center" vertical="center"/>
    </xf>
    <xf numFmtId="0" fontId="2" fillId="0" borderId="35" xfId="0" applyFont="1" applyFill="1" applyBorder="1" applyAlignment="1">
      <alignment horizontal="center" vertical="center"/>
    </xf>
    <xf numFmtId="0" fontId="2" fillId="2" borderId="10" xfId="0" applyFont="1" applyFill="1" applyBorder="1" applyAlignment="1">
      <alignment horizontal="center" vertical="center" wrapText="1"/>
    </xf>
    <xf numFmtId="0" fontId="2" fillId="0" borderId="22" xfId="0" applyFont="1" applyFill="1" applyBorder="1" applyAlignment="1">
      <alignment horizontal="center" vertical="center"/>
    </xf>
    <xf numFmtId="0" fontId="2" fillId="0" borderId="28" xfId="0" applyFont="1" applyFill="1" applyBorder="1" applyAlignment="1">
      <alignment horizontal="left" vertical="center"/>
    </xf>
    <xf numFmtId="0" fontId="2" fillId="0" borderId="72" xfId="0" applyFont="1" applyBorder="1" applyAlignment="1">
      <alignment horizontal="left" vertical="top" wrapText="1"/>
    </xf>
    <xf numFmtId="0" fontId="2" fillId="30" borderId="35" xfId="0" applyFont="1" applyFill="1" applyBorder="1" applyAlignment="1" applyProtection="1">
      <alignment horizontal="center" vertical="center"/>
    </xf>
    <xf numFmtId="0" fontId="2" fillId="0" borderId="228" xfId="0" applyFont="1" applyFill="1" applyBorder="1" applyAlignment="1">
      <alignment horizontal="center" vertical="center"/>
    </xf>
    <xf numFmtId="0" fontId="2" fillId="2" borderId="61" xfId="0" applyFont="1" applyFill="1" applyBorder="1" applyAlignment="1">
      <alignment horizontal="center" vertical="center"/>
    </xf>
    <xf numFmtId="0" fontId="2" fillId="2" borderId="66" xfId="0" applyFont="1" applyFill="1" applyBorder="1" applyAlignment="1">
      <alignment horizontal="center" vertical="center"/>
    </xf>
    <xf numFmtId="0" fontId="2" fillId="2" borderId="229" xfId="0" applyFont="1" applyFill="1" applyBorder="1" applyAlignment="1">
      <alignment horizontal="center" vertical="center"/>
    </xf>
    <xf numFmtId="0" fontId="2" fillId="2" borderId="230" xfId="0" applyFont="1" applyFill="1" applyBorder="1" applyAlignment="1">
      <alignment horizontal="center" vertical="center"/>
    </xf>
    <xf numFmtId="0" fontId="2" fillId="0" borderId="72" xfId="0" quotePrefix="1" applyFont="1" applyBorder="1" applyAlignment="1" applyProtection="1">
      <alignment vertical="center" wrapText="1"/>
      <protection locked="0"/>
    </xf>
    <xf numFmtId="0" fontId="2" fillId="0" borderId="72" xfId="0" applyFont="1" applyBorder="1" applyAlignment="1" applyProtection="1">
      <alignment vertical="center" wrapText="1"/>
      <protection locked="0"/>
    </xf>
    <xf numFmtId="0" fontId="2" fillId="3" borderId="9" xfId="0" applyFont="1" applyFill="1" applyBorder="1" applyAlignment="1" applyProtection="1">
      <alignment horizontal="center" vertical="center" wrapText="1"/>
    </xf>
    <xf numFmtId="0" fontId="2" fillId="2" borderId="19" xfId="0" applyFont="1" applyFill="1" applyBorder="1" applyAlignment="1" applyProtection="1">
      <alignment horizontal="center" vertical="center" shrinkToFit="1"/>
      <protection locked="0"/>
    </xf>
    <xf numFmtId="0" fontId="2" fillId="0" borderId="9" xfId="0" applyFont="1" applyBorder="1" applyAlignment="1" applyProtection="1">
      <alignment horizontal="center" vertical="center"/>
      <protection locked="0"/>
    </xf>
    <xf numFmtId="0" fontId="27" fillId="2" borderId="0" xfId="0" applyFont="1" applyFill="1" applyBorder="1" applyAlignment="1" applyProtection="1">
      <alignment horizontal="center" vertical="center"/>
      <protection locked="0"/>
    </xf>
    <xf numFmtId="0" fontId="2" fillId="2" borderId="71" xfId="0" applyFont="1" applyFill="1" applyBorder="1" applyAlignment="1" applyProtection="1">
      <alignment vertical="center"/>
      <protection locked="0"/>
    </xf>
    <xf numFmtId="0" fontId="2" fillId="0" borderId="22" xfId="0" applyFont="1" applyBorder="1" applyAlignment="1" applyProtection="1">
      <alignment horizontal="center" vertical="center"/>
      <protection locked="0"/>
    </xf>
    <xf numFmtId="0" fontId="74" fillId="0" borderId="0" xfId="0" applyFont="1" applyAlignment="1" applyProtection="1">
      <alignment horizontal="justify"/>
      <protection locked="0"/>
    </xf>
    <xf numFmtId="0" fontId="0" fillId="0" borderId="0" xfId="0" applyAlignment="1" applyProtection="1">
      <alignment horizontal="distributed"/>
      <protection locked="0"/>
    </xf>
    <xf numFmtId="0" fontId="9" fillId="5" borderId="0" xfId="0" applyFont="1" applyFill="1" applyBorder="1" applyAlignment="1" applyProtection="1">
      <alignment horizontal="center"/>
    </xf>
    <xf numFmtId="0" fontId="68" fillId="0" borderId="0" xfId="0" applyFont="1" applyAlignment="1" applyProtection="1">
      <alignment horizontal="distributed" vertical="center"/>
      <protection locked="0"/>
    </xf>
    <xf numFmtId="188" fontId="2" fillId="0" borderId="0" xfId="0" applyNumberFormat="1" applyFont="1" applyFill="1" applyBorder="1" applyAlignment="1">
      <alignment horizontal="left" vertical="center" wrapText="1"/>
    </xf>
    <xf numFmtId="186" fontId="74" fillId="42" borderId="0" xfId="4" applyNumberFormat="1" applyFill="1" applyBorder="1" applyAlignment="1" applyProtection="1">
      <alignment vertical="center"/>
    </xf>
    <xf numFmtId="9" fontId="74" fillId="42" borderId="0" xfId="1" applyFill="1" applyBorder="1" applyAlignment="1" applyProtection="1">
      <alignment vertical="center"/>
    </xf>
    <xf numFmtId="0" fontId="140" fillId="0" borderId="0" xfId="0" applyFont="1" applyFill="1" applyBorder="1" applyAlignment="1" applyProtection="1">
      <alignment horizontal="center" vertical="center"/>
      <protection locked="0"/>
    </xf>
    <xf numFmtId="0" fontId="141" fillId="0" borderId="0" xfId="0" applyFont="1" applyFill="1" applyBorder="1" applyAlignment="1" applyProtection="1">
      <alignment horizontal="center" vertical="top" wrapText="1"/>
      <protection locked="0"/>
    </xf>
    <xf numFmtId="0" fontId="51" fillId="0" borderId="0" xfId="0" applyFont="1" applyFill="1" applyAlignment="1">
      <alignment vertical="center" wrapText="1"/>
    </xf>
    <xf numFmtId="0" fontId="54" fillId="0" borderId="0" xfId="0" applyFont="1" applyBorder="1" applyAlignment="1">
      <alignment horizontal="left" vertical="center" wrapText="1"/>
    </xf>
    <xf numFmtId="0" fontId="2" fillId="0" borderId="0" xfId="0" applyFont="1" applyFill="1" applyAlignment="1" applyProtection="1">
      <alignment vertical="center"/>
      <protection locked="0"/>
    </xf>
    <xf numFmtId="0" fontId="14" fillId="0" borderId="0" xfId="0" applyFont="1" applyFill="1" applyAlignment="1" applyProtection="1">
      <alignment vertical="center"/>
      <protection locked="0"/>
    </xf>
    <xf numFmtId="0" fontId="140" fillId="0" borderId="0" xfId="0" applyFont="1" applyFill="1" applyAlignment="1" applyProtection="1">
      <alignment vertical="center"/>
      <protection locked="0"/>
    </xf>
    <xf numFmtId="0" fontId="0" fillId="0" borderId="0" xfId="0" applyFill="1" applyAlignment="1">
      <alignment vertical="center"/>
    </xf>
    <xf numFmtId="0" fontId="140" fillId="0" borderId="0" xfId="0" applyFont="1" applyFill="1" applyBorder="1" applyAlignment="1" applyProtection="1">
      <alignment vertical="center"/>
      <protection locked="0"/>
    </xf>
    <xf numFmtId="0" fontId="54" fillId="0" borderId="0" xfId="0" applyFont="1" applyBorder="1" applyAlignment="1">
      <alignment vertical="center" wrapText="1"/>
    </xf>
    <xf numFmtId="0" fontId="128" fillId="0" borderId="0" xfId="0" applyFont="1" applyFill="1" applyBorder="1" applyAlignment="1">
      <alignment vertical="center" wrapText="1"/>
    </xf>
    <xf numFmtId="0" fontId="2" fillId="0" borderId="0" xfId="0" applyFont="1" applyFill="1" applyAlignment="1" applyProtection="1">
      <alignment horizontal="justify" vertical="center"/>
      <protection locked="0"/>
    </xf>
    <xf numFmtId="0" fontId="128" fillId="0" borderId="0" xfId="0" applyFont="1" applyBorder="1" applyAlignment="1">
      <alignment horizontal="center" vertical="center" wrapText="1"/>
    </xf>
    <xf numFmtId="0" fontId="144" fillId="0" borderId="0" xfId="0" applyFont="1" applyBorder="1" applyAlignment="1" applyProtection="1">
      <alignment vertical="justify" wrapText="1"/>
      <protection locked="0"/>
    </xf>
    <xf numFmtId="0" fontId="140" fillId="12" borderId="0" xfId="0" applyFont="1" applyFill="1" applyBorder="1" applyAlignment="1" applyProtection="1">
      <alignment vertical="center" wrapText="1"/>
      <protection locked="0"/>
    </xf>
    <xf numFmtId="0" fontId="142" fillId="43" borderId="0" xfId="0" applyFont="1" applyFill="1" applyAlignment="1" applyProtection="1">
      <alignment horizontal="center" vertical="center"/>
      <protection locked="0"/>
    </xf>
    <xf numFmtId="0" fontId="143" fillId="12" borderId="0" xfId="0" applyFont="1" applyFill="1" applyAlignment="1" applyProtection="1">
      <alignment horizontal="center" vertical="center"/>
      <protection locked="0"/>
    </xf>
    <xf numFmtId="20" fontId="140" fillId="44" borderId="0" xfId="0" applyNumberFormat="1" applyFont="1" applyFill="1" applyBorder="1" applyAlignment="1" applyProtection="1">
      <alignment horizontal="left" vertical="center"/>
      <protection locked="0"/>
    </xf>
    <xf numFmtId="0" fontId="140" fillId="12" borderId="0" xfId="0" applyFont="1" applyFill="1" applyBorder="1" applyAlignment="1" applyProtection="1">
      <alignment horizontal="left" vertical="justify" wrapText="1"/>
    </xf>
    <xf numFmtId="0" fontId="140" fillId="43" borderId="0" xfId="0" applyFont="1" applyFill="1" applyBorder="1" applyAlignment="1" applyProtection="1">
      <alignment horizontal="left" vertical="justify" wrapText="1"/>
    </xf>
    <xf numFmtId="0" fontId="11" fillId="0" borderId="0" xfId="0" applyFont="1" applyBorder="1" applyAlignment="1" applyProtection="1">
      <alignment vertical="justify" wrapText="1"/>
      <protection locked="0"/>
    </xf>
    <xf numFmtId="0" fontId="0" fillId="14" borderId="0" xfId="0" applyFont="1" applyFill="1" applyBorder="1" applyAlignment="1" applyProtection="1">
      <alignment vertical="center"/>
      <protection locked="0"/>
    </xf>
    <xf numFmtId="0" fontId="0" fillId="14" borderId="0" xfId="0" applyFont="1" applyFill="1" applyBorder="1" applyAlignment="1" applyProtection="1">
      <alignment vertical="center" wrapText="1"/>
      <protection locked="0"/>
    </xf>
    <xf numFmtId="0" fontId="46" fillId="14" borderId="0" xfId="0" applyFont="1" applyFill="1" applyBorder="1" applyAlignment="1" applyProtection="1">
      <alignment horizontal="left" vertical="center" wrapText="1"/>
      <protection locked="0"/>
    </xf>
    <xf numFmtId="0" fontId="74" fillId="14" borderId="0" xfId="0" applyFont="1" applyFill="1" applyAlignment="1" applyProtection="1">
      <alignment vertical="center" wrapText="1"/>
      <protection locked="0"/>
    </xf>
    <xf numFmtId="178" fontId="2" fillId="5" borderId="3" xfId="0" applyNumberFormat="1" applyFont="1" applyFill="1" applyBorder="1" applyAlignment="1" applyProtection="1">
      <alignment horizontal="center" vertical="center" wrapText="1"/>
    </xf>
    <xf numFmtId="0" fontId="2" fillId="0" borderId="3" xfId="0" applyFont="1" applyBorder="1" applyAlignment="1" applyProtection="1">
      <alignment horizontal="center" wrapText="1"/>
      <protection locked="0"/>
    </xf>
    <xf numFmtId="0" fontId="2" fillId="2" borderId="3" xfId="0" applyFont="1" applyFill="1" applyBorder="1" applyAlignment="1" applyProtection="1">
      <alignment horizontal="center" vertical="center" textRotation="255" wrapText="1"/>
      <protection locked="0"/>
    </xf>
    <xf numFmtId="180" fontId="2" fillId="5" borderId="3" xfId="0" applyNumberFormat="1" applyFont="1" applyFill="1" applyBorder="1" applyAlignment="1" applyProtection="1">
      <alignment horizontal="center" vertical="center" shrinkToFit="1"/>
    </xf>
    <xf numFmtId="180" fontId="2" fillId="3" borderId="3" xfId="4" applyNumberFormat="1" applyFont="1" applyFill="1" applyBorder="1" applyAlignment="1" applyProtection="1">
      <alignment horizontal="center" vertical="center" wrapText="1"/>
    </xf>
    <xf numFmtId="180" fontId="2" fillId="3" borderId="3" xfId="0" applyNumberFormat="1" applyFont="1" applyFill="1" applyBorder="1" applyAlignment="1" applyProtection="1">
      <alignment horizontal="center" vertical="center" wrapText="1"/>
    </xf>
    <xf numFmtId="180" fontId="2" fillId="5" borderId="3" xfId="0" applyNumberFormat="1" applyFont="1" applyFill="1" applyBorder="1" applyAlignment="1" applyProtection="1">
      <alignment horizontal="left" vertical="top" wrapText="1"/>
    </xf>
    <xf numFmtId="180" fontId="2" fillId="5" borderId="3" xfId="0" applyNumberFormat="1" applyFont="1" applyFill="1" applyBorder="1" applyAlignment="1" applyProtection="1">
      <alignment horizontal="center" vertical="center" wrapText="1"/>
    </xf>
    <xf numFmtId="0" fontId="2" fillId="2" borderId="3" xfId="0" applyFont="1" applyFill="1" applyBorder="1" applyAlignment="1" applyProtection="1">
      <alignment horizontal="center" vertical="center" shrinkToFit="1"/>
      <protection locked="0"/>
    </xf>
    <xf numFmtId="0" fontId="2" fillId="2" borderId="3" xfId="0" applyFont="1" applyFill="1" applyBorder="1" applyAlignment="1" applyProtection="1">
      <alignment horizontal="center" wrapText="1"/>
      <protection locked="0"/>
    </xf>
    <xf numFmtId="0" fontId="2" fillId="5" borderId="3" xfId="0" applyNumberFormat="1" applyFont="1" applyFill="1" applyBorder="1" applyAlignment="1" applyProtection="1">
      <alignment horizontal="center" vertical="center" wrapText="1"/>
    </xf>
    <xf numFmtId="49" fontId="2" fillId="2" borderId="3" xfId="0" applyNumberFormat="1" applyFont="1" applyFill="1" applyBorder="1" applyAlignment="1" applyProtection="1">
      <alignment horizontal="center" vertical="center" wrapText="1"/>
      <protection locked="0"/>
    </xf>
    <xf numFmtId="180" fontId="2" fillId="5" borderId="3" xfId="0" applyNumberFormat="1" applyFont="1" applyFill="1" applyBorder="1" applyAlignment="1" applyProtection="1">
      <alignment horizontal="left" vertical="center" wrapText="1"/>
    </xf>
    <xf numFmtId="0" fontId="25" fillId="2" borderId="3" xfId="0" applyFont="1" applyFill="1" applyBorder="1" applyAlignment="1" applyProtection="1">
      <alignment horizontal="center" vertical="center" wrapText="1"/>
      <protection locked="0"/>
    </xf>
    <xf numFmtId="0" fontId="2" fillId="5" borderId="3" xfId="0" applyFont="1" applyFill="1" applyBorder="1" applyAlignment="1" applyProtection="1">
      <alignment horizontal="left" vertical="center" wrapText="1"/>
    </xf>
    <xf numFmtId="0" fontId="25" fillId="2" borderId="0" xfId="0" applyFont="1" applyFill="1" applyBorder="1" applyAlignment="1" applyProtection="1">
      <alignment horizontal="left"/>
      <protection locked="0"/>
    </xf>
    <xf numFmtId="0" fontId="2" fillId="5" borderId="20" xfId="0" applyFont="1" applyFill="1" applyBorder="1" applyAlignment="1" applyProtection="1">
      <alignment horizontal="center"/>
    </xf>
    <xf numFmtId="0" fontId="2" fillId="2" borderId="0" xfId="0" applyFont="1" applyFill="1" applyBorder="1" applyAlignment="1" applyProtection="1">
      <alignment horizontal="right"/>
      <protection locked="0"/>
    </xf>
    <xf numFmtId="49" fontId="27" fillId="4" borderId="0" xfId="0" applyNumberFormat="1" applyFont="1" applyFill="1" applyBorder="1" applyAlignment="1" applyProtection="1">
      <alignment vertical="center" wrapText="1"/>
      <protection locked="0"/>
    </xf>
    <xf numFmtId="0" fontId="131" fillId="2" borderId="0" xfId="0" applyFont="1" applyFill="1" applyBorder="1" applyAlignment="1" applyProtection="1">
      <alignment vertical="center"/>
      <protection locked="0"/>
    </xf>
    <xf numFmtId="0" fontId="27" fillId="2" borderId="0" xfId="0" applyFont="1" applyFill="1" applyBorder="1" applyAlignment="1" applyProtection="1">
      <alignment vertical="center"/>
      <protection locked="0"/>
    </xf>
    <xf numFmtId="0" fontId="128" fillId="2" borderId="0" xfId="0" applyFont="1" applyFill="1" applyBorder="1" applyAlignment="1" applyProtection="1">
      <alignment horizontal="center" vertical="center"/>
      <protection locked="0"/>
    </xf>
    <xf numFmtId="49" fontId="128" fillId="5" borderId="0" xfId="0" applyNumberFormat="1" applyFont="1" applyFill="1" applyBorder="1" applyAlignment="1" applyProtection="1">
      <alignment horizontal="center" vertical="center"/>
    </xf>
    <xf numFmtId="0" fontId="128" fillId="5" borderId="0" xfId="0" applyNumberFormat="1" applyFont="1" applyFill="1" applyBorder="1" applyAlignment="1" applyProtection="1">
      <alignment horizontal="center" vertical="center"/>
    </xf>
    <xf numFmtId="0" fontId="27" fillId="0" borderId="3" xfId="0" applyFont="1" applyFill="1" applyBorder="1" applyAlignment="1" applyProtection="1">
      <alignment horizontal="center" vertical="center" shrinkToFit="1"/>
      <protection locked="0"/>
    </xf>
    <xf numFmtId="0" fontId="27" fillId="2" borderId="3" xfId="0" applyFont="1" applyFill="1" applyBorder="1" applyAlignment="1" applyProtection="1">
      <alignment horizontal="center" vertical="center" shrinkToFit="1"/>
      <protection locked="0"/>
    </xf>
    <xf numFmtId="0" fontId="27" fillId="2" borderId="0" xfId="0" applyFont="1" applyFill="1" applyBorder="1" applyAlignment="1" applyProtection="1">
      <alignment vertical="center" wrapText="1"/>
      <protection locked="0"/>
    </xf>
    <xf numFmtId="182" fontId="39" fillId="3" borderId="0" xfId="0" applyNumberFormat="1" applyFont="1" applyFill="1" applyBorder="1" applyAlignment="1" applyProtection="1">
      <alignment horizontal="center" vertical="center" shrinkToFit="1"/>
    </xf>
    <xf numFmtId="0" fontId="27" fillId="5" borderId="0" xfId="0" applyFont="1" applyFill="1" applyBorder="1" applyAlignment="1" applyProtection="1">
      <alignment vertical="top" wrapText="1"/>
    </xf>
    <xf numFmtId="0" fontId="27" fillId="13" borderId="30" xfId="0" applyFont="1" applyFill="1" applyBorder="1" applyAlignment="1" applyProtection="1">
      <alignment vertical="center" shrinkToFit="1"/>
      <protection locked="0"/>
    </xf>
    <xf numFmtId="0" fontId="27" fillId="13" borderId="5" xfId="0" applyFont="1" applyFill="1" applyBorder="1" applyAlignment="1" applyProtection="1">
      <alignment vertical="center" shrinkToFit="1"/>
      <protection locked="0"/>
    </xf>
    <xf numFmtId="0" fontId="27" fillId="0" borderId="30" xfId="0" applyFont="1" applyFill="1" applyBorder="1" applyAlignment="1" applyProtection="1">
      <alignment vertical="center" shrinkToFit="1"/>
      <protection locked="0"/>
    </xf>
    <xf numFmtId="0" fontId="27" fillId="0" borderId="5" xfId="0" applyFont="1" applyFill="1" applyBorder="1" applyAlignment="1" applyProtection="1">
      <alignment vertical="center" shrinkToFit="1"/>
      <protection locked="0"/>
    </xf>
    <xf numFmtId="0" fontId="27" fillId="3" borderId="3" xfId="0" applyFont="1" applyFill="1" applyBorder="1" applyAlignment="1" applyProtection="1">
      <alignment vertical="center" shrinkToFit="1"/>
    </xf>
    <xf numFmtId="0" fontId="27" fillId="3" borderId="30" xfId="0" applyFont="1" applyFill="1" applyBorder="1" applyAlignment="1" applyProtection="1">
      <alignment vertical="center" wrapText="1"/>
    </xf>
    <xf numFmtId="0" fontId="27" fillId="3" borderId="5" xfId="0" applyFont="1" applyFill="1" applyBorder="1" applyAlignment="1" applyProtection="1">
      <alignment vertical="center" wrapText="1"/>
    </xf>
    <xf numFmtId="0" fontId="27" fillId="30" borderId="3" xfId="0" applyFont="1" applyFill="1" applyBorder="1" applyAlignment="1" applyProtection="1">
      <alignment vertical="center" shrinkToFit="1"/>
      <protection locked="0"/>
    </xf>
    <xf numFmtId="0" fontId="27" fillId="3" borderId="30" xfId="0" applyFont="1" applyFill="1" applyBorder="1" applyAlignment="1" applyProtection="1">
      <alignment vertical="center" shrinkToFit="1"/>
    </xf>
    <xf numFmtId="0" fontId="27" fillId="3" borderId="5" xfId="0" applyFont="1" applyFill="1" applyBorder="1" applyAlignment="1" applyProtection="1">
      <alignment vertical="center" shrinkToFit="1"/>
    </xf>
    <xf numFmtId="0" fontId="27" fillId="2" borderId="3" xfId="0" applyFont="1" applyFill="1" applyBorder="1" applyAlignment="1" applyProtection="1">
      <alignment horizontal="center" vertical="center"/>
      <protection locked="0"/>
    </xf>
    <xf numFmtId="180" fontId="27" fillId="2" borderId="26" xfId="0" applyNumberFormat="1" applyFont="1" applyFill="1" applyBorder="1" applyAlignment="1" applyProtection="1">
      <alignment horizontal="center" vertical="center" shrinkToFit="1"/>
      <protection locked="0"/>
    </xf>
    <xf numFmtId="180" fontId="27" fillId="2" borderId="30" xfId="0" applyNumberFormat="1" applyFont="1" applyFill="1" applyBorder="1" applyAlignment="1" applyProtection="1">
      <alignment horizontal="center" vertical="center" shrinkToFit="1"/>
      <protection locked="0"/>
    </xf>
    <xf numFmtId="182" fontId="39" fillId="3" borderId="0" xfId="0" applyNumberFormat="1" applyFont="1" applyFill="1" applyBorder="1" applyAlignment="1" applyProtection="1">
      <alignment horizontal="center" vertical="center" shrinkToFit="1"/>
      <protection locked="0"/>
    </xf>
    <xf numFmtId="0" fontId="27" fillId="3" borderId="3" xfId="0" applyFont="1" applyFill="1" applyBorder="1" applyAlignment="1" applyProtection="1">
      <alignment vertical="center"/>
    </xf>
    <xf numFmtId="0" fontId="27" fillId="4" borderId="30" xfId="0" applyFont="1" applyFill="1" applyBorder="1" applyAlignment="1" applyProtection="1">
      <alignment horizontal="center" vertical="center"/>
      <protection locked="0"/>
    </xf>
    <xf numFmtId="0" fontId="27" fillId="4" borderId="3" xfId="0" applyFont="1" applyFill="1" applyBorder="1" applyAlignment="1" applyProtection="1">
      <alignment vertical="center"/>
      <protection locked="0"/>
    </xf>
    <xf numFmtId="180" fontId="27" fillId="4" borderId="30" xfId="0" applyNumberFormat="1" applyFont="1" applyFill="1" applyBorder="1" applyAlignment="1" applyProtection="1">
      <alignment horizontal="center" vertical="center"/>
      <protection locked="0"/>
    </xf>
    <xf numFmtId="0" fontId="27" fillId="4" borderId="30" xfId="0" applyFont="1" applyFill="1" applyBorder="1" applyAlignment="1" applyProtection="1">
      <alignment vertical="center"/>
      <protection locked="0"/>
    </xf>
    <xf numFmtId="0" fontId="27" fillId="4" borderId="5" xfId="0" applyFont="1" applyFill="1" applyBorder="1" applyAlignment="1" applyProtection="1">
      <alignment vertical="center"/>
      <protection locked="0"/>
    </xf>
    <xf numFmtId="180" fontId="27" fillId="4" borderId="5" xfId="0" applyNumberFormat="1" applyFont="1" applyFill="1" applyBorder="1" applyAlignment="1" applyProtection="1">
      <alignment horizontal="center" vertical="center"/>
      <protection locked="0"/>
    </xf>
    <xf numFmtId="180" fontId="27" fillId="4" borderId="30" xfId="0" applyNumberFormat="1" applyFont="1" applyFill="1" applyBorder="1" applyAlignment="1" applyProtection="1">
      <alignment horizontal="center" vertical="center" shrinkToFit="1"/>
      <protection locked="0"/>
    </xf>
    <xf numFmtId="180" fontId="27" fillId="4" borderId="5" xfId="0" applyNumberFormat="1" applyFont="1" applyFill="1" applyBorder="1" applyAlignment="1" applyProtection="1">
      <alignment horizontal="center" vertical="center" shrinkToFit="1"/>
      <protection locked="0"/>
    </xf>
    <xf numFmtId="0" fontId="27" fillId="2" borderId="30" xfId="0" applyFont="1" applyFill="1" applyBorder="1" applyAlignment="1" applyProtection="1">
      <alignment horizontal="center" vertical="center"/>
      <protection locked="0"/>
    </xf>
    <xf numFmtId="0" fontId="27" fillId="2" borderId="5" xfId="0" applyFont="1" applyFill="1" applyBorder="1" applyAlignment="1" applyProtection="1">
      <alignment horizontal="center" vertical="center"/>
      <protection locked="0"/>
    </xf>
    <xf numFmtId="180" fontId="27" fillId="2" borderId="30" xfId="0" applyNumberFormat="1" applyFont="1" applyFill="1" applyBorder="1" applyAlignment="1" applyProtection="1">
      <alignment horizontal="center" vertical="center"/>
      <protection locked="0"/>
    </xf>
    <xf numFmtId="180" fontId="27" fillId="2" borderId="5" xfId="0" applyNumberFormat="1" applyFont="1" applyFill="1" applyBorder="1" applyAlignment="1" applyProtection="1">
      <alignment horizontal="center" vertical="center"/>
      <protection locked="0"/>
    </xf>
    <xf numFmtId="0" fontId="27" fillId="3" borderId="30" xfId="0" applyFont="1" applyFill="1" applyBorder="1" applyAlignment="1" applyProtection="1">
      <alignment vertical="center"/>
    </xf>
    <xf numFmtId="0" fontId="27" fillId="3" borderId="5" xfId="0" applyFont="1" applyFill="1" applyBorder="1" applyAlignment="1" applyProtection="1">
      <alignment vertical="center"/>
    </xf>
    <xf numFmtId="0" fontId="27" fillId="5" borderId="0" xfId="0" applyFont="1" applyFill="1" applyBorder="1" applyAlignment="1" applyProtection="1">
      <alignment vertical="center"/>
    </xf>
    <xf numFmtId="0" fontId="27" fillId="7" borderId="0" xfId="0" applyFont="1" applyFill="1" applyBorder="1" applyAlignment="1" applyProtection="1">
      <alignment vertical="center"/>
      <protection locked="0"/>
    </xf>
    <xf numFmtId="0" fontId="9" fillId="5" borderId="0" xfId="0" applyFont="1" applyFill="1" applyBorder="1" applyAlignment="1" applyProtection="1">
      <alignment horizontal="center" vertical="center" shrinkToFit="1"/>
    </xf>
    <xf numFmtId="0" fontId="9" fillId="2" borderId="0" xfId="0" applyFont="1" applyFill="1" applyBorder="1" applyAlignment="1" applyProtection="1">
      <alignment horizontal="center" vertical="center" shrinkToFit="1"/>
      <protection locked="0"/>
    </xf>
    <xf numFmtId="0" fontId="27" fillId="5" borderId="0" xfId="0" applyFont="1" applyFill="1" applyBorder="1" applyAlignment="1" applyProtection="1">
      <alignment vertical="center" wrapText="1"/>
    </xf>
    <xf numFmtId="31" fontId="2" fillId="5" borderId="0" xfId="0" applyNumberFormat="1" applyFont="1" applyFill="1" applyBorder="1" applyAlignment="1" applyProtection="1">
      <alignment horizontal="center"/>
    </xf>
    <xf numFmtId="0" fontId="51" fillId="2" borderId="3" xfId="0" applyFont="1" applyFill="1" applyBorder="1" applyAlignment="1" applyProtection="1">
      <alignment vertical="center" wrapText="1"/>
      <protection locked="0"/>
    </xf>
    <xf numFmtId="0" fontId="103" fillId="19" borderId="0" xfId="7" applyNumberFormat="1" applyFont="1" applyBorder="1" applyAlignment="1">
      <alignment horizontal="center" vertical="top" wrapText="1"/>
    </xf>
    <xf numFmtId="0" fontId="104" fillId="0" borderId="0" xfId="6" applyNumberFormat="1" applyFont="1" applyFill="1" applyBorder="1" applyAlignment="1">
      <alignment horizontal="left" vertical="center"/>
    </xf>
    <xf numFmtId="0" fontId="100" fillId="23" borderId="0" xfId="0" applyNumberFormat="1" applyFont="1" applyFill="1" applyAlignment="1">
      <alignment horizontal="center" vertical="center" wrapText="1"/>
    </xf>
    <xf numFmtId="0" fontId="99" fillId="24" borderId="0" xfId="0" applyNumberFormat="1" applyFont="1" applyFill="1" applyAlignment="1">
      <alignment horizontal="right" vertical="center" wrapText="1"/>
    </xf>
    <xf numFmtId="0" fontId="100" fillId="23" borderId="0" xfId="0" applyNumberFormat="1" applyFont="1" applyFill="1" applyAlignment="1">
      <alignment horizontal="right" vertical="center" wrapText="1"/>
    </xf>
    <xf numFmtId="0" fontId="100" fillId="23" borderId="0" xfId="0" applyNumberFormat="1" applyFont="1" applyFill="1" applyAlignment="1">
      <alignment horizontal="right" vertical="center"/>
    </xf>
    <xf numFmtId="0" fontId="105" fillId="20" borderId="0" xfId="8" applyNumberFormat="1" applyFont="1" applyBorder="1" applyAlignment="1">
      <alignment horizontal="center" vertical="center" wrapText="1"/>
    </xf>
    <xf numFmtId="0" fontId="101" fillId="23" borderId="0" xfId="0" applyFont="1" applyFill="1" applyAlignment="1">
      <alignment horizontal="center" vertical="center" wrapText="1"/>
    </xf>
    <xf numFmtId="0" fontId="102" fillId="24" borderId="0" xfId="0" applyFont="1" applyFill="1" applyAlignment="1">
      <alignment horizontal="center" vertical="top" wrapText="1"/>
    </xf>
    <xf numFmtId="0" fontId="67" fillId="0" borderId="0" xfId="0" applyFont="1" applyBorder="1" applyAlignment="1">
      <alignment horizontal="center" vertical="center" wrapText="1"/>
    </xf>
    <xf numFmtId="0" fontId="0" fillId="0" borderId="0" xfId="0" applyAlignment="1">
      <alignment vertical="center" wrapText="1"/>
    </xf>
    <xf numFmtId="0" fontId="10" fillId="0" borderId="127" xfId="0" applyFont="1" applyBorder="1" applyAlignment="1">
      <alignment horizontal="center" vertical="center" wrapText="1"/>
    </xf>
    <xf numFmtId="0" fontId="69" fillId="0" borderId="128" xfId="0" applyFont="1" applyBorder="1" applyAlignment="1">
      <alignment horizontal="center" vertical="center"/>
    </xf>
    <xf numFmtId="0" fontId="83" fillId="0" borderId="120" xfId="0" applyFont="1" applyBorder="1" applyAlignment="1">
      <alignment horizontal="center" vertical="center" wrapText="1"/>
    </xf>
    <xf numFmtId="0" fontId="83" fillId="0" borderId="122" xfId="0" applyFont="1" applyBorder="1" applyAlignment="1">
      <alignment horizontal="center" vertical="center" wrapText="1"/>
    </xf>
    <xf numFmtId="0" fontId="83" fillId="0" borderId="123" xfId="0" applyFont="1" applyBorder="1" applyAlignment="1">
      <alignment horizontal="center" vertical="center" wrapText="1"/>
    </xf>
    <xf numFmtId="0" fontId="83" fillId="0" borderId="124" xfId="0" applyFont="1" applyBorder="1" applyAlignment="1">
      <alignment horizontal="center" vertical="center" wrapText="1"/>
    </xf>
    <xf numFmtId="0" fontId="83" fillId="0" borderId="115" xfId="0" applyFont="1" applyBorder="1" applyAlignment="1">
      <alignment horizontal="center" vertical="center" wrapText="1"/>
    </xf>
    <xf numFmtId="0" fontId="83" fillId="0" borderId="116" xfId="0" applyFont="1" applyBorder="1" applyAlignment="1">
      <alignment horizontal="center" vertical="center" wrapText="1"/>
    </xf>
    <xf numFmtId="0" fontId="25" fillId="0" borderId="134" xfId="0" applyFont="1" applyBorder="1" applyAlignment="1">
      <alignment horizontal="center" vertical="center"/>
    </xf>
    <xf numFmtId="0" fontId="2" fillId="0" borderId="135" xfId="0" applyFont="1" applyBorder="1" applyAlignment="1">
      <alignment horizontal="center" vertical="center"/>
    </xf>
    <xf numFmtId="0" fontId="74" fillId="0" borderId="0" xfId="0" applyFont="1" applyBorder="1" applyAlignment="1">
      <alignment horizontal="right" vertical="center"/>
    </xf>
    <xf numFmtId="49" fontId="74" fillId="0" borderId="0" xfId="0" applyNumberFormat="1" applyFont="1" applyBorder="1" applyAlignment="1">
      <alignment horizontal="right" vertical="center"/>
    </xf>
    <xf numFmtId="0" fontId="53" fillId="0" borderId="0" xfId="0" applyFont="1" applyAlignment="1">
      <alignment horizontal="left" vertical="top" wrapText="1"/>
    </xf>
    <xf numFmtId="0" fontId="53" fillId="0" borderId="0" xfId="0" applyFont="1" applyAlignment="1">
      <alignment horizontal="left" vertical="top"/>
    </xf>
    <xf numFmtId="0" fontId="2" fillId="0" borderId="130" xfId="0" applyFont="1" applyBorder="1" applyAlignment="1">
      <alignment horizontal="left" vertical="center" wrapText="1"/>
    </xf>
    <xf numFmtId="0" fontId="2" fillId="0" borderId="131" xfId="0" applyFont="1" applyBorder="1" applyAlignment="1">
      <alignment horizontal="left" vertical="center" wrapText="1"/>
    </xf>
    <xf numFmtId="0" fontId="2" fillId="0" borderId="137" xfId="0" applyFont="1" applyBorder="1" applyAlignment="1">
      <alignment horizontal="left" vertical="center" wrapText="1"/>
    </xf>
    <xf numFmtId="49" fontId="2" fillId="0" borderId="132" xfId="0" applyNumberFormat="1" applyFont="1" applyBorder="1" applyAlignment="1">
      <alignment horizontal="center" vertical="center" wrapText="1"/>
    </xf>
    <xf numFmtId="49" fontId="2" fillId="0" borderId="93" xfId="0" applyNumberFormat="1" applyFont="1" applyBorder="1" applyAlignment="1">
      <alignment horizontal="center" vertical="center" wrapText="1"/>
    </xf>
    <xf numFmtId="0" fontId="10" fillId="0" borderId="133" xfId="0" applyFont="1" applyBorder="1" applyAlignment="1">
      <alignment horizontal="center" vertical="center"/>
    </xf>
    <xf numFmtId="0" fontId="69" fillId="0" borderId="111" xfId="0" applyFont="1" applyBorder="1" applyAlignment="1">
      <alignment vertical="center"/>
    </xf>
    <xf numFmtId="49" fontId="2" fillId="0" borderId="132" xfId="0" applyNumberFormat="1" applyFont="1" applyBorder="1" applyAlignment="1">
      <alignment horizontal="center" vertical="center" textRotation="255"/>
    </xf>
    <xf numFmtId="49" fontId="53" fillId="0" borderId="132" xfId="0" applyNumberFormat="1" applyFont="1" applyBorder="1" applyAlignment="1">
      <alignment horizontal="center" vertical="center" textRotation="255"/>
    </xf>
    <xf numFmtId="0" fontId="25" fillId="0" borderId="120" xfId="0" applyFont="1" applyBorder="1" applyAlignment="1">
      <alignment horizontal="center" vertical="center"/>
    </xf>
    <xf numFmtId="0" fontId="25" fillId="0" borderId="121" xfId="0" applyFont="1" applyBorder="1" applyAlignment="1">
      <alignment horizontal="center" vertical="center"/>
    </xf>
    <xf numFmtId="0" fontId="70" fillId="0" borderId="122" xfId="0" applyFont="1" applyBorder="1" applyAlignment="1">
      <alignment horizontal="center" vertical="center"/>
    </xf>
    <xf numFmtId="0" fontId="67" fillId="15" borderId="0" xfId="0" applyFont="1" applyFill="1" applyBorder="1" applyAlignment="1">
      <alignment horizontal="center" vertical="center" wrapText="1"/>
    </xf>
    <xf numFmtId="0" fontId="16" fillId="15" borderId="0" xfId="0" applyFont="1" applyFill="1" applyBorder="1" applyAlignment="1">
      <alignment horizontal="left" vertical="center" wrapText="1"/>
    </xf>
    <xf numFmtId="0" fontId="93" fillId="0" borderId="0" xfId="0" applyFont="1" applyBorder="1" applyAlignment="1">
      <alignment horizontal="center" vertical="center" wrapText="1"/>
    </xf>
    <xf numFmtId="0" fontId="89" fillId="0" borderId="0" xfId="0" applyFont="1" applyBorder="1" applyAlignment="1">
      <alignment vertical="center" wrapText="1"/>
    </xf>
    <xf numFmtId="0" fontId="0" fillId="0" borderId="0" xfId="0" applyBorder="1" applyAlignment="1">
      <alignment vertical="center" wrapText="1"/>
    </xf>
    <xf numFmtId="0" fontId="53" fillId="0" borderId="0" xfId="0" applyFont="1" applyBorder="1" applyAlignment="1">
      <alignment horizontal="right" vertical="center" wrapText="1"/>
    </xf>
    <xf numFmtId="49" fontId="83" fillId="0" borderId="93" xfId="0" applyNumberFormat="1" applyFont="1" applyBorder="1" applyAlignment="1">
      <alignment horizontal="center" vertical="center" wrapText="1"/>
    </xf>
    <xf numFmtId="189" fontId="83" fillId="0" borderId="93" xfId="0" applyNumberFormat="1" applyFont="1" applyBorder="1" applyAlignment="1">
      <alignment horizontal="center" vertical="center" wrapText="1"/>
    </xf>
    <xf numFmtId="0" fontId="83" fillId="0" borderId="93" xfId="0" applyFont="1" applyBorder="1" applyAlignment="1">
      <alignment horizontal="center" vertical="center" wrapText="1"/>
    </xf>
    <xf numFmtId="49" fontId="70" fillId="15" borderId="93" xfId="0" applyNumberFormat="1" applyFont="1" applyFill="1" applyBorder="1" applyAlignment="1">
      <alignment horizontal="center" vertical="center" wrapText="1"/>
    </xf>
    <xf numFmtId="0" fontId="90" fillId="0" borderId="119" xfId="0" applyFont="1" applyBorder="1" applyAlignment="1">
      <alignment horizontal="center" vertical="center" wrapText="1"/>
    </xf>
    <xf numFmtId="0" fontId="70" fillId="0" borderId="93" xfId="0" applyFont="1" applyBorder="1" applyAlignment="1">
      <alignment horizontal="center" vertical="center" wrapText="1"/>
    </xf>
    <xf numFmtId="0" fontId="17" fillId="0" borderId="0" xfId="0" applyFont="1" applyAlignment="1">
      <alignment horizontal="left" vertical="center" wrapText="1"/>
    </xf>
    <xf numFmtId="0" fontId="53" fillId="0" borderId="115" xfId="0" applyFont="1" applyBorder="1" applyAlignment="1">
      <alignment horizontal="center" vertical="center" wrapText="1"/>
    </xf>
    <xf numFmtId="0" fontId="53" fillId="0" borderId="116" xfId="0" applyFont="1" applyBorder="1" applyAlignment="1">
      <alignment horizontal="center" vertical="center" wrapText="1"/>
    </xf>
    <xf numFmtId="0" fontId="70" fillId="0" borderId="109" xfId="0" applyFont="1" applyBorder="1" applyAlignment="1">
      <alignment horizontal="left" vertical="center" wrapText="1"/>
    </xf>
    <xf numFmtId="0" fontId="70" fillId="0" borderId="110" xfId="0" applyFont="1" applyBorder="1" applyAlignment="1">
      <alignment horizontal="left" vertical="center" wrapText="1"/>
    </xf>
    <xf numFmtId="0" fontId="25" fillId="15" borderId="109" xfId="0" applyFont="1" applyFill="1" applyBorder="1" applyAlignment="1">
      <alignment horizontal="left" vertical="center" wrapText="1"/>
    </xf>
    <xf numFmtId="0" fontId="25" fillId="15" borderId="110" xfId="0" applyFont="1" applyFill="1" applyBorder="1" applyAlignment="1">
      <alignment horizontal="left" vertical="center" wrapText="1"/>
    </xf>
    <xf numFmtId="0" fontId="70" fillId="0" borderId="93" xfId="0" applyFont="1" applyBorder="1" applyAlignment="1">
      <alignment horizontal="left" vertical="center" wrapText="1"/>
    </xf>
    <xf numFmtId="0" fontId="90" fillId="0" borderId="119" xfId="0" applyFont="1" applyBorder="1" applyAlignment="1">
      <alignment horizontal="center" vertical="center"/>
    </xf>
    <xf numFmtId="0" fontId="70" fillId="15" borderId="109" xfId="0" applyFont="1" applyFill="1" applyBorder="1" applyAlignment="1">
      <alignment horizontal="left" vertical="center" wrapText="1"/>
    </xf>
    <xf numFmtId="0" fontId="70" fillId="15" borderId="110" xfId="0" applyFont="1" applyFill="1" applyBorder="1" applyAlignment="1">
      <alignment horizontal="left" vertical="center" wrapText="1"/>
    </xf>
    <xf numFmtId="0" fontId="90" fillId="0" borderId="0" xfId="0" applyFont="1" applyAlignment="1">
      <alignment horizontal="center" vertical="center"/>
    </xf>
    <xf numFmtId="0" fontId="70" fillId="0" borderId="109" xfId="0" applyFont="1" applyFill="1" applyBorder="1" applyAlignment="1">
      <alignment horizontal="left" vertical="center" wrapText="1"/>
    </xf>
    <xf numFmtId="0" fontId="70" fillId="0" borderId="110" xfId="0" applyFont="1" applyFill="1" applyBorder="1" applyAlignment="1">
      <alignment horizontal="left" vertical="center" wrapText="1"/>
    </xf>
    <xf numFmtId="0" fontId="70" fillId="15" borderId="111" xfId="0" applyFont="1" applyFill="1" applyBorder="1" applyAlignment="1">
      <alignment horizontal="left" vertical="center" wrapText="1"/>
    </xf>
    <xf numFmtId="49" fontId="53" fillId="15" borderId="93" xfId="0" applyNumberFormat="1" applyFont="1" applyFill="1" applyBorder="1" applyAlignment="1">
      <alignment horizontal="left" vertical="center" wrapText="1"/>
    </xf>
    <xf numFmtId="0" fontId="53" fillId="15" borderId="93" xfId="0" applyNumberFormat="1" applyFont="1" applyFill="1" applyBorder="1" applyAlignment="1">
      <alignment horizontal="left" vertical="center" wrapText="1"/>
    </xf>
    <xf numFmtId="0" fontId="53" fillId="21" borderId="0" xfId="0" applyFont="1" applyFill="1" applyAlignment="1">
      <alignment horizontal="left" vertical="center" wrapText="1"/>
    </xf>
    <xf numFmtId="0" fontId="83" fillId="15" borderId="109" xfId="0" applyFont="1" applyFill="1" applyBorder="1" applyAlignment="1">
      <alignment horizontal="left" vertical="center" wrapText="1"/>
    </xf>
    <xf numFmtId="0" fontId="83" fillId="15" borderId="111" xfId="0" applyFont="1" applyFill="1" applyBorder="1" applyAlignment="1">
      <alignment horizontal="left" vertical="center" wrapText="1"/>
    </xf>
    <xf numFmtId="0" fontId="83" fillId="15" borderId="110" xfId="0" applyFont="1" applyFill="1" applyBorder="1" applyAlignment="1">
      <alignment horizontal="left" vertical="center" wrapText="1"/>
    </xf>
    <xf numFmtId="0" fontId="13" fillId="15" borderId="93" xfId="0" applyFont="1" applyFill="1" applyBorder="1" applyAlignment="1">
      <alignment horizontal="left" vertical="center" wrapText="1"/>
    </xf>
    <xf numFmtId="0" fontId="53" fillId="15" borderId="93" xfId="0" applyNumberFormat="1" applyFont="1" applyFill="1" applyBorder="1" applyAlignment="1">
      <alignment horizontal="left" vertical="center" wrapText="1" indent="1"/>
    </xf>
    <xf numFmtId="0" fontId="53" fillId="15" borderId="93" xfId="0" applyFont="1" applyFill="1" applyBorder="1" applyAlignment="1">
      <alignment horizontal="left" vertical="center" wrapText="1"/>
    </xf>
    <xf numFmtId="49" fontId="53" fillId="15" borderId="93" xfId="0" applyNumberFormat="1" applyFont="1" applyFill="1" applyBorder="1" applyAlignment="1">
      <alignment horizontal="left" vertical="center" wrapText="1" indent="1"/>
    </xf>
    <xf numFmtId="0" fontId="53" fillId="15" borderId="109" xfId="0" applyNumberFormat="1" applyFont="1" applyFill="1" applyBorder="1" applyAlignment="1">
      <alignment horizontal="left" vertical="center" wrapText="1" indent="1"/>
    </xf>
    <xf numFmtId="0" fontId="53" fillId="15" borderId="110" xfId="0" applyNumberFormat="1" applyFont="1" applyFill="1" applyBorder="1" applyAlignment="1">
      <alignment horizontal="left" vertical="center" wrapText="1" indent="1"/>
    </xf>
    <xf numFmtId="49" fontId="13" fillId="15" borderId="109" xfId="0" applyNumberFormat="1" applyFont="1" applyFill="1" applyBorder="1" applyAlignment="1">
      <alignment horizontal="left" vertical="center" wrapText="1"/>
    </xf>
    <xf numFmtId="49" fontId="13" fillId="15" borderId="110" xfId="0" applyNumberFormat="1" applyFont="1" applyFill="1" applyBorder="1" applyAlignment="1">
      <alignment horizontal="left" vertical="center" wrapText="1"/>
    </xf>
    <xf numFmtId="0" fontId="53" fillId="15" borderId="109" xfId="0" applyFont="1" applyFill="1" applyBorder="1" applyAlignment="1">
      <alignment horizontal="left" vertical="center" wrapText="1"/>
    </xf>
    <xf numFmtId="0" fontId="53" fillId="15" borderId="111" xfId="0" applyFont="1" applyFill="1" applyBorder="1" applyAlignment="1">
      <alignment horizontal="left" vertical="center" wrapText="1"/>
    </xf>
    <xf numFmtId="0" fontId="53" fillId="15" borderId="110" xfId="0" applyFont="1" applyFill="1" applyBorder="1" applyAlignment="1">
      <alignment horizontal="left" vertical="center" wrapText="1"/>
    </xf>
    <xf numFmtId="49" fontId="53" fillId="15" borderId="109" xfId="0" applyNumberFormat="1" applyFont="1" applyFill="1" applyBorder="1" applyAlignment="1">
      <alignment horizontal="center" vertical="center" wrapText="1"/>
    </xf>
    <xf numFmtId="49" fontId="53" fillId="15" borderId="110" xfId="0" applyNumberFormat="1" applyFont="1" applyFill="1" applyBorder="1" applyAlignment="1">
      <alignment horizontal="center" vertical="center" wrapText="1"/>
    </xf>
    <xf numFmtId="0" fontId="90" fillId="15" borderId="119" xfId="0" applyFont="1" applyFill="1" applyBorder="1" applyAlignment="1">
      <alignment horizontal="center" vertical="center" wrapText="1"/>
    </xf>
    <xf numFmtId="0" fontId="90" fillId="15" borderId="93" xfId="0" applyFont="1" applyFill="1" applyBorder="1" applyAlignment="1">
      <alignment horizontal="center" vertical="center" wrapText="1"/>
    </xf>
    <xf numFmtId="0" fontId="20" fillId="0" borderId="93" xfId="0" applyFont="1" applyBorder="1" applyAlignment="1">
      <alignment horizontal="left" vertical="center" wrapText="1"/>
    </xf>
    <xf numFmtId="0" fontId="20" fillId="0" borderId="93" xfId="0" applyFont="1" applyBorder="1" applyAlignment="1">
      <alignment horizontal="left" vertical="center"/>
    </xf>
    <xf numFmtId="0" fontId="25" fillId="15" borderId="93" xfId="0" applyFont="1" applyFill="1" applyBorder="1" applyAlignment="1">
      <alignment horizontal="left" vertical="center" wrapText="1"/>
    </xf>
    <xf numFmtId="0" fontId="90" fillId="15" borderId="0" xfId="0" applyFont="1" applyFill="1" applyBorder="1" applyAlignment="1">
      <alignment horizontal="center" vertical="center" wrapText="1"/>
    </xf>
    <xf numFmtId="0" fontId="20" fillId="0" borderId="0" xfId="0" applyFont="1" applyBorder="1" applyAlignment="1">
      <alignment horizontal="left" vertical="center" wrapText="1"/>
    </xf>
    <xf numFmtId="0" fontId="20" fillId="0" borderId="0" xfId="0" applyFont="1" applyBorder="1" applyAlignment="1">
      <alignment horizontal="left" vertical="center"/>
    </xf>
    <xf numFmtId="0" fontId="70" fillId="15" borderId="93" xfId="0" applyFont="1" applyFill="1" applyBorder="1" applyAlignment="1">
      <alignment horizontal="left" vertical="center" wrapText="1"/>
    </xf>
    <xf numFmtId="0" fontId="68" fillId="33" borderId="93" xfId="0" applyFont="1" applyFill="1" applyBorder="1" applyAlignment="1">
      <alignment horizontal="center" vertical="center" wrapText="1"/>
    </xf>
    <xf numFmtId="0" fontId="2" fillId="33" borderId="120" xfId="0" applyFont="1" applyFill="1" applyBorder="1" applyAlignment="1">
      <alignment horizontal="left" vertical="center" wrapText="1"/>
    </xf>
    <xf numFmtId="0" fontId="2" fillId="33" borderId="122" xfId="0" applyFont="1" applyFill="1" applyBorder="1" applyAlignment="1">
      <alignment horizontal="left" vertical="center" wrapText="1"/>
    </xf>
    <xf numFmtId="0" fontId="2" fillId="35" borderId="120" xfId="0" applyFont="1" applyFill="1" applyBorder="1" applyAlignment="1">
      <alignment horizontal="left" vertical="center" wrapText="1"/>
    </xf>
    <xf numFmtId="0" fontId="2" fillId="35" borderId="122" xfId="0" applyFont="1" applyFill="1" applyBorder="1" applyAlignment="1">
      <alignment horizontal="left" vertical="center" wrapText="1"/>
    </xf>
    <xf numFmtId="0" fontId="0" fillId="33" borderId="0" xfId="0" applyFill="1" applyBorder="1" applyAlignment="1">
      <alignment horizontal="left" vertical="center"/>
    </xf>
    <xf numFmtId="0" fontId="68" fillId="33" borderId="119" xfId="0" applyFont="1" applyFill="1" applyBorder="1" applyAlignment="1">
      <alignment horizontal="center" vertical="center"/>
    </xf>
    <xf numFmtId="0" fontId="2" fillId="35" borderId="109" xfId="0" applyFont="1" applyFill="1" applyBorder="1" applyAlignment="1">
      <alignment horizontal="center" vertical="center"/>
    </xf>
    <xf numFmtId="0" fontId="2" fillId="35" borderId="111" xfId="0" applyFont="1" applyFill="1" applyBorder="1" applyAlignment="1">
      <alignment horizontal="center" vertical="center"/>
    </xf>
    <xf numFmtId="0" fontId="2" fillId="35" borderId="110" xfId="0" applyFont="1" applyFill="1" applyBorder="1" applyAlignment="1">
      <alignment horizontal="center" vertical="center"/>
    </xf>
    <xf numFmtId="0" fontId="25" fillId="33" borderId="93" xfId="0" applyFont="1" applyFill="1" applyBorder="1" applyAlignment="1">
      <alignment horizontal="center" vertical="center" wrapText="1"/>
    </xf>
    <xf numFmtId="0" fontId="2" fillId="35" borderId="121" xfId="0" applyFont="1" applyFill="1" applyBorder="1" applyAlignment="1">
      <alignment horizontal="left" vertical="center" wrapText="1"/>
    </xf>
    <xf numFmtId="0" fontId="25" fillId="33" borderId="109" xfId="0" applyFont="1" applyFill="1" applyBorder="1" applyAlignment="1">
      <alignment horizontal="center" vertical="center" wrapText="1"/>
    </xf>
    <xf numFmtId="0" fontId="25" fillId="33" borderId="111" xfId="0" applyFont="1" applyFill="1" applyBorder="1" applyAlignment="1">
      <alignment horizontal="center" vertical="center" wrapText="1"/>
    </xf>
    <xf numFmtId="0" fontId="25" fillId="33" borderId="110" xfId="0" applyFont="1" applyFill="1" applyBorder="1" applyAlignment="1">
      <alignment horizontal="center" vertical="center" wrapText="1"/>
    </xf>
    <xf numFmtId="0" fontId="2" fillId="33" borderId="110" xfId="0" applyFont="1" applyFill="1" applyBorder="1" applyAlignment="1">
      <alignment horizontal="left" vertical="center"/>
    </xf>
    <xf numFmtId="0" fontId="74" fillId="27" borderId="93" xfId="0" applyFont="1" applyFill="1" applyBorder="1" applyAlignment="1">
      <alignment horizontal="center" vertical="center"/>
    </xf>
    <xf numFmtId="0" fontId="0" fillId="27" borderId="93" xfId="0" applyFill="1" applyBorder="1" applyAlignment="1">
      <alignment horizontal="center" vertical="center"/>
    </xf>
    <xf numFmtId="0" fontId="0" fillId="33" borderId="0" xfId="0" applyFill="1" applyAlignment="1">
      <alignment vertical="center" wrapText="1"/>
    </xf>
    <xf numFmtId="0" fontId="2" fillId="35" borderId="109" xfId="0" applyFont="1" applyFill="1" applyBorder="1" applyAlignment="1" applyProtection="1">
      <alignment vertical="center" wrapText="1"/>
      <protection hidden="1"/>
    </xf>
    <xf numFmtId="0" fontId="2" fillId="35" borderId="111" xfId="0" applyFont="1" applyFill="1" applyBorder="1" applyAlignment="1" applyProtection="1">
      <alignment vertical="center" wrapText="1"/>
      <protection hidden="1"/>
    </xf>
    <xf numFmtId="0" fontId="2" fillId="35" borderId="110" xfId="0" applyFont="1" applyFill="1" applyBorder="1" applyAlignment="1" applyProtection="1">
      <alignment vertical="center" wrapText="1"/>
      <protection hidden="1"/>
    </xf>
    <xf numFmtId="0" fontId="2" fillId="35" borderId="109" xfId="0" applyFont="1" applyFill="1" applyBorder="1" applyAlignment="1">
      <alignment vertical="center" wrapText="1"/>
    </xf>
    <xf numFmtId="0" fontId="2" fillId="35" borderId="111" xfId="0" applyFont="1" applyFill="1" applyBorder="1" applyAlignment="1">
      <alignment vertical="center" wrapText="1"/>
    </xf>
    <xf numFmtId="0" fontId="2" fillId="35" borderId="110" xfId="0" applyFont="1" applyFill="1" applyBorder="1" applyAlignment="1">
      <alignment vertical="center" wrapText="1"/>
    </xf>
    <xf numFmtId="0" fontId="2" fillId="35" borderId="109" xfId="0" applyFont="1" applyFill="1" applyBorder="1" applyAlignment="1">
      <alignment horizontal="left" vertical="center" wrapText="1"/>
    </xf>
    <xf numFmtId="0" fontId="2" fillId="35" borderId="111" xfId="0" applyFont="1" applyFill="1" applyBorder="1" applyAlignment="1">
      <alignment horizontal="left" vertical="center" wrapText="1"/>
    </xf>
    <xf numFmtId="0" fontId="2" fillId="35" borderId="110" xfId="0" applyFont="1" applyFill="1" applyBorder="1" applyAlignment="1">
      <alignment horizontal="left" vertical="center" wrapText="1"/>
    </xf>
    <xf numFmtId="0" fontId="2" fillId="33" borderId="93" xfId="0" applyFont="1" applyFill="1" applyBorder="1" applyAlignment="1">
      <alignment horizontal="left" vertical="center" wrapText="1"/>
    </xf>
    <xf numFmtId="0" fontId="2" fillId="35" borderId="93" xfId="0" applyFont="1" applyFill="1" applyBorder="1" applyAlignment="1">
      <alignment horizontal="left" vertical="center" wrapText="1"/>
    </xf>
    <xf numFmtId="0" fontId="2" fillId="32" borderId="109" xfId="0" applyFont="1" applyFill="1" applyBorder="1" applyAlignment="1">
      <alignment horizontal="center" vertical="center" wrapText="1"/>
    </xf>
    <xf numFmtId="0" fontId="2" fillId="32" borderId="111" xfId="0" applyFont="1" applyFill="1" applyBorder="1" applyAlignment="1">
      <alignment horizontal="center" vertical="center" wrapText="1"/>
    </xf>
    <xf numFmtId="0" fontId="2" fillId="32" borderId="110" xfId="0" applyFont="1" applyFill="1" applyBorder="1" applyAlignment="1">
      <alignment horizontal="center" vertical="center" wrapText="1"/>
    </xf>
    <xf numFmtId="0" fontId="2" fillId="0" borderId="93" xfId="0" applyFont="1" applyFill="1" applyBorder="1" applyAlignment="1">
      <alignment horizontal="center" vertical="center"/>
    </xf>
    <xf numFmtId="0" fontId="0" fillId="0" borderId="93" xfId="0" applyBorder="1" applyAlignment="1">
      <alignment horizontal="left" vertical="center"/>
    </xf>
    <xf numFmtId="49" fontId="0" fillId="0" borderId="93" xfId="0" applyNumberFormat="1" applyBorder="1" applyAlignment="1">
      <alignment horizontal="left" vertical="center"/>
    </xf>
    <xf numFmtId="0" fontId="74" fillId="33" borderId="0" xfId="0" applyFont="1" applyFill="1" applyAlignment="1">
      <alignment horizontal="left" vertical="center" wrapText="1"/>
    </xf>
    <xf numFmtId="0" fontId="68" fillId="33" borderId="119" xfId="0" applyFont="1" applyFill="1" applyBorder="1" applyAlignment="1">
      <alignment horizontal="center" vertical="top" wrapText="1"/>
    </xf>
    <xf numFmtId="0" fontId="68" fillId="33" borderId="121" xfId="0" applyFont="1" applyFill="1" applyBorder="1" applyAlignment="1">
      <alignment horizontal="center" vertical="center"/>
    </xf>
    <xf numFmtId="0" fontId="74" fillId="33" borderId="119" xfId="0" applyFont="1" applyFill="1" applyBorder="1" applyAlignment="1">
      <alignment horizontal="left" vertical="center" wrapText="1"/>
    </xf>
    <xf numFmtId="0" fontId="51" fillId="33" borderId="93" xfId="0" applyFont="1" applyFill="1" applyBorder="1" applyAlignment="1">
      <alignment horizontal="center" vertical="center"/>
    </xf>
    <xf numFmtId="0" fontId="0" fillId="33" borderId="93" xfId="0" applyFill="1" applyBorder="1" applyAlignment="1">
      <alignment vertical="center"/>
    </xf>
    <xf numFmtId="0" fontId="51" fillId="33" borderId="211" xfId="0" applyFont="1" applyFill="1" applyBorder="1" applyAlignment="1">
      <alignment horizontal="center" vertical="center"/>
    </xf>
    <xf numFmtId="0" fontId="51" fillId="33" borderId="212" xfId="0" applyFont="1" applyFill="1" applyBorder="1" applyAlignment="1">
      <alignment horizontal="center" vertical="center"/>
    </xf>
    <xf numFmtId="0" fontId="51" fillId="33" borderId="213" xfId="0" applyFont="1" applyFill="1" applyBorder="1" applyAlignment="1">
      <alignment horizontal="center" vertical="center"/>
    </xf>
    <xf numFmtId="0" fontId="51" fillId="33" borderId="211" xfId="0" applyFont="1" applyFill="1" applyBorder="1" applyAlignment="1">
      <alignment horizontal="center" vertical="center" wrapText="1"/>
    </xf>
    <xf numFmtId="0" fontId="51" fillId="33" borderId="213" xfId="0" applyFont="1" applyFill="1" applyBorder="1" applyAlignment="1">
      <alignment horizontal="center" vertical="center" wrapText="1"/>
    </xf>
    <xf numFmtId="0" fontId="51" fillId="32" borderId="152" xfId="0" applyFont="1" applyFill="1" applyBorder="1" applyAlignment="1">
      <alignment horizontal="center" vertical="center"/>
    </xf>
    <xf numFmtId="0" fontId="51" fillId="32" borderId="207" xfId="0" applyFont="1" applyFill="1" applyBorder="1" applyAlignment="1">
      <alignment horizontal="center" vertical="center"/>
    </xf>
    <xf numFmtId="0" fontId="51" fillId="32" borderId="208" xfId="0" applyFont="1" applyFill="1" applyBorder="1" applyAlignment="1">
      <alignment horizontal="center" vertical="center"/>
    </xf>
    <xf numFmtId="0" fontId="51" fillId="33" borderId="214" xfId="0" applyFont="1" applyFill="1" applyBorder="1" applyAlignment="1">
      <alignment horizontal="center" vertical="center"/>
    </xf>
    <xf numFmtId="0" fontId="51" fillId="33" borderId="122" xfId="0" applyFont="1" applyFill="1" applyBorder="1" applyAlignment="1">
      <alignment horizontal="center" vertical="center"/>
    </xf>
    <xf numFmtId="0" fontId="51" fillId="33" borderId="215" xfId="0" applyFont="1" applyFill="1" applyBorder="1" applyAlignment="1">
      <alignment horizontal="center" vertical="center"/>
    </xf>
    <xf numFmtId="0" fontId="51" fillId="33" borderId="206" xfId="0" applyFont="1" applyFill="1" applyBorder="1" applyAlignment="1">
      <alignment horizontal="center" vertical="center"/>
    </xf>
    <xf numFmtId="0" fontId="51" fillId="33" borderId="216" xfId="0" applyFont="1" applyFill="1" applyBorder="1" applyAlignment="1">
      <alignment horizontal="center" vertical="center"/>
    </xf>
    <xf numFmtId="0" fontId="51" fillId="33" borderId="124" xfId="0" applyFont="1" applyFill="1" applyBorder="1" applyAlignment="1">
      <alignment horizontal="center" vertical="center"/>
    </xf>
    <xf numFmtId="0" fontId="2" fillId="33" borderId="109" xfId="0" applyFont="1" applyFill="1" applyBorder="1" applyAlignment="1">
      <alignment horizontal="left" vertical="center" wrapText="1"/>
    </xf>
    <xf numFmtId="0" fontId="0" fillId="33" borderId="0" xfId="0" applyFill="1" applyAlignment="1">
      <alignment vertical="center"/>
    </xf>
    <xf numFmtId="0" fontId="74" fillId="33" borderId="119" xfId="0" applyFont="1" applyFill="1" applyBorder="1" applyAlignment="1">
      <alignment vertical="center"/>
    </xf>
    <xf numFmtId="0" fontId="2" fillId="33" borderId="109" xfId="0" applyFont="1" applyFill="1" applyBorder="1" applyAlignment="1">
      <alignment vertical="center"/>
    </xf>
    <xf numFmtId="0" fontId="2" fillId="33" borderId="110" xfId="0" applyFont="1" applyFill="1" applyBorder="1" applyAlignment="1">
      <alignment vertical="center"/>
    </xf>
    <xf numFmtId="0" fontId="74" fillId="33" borderId="0" xfId="0" applyFont="1" applyFill="1" applyAlignment="1">
      <alignment horizontal="left" vertical="top"/>
    </xf>
    <xf numFmtId="0" fontId="68" fillId="33" borderId="121" xfId="0" applyFont="1" applyFill="1" applyBorder="1" applyAlignment="1">
      <alignment horizontal="center" vertical="center" wrapText="1"/>
    </xf>
    <xf numFmtId="0" fontId="68" fillId="33" borderId="122" xfId="0" applyFont="1" applyFill="1" applyBorder="1" applyAlignment="1">
      <alignment horizontal="center" vertical="center" wrapText="1"/>
    </xf>
    <xf numFmtId="0" fontId="72" fillId="33" borderId="93" xfId="0" applyFont="1" applyFill="1" applyBorder="1" applyAlignment="1">
      <alignment horizontal="center" vertical="center" wrapText="1"/>
    </xf>
    <xf numFmtId="49" fontId="10" fillId="33" borderId="111" xfId="0" applyNumberFormat="1" applyFont="1" applyFill="1" applyBorder="1" applyAlignment="1">
      <alignment horizontal="center" vertical="center"/>
    </xf>
    <xf numFmtId="0" fontId="2" fillId="32" borderId="93" xfId="0" applyFont="1" applyFill="1" applyBorder="1" applyAlignment="1">
      <alignment horizontal="center" vertical="center" wrapText="1"/>
    </xf>
    <xf numFmtId="180" fontId="42" fillId="32" borderId="109" xfId="4" applyFont="1" applyFill="1" applyBorder="1">
      <alignment vertical="center"/>
    </xf>
    <xf numFmtId="180" fontId="42" fillId="32" borderId="110" xfId="4" applyFont="1" applyFill="1" applyBorder="1">
      <alignment vertical="center"/>
    </xf>
    <xf numFmtId="0" fontId="2" fillId="32" borderId="3" xfId="0" applyNumberFormat="1" applyFont="1" applyFill="1" applyBorder="1" applyAlignment="1">
      <alignment horizontal="center" vertical="center"/>
    </xf>
    <xf numFmtId="0" fontId="2" fillId="32" borderId="3" xfId="0" applyNumberFormat="1" applyFont="1" applyFill="1" applyBorder="1" applyAlignment="1">
      <alignment horizontal="center" vertical="center" wrapText="1"/>
    </xf>
    <xf numFmtId="0" fontId="2" fillId="32" borderId="29" xfId="0" applyNumberFormat="1" applyFont="1" applyFill="1" applyBorder="1" applyAlignment="1">
      <alignment horizontal="center" vertical="center" wrapText="1"/>
    </xf>
    <xf numFmtId="0" fontId="2" fillId="32" borderId="37" xfId="0" applyNumberFormat="1" applyFont="1" applyFill="1" applyBorder="1" applyAlignment="1">
      <alignment horizontal="center" vertical="center" wrapText="1"/>
    </xf>
    <xf numFmtId="0" fontId="2" fillId="32" borderId="123" xfId="0" applyNumberFormat="1" applyFont="1" applyFill="1" applyBorder="1" applyAlignment="1">
      <alignment horizontal="center" vertical="center" wrapText="1"/>
    </xf>
    <xf numFmtId="0" fontId="2" fillId="32" borderId="119" xfId="0" applyNumberFormat="1" applyFont="1" applyFill="1" applyBorder="1" applyAlignment="1">
      <alignment horizontal="center" vertical="center" wrapText="1"/>
    </xf>
    <xf numFmtId="0" fontId="2" fillId="32" borderId="124" xfId="0" applyNumberFormat="1" applyFont="1" applyFill="1" applyBorder="1" applyAlignment="1">
      <alignment horizontal="center" vertical="center" wrapText="1"/>
    </xf>
    <xf numFmtId="0" fontId="2" fillId="33" borderId="0" xfId="0" applyFont="1" applyFill="1" applyBorder="1" applyAlignment="1">
      <alignment horizontal="left" vertical="center"/>
    </xf>
    <xf numFmtId="49" fontId="2" fillId="33" borderId="31" xfId="0" applyNumberFormat="1" applyFont="1" applyFill="1" applyBorder="1" applyAlignment="1">
      <alignment vertical="center" wrapText="1"/>
    </xf>
    <xf numFmtId="49" fontId="2" fillId="33" borderId="3" xfId="0" applyNumberFormat="1" applyFont="1" applyFill="1" applyBorder="1" applyAlignment="1">
      <alignment vertical="center" wrapText="1"/>
    </xf>
    <xf numFmtId="49" fontId="2" fillId="33" borderId="30" xfId="0" applyNumberFormat="1" applyFont="1" applyFill="1" applyBorder="1" applyAlignment="1">
      <alignment horizontal="left" vertical="center" wrapText="1"/>
    </xf>
    <xf numFmtId="49" fontId="2" fillId="33" borderId="21" xfId="0" applyNumberFormat="1" applyFont="1" applyFill="1" applyBorder="1" applyAlignment="1">
      <alignment horizontal="left" vertical="center" wrapText="1"/>
    </xf>
    <xf numFmtId="0" fontId="2" fillId="35" borderId="93" xfId="0" applyNumberFormat="1" applyFont="1" applyFill="1" applyBorder="1" applyAlignment="1">
      <alignment horizontal="center" vertical="center" wrapText="1"/>
    </xf>
    <xf numFmtId="0" fontId="0" fillId="35" borderId="93" xfId="0" applyNumberFormat="1" applyFill="1" applyBorder="1">
      <alignment vertical="center"/>
    </xf>
    <xf numFmtId="49" fontId="2" fillId="32" borderId="30" xfId="0" applyNumberFormat="1" applyFont="1" applyFill="1" applyBorder="1" applyAlignment="1">
      <alignment horizontal="center" vertical="center" wrapText="1"/>
    </xf>
    <xf numFmtId="0" fontId="2" fillId="32" borderId="5" xfId="0" applyNumberFormat="1" applyFont="1" applyFill="1" applyBorder="1" applyAlignment="1">
      <alignment horizontal="center" vertical="center" wrapText="1"/>
    </xf>
    <xf numFmtId="0" fontId="2" fillId="32" borderId="93" xfId="0" applyNumberFormat="1" applyFont="1" applyFill="1" applyBorder="1" applyAlignment="1">
      <alignment horizontal="center" vertical="center" wrapText="1"/>
    </xf>
    <xf numFmtId="0" fontId="2" fillId="15" borderId="93" xfId="0" applyNumberFormat="1" applyFont="1" applyFill="1" applyBorder="1" applyAlignment="1">
      <alignment horizontal="center" vertical="center" wrapText="1"/>
    </xf>
    <xf numFmtId="0" fontId="0" fillId="0" borderId="93" xfId="0" applyNumberFormat="1" applyBorder="1">
      <alignment vertical="center"/>
    </xf>
    <xf numFmtId="49" fontId="2" fillId="32" borderId="109" xfId="0" applyNumberFormat="1" applyFont="1" applyFill="1" applyBorder="1" applyAlignment="1">
      <alignment horizontal="center" vertical="center" wrapText="1"/>
    </xf>
    <xf numFmtId="0" fontId="2" fillId="32" borderId="111" xfId="0" applyNumberFormat="1" applyFont="1" applyFill="1" applyBorder="1" applyAlignment="1">
      <alignment horizontal="center" vertical="center" wrapText="1"/>
    </xf>
    <xf numFmtId="0" fontId="2" fillId="32" borderId="110" xfId="0" applyNumberFormat="1" applyFont="1" applyFill="1" applyBorder="1" applyAlignment="1">
      <alignment horizontal="center" vertical="center" wrapText="1"/>
    </xf>
    <xf numFmtId="0" fontId="2" fillId="35" borderId="109" xfId="0" applyNumberFormat="1" applyFont="1" applyFill="1" applyBorder="1" applyAlignment="1">
      <alignment horizontal="center" vertical="center" wrapText="1"/>
    </xf>
    <xf numFmtId="0" fontId="2" fillId="35" borderId="111" xfId="0" applyNumberFormat="1" applyFont="1" applyFill="1" applyBorder="1" applyAlignment="1">
      <alignment horizontal="center" vertical="center" wrapText="1"/>
    </xf>
    <xf numFmtId="0" fontId="2" fillId="35" borderId="110" xfId="0" applyNumberFormat="1" applyFont="1" applyFill="1" applyBorder="1" applyAlignment="1">
      <alignment horizontal="center" vertical="center" wrapText="1"/>
    </xf>
    <xf numFmtId="0" fontId="2" fillId="15" borderId="204" xfId="0" applyNumberFormat="1" applyFont="1" applyFill="1" applyBorder="1" applyAlignment="1">
      <alignment horizontal="center" vertical="center" wrapText="1"/>
    </xf>
    <xf numFmtId="0" fontId="2" fillId="15" borderId="119" xfId="0" applyNumberFormat="1" applyFont="1" applyFill="1" applyBorder="1" applyAlignment="1">
      <alignment horizontal="center" vertical="center" wrapText="1"/>
    </xf>
    <xf numFmtId="0" fontId="2" fillId="15" borderId="124" xfId="0" applyNumberFormat="1" applyFont="1" applyFill="1" applyBorder="1" applyAlignment="1">
      <alignment horizontal="center" vertical="center" wrapText="1"/>
    </xf>
    <xf numFmtId="0" fontId="2" fillId="15" borderId="109" xfId="0" applyNumberFormat="1" applyFont="1" applyFill="1" applyBorder="1" applyAlignment="1">
      <alignment horizontal="center" vertical="center" wrapText="1"/>
    </xf>
    <xf numFmtId="0" fontId="2" fillId="15" borderId="111" xfId="0" applyNumberFormat="1" applyFont="1" applyFill="1" applyBorder="1" applyAlignment="1">
      <alignment horizontal="center" vertical="center" wrapText="1"/>
    </xf>
    <xf numFmtId="0" fontId="2" fillId="15" borderId="110" xfId="0" applyNumberFormat="1" applyFont="1" applyFill="1" applyBorder="1" applyAlignment="1">
      <alignment horizontal="center" vertical="center" wrapText="1"/>
    </xf>
    <xf numFmtId="49" fontId="2" fillId="33" borderId="115" xfId="0" applyNumberFormat="1" applyFont="1" applyFill="1" applyBorder="1" applyAlignment="1">
      <alignment vertical="center"/>
    </xf>
    <xf numFmtId="0" fontId="2" fillId="15" borderId="93" xfId="0" applyNumberFormat="1" applyFont="1" applyFill="1" applyBorder="1" applyAlignment="1">
      <alignment vertical="center" wrapText="1"/>
    </xf>
    <xf numFmtId="0" fontId="2" fillId="15" borderId="115" xfId="0" applyNumberFormat="1" applyFont="1" applyFill="1" applyBorder="1" applyAlignment="1">
      <alignment vertical="center"/>
    </xf>
    <xf numFmtId="49" fontId="2" fillId="33" borderId="0" xfId="0" applyNumberFormat="1" applyFont="1" applyFill="1" applyBorder="1" applyAlignment="1">
      <alignment horizontal="left" vertical="center"/>
    </xf>
    <xf numFmtId="0" fontId="9" fillId="2" borderId="119" xfId="0" applyFont="1" applyFill="1" applyBorder="1" applyAlignment="1" applyProtection="1">
      <alignment horizontal="center" vertical="center"/>
      <protection locked="0"/>
    </xf>
    <xf numFmtId="49" fontId="2" fillId="33" borderId="109" xfId="0" applyNumberFormat="1" applyFont="1" applyFill="1" applyBorder="1" applyAlignment="1">
      <alignment vertical="center" wrapText="1"/>
    </xf>
    <xf numFmtId="49" fontId="2" fillId="33" borderId="110" xfId="0" applyNumberFormat="1" applyFont="1" applyFill="1" applyBorder="1" applyAlignment="1">
      <alignment vertical="center" wrapText="1"/>
    </xf>
    <xf numFmtId="49" fontId="2" fillId="33" borderId="93" xfId="0" applyNumberFormat="1" applyFont="1" applyFill="1" applyBorder="1" applyAlignment="1">
      <alignment vertical="center" wrapText="1"/>
    </xf>
    <xf numFmtId="49" fontId="2" fillId="35" borderId="93" xfId="0" applyNumberFormat="1" applyFont="1" applyFill="1" applyBorder="1" applyAlignment="1">
      <alignment vertical="center"/>
    </xf>
    <xf numFmtId="49" fontId="2" fillId="33" borderId="115" xfId="0" applyNumberFormat="1" applyFont="1" applyFill="1" applyBorder="1" applyAlignment="1">
      <alignment vertical="center" wrapText="1"/>
    </xf>
    <xf numFmtId="49" fontId="2" fillId="32" borderId="93" xfId="0" applyNumberFormat="1" applyFont="1" applyFill="1" applyBorder="1" applyAlignment="1">
      <alignment horizontal="center" vertical="center" wrapText="1"/>
    </xf>
    <xf numFmtId="49" fontId="2" fillId="15" borderId="93" xfId="0" applyNumberFormat="1" applyFont="1" applyFill="1" applyBorder="1" applyAlignment="1">
      <alignment vertical="center"/>
    </xf>
    <xf numFmtId="180" fontId="42" fillId="0" borderId="115" xfId="0" applyNumberFormat="1" applyFont="1" applyBorder="1" applyAlignment="1" applyProtection="1">
      <alignment vertical="center"/>
      <protection locked="0"/>
    </xf>
    <xf numFmtId="180" fontId="42" fillId="0" borderId="118" xfId="0" applyNumberFormat="1" applyFont="1" applyBorder="1" applyAlignment="1" applyProtection="1">
      <alignment vertical="center"/>
      <protection locked="0"/>
    </xf>
    <xf numFmtId="180" fontId="42" fillId="0" borderId="116" xfId="0" applyNumberFormat="1" applyFont="1" applyBorder="1" applyAlignment="1" applyProtection="1">
      <alignment vertical="center"/>
      <protection locked="0"/>
    </xf>
    <xf numFmtId="49" fontId="42" fillId="15" borderId="93" xfId="0" applyNumberFormat="1" applyFont="1" applyFill="1" applyBorder="1" applyAlignment="1">
      <alignment vertical="center"/>
    </xf>
    <xf numFmtId="180" fontId="42" fillId="0" borderId="125" xfId="0" applyNumberFormat="1" applyFont="1" applyBorder="1" applyAlignment="1" applyProtection="1">
      <alignment vertical="center"/>
      <protection locked="0"/>
    </xf>
    <xf numFmtId="180" fontId="42" fillId="0" borderId="0" xfId="0" applyNumberFormat="1" applyFont="1" applyBorder="1" applyAlignment="1" applyProtection="1">
      <alignment vertical="center"/>
      <protection locked="0"/>
    </xf>
    <xf numFmtId="180" fontId="42" fillId="0" borderId="2" xfId="0" applyNumberFormat="1" applyFont="1" applyBorder="1" applyAlignment="1" applyProtection="1">
      <alignment vertical="center"/>
      <protection locked="0"/>
    </xf>
    <xf numFmtId="49" fontId="2" fillId="33" borderId="93" xfId="0" applyNumberFormat="1" applyFont="1" applyFill="1" applyBorder="1" applyAlignment="1">
      <alignment horizontal="left" vertical="center"/>
    </xf>
    <xf numFmtId="49" fontId="2" fillId="33" borderId="93" xfId="0" applyNumberFormat="1" applyFont="1" applyFill="1" applyBorder="1" applyAlignment="1">
      <alignment horizontal="left" vertical="center" wrapText="1"/>
    </xf>
    <xf numFmtId="0" fontId="2" fillId="33" borderId="93" xfId="0" applyNumberFormat="1" applyFont="1" applyFill="1" applyBorder="1" applyAlignment="1">
      <alignment horizontal="center" vertical="center" wrapText="1"/>
    </xf>
    <xf numFmtId="49" fontId="2" fillId="33" borderId="93" xfId="0" applyNumberFormat="1" applyFont="1" applyFill="1" applyBorder="1" applyAlignment="1">
      <alignment horizontal="center" vertical="center" wrapText="1"/>
    </xf>
    <xf numFmtId="49" fontId="42" fillId="15" borderId="93" xfId="0" applyNumberFormat="1" applyFont="1" applyFill="1" applyBorder="1" applyAlignment="1">
      <alignment vertical="center" wrapText="1"/>
    </xf>
    <xf numFmtId="49" fontId="2" fillId="32" borderId="116" xfId="0" applyNumberFormat="1" applyFont="1" applyFill="1" applyBorder="1" applyAlignment="1">
      <alignment horizontal="center" vertical="center" wrapText="1"/>
    </xf>
    <xf numFmtId="49" fontId="2" fillId="15" borderId="116" xfId="0" applyNumberFormat="1" applyFont="1" applyFill="1" applyBorder="1" applyAlignment="1">
      <alignment vertical="center"/>
    </xf>
    <xf numFmtId="49" fontId="2" fillId="33" borderId="125" xfId="0" applyNumberFormat="1" applyFont="1" applyFill="1" applyBorder="1" applyAlignment="1">
      <alignment vertical="center" wrapText="1"/>
    </xf>
    <xf numFmtId="49" fontId="2" fillId="33" borderId="206" xfId="0" applyNumberFormat="1" applyFont="1" applyFill="1" applyBorder="1" applyAlignment="1">
      <alignment vertical="center" wrapText="1"/>
    </xf>
    <xf numFmtId="49" fontId="2" fillId="33" borderId="123" xfId="0" applyNumberFormat="1" applyFont="1" applyFill="1" applyBorder="1" applyAlignment="1">
      <alignment vertical="center" wrapText="1"/>
    </xf>
    <xf numFmtId="49" fontId="2" fillId="33" borderId="124" xfId="0" applyNumberFormat="1" applyFont="1" applyFill="1" applyBorder="1" applyAlignment="1">
      <alignment vertical="center" wrapText="1"/>
    </xf>
    <xf numFmtId="49" fontId="42" fillId="15" borderId="109" xfId="0" applyNumberFormat="1" applyFont="1" applyFill="1" applyBorder="1" applyAlignment="1">
      <alignment vertical="center"/>
    </xf>
    <xf numFmtId="49" fontId="2" fillId="33" borderId="120" xfId="0" applyNumberFormat="1" applyFont="1" applyFill="1" applyBorder="1" applyAlignment="1">
      <alignment vertical="center" wrapText="1"/>
    </xf>
    <xf numFmtId="49" fontId="2" fillId="33" borderId="122" xfId="0" applyNumberFormat="1" applyFont="1" applyFill="1" applyBorder="1" applyAlignment="1">
      <alignment vertical="center" wrapText="1"/>
    </xf>
    <xf numFmtId="49" fontId="2" fillId="32" borderId="123" xfId="0" applyNumberFormat="1" applyFont="1" applyFill="1" applyBorder="1" applyAlignment="1">
      <alignment horizontal="center" vertical="center" wrapText="1"/>
    </xf>
    <xf numFmtId="49" fontId="2" fillId="33" borderId="3" xfId="0" applyNumberFormat="1" applyFont="1" applyFill="1" applyBorder="1" applyAlignment="1">
      <alignment horizontal="center" vertical="center" wrapText="1"/>
    </xf>
    <xf numFmtId="49" fontId="2" fillId="33" borderId="109" xfId="0" applyNumberFormat="1" applyFont="1" applyFill="1" applyBorder="1" applyAlignment="1">
      <alignment horizontal="center" vertical="center" wrapText="1"/>
    </xf>
    <xf numFmtId="49" fontId="2" fillId="35" borderId="3" xfId="0" applyNumberFormat="1" applyFont="1" applyFill="1" applyBorder="1" applyAlignment="1">
      <alignment horizontal="center" vertical="center"/>
    </xf>
    <xf numFmtId="49" fontId="2" fillId="15" borderId="3" xfId="0" applyNumberFormat="1" applyFont="1" applyFill="1" applyBorder="1" applyAlignment="1">
      <alignment horizontal="center" vertical="center"/>
    </xf>
    <xf numFmtId="49" fontId="42" fillId="15" borderId="3" xfId="0" applyNumberFormat="1" applyFont="1" applyFill="1" applyBorder="1" applyAlignment="1">
      <alignment horizontal="center" vertical="center"/>
    </xf>
    <xf numFmtId="49" fontId="2" fillId="0" borderId="3" xfId="0" applyNumberFormat="1" applyFont="1" applyFill="1" applyBorder="1" applyAlignment="1">
      <alignment vertical="center" wrapText="1"/>
    </xf>
    <xf numFmtId="49" fontId="2" fillId="33" borderId="206" xfId="0" applyNumberFormat="1" applyFont="1" applyFill="1" applyBorder="1" applyAlignment="1">
      <alignment horizontal="left" vertical="center"/>
    </xf>
    <xf numFmtId="49" fontId="2" fillId="33" borderId="118" xfId="0" applyNumberFormat="1" applyFont="1" applyFill="1" applyBorder="1" applyAlignment="1">
      <alignment horizontal="left" vertical="center"/>
    </xf>
    <xf numFmtId="49" fontId="2" fillId="33" borderId="125" xfId="0" applyNumberFormat="1" applyFont="1" applyFill="1" applyBorder="1" applyAlignment="1">
      <alignment horizontal="left" vertical="center"/>
    </xf>
    <xf numFmtId="49" fontId="2" fillId="15" borderId="115" xfId="0" applyNumberFormat="1" applyFont="1" applyFill="1" applyBorder="1" applyAlignment="1">
      <alignment horizontal="left" vertical="center"/>
    </xf>
    <xf numFmtId="49" fontId="2" fillId="33" borderId="3" xfId="0" applyNumberFormat="1" applyFont="1" applyFill="1" applyBorder="1" applyAlignment="1">
      <alignment horizontal="left" vertical="center" wrapText="1"/>
    </xf>
    <xf numFmtId="49" fontId="2" fillId="33" borderId="3" xfId="0" applyNumberFormat="1" applyFont="1" applyFill="1" applyBorder="1" applyAlignment="1" applyProtection="1">
      <alignment vertical="center" wrapText="1"/>
      <protection locked="0"/>
    </xf>
    <xf numFmtId="49" fontId="2" fillId="15" borderId="3" xfId="0" applyNumberFormat="1" applyFont="1" applyFill="1" applyBorder="1" applyAlignment="1" applyProtection="1">
      <alignment vertical="center"/>
      <protection locked="0"/>
    </xf>
    <xf numFmtId="49" fontId="42" fillId="15" borderId="3" xfId="0" applyNumberFormat="1" applyFont="1" applyFill="1" applyBorder="1" applyAlignment="1" applyProtection="1">
      <alignment vertical="center"/>
      <protection locked="0"/>
    </xf>
    <xf numFmtId="49" fontId="18" fillId="0" borderId="0" xfId="0" applyNumberFormat="1" applyFont="1" applyFill="1" applyBorder="1" applyAlignment="1" applyProtection="1">
      <alignment horizontal="center" vertical="center" wrapText="1"/>
      <protection locked="0"/>
    </xf>
    <xf numFmtId="49" fontId="2" fillId="0" borderId="0" xfId="0" applyNumberFormat="1" applyFont="1" applyFill="1" applyBorder="1" applyAlignment="1" applyProtection="1">
      <alignment horizontal="center" vertical="center" wrapText="1"/>
      <protection locked="0"/>
    </xf>
    <xf numFmtId="49" fontId="42" fillId="15" borderId="3" xfId="0" applyNumberFormat="1" applyFont="1" applyFill="1" applyBorder="1" applyAlignment="1" applyProtection="1">
      <alignment vertical="center" wrapText="1"/>
      <protection locked="0"/>
    </xf>
    <xf numFmtId="49" fontId="2" fillId="15" borderId="3" xfId="0" applyNumberFormat="1" applyFont="1" applyFill="1" applyBorder="1" applyAlignment="1" applyProtection="1">
      <alignment vertical="center" wrapText="1"/>
      <protection locked="0"/>
    </xf>
    <xf numFmtId="49" fontId="2" fillId="0" borderId="3" xfId="0" applyNumberFormat="1" applyFont="1" applyFill="1" applyBorder="1" applyAlignment="1" applyProtection="1">
      <alignment horizontal="center" vertical="center"/>
      <protection locked="0"/>
    </xf>
    <xf numFmtId="49" fontId="2" fillId="32" borderId="3" xfId="0" applyNumberFormat="1" applyFont="1" applyFill="1" applyBorder="1" applyAlignment="1">
      <alignment horizontal="center" vertical="center" wrapText="1"/>
    </xf>
    <xf numFmtId="0" fontId="2" fillId="32" borderId="123" xfId="0" applyNumberFormat="1" applyFont="1" applyFill="1" applyBorder="1" applyAlignment="1" applyProtection="1">
      <alignment horizontal="center" vertical="center"/>
      <protection locked="0"/>
    </xf>
    <xf numFmtId="0" fontId="2" fillId="32" borderId="124" xfId="0" applyNumberFormat="1" applyFont="1" applyFill="1" applyBorder="1" applyAlignment="1" applyProtection="1">
      <alignment horizontal="center" vertical="center"/>
      <protection locked="0"/>
    </xf>
    <xf numFmtId="49" fontId="2" fillId="32" borderId="123" xfId="0" applyNumberFormat="1" applyFont="1" applyFill="1" applyBorder="1" applyAlignment="1" applyProtection="1">
      <alignment horizontal="center" vertical="center"/>
      <protection locked="0"/>
    </xf>
    <xf numFmtId="49" fontId="2" fillId="15" borderId="93" xfId="0" applyNumberFormat="1" applyFont="1" applyFill="1" applyBorder="1" applyAlignment="1">
      <alignment horizontal="center" vertical="center"/>
    </xf>
    <xf numFmtId="49" fontId="2" fillId="33" borderId="93" xfId="0" applyNumberFormat="1" applyFont="1" applyFill="1" applyBorder="1" applyAlignment="1">
      <alignment vertical="center"/>
    </xf>
    <xf numFmtId="0" fontId="2" fillId="32" borderId="93" xfId="0" applyNumberFormat="1" applyFont="1" applyFill="1" applyBorder="1" applyAlignment="1" applyProtection="1">
      <alignment horizontal="center" vertical="center"/>
      <protection locked="0"/>
    </xf>
    <xf numFmtId="49" fontId="2" fillId="32" borderId="93" xfId="0" applyNumberFormat="1" applyFont="1" applyFill="1" applyBorder="1" applyAlignment="1" applyProtection="1">
      <alignment horizontal="center" vertical="center"/>
      <protection locked="0"/>
    </xf>
    <xf numFmtId="0" fontId="2" fillId="0" borderId="93" xfId="0" applyFont="1" applyBorder="1" applyAlignment="1">
      <alignment horizontal="justify" vertical="center" wrapText="1"/>
    </xf>
    <xf numFmtId="0" fontId="68" fillId="0" borderId="0" xfId="0" applyFont="1" applyAlignment="1">
      <alignment horizontal="center" vertical="center" wrapText="1"/>
    </xf>
    <xf numFmtId="0" fontId="13" fillId="0" borderId="0" xfId="0" applyFont="1" applyAlignment="1">
      <alignment horizontal="left" vertical="center" wrapText="1"/>
    </xf>
    <xf numFmtId="0" fontId="2" fillId="0" borderId="0" xfId="0" applyFont="1" applyBorder="1" applyAlignment="1">
      <alignment horizontal="center" vertical="center" wrapText="1"/>
    </xf>
    <xf numFmtId="0" fontId="25" fillId="0" borderId="93" xfId="0" applyFont="1" applyBorder="1" applyAlignment="1">
      <alignment horizontal="center" vertical="center" wrapText="1"/>
    </xf>
    <xf numFmtId="0" fontId="25" fillId="0" borderId="93" xfId="0" applyFont="1" applyBorder="1" applyAlignment="1">
      <alignment horizontal="left" vertical="center" wrapText="1"/>
    </xf>
    <xf numFmtId="0" fontId="2" fillId="0" borderId="93" xfId="0" applyFont="1" applyBorder="1" applyAlignment="1">
      <alignment horizontal="left" vertical="center" wrapText="1"/>
    </xf>
    <xf numFmtId="0" fontId="2" fillId="0" borderId="93" xfId="0" applyFont="1" applyBorder="1" applyAlignment="1">
      <alignment horizontal="center" vertical="center"/>
    </xf>
    <xf numFmtId="0" fontId="2" fillId="0" borderId="109" xfId="0" applyFont="1" applyBorder="1" applyAlignment="1">
      <alignment horizontal="left" vertical="center" wrapText="1"/>
    </xf>
    <xf numFmtId="0" fontId="2" fillId="0" borderId="93" xfId="0" applyFont="1" applyBorder="1" applyAlignment="1">
      <alignment vertical="center" wrapText="1"/>
    </xf>
    <xf numFmtId="0" fontId="2" fillId="0" borderId="93" xfId="0" applyFont="1" applyBorder="1" applyAlignment="1">
      <alignment vertical="center"/>
    </xf>
    <xf numFmtId="0" fontId="70" fillId="15" borderId="93" xfId="0" applyFont="1" applyFill="1" applyBorder="1" applyAlignment="1">
      <alignment horizontal="center" vertical="center" wrapText="1"/>
    </xf>
    <xf numFmtId="0" fontId="94" fillId="15" borderId="0" xfId="0" applyFont="1" applyFill="1" applyAlignment="1">
      <alignment horizontal="left" vertical="center"/>
    </xf>
    <xf numFmtId="0" fontId="95" fillId="15" borderId="0" xfId="0" applyFont="1" applyFill="1" applyAlignment="1">
      <alignment horizontal="left" vertical="center"/>
    </xf>
    <xf numFmtId="0" fontId="93" fillId="15" borderId="0" xfId="0" applyFont="1" applyFill="1" applyBorder="1" applyAlignment="1">
      <alignment horizontal="center" vertical="center" wrapText="1"/>
    </xf>
    <xf numFmtId="0" fontId="13" fillId="15" borderId="0" xfId="0" applyFont="1" applyFill="1" applyBorder="1" applyAlignment="1">
      <alignment horizontal="right" vertical="center" wrapText="1"/>
    </xf>
    <xf numFmtId="0" fontId="2" fillId="15" borderId="0" xfId="0" applyFont="1" applyFill="1" applyBorder="1" applyAlignment="1">
      <alignment horizontal="left" vertical="center" wrapText="1"/>
    </xf>
    <xf numFmtId="0" fontId="53" fillId="15" borderId="0" xfId="0" applyFont="1" applyFill="1" applyBorder="1" applyAlignment="1">
      <alignment horizontal="right" vertical="center" wrapText="1"/>
    </xf>
    <xf numFmtId="0" fontId="96" fillId="15" borderId="109" xfId="0" applyFont="1" applyFill="1" applyBorder="1" applyAlignment="1">
      <alignment horizontal="center" vertical="center" wrapText="1"/>
    </xf>
    <xf numFmtId="0" fontId="96" fillId="15" borderId="111" xfId="0" applyFont="1" applyFill="1" applyBorder="1" applyAlignment="1">
      <alignment horizontal="center" vertical="center" wrapText="1"/>
    </xf>
    <xf numFmtId="0" fontId="2" fillId="15" borderId="93" xfId="0" applyFont="1" applyFill="1" applyBorder="1" applyAlignment="1">
      <alignment horizontal="center" vertical="center" wrapText="1"/>
    </xf>
    <xf numFmtId="0" fontId="2" fillId="15" borderId="115" xfId="0" applyFont="1" applyFill="1" applyBorder="1" applyAlignment="1">
      <alignment horizontal="center" vertical="center" wrapText="1"/>
    </xf>
    <xf numFmtId="0" fontId="2" fillId="15" borderId="116" xfId="0" applyFont="1" applyFill="1" applyBorder="1" applyAlignment="1">
      <alignment horizontal="center" vertical="center" wrapText="1"/>
    </xf>
    <xf numFmtId="0" fontId="23" fillId="15" borderId="93" xfId="0" applyFont="1" applyFill="1" applyBorder="1" applyAlignment="1">
      <alignment horizontal="left" vertical="center" wrapText="1"/>
    </xf>
    <xf numFmtId="0" fontId="80" fillId="15" borderId="93" xfId="0" applyFont="1" applyFill="1" applyBorder="1" applyAlignment="1">
      <alignment horizontal="left" vertical="center" wrapText="1"/>
    </xf>
    <xf numFmtId="0" fontId="147" fillId="0" borderId="0" xfId="9" applyFont="1" applyAlignment="1">
      <alignment vertical="center" wrapText="1"/>
    </xf>
    <xf numFmtId="0" fontId="148" fillId="0" borderId="0" xfId="9" applyFont="1" applyAlignment="1">
      <alignment vertical="center" wrapText="1"/>
    </xf>
    <xf numFmtId="0" fontId="148" fillId="0" borderId="0" xfId="9" applyFont="1" applyAlignment="1">
      <alignment vertical="center"/>
    </xf>
    <xf numFmtId="0" fontId="148" fillId="0" borderId="0" xfId="9" applyFont="1" applyAlignment="1">
      <alignment vertical="center" wrapText="1"/>
    </xf>
    <xf numFmtId="0" fontId="149" fillId="0" borderId="128" xfId="9" applyFont="1" applyBorder="1" applyAlignment="1">
      <alignment horizontal="left" vertical="center" wrapText="1"/>
    </xf>
    <xf numFmtId="43" fontId="148" fillId="30" borderId="231" xfId="10" applyFont="1" applyFill="1" applyBorder="1" applyAlignment="1">
      <alignment vertical="center" wrapText="1"/>
    </xf>
    <xf numFmtId="0" fontId="149" fillId="33" borderId="135" xfId="9" applyFont="1" applyFill="1" applyBorder="1" applyAlignment="1">
      <alignment horizontal="left" vertical="center" wrapText="1"/>
    </xf>
    <xf numFmtId="0" fontId="149" fillId="33" borderId="134" xfId="9" applyFont="1" applyFill="1" applyBorder="1" applyAlignment="1">
      <alignment horizontal="left" vertical="center" wrapText="1"/>
    </xf>
    <xf numFmtId="0" fontId="148" fillId="33" borderId="232" xfId="9" applyFont="1" applyFill="1" applyBorder="1" applyAlignment="1">
      <alignment horizontal="left" vertical="center" wrapText="1"/>
    </xf>
    <xf numFmtId="43" fontId="148" fillId="0" borderId="233" xfId="10" applyFont="1" applyFill="1" applyBorder="1" applyAlignment="1">
      <alignment vertical="center" wrapText="1"/>
    </xf>
    <xf numFmtId="0" fontId="148" fillId="33" borderId="110" xfId="9" applyFont="1" applyFill="1" applyBorder="1" applyAlignment="1">
      <alignment horizontal="left" vertical="center" wrapText="1"/>
    </xf>
    <xf numFmtId="0" fontId="148" fillId="33" borderId="109" xfId="9" applyFont="1" applyFill="1" applyBorder="1" applyAlignment="1">
      <alignment horizontal="left" vertical="center" wrapText="1"/>
    </xf>
    <xf numFmtId="0" fontId="148" fillId="33" borderId="132" xfId="9" applyFont="1" applyFill="1" applyBorder="1" applyAlignment="1">
      <alignment horizontal="left" vertical="center" wrapText="1"/>
    </xf>
    <xf numFmtId="0" fontId="149" fillId="33" borderId="110" xfId="9" applyFont="1" applyFill="1" applyBorder="1" applyAlignment="1">
      <alignment horizontal="left" vertical="center" wrapText="1"/>
    </xf>
    <xf numFmtId="0" fontId="149" fillId="33" borderId="109" xfId="9" applyFont="1" applyFill="1" applyBorder="1" applyAlignment="1">
      <alignment horizontal="left" vertical="center" wrapText="1"/>
    </xf>
    <xf numFmtId="43" fontId="148" fillId="30" borderId="233" xfId="10" applyFont="1" applyFill="1" applyBorder="1" applyAlignment="1">
      <alignment vertical="center" wrapText="1"/>
    </xf>
    <xf numFmtId="0" fontId="151" fillId="33" borderId="110" xfId="9" applyFont="1" applyFill="1" applyBorder="1" applyAlignment="1">
      <alignment horizontal="left" vertical="center" wrapText="1"/>
    </xf>
    <xf numFmtId="0" fontId="151" fillId="33" borderId="109" xfId="9" applyFont="1" applyFill="1" applyBorder="1" applyAlignment="1">
      <alignment horizontal="left" vertical="center" wrapText="1"/>
    </xf>
    <xf numFmtId="0" fontId="151" fillId="0" borderId="110" xfId="9" applyFont="1" applyFill="1" applyBorder="1" applyAlignment="1">
      <alignment horizontal="left" vertical="center" wrapText="1"/>
    </xf>
    <xf numFmtId="0" fontId="151" fillId="0" borderId="109" xfId="9" applyFont="1" applyFill="1" applyBorder="1" applyAlignment="1">
      <alignment horizontal="left" vertical="center" wrapText="1"/>
    </xf>
    <xf numFmtId="0" fontId="148" fillId="33" borderId="132" xfId="9" quotePrefix="1" applyFont="1" applyFill="1" applyBorder="1" applyAlignment="1">
      <alignment horizontal="left" vertical="center" wrapText="1"/>
    </xf>
    <xf numFmtId="0" fontId="152" fillId="33" borderId="110" xfId="9" applyFont="1" applyFill="1" applyBorder="1" applyAlignment="1">
      <alignment horizontal="left" vertical="center" wrapText="1"/>
    </xf>
    <xf numFmtId="0" fontId="152" fillId="33" borderId="109" xfId="9" applyFont="1" applyFill="1" applyBorder="1" applyAlignment="1">
      <alignment horizontal="left" vertical="center" wrapText="1"/>
    </xf>
    <xf numFmtId="0" fontId="148" fillId="0" borderId="0" xfId="9" applyFont="1" applyAlignment="1">
      <alignment horizontal="justify" vertical="center" wrapText="1"/>
    </xf>
    <xf numFmtId="0" fontId="151" fillId="33" borderId="93" xfId="9" applyFont="1" applyFill="1" applyBorder="1" applyAlignment="1">
      <alignment horizontal="left" vertical="center" wrapText="1"/>
    </xf>
    <xf numFmtId="0" fontId="153" fillId="33" borderId="93" xfId="9" applyFont="1" applyFill="1" applyBorder="1" applyAlignment="1">
      <alignment horizontal="left" vertical="center" wrapText="1"/>
    </xf>
    <xf numFmtId="0" fontId="148" fillId="33" borderId="93" xfId="9" applyFont="1" applyFill="1" applyBorder="1" applyAlignment="1">
      <alignment horizontal="left" vertical="center" wrapText="1"/>
    </xf>
    <xf numFmtId="0" fontId="149" fillId="33" borderId="110" xfId="9" applyNumberFormat="1" applyFont="1" applyFill="1" applyBorder="1" applyAlignment="1">
      <alignment horizontal="left" vertical="center" wrapText="1"/>
    </xf>
    <xf numFmtId="0" fontId="149" fillId="33" borderId="109" xfId="9" applyNumberFormat="1" applyFont="1" applyFill="1" applyBorder="1" applyAlignment="1">
      <alignment horizontal="left" vertical="center" wrapText="1"/>
    </xf>
    <xf numFmtId="0" fontId="151" fillId="33" borderId="116" xfId="9" applyFont="1" applyFill="1" applyBorder="1" applyAlignment="1">
      <alignment horizontal="left" vertical="center" wrapText="1"/>
    </xf>
    <xf numFmtId="0" fontId="151" fillId="33" borderId="115" xfId="9" applyFont="1" applyFill="1" applyBorder="1" applyAlignment="1">
      <alignment horizontal="left" vertical="center" wrapText="1"/>
    </xf>
    <xf numFmtId="0" fontId="154" fillId="33" borderId="93" xfId="9" applyFont="1" applyFill="1" applyBorder="1" applyAlignment="1">
      <alignment horizontal="left" vertical="center" wrapText="1"/>
    </xf>
    <xf numFmtId="0" fontId="148" fillId="33" borderId="116" xfId="9" applyFont="1" applyFill="1" applyBorder="1" applyAlignment="1">
      <alignment horizontal="left" vertical="center" wrapText="1"/>
    </xf>
    <xf numFmtId="0" fontId="148" fillId="33" borderId="118" xfId="9" applyFont="1" applyFill="1" applyBorder="1" applyAlignment="1">
      <alignment horizontal="left" vertical="center" wrapText="1"/>
    </xf>
    <xf numFmtId="0" fontId="148" fillId="33" borderId="115" xfId="9" applyFont="1" applyFill="1" applyBorder="1" applyAlignment="1">
      <alignment horizontal="left" vertical="center" wrapText="1"/>
    </xf>
    <xf numFmtId="0" fontId="148" fillId="33" borderId="93" xfId="9" applyFont="1" applyFill="1" applyBorder="1" applyAlignment="1">
      <alignment vertical="center" wrapText="1"/>
    </xf>
    <xf numFmtId="0" fontId="149" fillId="33" borderId="234" xfId="9" applyFont="1" applyFill="1" applyBorder="1" applyAlignment="1">
      <alignment horizontal="center" vertical="center" wrapText="1"/>
    </xf>
    <xf numFmtId="0" fontId="149" fillId="33" borderId="235" xfId="9" applyFont="1" applyFill="1" applyBorder="1" applyAlignment="1">
      <alignment horizontal="center" vertical="center" wrapText="1"/>
    </xf>
    <xf numFmtId="0" fontId="149" fillId="33" borderId="236" xfId="9" applyFont="1" applyFill="1" applyBorder="1" applyAlignment="1">
      <alignment horizontal="center" vertical="center" wrapText="1"/>
    </xf>
    <xf numFmtId="0" fontId="149" fillId="33" borderId="237" xfId="9" applyFont="1" applyFill="1" applyBorder="1" applyAlignment="1">
      <alignment horizontal="center" vertical="center" wrapText="1"/>
    </xf>
    <xf numFmtId="0" fontId="148" fillId="33" borderId="0" xfId="9" applyFont="1" applyFill="1" applyAlignment="1">
      <alignment horizontal="right" vertical="center"/>
    </xf>
    <xf numFmtId="0" fontId="148" fillId="33" borderId="0" xfId="9" applyFont="1" applyFill="1" applyBorder="1" applyAlignment="1">
      <alignment horizontal="left" vertical="center" wrapText="1"/>
    </xf>
    <xf numFmtId="0" fontId="149" fillId="33" borderId="0" xfId="9" applyFont="1" applyFill="1" applyBorder="1" applyAlignment="1">
      <alignment horizontal="center" vertical="center" wrapText="1"/>
    </xf>
    <xf numFmtId="0" fontId="155" fillId="33" borderId="0" xfId="9" applyFont="1" applyFill="1" applyBorder="1" applyAlignment="1">
      <alignment horizontal="center" vertical="center" wrapText="1"/>
    </xf>
    <xf numFmtId="0" fontId="148" fillId="33" borderId="0" xfId="9" applyFont="1" applyFill="1" applyAlignment="1">
      <alignment vertical="center" wrapText="1"/>
    </xf>
    <xf numFmtId="0" fontId="149" fillId="33" borderId="0" xfId="9" applyFont="1" applyFill="1" applyAlignment="1">
      <alignment vertical="center" wrapText="1"/>
    </xf>
    <xf numFmtId="0" fontId="149" fillId="33" borderId="0" xfId="9" applyFont="1" applyFill="1" applyAlignment="1">
      <alignment vertical="center"/>
    </xf>
    <xf numFmtId="0" fontId="156" fillId="33" borderId="0" xfId="9" applyFont="1" applyFill="1" applyAlignment="1">
      <alignment horizontal="center" vertical="center" wrapText="1"/>
    </xf>
    <xf numFmtId="0" fontId="157" fillId="33" borderId="0" xfId="9" applyFont="1" applyFill="1" applyAlignment="1">
      <alignment vertical="center"/>
    </xf>
    <xf numFmtId="43" fontId="148" fillId="32" borderId="233" xfId="10" applyFont="1" applyFill="1" applyBorder="1" applyAlignment="1">
      <alignment vertical="center" wrapText="1"/>
    </xf>
    <xf numFmtId="0" fontId="151" fillId="32" borderId="110" xfId="9" applyFont="1" applyFill="1" applyBorder="1" applyAlignment="1">
      <alignment horizontal="left" vertical="center" wrapText="1"/>
    </xf>
    <xf numFmtId="0" fontId="151" fillId="32" borderId="109" xfId="9" applyFont="1" applyFill="1" applyBorder="1" applyAlignment="1">
      <alignment horizontal="left" vertical="center" wrapText="1"/>
    </xf>
    <xf numFmtId="0" fontId="12" fillId="0" borderId="93" xfId="2" applyFill="1" applyBorder="1" applyProtection="1">
      <alignment vertical="center"/>
    </xf>
    <xf numFmtId="0" fontId="12" fillId="0" borderId="93" xfId="2" applyBorder="1">
      <alignment vertical="center"/>
    </xf>
  </cellXfs>
  <cellStyles count="11">
    <cellStyle name="百分比" xfId="1" builtinId="5"/>
    <cellStyle name="差" xfId="7" builtinId="27"/>
    <cellStyle name="常规" xfId="0" builtinId="0"/>
    <cellStyle name="常规 2" xfId="9"/>
    <cellStyle name="超链接" xfId="2" builtinId="8"/>
    <cellStyle name="好" xfId="6" builtinId="26"/>
    <cellStyle name="千位分隔" xfId="4" builtinId="3"/>
    <cellStyle name="千位分隔 2" xfId="10"/>
    <cellStyle name="千位分隔[0]" xfId="5" builtinId="6"/>
    <cellStyle name="适中" xfId="8" builtinId="28"/>
    <cellStyle name="표준_0N-HANDLING " xfId="3"/>
  </cellStyles>
  <dxfs count="2">
    <dxf>
      <fill>
        <patternFill>
          <bgColor indexed="42"/>
        </patternFill>
      </fill>
    </dxf>
    <dxf>
      <font>
        <b val="0"/>
        <condense val="0"/>
        <extend val="0"/>
        <u/>
        <sz val="12"/>
      </font>
    </dxf>
  </dxfs>
  <tableStyles count="0" defaultTableStyle="TableStyleMedium9" defaultPivotStyle="PivotStyleLight16"/>
  <colors>
    <mruColors>
      <color rgb="FF99CCFF"/>
      <color rgb="FFFFCC99"/>
      <color rgb="FFCCFFCC"/>
      <color rgb="FFCCE1CC"/>
      <color rgb="FFC0C0C0"/>
      <color rgb="FFFF99CC"/>
      <color rgb="FF808000"/>
      <color rgb="FF0099CC"/>
      <color rgb="FF00CCFF"/>
      <color rgb="FF33CCFF"/>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26" Type="http://schemas.openxmlformats.org/officeDocument/2006/relationships/worksheet" Target="worksheets/sheet26.xml"/><Relationship Id="rId117" Type="http://schemas.openxmlformats.org/officeDocument/2006/relationships/worksheet" Target="worksheets/sheet117.xml"/><Relationship Id="rId21" Type="http://schemas.openxmlformats.org/officeDocument/2006/relationships/worksheet" Target="worksheets/sheet21.xml"/><Relationship Id="rId42" Type="http://schemas.openxmlformats.org/officeDocument/2006/relationships/worksheet" Target="worksheets/sheet42.xml"/><Relationship Id="rId47" Type="http://schemas.openxmlformats.org/officeDocument/2006/relationships/worksheet" Target="worksheets/sheet47.xml"/><Relationship Id="rId63" Type="http://schemas.openxmlformats.org/officeDocument/2006/relationships/worksheet" Target="worksheets/sheet63.xml"/><Relationship Id="rId68" Type="http://schemas.openxmlformats.org/officeDocument/2006/relationships/worksheet" Target="worksheets/sheet68.xml"/><Relationship Id="rId84" Type="http://schemas.openxmlformats.org/officeDocument/2006/relationships/worksheet" Target="worksheets/sheet84.xml"/><Relationship Id="rId89" Type="http://schemas.openxmlformats.org/officeDocument/2006/relationships/worksheet" Target="worksheets/sheet89.xml"/><Relationship Id="rId112" Type="http://schemas.openxmlformats.org/officeDocument/2006/relationships/worksheet" Target="worksheets/sheet112.xml"/><Relationship Id="rId133" Type="http://schemas.openxmlformats.org/officeDocument/2006/relationships/worksheet" Target="worksheets/sheet133.xml"/><Relationship Id="rId138" Type="http://schemas.openxmlformats.org/officeDocument/2006/relationships/worksheet" Target="worksheets/sheet138.xml"/><Relationship Id="rId154" Type="http://schemas.openxmlformats.org/officeDocument/2006/relationships/worksheet" Target="worksheets/sheet154.xml"/><Relationship Id="rId159" Type="http://schemas.openxmlformats.org/officeDocument/2006/relationships/worksheet" Target="worksheets/sheet159.xml"/><Relationship Id="rId175" Type="http://schemas.openxmlformats.org/officeDocument/2006/relationships/theme" Target="theme/theme1.xml"/><Relationship Id="rId170" Type="http://schemas.openxmlformats.org/officeDocument/2006/relationships/worksheet" Target="worksheets/sheet170.xml"/><Relationship Id="rId16" Type="http://schemas.openxmlformats.org/officeDocument/2006/relationships/worksheet" Target="worksheets/sheet16.xml"/><Relationship Id="rId107" Type="http://schemas.openxmlformats.org/officeDocument/2006/relationships/worksheet" Target="worksheets/sheet107.xml"/><Relationship Id="rId11" Type="http://schemas.openxmlformats.org/officeDocument/2006/relationships/worksheet" Target="worksheets/sheet11.xml"/><Relationship Id="rId32" Type="http://schemas.openxmlformats.org/officeDocument/2006/relationships/worksheet" Target="worksheets/sheet32.xml"/><Relationship Id="rId37" Type="http://schemas.openxmlformats.org/officeDocument/2006/relationships/worksheet" Target="worksheets/sheet37.xml"/><Relationship Id="rId53" Type="http://schemas.openxmlformats.org/officeDocument/2006/relationships/worksheet" Target="worksheets/sheet53.xml"/><Relationship Id="rId58" Type="http://schemas.openxmlformats.org/officeDocument/2006/relationships/worksheet" Target="worksheets/sheet58.xml"/><Relationship Id="rId74" Type="http://schemas.openxmlformats.org/officeDocument/2006/relationships/worksheet" Target="worksheets/sheet74.xml"/><Relationship Id="rId79" Type="http://schemas.openxmlformats.org/officeDocument/2006/relationships/worksheet" Target="worksheets/sheet79.xml"/><Relationship Id="rId102" Type="http://schemas.openxmlformats.org/officeDocument/2006/relationships/worksheet" Target="worksheets/sheet102.xml"/><Relationship Id="rId123" Type="http://schemas.openxmlformats.org/officeDocument/2006/relationships/worksheet" Target="worksheets/sheet123.xml"/><Relationship Id="rId128" Type="http://schemas.openxmlformats.org/officeDocument/2006/relationships/worksheet" Target="worksheets/sheet128.xml"/><Relationship Id="rId144" Type="http://schemas.openxmlformats.org/officeDocument/2006/relationships/worksheet" Target="worksheets/sheet144.xml"/><Relationship Id="rId149" Type="http://schemas.openxmlformats.org/officeDocument/2006/relationships/worksheet" Target="worksheets/sheet149.xml"/><Relationship Id="rId5" Type="http://schemas.openxmlformats.org/officeDocument/2006/relationships/worksheet" Target="worksheets/sheet5.xml"/><Relationship Id="rId90" Type="http://schemas.openxmlformats.org/officeDocument/2006/relationships/worksheet" Target="worksheets/sheet90.xml"/><Relationship Id="rId95" Type="http://schemas.openxmlformats.org/officeDocument/2006/relationships/worksheet" Target="worksheets/sheet95.xml"/><Relationship Id="rId160" Type="http://schemas.openxmlformats.org/officeDocument/2006/relationships/worksheet" Target="worksheets/sheet160.xml"/><Relationship Id="rId165" Type="http://schemas.openxmlformats.org/officeDocument/2006/relationships/worksheet" Target="worksheets/sheet165.xml"/><Relationship Id="rId22" Type="http://schemas.openxmlformats.org/officeDocument/2006/relationships/worksheet" Target="worksheets/sheet22.xml"/><Relationship Id="rId27" Type="http://schemas.openxmlformats.org/officeDocument/2006/relationships/worksheet" Target="worksheets/sheet27.xml"/><Relationship Id="rId43" Type="http://schemas.openxmlformats.org/officeDocument/2006/relationships/worksheet" Target="worksheets/sheet43.xml"/><Relationship Id="rId48" Type="http://schemas.openxmlformats.org/officeDocument/2006/relationships/worksheet" Target="worksheets/sheet48.xml"/><Relationship Id="rId64" Type="http://schemas.openxmlformats.org/officeDocument/2006/relationships/worksheet" Target="worksheets/sheet64.xml"/><Relationship Id="rId69" Type="http://schemas.openxmlformats.org/officeDocument/2006/relationships/worksheet" Target="worksheets/sheet69.xml"/><Relationship Id="rId113" Type="http://schemas.openxmlformats.org/officeDocument/2006/relationships/worksheet" Target="worksheets/sheet113.xml"/><Relationship Id="rId118" Type="http://schemas.openxmlformats.org/officeDocument/2006/relationships/worksheet" Target="worksheets/sheet118.xml"/><Relationship Id="rId134" Type="http://schemas.openxmlformats.org/officeDocument/2006/relationships/worksheet" Target="worksheets/sheet134.xml"/><Relationship Id="rId139" Type="http://schemas.openxmlformats.org/officeDocument/2006/relationships/worksheet" Target="worksheets/sheet139.xml"/><Relationship Id="rId80" Type="http://schemas.openxmlformats.org/officeDocument/2006/relationships/worksheet" Target="worksheets/sheet80.xml"/><Relationship Id="rId85" Type="http://schemas.openxmlformats.org/officeDocument/2006/relationships/worksheet" Target="worksheets/sheet85.xml"/><Relationship Id="rId150" Type="http://schemas.openxmlformats.org/officeDocument/2006/relationships/worksheet" Target="worksheets/sheet150.xml"/><Relationship Id="rId155" Type="http://schemas.openxmlformats.org/officeDocument/2006/relationships/worksheet" Target="worksheets/sheet155.xml"/><Relationship Id="rId171" Type="http://schemas.openxmlformats.org/officeDocument/2006/relationships/worksheet" Target="worksheets/sheet171.xml"/><Relationship Id="rId176" Type="http://schemas.openxmlformats.org/officeDocument/2006/relationships/styles" Target="styles.xml"/><Relationship Id="rId12" Type="http://schemas.openxmlformats.org/officeDocument/2006/relationships/worksheet" Target="worksheets/sheet12.xml"/><Relationship Id="rId17" Type="http://schemas.openxmlformats.org/officeDocument/2006/relationships/worksheet" Target="worksheets/sheet17.xml"/><Relationship Id="rId33" Type="http://schemas.openxmlformats.org/officeDocument/2006/relationships/worksheet" Target="worksheets/sheet33.xml"/><Relationship Id="rId38" Type="http://schemas.openxmlformats.org/officeDocument/2006/relationships/worksheet" Target="worksheets/sheet38.xml"/><Relationship Id="rId59" Type="http://schemas.openxmlformats.org/officeDocument/2006/relationships/worksheet" Target="worksheets/sheet59.xml"/><Relationship Id="rId103" Type="http://schemas.openxmlformats.org/officeDocument/2006/relationships/worksheet" Target="worksheets/sheet103.xml"/><Relationship Id="rId108" Type="http://schemas.openxmlformats.org/officeDocument/2006/relationships/worksheet" Target="worksheets/sheet108.xml"/><Relationship Id="rId124" Type="http://schemas.openxmlformats.org/officeDocument/2006/relationships/worksheet" Target="worksheets/sheet124.xml"/><Relationship Id="rId129" Type="http://schemas.openxmlformats.org/officeDocument/2006/relationships/worksheet" Target="worksheets/sheet129.xml"/><Relationship Id="rId54" Type="http://schemas.openxmlformats.org/officeDocument/2006/relationships/worksheet" Target="worksheets/sheet54.xml"/><Relationship Id="rId70" Type="http://schemas.openxmlformats.org/officeDocument/2006/relationships/worksheet" Target="worksheets/sheet70.xml"/><Relationship Id="rId75" Type="http://schemas.openxmlformats.org/officeDocument/2006/relationships/worksheet" Target="worksheets/sheet75.xml"/><Relationship Id="rId91" Type="http://schemas.openxmlformats.org/officeDocument/2006/relationships/worksheet" Target="worksheets/sheet91.xml"/><Relationship Id="rId96" Type="http://schemas.openxmlformats.org/officeDocument/2006/relationships/worksheet" Target="worksheets/sheet96.xml"/><Relationship Id="rId140" Type="http://schemas.openxmlformats.org/officeDocument/2006/relationships/worksheet" Target="worksheets/sheet140.xml"/><Relationship Id="rId145" Type="http://schemas.openxmlformats.org/officeDocument/2006/relationships/worksheet" Target="worksheets/sheet145.xml"/><Relationship Id="rId161" Type="http://schemas.openxmlformats.org/officeDocument/2006/relationships/worksheet" Target="worksheets/sheet161.xml"/><Relationship Id="rId166" Type="http://schemas.openxmlformats.org/officeDocument/2006/relationships/worksheet" Target="worksheets/sheet166.xml"/><Relationship Id="rId1" Type="http://schemas.openxmlformats.org/officeDocument/2006/relationships/worksheet" Target="worksheets/sheet1.xml"/><Relationship Id="rId6" Type="http://schemas.openxmlformats.org/officeDocument/2006/relationships/worksheet" Target="worksheets/sheet6.xml"/><Relationship Id="rId23" Type="http://schemas.openxmlformats.org/officeDocument/2006/relationships/worksheet" Target="worksheets/sheet23.xml"/><Relationship Id="rId28" Type="http://schemas.openxmlformats.org/officeDocument/2006/relationships/worksheet" Target="worksheets/sheet28.xml"/><Relationship Id="rId49" Type="http://schemas.openxmlformats.org/officeDocument/2006/relationships/worksheet" Target="worksheets/sheet49.xml"/><Relationship Id="rId114" Type="http://schemas.openxmlformats.org/officeDocument/2006/relationships/worksheet" Target="worksheets/sheet114.xml"/><Relationship Id="rId119" Type="http://schemas.openxmlformats.org/officeDocument/2006/relationships/worksheet" Target="worksheets/sheet119.xml"/><Relationship Id="rId10" Type="http://schemas.openxmlformats.org/officeDocument/2006/relationships/worksheet" Target="worksheets/sheet10.xml"/><Relationship Id="rId31" Type="http://schemas.openxmlformats.org/officeDocument/2006/relationships/worksheet" Target="worksheets/sheet31.xml"/><Relationship Id="rId44" Type="http://schemas.openxmlformats.org/officeDocument/2006/relationships/worksheet" Target="worksheets/sheet44.xml"/><Relationship Id="rId52" Type="http://schemas.openxmlformats.org/officeDocument/2006/relationships/worksheet" Target="worksheets/sheet52.xml"/><Relationship Id="rId60" Type="http://schemas.openxmlformats.org/officeDocument/2006/relationships/worksheet" Target="worksheets/sheet60.xml"/><Relationship Id="rId65" Type="http://schemas.openxmlformats.org/officeDocument/2006/relationships/worksheet" Target="worksheets/sheet65.xml"/><Relationship Id="rId73" Type="http://schemas.openxmlformats.org/officeDocument/2006/relationships/worksheet" Target="worksheets/sheet73.xml"/><Relationship Id="rId78" Type="http://schemas.openxmlformats.org/officeDocument/2006/relationships/worksheet" Target="worksheets/sheet78.xml"/><Relationship Id="rId81" Type="http://schemas.openxmlformats.org/officeDocument/2006/relationships/worksheet" Target="worksheets/sheet81.xml"/><Relationship Id="rId86" Type="http://schemas.openxmlformats.org/officeDocument/2006/relationships/worksheet" Target="worksheets/sheet86.xml"/><Relationship Id="rId94" Type="http://schemas.openxmlformats.org/officeDocument/2006/relationships/worksheet" Target="worksheets/sheet94.xml"/><Relationship Id="rId99" Type="http://schemas.openxmlformats.org/officeDocument/2006/relationships/worksheet" Target="worksheets/sheet99.xml"/><Relationship Id="rId101" Type="http://schemas.openxmlformats.org/officeDocument/2006/relationships/worksheet" Target="worksheets/sheet101.xml"/><Relationship Id="rId122" Type="http://schemas.openxmlformats.org/officeDocument/2006/relationships/worksheet" Target="worksheets/sheet122.xml"/><Relationship Id="rId130" Type="http://schemas.openxmlformats.org/officeDocument/2006/relationships/worksheet" Target="worksheets/sheet130.xml"/><Relationship Id="rId135" Type="http://schemas.openxmlformats.org/officeDocument/2006/relationships/worksheet" Target="worksheets/sheet135.xml"/><Relationship Id="rId143" Type="http://schemas.openxmlformats.org/officeDocument/2006/relationships/worksheet" Target="worksheets/sheet143.xml"/><Relationship Id="rId148" Type="http://schemas.openxmlformats.org/officeDocument/2006/relationships/worksheet" Target="worksheets/sheet148.xml"/><Relationship Id="rId151" Type="http://schemas.openxmlformats.org/officeDocument/2006/relationships/worksheet" Target="worksheets/sheet151.xml"/><Relationship Id="rId156" Type="http://schemas.openxmlformats.org/officeDocument/2006/relationships/worksheet" Target="worksheets/sheet156.xml"/><Relationship Id="rId164" Type="http://schemas.openxmlformats.org/officeDocument/2006/relationships/worksheet" Target="worksheets/sheet164.xml"/><Relationship Id="rId169" Type="http://schemas.openxmlformats.org/officeDocument/2006/relationships/worksheet" Target="worksheets/sheet169.xml"/><Relationship Id="rId177"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worksheet" Target="worksheets/sheet9.xml"/><Relationship Id="rId172" Type="http://schemas.openxmlformats.org/officeDocument/2006/relationships/worksheet" Target="worksheets/sheet172.xml"/><Relationship Id="rId13" Type="http://schemas.openxmlformats.org/officeDocument/2006/relationships/worksheet" Target="worksheets/sheet13.xml"/><Relationship Id="rId18" Type="http://schemas.openxmlformats.org/officeDocument/2006/relationships/worksheet" Target="worksheets/sheet18.xml"/><Relationship Id="rId39" Type="http://schemas.openxmlformats.org/officeDocument/2006/relationships/worksheet" Target="worksheets/sheet39.xml"/><Relationship Id="rId109" Type="http://schemas.openxmlformats.org/officeDocument/2006/relationships/worksheet" Target="worksheets/sheet109.xml"/><Relationship Id="rId34" Type="http://schemas.openxmlformats.org/officeDocument/2006/relationships/worksheet" Target="worksheets/sheet34.xml"/><Relationship Id="rId50" Type="http://schemas.openxmlformats.org/officeDocument/2006/relationships/worksheet" Target="worksheets/sheet50.xml"/><Relationship Id="rId55" Type="http://schemas.openxmlformats.org/officeDocument/2006/relationships/worksheet" Target="worksheets/sheet55.xml"/><Relationship Id="rId76" Type="http://schemas.openxmlformats.org/officeDocument/2006/relationships/worksheet" Target="worksheets/sheet76.xml"/><Relationship Id="rId97" Type="http://schemas.openxmlformats.org/officeDocument/2006/relationships/worksheet" Target="worksheets/sheet97.xml"/><Relationship Id="rId104" Type="http://schemas.openxmlformats.org/officeDocument/2006/relationships/worksheet" Target="worksheets/sheet104.xml"/><Relationship Id="rId120" Type="http://schemas.openxmlformats.org/officeDocument/2006/relationships/worksheet" Target="worksheets/sheet120.xml"/><Relationship Id="rId125" Type="http://schemas.openxmlformats.org/officeDocument/2006/relationships/worksheet" Target="worksheets/sheet125.xml"/><Relationship Id="rId141" Type="http://schemas.openxmlformats.org/officeDocument/2006/relationships/worksheet" Target="worksheets/sheet141.xml"/><Relationship Id="rId146" Type="http://schemas.openxmlformats.org/officeDocument/2006/relationships/worksheet" Target="worksheets/sheet146.xml"/><Relationship Id="rId167" Type="http://schemas.openxmlformats.org/officeDocument/2006/relationships/worksheet" Target="worksheets/sheet167.xml"/><Relationship Id="rId7" Type="http://schemas.openxmlformats.org/officeDocument/2006/relationships/worksheet" Target="worksheets/sheet7.xml"/><Relationship Id="rId71" Type="http://schemas.openxmlformats.org/officeDocument/2006/relationships/worksheet" Target="worksheets/sheet71.xml"/><Relationship Id="rId92" Type="http://schemas.openxmlformats.org/officeDocument/2006/relationships/worksheet" Target="worksheets/sheet92.xml"/><Relationship Id="rId162" Type="http://schemas.openxmlformats.org/officeDocument/2006/relationships/worksheet" Target="worksheets/sheet162.xml"/><Relationship Id="rId2" Type="http://schemas.openxmlformats.org/officeDocument/2006/relationships/worksheet" Target="worksheets/sheet2.xml"/><Relationship Id="rId29" Type="http://schemas.openxmlformats.org/officeDocument/2006/relationships/worksheet" Target="worksheets/sheet29.xml"/><Relationship Id="rId24" Type="http://schemas.openxmlformats.org/officeDocument/2006/relationships/worksheet" Target="worksheets/sheet24.xml"/><Relationship Id="rId40" Type="http://schemas.openxmlformats.org/officeDocument/2006/relationships/worksheet" Target="worksheets/sheet40.xml"/><Relationship Id="rId45" Type="http://schemas.openxmlformats.org/officeDocument/2006/relationships/worksheet" Target="worksheets/sheet45.xml"/><Relationship Id="rId66" Type="http://schemas.openxmlformats.org/officeDocument/2006/relationships/worksheet" Target="worksheets/sheet66.xml"/><Relationship Id="rId87" Type="http://schemas.openxmlformats.org/officeDocument/2006/relationships/worksheet" Target="worksheets/sheet87.xml"/><Relationship Id="rId110" Type="http://schemas.openxmlformats.org/officeDocument/2006/relationships/worksheet" Target="worksheets/sheet110.xml"/><Relationship Id="rId115" Type="http://schemas.openxmlformats.org/officeDocument/2006/relationships/worksheet" Target="worksheets/sheet115.xml"/><Relationship Id="rId131" Type="http://schemas.openxmlformats.org/officeDocument/2006/relationships/worksheet" Target="worksheets/sheet131.xml"/><Relationship Id="rId136" Type="http://schemas.openxmlformats.org/officeDocument/2006/relationships/worksheet" Target="worksheets/sheet136.xml"/><Relationship Id="rId157" Type="http://schemas.openxmlformats.org/officeDocument/2006/relationships/worksheet" Target="worksheets/sheet157.xml"/><Relationship Id="rId178" Type="http://schemas.openxmlformats.org/officeDocument/2006/relationships/calcChain" Target="calcChain.xml"/><Relationship Id="rId61" Type="http://schemas.openxmlformats.org/officeDocument/2006/relationships/worksheet" Target="worksheets/sheet61.xml"/><Relationship Id="rId82" Type="http://schemas.openxmlformats.org/officeDocument/2006/relationships/worksheet" Target="worksheets/sheet82.xml"/><Relationship Id="rId152" Type="http://schemas.openxmlformats.org/officeDocument/2006/relationships/worksheet" Target="worksheets/sheet152.xml"/><Relationship Id="rId173" Type="http://schemas.openxmlformats.org/officeDocument/2006/relationships/worksheet" Target="worksheets/sheet173.xml"/><Relationship Id="rId19" Type="http://schemas.openxmlformats.org/officeDocument/2006/relationships/worksheet" Target="worksheets/sheet19.xml"/><Relationship Id="rId14" Type="http://schemas.openxmlformats.org/officeDocument/2006/relationships/worksheet" Target="worksheets/sheet14.xml"/><Relationship Id="rId30" Type="http://schemas.openxmlformats.org/officeDocument/2006/relationships/worksheet" Target="worksheets/sheet30.xml"/><Relationship Id="rId35" Type="http://schemas.openxmlformats.org/officeDocument/2006/relationships/worksheet" Target="worksheets/sheet35.xml"/><Relationship Id="rId56" Type="http://schemas.openxmlformats.org/officeDocument/2006/relationships/worksheet" Target="worksheets/sheet56.xml"/><Relationship Id="rId77" Type="http://schemas.openxmlformats.org/officeDocument/2006/relationships/worksheet" Target="worksheets/sheet77.xml"/><Relationship Id="rId100" Type="http://schemas.openxmlformats.org/officeDocument/2006/relationships/worksheet" Target="worksheets/sheet100.xml"/><Relationship Id="rId105" Type="http://schemas.openxmlformats.org/officeDocument/2006/relationships/worksheet" Target="worksheets/sheet105.xml"/><Relationship Id="rId126" Type="http://schemas.openxmlformats.org/officeDocument/2006/relationships/worksheet" Target="worksheets/sheet126.xml"/><Relationship Id="rId147" Type="http://schemas.openxmlformats.org/officeDocument/2006/relationships/worksheet" Target="worksheets/sheet147.xml"/><Relationship Id="rId168" Type="http://schemas.openxmlformats.org/officeDocument/2006/relationships/worksheet" Target="worksheets/sheet168.xml"/><Relationship Id="rId8" Type="http://schemas.openxmlformats.org/officeDocument/2006/relationships/worksheet" Target="worksheets/sheet8.xml"/><Relationship Id="rId51" Type="http://schemas.openxmlformats.org/officeDocument/2006/relationships/worksheet" Target="worksheets/sheet51.xml"/><Relationship Id="rId72" Type="http://schemas.openxmlformats.org/officeDocument/2006/relationships/worksheet" Target="worksheets/sheet72.xml"/><Relationship Id="rId93" Type="http://schemas.openxmlformats.org/officeDocument/2006/relationships/worksheet" Target="worksheets/sheet93.xml"/><Relationship Id="rId98" Type="http://schemas.openxmlformats.org/officeDocument/2006/relationships/worksheet" Target="worksheets/sheet98.xml"/><Relationship Id="rId121" Type="http://schemas.openxmlformats.org/officeDocument/2006/relationships/worksheet" Target="worksheets/sheet121.xml"/><Relationship Id="rId142" Type="http://schemas.openxmlformats.org/officeDocument/2006/relationships/worksheet" Target="worksheets/sheet142.xml"/><Relationship Id="rId163" Type="http://schemas.openxmlformats.org/officeDocument/2006/relationships/worksheet" Target="worksheets/sheet163.xml"/><Relationship Id="rId3" Type="http://schemas.openxmlformats.org/officeDocument/2006/relationships/worksheet" Target="worksheets/sheet3.xml"/><Relationship Id="rId25" Type="http://schemas.openxmlformats.org/officeDocument/2006/relationships/worksheet" Target="worksheets/sheet25.xml"/><Relationship Id="rId46" Type="http://schemas.openxmlformats.org/officeDocument/2006/relationships/worksheet" Target="worksheets/sheet46.xml"/><Relationship Id="rId67" Type="http://schemas.openxmlformats.org/officeDocument/2006/relationships/worksheet" Target="worksheets/sheet67.xml"/><Relationship Id="rId116" Type="http://schemas.openxmlformats.org/officeDocument/2006/relationships/worksheet" Target="worksheets/sheet116.xml"/><Relationship Id="rId137" Type="http://schemas.openxmlformats.org/officeDocument/2006/relationships/worksheet" Target="worksheets/sheet137.xml"/><Relationship Id="rId158" Type="http://schemas.openxmlformats.org/officeDocument/2006/relationships/worksheet" Target="worksheets/sheet158.xml"/><Relationship Id="rId20" Type="http://schemas.openxmlformats.org/officeDocument/2006/relationships/worksheet" Target="worksheets/sheet20.xml"/><Relationship Id="rId41" Type="http://schemas.openxmlformats.org/officeDocument/2006/relationships/worksheet" Target="worksheets/sheet41.xml"/><Relationship Id="rId62" Type="http://schemas.openxmlformats.org/officeDocument/2006/relationships/worksheet" Target="worksheets/sheet62.xml"/><Relationship Id="rId83" Type="http://schemas.openxmlformats.org/officeDocument/2006/relationships/worksheet" Target="worksheets/sheet83.xml"/><Relationship Id="rId88" Type="http://schemas.openxmlformats.org/officeDocument/2006/relationships/worksheet" Target="worksheets/sheet88.xml"/><Relationship Id="rId111" Type="http://schemas.openxmlformats.org/officeDocument/2006/relationships/worksheet" Target="worksheets/sheet111.xml"/><Relationship Id="rId132" Type="http://schemas.openxmlformats.org/officeDocument/2006/relationships/worksheet" Target="worksheets/sheet132.xml"/><Relationship Id="rId153" Type="http://schemas.openxmlformats.org/officeDocument/2006/relationships/worksheet" Target="worksheets/sheet153.xml"/><Relationship Id="rId174" Type="http://schemas.openxmlformats.org/officeDocument/2006/relationships/worksheet" Target="worksheets/sheet174.xml"/><Relationship Id="rId15" Type="http://schemas.openxmlformats.org/officeDocument/2006/relationships/worksheet" Target="worksheets/sheet15.xml"/><Relationship Id="rId36" Type="http://schemas.openxmlformats.org/officeDocument/2006/relationships/worksheet" Target="worksheets/sheet36.xml"/><Relationship Id="rId57" Type="http://schemas.openxmlformats.org/officeDocument/2006/relationships/worksheet" Target="worksheets/sheet57.xml"/><Relationship Id="rId106" Type="http://schemas.openxmlformats.org/officeDocument/2006/relationships/worksheet" Target="worksheets/sheet106.xml"/><Relationship Id="rId127" Type="http://schemas.openxmlformats.org/officeDocument/2006/relationships/worksheet" Target="worksheets/sheet127.xml"/></Relationships>
</file>

<file path=xl/drawings/_rels/drawing1.xml.rels><?xml version="1.0" encoding="UTF-8" standalone="yes"?>
<Relationships xmlns="http://schemas.openxmlformats.org/package/2006/relationships"><Relationship Id="rId2" Type="http://schemas.openxmlformats.org/officeDocument/2006/relationships/image" Target="../media/image2.png"/><Relationship Id="rId1" Type="http://schemas.openxmlformats.org/officeDocument/2006/relationships/image" Target="../media/image1.png"/></Relationships>
</file>

<file path=xl/drawings/_rels/drawing3.xml.rels><?xml version="1.0" encoding="UTF-8" standalone="yes"?>
<Relationships xmlns="http://schemas.openxmlformats.org/package/2006/relationships"><Relationship Id="rId1" Type="http://schemas.openxmlformats.org/officeDocument/2006/relationships/image" Target="../media/image3.emf"/></Relationships>
</file>

<file path=xl/drawings/_rels/vmlDrawing2.vml.rels><?xml version="1.0" encoding="UTF-8" standalone="yes"?>
<Relationships xmlns="http://schemas.openxmlformats.org/package/2006/relationships"><Relationship Id="rId1" Type="http://schemas.openxmlformats.org/officeDocument/2006/relationships/image" Target="../media/image4.png"/></Relationships>
</file>

<file path=xl/drawings/drawing1.xml><?xml version="1.0" encoding="utf-8"?>
<xdr:wsDr xmlns:xdr="http://schemas.openxmlformats.org/drawingml/2006/spreadsheetDrawing" xmlns:a="http://schemas.openxmlformats.org/drawingml/2006/main">
  <xdr:twoCellAnchor editAs="oneCell">
    <xdr:from>
      <xdr:col>0</xdr:col>
      <xdr:colOff>106680</xdr:colOff>
      <xdr:row>2</xdr:row>
      <xdr:rowOff>38101</xdr:rowOff>
    </xdr:from>
    <xdr:to>
      <xdr:col>0</xdr:col>
      <xdr:colOff>1173480</xdr:colOff>
      <xdr:row>2</xdr:row>
      <xdr:rowOff>770696</xdr:rowOff>
    </xdr:to>
    <xdr:pic>
      <xdr:nvPicPr>
        <xdr:cNvPr id="2" name="图片 1"/>
        <xdr:cNvPicPr>
          <a:picLocks noChangeAspect="1"/>
        </xdr:cNvPicPr>
      </xdr:nvPicPr>
      <xdr:blipFill>
        <a:blip xmlns:r="http://schemas.openxmlformats.org/officeDocument/2006/relationships" r:embed="rId1">
          <a:clrChange>
            <a:clrFrom>
              <a:srgbClr val="FFFFFF"/>
            </a:clrFrom>
            <a:clrTo>
              <a:srgbClr val="FFFFFF">
                <a:alpha val="0"/>
              </a:srgbClr>
            </a:clrTo>
          </a:clrChange>
        </a:blip>
        <a:stretch>
          <a:fillRect/>
        </a:stretch>
      </xdr:blipFill>
      <xdr:spPr>
        <a:xfrm>
          <a:off x="106680" y="434341"/>
          <a:ext cx="1066800" cy="732595"/>
        </a:xfrm>
        <a:prstGeom prst="rect">
          <a:avLst/>
        </a:prstGeom>
      </xdr:spPr>
    </xdr:pic>
    <xdr:clientData/>
  </xdr:twoCellAnchor>
  <xdr:twoCellAnchor editAs="oneCell">
    <xdr:from>
      <xdr:col>0</xdr:col>
      <xdr:colOff>30480</xdr:colOff>
      <xdr:row>3</xdr:row>
      <xdr:rowOff>45720</xdr:rowOff>
    </xdr:from>
    <xdr:to>
      <xdr:col>0</xdr:col>
      <xdr:colOff>1927860</xdr:colOff>
      <xdr:row>3</xdr:row>
      <xdr:rowOff>655320</xdr:rowOff>
    </xdr:to>
    <xdr:pic>
      <xdr:nvPicPr>
        <xdr:cNvPr id="3" name="图片 2" descr="D:\白鷐\Documents\Tencent Files\448036927\Image\C2C\Z]5]1IHZO6TFLO25US`(%P8.png"/>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30480" y="1234440"/>
          <a:ext cx="1897380" cy="6096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2.xml><?xml version="1.0" encoding="utf-8"?>
<xdr:wsDr xmlns:xdr="http://schemas.openxmlformats.org/drawingml/2006/spreadsheetDrawing" xmlns:a="http://schemas.openxmlformats.org/drawingml/2006/main">
  <xdr:twoCellAnchor>
    <xdr:from>
      <xdr:col>5</xdr:col>
      <xdr:colOff>609600</xdr:colOff>
      <xdr:row>1</xdr:row>
      <xdr:rowOff>91440</xdr:rowOff>
    </xdr:from>
    <xdr:to>
      <xdr:col>6</xdr:col>
      <xdr:colOff>857250</xdr:colOff>
      <xdr:row>2</xdr:row>
      <xdr:rowOff>72391</xdr:rowOff>
    </xdr:to>
    <xdr:sp macro="" textlink="">
      <xdr:nvSpPr>
        <xdr:cNvPr id="6" name="WordArt 4"/>
        <xdr:cNvSpPr>
          <a:spLocks noChangeArrowheads="1" noChangeShapeType="1" noTextEdit="1"/>
        </xdr:cNvSpPr>
      </xdr:nvSpPr>
      <xdr:spPr bwMode="auto">
        <a:xfrm>
          <a:off x="7559040" y="419100"/>
          <a:ext cx="1863090" cy="179071"/>
        </a:xfrm>
        <a:prstGeom prst="rect">
          <a:avLst/>
        </a:prstGeom>
      </xdr:spPr>
      <xdr:txBody>
        <a:bodyPr wrap="none" fromWordArt="1">
          <a:prstTxWarp prst="textArchUp">
            <a:avLst>
              <a:gd name="adj" fmla="val 10800004"/>
            </a:avLst>
          </a:prstTxWarp>
        </a:bodyPr>
        <a:lstStyle/>
        <a:p>
          <a:pPr algn="ctr" rtl="0"/>
          <a:r>
            <a:rPr lang="zh-CN" altLang="en-US" sz="3600" b="1" kern="10" cap="none" spc="0">
              <a:ln w="6600">
                <a:solidFill>
                  <a:schemeClr val="accent2"/>
                </a:solidFill>
                <a:prstDash val="solid"/>
              </a:ln>
              <a:solidFill>
                <a:srgbClr val="FFFFFF"/>
              </a:solidFill>
              <a:effectLst>
                <a:outerShdw dist="38100" dir="2700000" algn="tl" rotWithShape="0">
                  <a:schemeClr val="accent2"/>
                </a:outerShdw>
              </a:effectLst>
              <a:latin typeface="华文新魏" panose="02010800040101010101" pitchFamily="2" charset="-122"/>
              <a:ea typeface="华文新魏" panose="02010800040101010101" pitchFamily="2" charset="-122"/>
              <a:cs typeface="+mn-ea"/>
            </a:rPr>
            <a:t>工作底稿</a:t>
          </a:r>
        </a:p>
      </xdr:txBody>
    </xdr:sp>
    <xdr:clientData/>
  </xdr:twoCellAnchor>
</xdr:wsDr>
</file>

<file path=xl/drawings/drawing3.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editAs="absolute">
        <xdr:from>
          <xdr:col>10</xdr:col>
          <xdr:colOff>335279</xdr:colOff>
          <xdr:row>12</xdr:row>
          <xdr:rowOff>76200</xdr:rowOff>
        </xdr:from>
        <xdr:to>
          <xdr:col>12</xdr:col>
          <xdr:colOff>444474</xdr:colOff>
          <xdr:row>13</xdr:row>
          <xdr:rowOff>45720</xdr:rowOff>
        </xdr:to>
        <xdr:pic>
          <xdr:nvPicPr>
            <xdr:cNvPr id="8" name="Picture 5"/>
            <xdr:cNvPicPr>
              <a:picLocks noChangeAspect="1" noChangeArrowheads="1"/>
              <a:extLst>
                <a:ext uri="{84589F7E-364E-4C9E-8A38-B11213B215E9}">
                  <a14:cameraTool cellRange="Pic" spid="_x0000_s2098"/>
                </a:ext>
              </a:extLst>
            </xdr:cNvPicPr>
          </xdr:nvPicPr>
          <xdr:blipFill>
            <a:blip xmlns:r="http://schemas.openxmlformats.org/officeDocument/2006/relationships" r:embed="rId1"/>
            <a:srcRect/>
            <a:stretch>
              <a:fillRect/>
            </a:stretch>
          </xdr:blipFill>
          <xdr:spPr bwMode="auto">
            <a:xfrm>
              <a:off x="6865619" y="76200"/>
              <a:ext cx="2623795" cy="1051560"/>
            </a:xfrm>
            <a:prstGeom prst="rect">
              <a:avLst/>
            </a:prstGeom>
            <a:noFill/>
            <a:ln w="9525">
              <a:noFill/>
              <a:round/>
              <a:headEnd/>
              <a:tailEnd/>
            </a:ln>
            <a:effectLst>
              <a:softEdge rad="12700"/>
            </a:effectLst>
          </xdr:spPr>
        </xdr:pic>
        <xdr:clientData/>
      </xdr:twoCellAnchor>
    </mc:Choice>
    <mc:Fallback/>
  </mc:AlternateContent>
</xdr:wsDr>
</file>

<file path=xl/drawings/drawing4.xml><?xml version="1.0" encoding="utf-8"?>
<xdr:wsDr xmlns:xdr="http://schemas.openxmlformats.org/drawingml/2006/spreadsheetDrawing" xmlns:a="http://schemas.openxmlformats.org/drawingml/2006/main">
  <xdr:twoCellAnchor editAs="oneCell">
    <xdr:from>
      <xdr:col>0</xdr:col>
      <xdr:colOff>0</xdr:colOff>
      <xdr:row>3</xdr:row>
      <xdr:rowOff>0</xdr:rowOff>
    </xdr:from>
    <xdr:to>
      <xdr:col>0</xdr:col>
      <xdr:colOff>7620</xdr:colOff>
      <xdr:row>4</xdr:row>
      <xdr:rowOff>26670</xdr:rowOff>
    </xdr:to>
    <xdr:sp macro="" textlink="">
      <xdr:nvSpPr>
        <xdr:cNvPr id="2" name="Host Control  2"/>
        <xdr:cNvSpPr>
          <a:spLocks noChangeArrowheads="1"/>
        </xdr:cNvSpPr>
      </xdr:nvSpPr>
      <xdr:spPr bwMode="auto">
        <a:xfrm>
          <a:off x="0" y="746760"/>
          <a:ext cx="7620" cy="35814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0</xdr:col>
      <xdr:colOff>0</xdr:colOff>
      <xdr:row>8</xdr:row>
      <xdr:rowOff>0</xdr:rowOff>
    </xdr:from>
    <xdr:to>
      <xdr:col>0</xdr:col>
      <xdr:colOff>7620</xdr:colOff>
      <xdr:row>9</xdr:row>
      <xdr:rowOff>34290</xdr:rowOff>
    </xdr:to>
    <xdr:sp macro="" textlink="">
      <xdr:nvSpPr>
        <xdr:cNvPr id="5" name="Host Control  5"/>
        <xdr:cNvSpPr>
          <a:spLocks noChangeArrowheads="1"/>
        </xdr:cNvSpPr>
      </xdr:nvSpPr>
      <xdr:spPr bwMode="auto">
        <a:xfrm>
          <a:off x="0" y="1699260"/>
          <a:ext cx="7620" cy="35814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8</xdr:row>
      <xdr:rowOff>0</xdr:rowOff>
    </xdr:from>
    <xdr:to>
      <xdr:col>3</xdr:col>
      <xdr:colOff>617220</xdr:colOff>
      <xdr:row>9</xdr:row>
      <xdr:rowOff>34290</xdr:rowOff>
    </xdr:to>
    <xdr:sp macro="" textlink="">
      <xdr:nvSpPr>
        <xdr:cNvPr id="7" name="Host Control  8"/>
        <xdr:cNvSpPr>
          <a:spLocks noChangeArrowheads="1"/>
        </xdr:cNvSpPr>
      </xdr:nvSpPr>
      <xdr:spPr bwMode="auto">
        <a:xfrm>
          <a:off x="3878580" y="1699260"/>
          <a:ext cx="617220" cy="35814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2</xdr:col>
      <xdr:colOff>0</xdr:colOff>
      <xdr:row>10</xdr:row>
      <xdr:rowOff>0</xdr:rowOff>
    </xdr:from>
    <xdr:to>
      <xdr:col>2</xdr:col>
      <xdr:colOff>617220</xdr:colOff>
      <xdr:row>10</xdr:row>
      <xdr:rowOff>182880</xdr:rowOff>
    </xdr:to>
    <xdr:sp macro="" textlink="">
      <xdr:nvSpPr>
        <xdr:cNvPr id="9" name="Host Control  10"/>
        <xdr:cNvSpPr>
          <a:spLocks noChangeArrowheads="1"/>
        </xdr:cNvSpPr>
      </xdr:nvSpPr>
      <xdr:spPr bwMode="auto">
        <a:xfrm>
          <a:off x="2895600" y="2080260"/>
          <a:ext cx="617220" cy="18288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wsDr>
</file>

<file path=xl/drawings/drawing5.xml><?xml version="1.0" encoding="utf-8"?>
<xdr:wsDr xmlns:xdr="http://schemas.openxmlformats.org/drawingml/2006/spreadsheetDrawing" xmlns:a="http://schemas.openxmlformats.org/drawingml/2006/main">
  <xdr:twoCellAnchor editAs="oneCell">
    <xdr:from>
      <xdr:col>0</xdr:col>
      <xdr:colOff>617220</xdr:colOff>
      <xdr:row>5</xdr:row>
      <xdr:rowOff>0</xdr:rowOff>
    </xdr:from>
    <xdr:to>
      <xdr:col>0</xdr:col>
      <xdr:colOff>624840</xdr:colOff>
      <xdr:row>6</xdr:row>
      <xdr:rowOff>106680</xdr:rowOff>
    </xdr:to>
    <xdr:sp macro="" textlink="">
      <xdr:nvSpPr>
        <xdr:cNvPr id="2" name="Host Control  15" hidden="1"/>
        <xdr:cNvSpPr>
          <a:spLocks noChangeArrowheads="1"/>
        </xdr:cNvSpPr>
      </xdr:nvSpPr>
      <xdr:spPr bwMode="auto">
        <a:xfrm>
          <a:off x="617220" y="1310640"/>
          <a:ext cx="7620" cy="54102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0</xdr:col>
      <xdr:colOff>617220</xdr:colOff>
      <xdr:row>8</xdr:row>
      <xdr:rowOff>0</xdr:rowOff>
    </xdr:from>
    <xdr:to>
      <xdr:col>0</xdr:col>
      <xdr:colOff>624840</xdr:colOff>
      <xdr:row>10</xdr:row>
      <xdr:rowOff>83820</xdr:rowOff>
    </xdr:to>
    <xdr:sp macro="" textlink="">
      <xdr:nvSpPr>
        <xdr:cNvPr id="3" name="Host Control  20" hidden="1"/>
        <xdr:cNvSpPr>
          <a:spLocks noChangeArrowheads="1"/>
        </xdr:cNvSpPr>
      </xdr:nvSpPr>
      <xdr:spPr bwMode="auto">
        <a:xfrm>
          <a:off x="617220" y="2156460"/>
          <a:ext cx="7620" cy="89916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wsDr>
</file>

<file path=xl/drawings/drawing6.xml><?xml version="1.0" encoding="utf-8"?>
<xdr:wsDr xmlns:xdr="http://schemas.openxmlformats.org/drawingml/2006/spreadsheetDrawing" xmlns:a="http://schemas.openxmlformats.org/drawingml/2006/main">
  <xdr:twoCellAnchor editAs="oneCell">
    <xdr:from>
      <xdr:col>0</xdr:col>
      <xdr:colOff>617220</xdr:colOff>
      <xdr:row>10</xdr:row>
      <xdr:rowOff>0</xdr:rowOff>
    </xdr:from>
    <xdr:to>
      <xdr:col>1</xdr:col>
      <xdr:colOff>518160</xdr:colOff>
      <xdr:row>10</xdr:row>
      <xdr:rowOff>182880</xdr:rowOff>
    </xdr:to>
    <xdr:sp macro="" textlink="">
      <xdr:nvSpPr>
        <xdr:cNvPr id="2" name="Host Control  28" hidden="1"/>
        <xdr:cNvSpPr>
          <a:spLocks noChangeArrowheads="1"/>
        </xdr:cNvSpPr>
      </xdr:nvSpPr>
      <xdr:spPr bwMode="auto">
        <a:xfrm>
          <a:off x="617220" y="2712720"/>
          <a:ext cx="876300" cy="18288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wsDr>
</file>

<file path=xl/theme/theme1.xml><?xml version="1.0" encoding="utf-8"?>
<a:theme xmlns:a="http://schemas.openxmlformats.org/drawingml/2006/main" name="Office 主题">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bwMode="auto">
        <a:xfrm>
          <a:off x="0" y="0"/>
          <a:ext cx="1" cy="1"/>
        </a:xfrm>
        <a:custGeom>
          <a:avLst/>
          <a:gdLst/>
          <a:ahLst/>
          <a:cxnLst/>
          <a:rect l="0" t="0" r="0" b="0"/>
          <a:pathLst/>
        </a:custGeom>
        <a:solidFill>
          <a:srgbClr val="FFFFFF"/>
        </a:solidFill>
        <a:ln w="9525" cap="flat" cmpd="sng" algn="ctr">
          <a:solidFill>
            <a:srgbClr val="000000"/>
          </a:solidFill>
          <a:prstDash val="solid"/>
          <a:round/>
          <a:headEnd type="none" w="med" len="med"/>
          <a:tailEnd type="none" w="med" len="med"/>
        </a:ln>
        <a:effectLst/>
      </a:spPr>
      <a:bodyPr vertOverflow="clip" wrap="square" lIns="18288" tIns="0" rIns="0" bIns="0" upright="1"/>
      <a:lstStyle/>
    </a:spDef>
    <a:lnDef>
      <a:spPr bwMode="auto">
        <a:xfrm>
          <a:off x="0" y="0"/>
          <a:ext cx="1" cy="1"/>
        </a:xfrm>
        <a:custGeom>
          <a:avLst/>
          <a:gdLst/>
          <a:ahLst/>
          <a:cxnLst/>
          <a:rect l="0" t="0" r="0" b="0"/>
          <a:pathLst/>
        </a:custGeom>
        <a:solidFill>
          <a:srgbClr val="FFFFFF"/>
        </a:solidFill>
        <a:ln w="9525" cap="flat" cmpd="sng" algn="ctr">
          <a:solidFill>
            <a:srgbClr val="000000"/>
          </a:solidFill>
          <a:prstDash val="solid"/>
          <a:round/>
          <a:headEnd type="none" w="med" len="med"/>
          <a:tailEnd type="none" w="med" len="med"/>
        </a:ln>
        <a:effectLst/>
      </a:spPr>
      <a:bodyPr vertOverflow="clip" wrap="square" lIns="18288" tIns="0" rIns="0" bIns="0" upright="1"/>
      <a:lstStyle/>
    </a:lnDef>
  </a:objectDefaults>
  <a:extraClrSchemeLst/>
</a:theme>
</file>

<file path=xl/worksheets/_rels/sheet1.xml.rels><?xml version="1.0" encoding="UTF-8" standalone="yes"?>
<Relationships xmlns="http://schemas.openxmlformats.org/package/2006/relationships"><Relationship Id="rId3" Type="http://schemas.openxmlformats.org/officeDocument/2006/relationships/printerSettings" Target="../printerSettings/printerSettings1.bin"/><Relationship Id="rId2" Type="http://schemas.openxmlformats.org/officeDocument/2006/relationships/hyperlink" Target="http://www.mz-tax.com/" TargetMode="External"/><Relationship Id="rId1" Type="http://schemas.openxmlformats.org/officeDocument/2006/relationships/hyperlink" Target="mailto:2981045@163.com" TargetMode="External"/><Relationship Id="rId4"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9.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printerSettings" Target="../printerSettings/printerSettings9.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10.bin"/></Relationships>
</file>

<file path=xl/worksheets/_rels/sheet11.xml.rels><?xml version="1.0" encoding="UTF-8" standalone="yes"?>
<Relationships xmlns="http://schemas.openxmlformats.org/package/2006/relationships"><Relationship Id="rId1" Type="http://schemas.openxmlformats.org/officeDocument/2006/relationships/printerSettings" Target="../printerSettings/printerSettings11.bin"/></Relationships>
</file>

<file path=xl/worksheets/_rels/sheet12.xml.rels><?xml version="1.0" encoding="UTF-8" standalone="yes"?>
<Relationships xmlns="http://schemas.openxmlformats.org/package/2006/relationships"><Relationship Id="rId1" Type="http://schemas.openxmlformats.org/officeDocument/2006/relationships/printerSettings" Target="../printerSettings/printerSettings12.bin"/></Relationships>
</file>

<file path=xl/worksheets/_rels/sheet13.xml.rels><?xml version="1.0" encoding="UTF-8" standalone="yes"?>
<Relationships xmlns="http://schemas.openxmlformats.org/package/2006/relationships"><Relationship Id="rId1" Type="http://schemas.openxmlformats.org/officeDocument/2006/relationships/printerSettings" Target="../printerSettings/printerSettings13.bin"/></Relationships>
</file>

<file path=xl/worksheets/_rels/sheet14.xml.rels><?xml version="1.0" encoding="UTF-8" standalone="yes"?>
<Relationships xmlns="http://schemas.openxmlformats.org/package/2006/relationships"><Relationship Id="rId1" Type="http://schemas.openxmlformats.org/officeDocument/2006/relationships/printerSettings" Target="../printerSettings/printerSettings14.bin"/></Relationships>
</file>

<file path=xl/worksheets/_rels/sheet15.xml.rels><?xml version="1.0" encoding="UTF-8" standalone="yes"?>
<Relationships xmlns="http://schemas.openxmlformats.org/package/2006/relationships"><Relationship Id="rId1" Type="http://schemas.openxmlformats.org/officeDocument/2006/relationships/printerSettings" Target="../printerSettings/printerSettings15.bin"/></Relationships>
</file>

<file path=xl/worksheets/_rels/sheet16.xml.rels><?xml version="1.0" encoding="UTF-8" standalone="yes"?>
<Relationships xmlns="http://schemas.openxmlformats.org/package/2006/relationships"><Relationship Id="rId1" Type="http://schemas.openxmlformats.org/officeDocument/2006/relationships/printerSettings" Target="../printerSettings/printerSettings16.bin"/></Relationships>
</file>

<file path=xl/worksheets/_rels/sheet17.xml.rels><?xml version="1.0" encoding="UTF-8" standalone="yes"?>
<Relationships xmlns="http://schemas.openxmlformats.org/package/2006/relationships"><Relationship Id="rId1" Type="http://schemas.openxmlformats.org/officeDocument/2006/relationships/printerSettings" Target="../printerSettings/printerSettings17.bin"/></Relationships>
</file>

<file path=xl/worksheets/_rels/sheet18.xml.rels><?xml version="1.0" encoding="UTF-8" standalone="yes"?>
<Relationships xmlns="http://schemas.openxmlformats.org/package/2006/relationships"><Relationship Id="rId1" Type="http://schemas.openxmlformats.org/officeDocument/2006/relationships/printerSettings" Target="../printerSettings/printerSettings18.bin"/></Relationships>
</file>

<file path=xl/worksheets/_rels/sheet19.xml.rels><?xml version="1.0" encoding="UTF-8" standalone="yes"?>
<Relationships xmlns="http://schemas.openxmlformats.org/package/2006/relationships"><Relationship Id="rId1" Type="http://schemas.openxmlformats.org/officeDocument/2006/relationships/printerSettings" Target="../printerSettings/printerSettings19.bin"/></Relationships>
</file>

<file path=xl/worksheets/_rels/sheet20.xml.rels><?xml version="1.0" encoding="UTF-8" standalone="yes"?>
<Relationships xmlns="http://schemas.openxmlformats.org/package/2006/relationships"><Relationship Id="rId1" Type="http://schemas.openxmlformats.org/officeDocument/2006/relationships/printerSettings" Target="../printerSettings/printerSettings20.bin"/></Relationships>
</file>

<file path=xl/worksheets/_rels/sheet21.xml.rels><?xml version="1.0" encoding="UTF-8" standalone="yes"?>
<Relationships xmlns="http://schemas.openxmlformats.org/package/2006/relationships"><Relationship Id="rId1" Type="http://schemas.openxmlformats.org/officeDocument/2006/relationships/printerSettings" Target="../printerSettings/printerSettings21.bin"/></Relationships>
</file>

<file path=xl/worksheets/_rels/sheet22.xml.rels><?xml version="1.0" encoding="UTF-8" standalone="yes"?>
<Relationships xmlns="http://schemas.openxmlformats.org/package/2006/relationships"><Relationship Id="rId1" Type="http://schemas.openxmlformats.org/officeDocument/2006/relationships/printerSettings" Target="../printerSettings/printerSettings22.bin"/></Relationships>
</file>

<file path=xl/worksheets/_rels/sheet23.xml.rels><?xml version="1.0" encoding="UTF-8" standalone="yes"?>
<Relationships xmlns="http://schemas.openxmlformats.org/package/2006/relationships"><Relationship Id="rId1" Type="http://schemas.openxmlformats.org/officeDocument/2006/relationships/printerSettings" Target="../printerSettings/printerSettings23.bin"/></Relationships>
</file>

<file path=xl/worksheets/_rels/sheet24.xml.rels><?xml version="1.0" encoding="UTF-8" standalone="yes"?>
<Relationships xmlns="http://schemas.openxmlformats.org/package/2006/relationships"><Relationship Id="rId1" Type="http://schemas.openxmlformats.org/officeDocument/2006/relationships/printerSettings" Target="../printerSettings/printerSettings24.bin"/></Relationships>
</file>

<file path=xl/worksheets/_rels/sheet25.xml.rels><?xml version="1.0" encoding="UTF-8" standalone="yes"?>
<Relationships xmlns="http://schemas.openxmlformats.org/package/2006/relationships"><Relationship Id="rId1" Type="http://schemas.openxmlformats.org/officeDocument/2006/relationships/printerSettings" Target="../printerSettings/printerSettings25.bin"/></Relationships>
</file>

<file path=xl/worksheets/_rels/sheet26.xml.rels><?xml version="1.0" encoding="UTF-8" standalone="yes"?>
<Relationships xmlns="http://schemas.openxmlformats.org/package/2006/relationships"><Relationship Id="rId1" Type="http://schemas.openxmlformats.org/officeDocument/2006/relationships/printerSettings" Target="../printerSettings/printerSettings26.bin"/></Relationships>
</file>

<file path=xl/worksheets/_rels/sheet27.xml.rels><?xml version="1.0" encoding="UTF-8" standalone="yes"?>
<Relationships xmlns="http://schemas.openxmlformats.org/package/2006/relationships"><Relationship Id="rId1" Type="http://schemas.openxmlformats.org/officeDocument/2006/relationships/printerSettings" Target="../printerSettings/printerSettings27.bin"/></Relationships>
</file>

<file path=xl/worksheets/_rels/sheet28.xml.rels><?xml version="1.0" encoding="UTF-8" standalone="yes"?>
<Relationships xmlns="http://schemas.openxmlformats.org/package/2006/relationships"><Relationship Id="rId1" Type="http://schemas.openxmlformats.org/officeDocument/2006/relationships/printerSettings" Target="../printerSettings/printerSettings28.bin"/></Relationships>
</file>

<file path=xl/worksheets/_rels/sheet29.xml.rels><?xml version="1.0" encoding="UTF-8" standalone="yes"?>
<Relationships xmlns="http://schemas.openxmlformats.org/package/2006/relationships"><Relationship Id="rId1" Type="http://schemas.openxmlformats.org/officeDocument/2006/relationships/printerSettings" Target="../printerSettings/printerSettings29.bin"/></Relationships>
</file>

<file path=xl/worksheets/_rels/sheet30.xml.rels><?xml version="1.0" encoding="UTF-8" standalone="yes"?>
<Relationships xmlns="http://schemas.openxmlformats.org/package/2006/relationships"><Relationship Id="rId1" Type="http://schemas.openxmlformats.org/officeDocument/2006/relationships/printerSettings" Target="../printerSettings/printerSettings30.bin"/></Relationships>
</file>

<file path=xl/worksheets/_rels/sheet31.xml.rels><?xml version="1.0" encoding="UTF-8" standalone="yes"?>
<Relationships xmlns="http://schemas.openxmlformats.org/package/2006/relationships"><Relationship Id="rId1" Type="http://schemas.openxmlformats.org/officeDocument/2006/relationships/printerSettings" Target="../printerSettings/printerSettings31.bin"/></Relationships>
</file>

<file path=xl/worksheets/_rels/sheet32.xml.rels><?xml version="1.0" encoding="UTF-8" standalone="yes"?>
<Relationships xmlns="http://schemas.openxmlformats.org/package/2006/relationships"><Relationship Id="rId1" Type="http://schemas.openxmlformats.org/officeDocument/2006/relationships/printerSettings" Target="../printerSettings/printerSettings32.bin"/></Relationships>
</file>

<file path=xl/worksheets/_rels/sheet33.xml.rels><?xml version="1.0" encoding="UTF-8" standalone="yes"?>
<Relationships xmlns="http://schemas.openxmlformats.org/package/2006/relationships"><Relationship Id="rId1" Type="http://schemas.openxmlformats.org/officeDocument/2006/relationships/printerSettings" Target="../printerSettings/printerSettings33.bin"/></Relationships>
</file>

<file path=xl/worksheets/_rels/sheet34.xml.rels><?xml version="1.0" encoding="UTF-8" standalone="yes"?>
<Relationships xmlns="http://schemas.openxmlformats.org/package/2006/relationships"><Relationship Id="rId1" Type="http://schemas.openxmlformats.org/officeDocument/2006/relationships/printerSettings" Target="../printerSettings/printerSettings34.bin"/></Relationships>
</file>

<file path=xl/worksheets/_rels/sheet35.xml.rels><?xml version="1.0" encoding="UTF-8" standalone="yes"?>
<Relationships xmlns="http://schemas.openxmlformats.org/package/2006/relationships"><Relationship Id="rId1" Type="http://schemas.openxmlformats.org/officeDocument/2006/relationships/printerSettings" Target="../printerSettings/printerSettings35.bin"/></Relationships>
</file>

<file path=xl/worksheets/_rels/sheet36.xml.rels><?xml version="1.0" encoding="UTF-8" standalone="yes"?>
<Relationships xmlns="http://schemas.openxmlformats.org/package/2006/relationships"><Relationship Id="rId1" Type="http://schemas.openxmlformats.org/officeDocument/2006/relationships/printerSettings" Target="../printerSettings/printerSettings36.bin"/></Relationships>
</file>

<file path=xl/worksheets/_rels/sheet37.xml.rels><?xml version="1.0" encoding="UTF-8" standalone="yes"?>
<Relationships xmlns="http://schemas.openxmlformats.org/package/2006/relationships"><Relationship Id="rId1" Type="http://schemas.openxmlformats.org/officeDocument/2006/relationships/printerSettings" Target="../printerSettings/printerSettings37.bin"/></Relationships>
</file>

<file path=xl/worksheets/_rels/sheet38.xml.rels><?xml version="1.0" encoding="UTF-8" standalone="yes"?>
<Relationships xmlns="http://schemas.openxmlformats.org/package/2006/relationships"><Relationship Id="rId1" Type="http://schemas.openxmlformats.org/officeDocument/2006/relationships/printerSettings" Target="../printerSettings/printerSettings38.bin"/></Relationships>
</file>

<file path=xl/worksheets/_rels/sheet39.xml.rels><?xml version="1.0" encoding="UTF-8" standalone="yes"?>
<Relationships xmlns="http://schemas.openxmlformats.org/package/2006/relationships"><Relationship Id="rId1" Type="http://schemas.openxmlformats.org/officeDocument/2006/relationships/printerSettings" Target="../printerSettings/printerSettings39.bin"/></Relationships>
</file>

<file path=xl/worksheets/_rels/sheet40.xml.rels><?xml version="1.0" encoding="UTF-8" standalone="yes"?>
<Relationships xmlns="http://schemas.openxmlformats.org/package/2006/relationships"><Relationship Id="rId1" Type="http://schemas.openxmlformats.org/officeDocument/2006/relationships/printerSettings" Target="../printerSettings/printerSettings40.bin"/></Relationships>
</file>

<file path=xl/worksheets/_rels/sheet41.xml.rels><?xml version="1.0" encoding="UTF-8" standalone="yes"?>
<Relationships xmlns="http://schemas.openxmlformats.org/package/2006/relationships"><Relationship Id="rId1" Type="http://schemas.openxmlformats.org/officeDocument/2006/relationships/printerSettings" Target="../printerSettings/printerSettings41.bin"/></Relationships>
</file>

<file path=xl/worksheets/_rels/sheet42.xml.rels><?xml version="1.0" encoding="UTF-8" standalone="yes"?>
<Relationships xmlns="http://schemas.openxmlformats.org/package/2006/relationships"><Relationship Id="rId1" Type="http://schemas.openxmlformats.org/officeDocument/2006/relationships/printerSettings" Target="../printerSettings/printerSettings42.bin"/></Relationships>
</file>

<file path=xl/worksheets/_rels/sheet43.xml.rels><?xml version="1.0" encoding="UTF-8" standalone="yes"?>
<Relationships xmlns="http://schemas.openxmlformats.org/package/2006/relationships"><Relationship Id="rId1" Type="http://schemas.openxmlformats.org/officeDocument/2006/relationships/printerSettings" Target="../printerSettings/printerSettings43.bin"/></Relationships>
</file>

<file path=xl/worksheets/_rels/sheet44.xml.rels><?xml version="1.0" encoding="UTF-8" standalone="yes"?>
<Relationships xmlns="http://schemas.openxmlformats.org/package/2006/relationships"><Relationship Id="rId1" Type="http://schemas.openxmlformats.org/officeDocument/2006/relationships/printerSettings" Target="../printerSettings/printerSettings44.bin"/></Relationships>
</file>

<file path=xl/worksheets/_rels/sheet45.xml.rels><?xml version="1.0" encoding="UTF-8" standalone="yes"?>
<Relationships xmlns="http://schemas.openxmlformats.org/package/2006/relationships"><Relationship Id="rId1" Type="http://schemas.openxmlformats.org/officeDocument/2006/relationships/printerSettings" Target="../printerSettings/printerSettings45.bin"/></Relationships>
</file>

<file path=xl/worksheets/_rels/sheet46.xml.rels><?xml version="1.0" encoding="UTF-8" standalone="yes"?>
<Relationships xmlns="http://schemas.openxmlformats.org/package/2006/relationships"><Relationship Id="rId1" Type="http://schemas.openxmlformats.org/officeDocument/2006/relationships/printerSettings" Target="../printerSettings/printerSettings46.bin"/></Relationships>
</file>

<file path=xl/worksheets/_rels/sheet47.xml.rels><?xml version="1.0" encoding="UTF-8" standalone="yes"?>
<Relationships xmlns="http://schemas.openxmlformats.org/package/2006/relationships"><Relationship Id="rId1" Type="http://schemas.openxmlformats.org/officeDocument/2006/relationships/printerSettings" Target="../printerSettings/printerSettings47.bin"/></Relationships>
</file>

<file path=xl/worksheets/_rels/sheet48.xml.rels><?xml version="1.0" encoding="UTF-8" standalone="yes"?>
<Relationships xmlns="http://schemas.openxmlformats.org/package/2006/relationships"><Relationship Id="rId1" Type="http://schemas.openxmlformats.org/officeDocument/2006/relationships/printerSettings" Target="../printerSettings/printerSettings48.bin"/></Relationships>
</file>

<file path=xl/worksheets/_rels/sheet49.xml.rels><?xml version="1.0" encoding="UTF-8" standalone="yes"?>
<Relationships xmlns="http://schemas.openxmlformats.org/package/2006/relationships"><Relationship Id="rId1" Type="http://schemas.openxmlformats.org/officeDocument/2006/relationships/printerSettings" Target="../printerSettings/printerSettings49.bin"/></Relationships>
</file>

<file path=xl/worksheets/_rels/sheet50.xml.rels><?xml version="1.0" encoding="UTF-8" standalone="yes"?>
<Relationships xmlns="http://schemas.openxmlformats.org/package/2006/relationships"><Relationship Id="rId1" Type="http://schemas.openxmlformats.org/officeDocument/2006/relationships/printerSettings" Target="../printerSettings/printerSettings50.bin"/></Relationships>
</file>

<file path=xl/worksheets/_rels/sheet51.xml.rels><?xml version="1.0" encoding="UTF-8" standalone="yes"?>
<Relationships xmlns="http://schemas.openxmlformats.org/package/2006/relationships"><Relationship Id="rId1" Type="http://schemas.openxmlformats.org/officeDocument/2006/relationships/printerSettings" Target="../printerSettings/printerSettings51.bin"/></Relationships>
</file>

<file path=xl/worksheets/_rels/sheet52.xml.rels><?xml version="1.0" encoding="UTF-8" standalone="yes"?>
<Relationships xmlns="http://schemas.openxmlformats.org/package/2006/relationships"><Relationship Id="rId1" Type="http://schemas.openxmlformats.org/officeDocument/2006/relationships/printerSettings" Target="../printerSettings/printerSettings52.bin"/></Relationships>
</file>

<file path=xl/worksheets/_rels/sheet53.xml.rels><?xml version="1.0" encoding="UTF-8" standalone="yes"?>
<Relationships xmlns="http://schemas.openxmlformats.org/package/2006/relationships"><Relationship Id="rId1" Type="http://schemas.openxmlformats.org/officeDocument/2006/relationships/printerSettings" Target="../printerSettings/printerSettings53.bin"/></Relationships>
</file>

<file path=xl/worksheets/_rels/sheet54.xml.rels><?xml version="1.0" encoding="UTF-8" standalone="yes"?>
<Relationships xmlns="http://schemas.openxmlformats.org/package/2006/relationships"><Relationship Id="rId1" Type="http://schemas.openxmlformats.org/officeDocument/2006/relationships/printerSettings" Target="../printerSettings/printerSettings54.bin"/></Relationships>
</file>

<file path=xl/worksheets/_rels/sheet55.xml.rels><?xml version="1.0" encoding="UTF-8" standalone="yes"?>
<Relationships xmlns="http://schemas.openxmlformats.org/package/2006/relationships"><Relationship Id="rId1" Type="http://schemas.openxmlformats.org/officeDocument/2006/relationships/printerSettings" Target="../printerSettings/printerSettings55.bin"/></Relationships>
</file>

<file path=xl/worksheets/_rels/sheet56.xml.rels><?xml version="1.0" encoding="UTF-8" standalone="yes"?>
<Relationships xmlns="http://schemas.openxmlformats.org/package/2006/relationships"><Relationship Id="rId1" Type="http://schemas.openxmlformats.org/officeDocument/2006/relationships/printerSettings" Target="../printerSettings/printerSettings56.bin"/></Relationships>
</file>

<file path=xl/worksheets/_rels/sheet57.xml.rels><?xml version="1.0" encoding="UTF-8" standalone="yes"?>
<Relationships xmlns="http://schemas.openxmlformats.org/package/2006/relationships"><Relationship Id="rId1" Type="http://schemas.openxmlformats.org/officeDocument/2006/relationships/printerSettings" Target="../printerSettings/printerSettings57.bin"/></Relationships>
</file>

<file path=xl/worksheets/_rels/sheet58.xml.rels><?xml version="1.0" encoding="UTF-8" standalone="yes"?>
<Relationships xmlns="http://schemas.openxmlformats.org/package/2006/relationships"><Relationship Id="rId1" Type="http://schemas.openxmlformats.org/officeDocument/2006/relationships/printerSettings" Target="../printerSettings/printerSettings58.bin"/></Relationships>
</file>

<file path=xl/worksheets/_rels/sheet59.xml.rels><?xml version="1.0" encoding="UTF-8" standalone="yes"?>
<Relationships xmlns="http://schemas.openxmlformats.org/package/2006/relationships"><Relationship Id="rId1" Type="http://schemas.openxmlformats.org/officeDocument/2006/relationships/printerSettings" Target="../printerSettings/printerSettings59.bin"/></Relationships>
</file>

<file path=xl/worksheets/_rels/sheet60.xml.rels><?xml version="1.0" encoding="UTF-8" standalone="yes"?>
<Relationships xmlns="http://schemas.openxmlformats.org/package/2006/relationships"><Relationship Id="rId1" Type="http://schemas.openxmlformats.org/officeDocument/2006/relationships/printerSettings" Target="../printerSettings/printerSettings60.bin"/></Relationships>
</file>

<file path=xl/worksheets/_rels/sheet61.xml.rels><?xml version="1.0" encoding="UTF-8" standalone="yes"?>
<Relationships xmlns="http://schemas.openxmlformats.org/package/2006/relationships"><Relationship Id="rId1" Type="http://schemas.openxmlformats.org/officeDocument/2006/relationships/printerSettings" Target="../printerSettings/printerSettings61.bin"/></Relationships>
</file>

<file path=xl/worksheets/_rels/sheet62.xml.rels><?xml version="1.0" encoding="UTF-8" standalone="yes"?>
<Relationships xmlns="http://schemas.openxmlformats.org/package/2006/relationships"><Relationship Id="rId1" Type="http://schemas.openxmlformats.org/officeDocument/2006/relationships/printerSettings" Target="../printerSettings/printerSettings62.bin"/></Relationships>
</file>

<file path=xl/worksheets/_rels/sheet63.xml.rels><?xml version="1.0" encoding="UTF-8" standalone="yes"?>
<Relationships xmlns="http://schemas.openxmlformats.org/package/2006/relationships"><Relationship Id="rId1" Type="http://schemas.openxmlformats.org/officeDocument/2006/relationships/printerSettings" Target="../printerSettings/printerSettings63.bin"/></Relationships>
</file>

<file path=xl/worksheets/_rels/sheet64.xml.rels><?xml version="1.0" encoding="UTF-8" standalone="yes"?>
<Relationships xmlns="http://schemas.openxmlformats.org/package/2006/relationships"><Relationship Id="rId1" Type="http://schemas.openxmlformats.org/officeDocument/2006/relationships/printerSettings" Target="../printerSettings/printerSettings64.bin"/></Relationships>
</file>

<file path=xl/worksheets/_rels/sheet65.xml.rels><?xml version="1.0" encoding="UTF-8" standalone="yes"?>
<Relationships xmlns="http://schemas.openxmlformats.org/package/2006/relationships"><Relationship Id="rId1" Type="http://schemas.openxmlformats.org/officeDocument/2006/relationships/printerSettings" Target="../printerSettings/printerSettings65.bin"/></Relationships>
</file>

<file path=xl/worksheets/_rels/sheet66.xml.rels><?xml version="1.0" encoding="UTF-8" standalone="yes"?>
<Relationships xmlns="http://schemas.openxmlformats.org/package/2006/relationships"><Relationship Id="rId1" Type="http://schemas.openxmlformats.org/officeDocument/2006/relationships/printerSettings" Target="../printerSettings/printerSettings66.bin"/></Relationships>
</file>

<file path=xl/worksheets/_rels/sheet67.xml.rels><?xml version="1.0" encoding="UTF-8" standalone="yes"?>
<Relationships xmlns="http://schemas.openxmlformats.org/package/2006/relationships"><Relationship Id="rId1" Type="http://schemas.openxmlformats.org/officeDocument/2006/relationships/printerSettings" Target="../printerSettings/printerSettings67.bin"/></Relationships>
</file>

<file path=xl/worksheets/_rels/sheet68.xml.rels><?xml version="1.0" encoding="UTF-8" standalone="yes"?>
<Relationships xmlns="http://schemas.openxmlformats.org/package/2006/relationships"><Relationship Id="rId1" Type="http://schemas.openxmlformats.org/officeDocument/2006/relationships/printerSettings" Target="../printerSettings/printerSettings68.bin"/></Relationships>
</file>

<file path=xl/worksheets/_rels/sheet69.xml.rels><?xml version="1.0" encoding="UTF-8" standalone="yes"?>
<Relationships xmlns="http://schemas.openxmlformats.org/package/2006/relationships"><Relationship Id="rId1" Type="http://schemas.openxmlformats.org/officeDocument/2006/relationships/printerSettings" Target="../printerSettings/printerSettings69.bin"/></Relationships>
</file>

<file path=xl/worksheets/_rels/sheet70.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70.bin"/></Relationships>
</file>

<file path=xl/worksheets/_rels/sheet71.xml.rels><?xml version="1.0" encoding="UTF-8" standalone="yes"?>
<Relationships xmlns="http://schemas.openxmlformats.org/package/2006/relationships"><Relationship Id="rId1" Type="http://schemas.openxmlformats.org/officeDocument/2006/relationships/printerSettings" Target="../printerSettings/printerSettings71.bin"/></Relationships>
</file>

<file path=xl/worksheets/_rels/sheet72.xml.rels><?xml version="1.0" encoding="UTF-8" standalone="yes"?>
<Relationships xmlns="http://schemas.openxmlformats.org/package/2006/relationships"><Relationship Id="rId1" Type="http://schemas.openxmlformats.org/officeDocument/2006/relationships/printerSettings" Target="../printerSettings/printerSettings72.bin"/></Relationships>
</file>

<file path=xl/worksheets/_rels/sheet73.xml.rels><?xml version="1.0" encoding="UTF-8" standalone="yes"?>
<Relationships xmlns="http://schemas.openxmlformats.org/package/2006/relationships"><Relationship Id="rId1" Type="http://schemas.openxmlformats.org/officeDocument/2006/relationships/printerSettings" Target="../printerSettings/printerSettings73.bin"/></Relationships>
</file>

<file path=xl/worksheets/_rels/sheet74.xml.rels><?xml version="1.0" encoding="UTF-8" standalone="yes"?>
<Relationships xmlns="http://schemas.openxmlformats.org/package/2006/relationships"><Relationship Id="rId1" Type="http://schemas.openxmlformats.org/officeDocument/2006/relationships/printerSettings" Target="../printerSettings/printerSettings74.bin"/></Relationships>
</file>

<file path=xl/worksheets/_rels/sheet75.xml.rels><?xml version="1.0" encoding="UTF-8" standalone="yes"?>
<Relationships xmlns="http://schemas.openxmlformats.org/package/2006/relationships"><Relationship Id="rId1" Type="http://schemas.openxmlformats.org/officeDocument/2006/relationships/printerSettings" Target="../printerSettings/printerSettings75.bin"/></Relationships>
</file>

<file path=xl/worksheets/_rels/sheet76.xml.rels><?xml version="1.0" encoding="UTF-8" standalone="yes"?>
<Relationships xmlns="http://schemas.openxmlformats.org/package/2006/relationships"><Relationship Id="rId1" Type="http://schemas.openxmlformats.org/officeDocument/2006/relationships/printerSettings" Target="../printerSettings/printerSettings76.bin"/></Relationships>
</file>

<file path=xl/worksheets/_rels/sheet77.xml.rels><?xml version="1.0" encoding="UTF-8" standalone="yes"?>
<Relationships xmlns="http://schemas.openxmlformats.org/package/2006/relationships"><Relationship Id="rId1" Type="http://schemas.openxmlformats.org/officeDocument/2006/relationships/printerSettings" Target="../printerSettings/printerSettings77.bin"/></Relationships>
</file>

<file path=xl/worksheets/_rels/sheet78.xml.rels><?xml version="1.0" encoding="UTF-8" standalone="yes"?>
<Relationships xmlns="http://schemas.openxmlformats.org/package/2006/relationships"><Relationship Id="rId1" Type="http://schemas.openxmlformats.org/officeDocument/2006/relationships/printerSettings" Target="../printerSettings/printerSettings78.bin"/></Relationships>
</file>

<file path=xl/worksheets/_rels/sheet79.xml.rels><?xml version="1.0" encoding="UTF-8" standalone="yes"?>
<Relationships xmlns="http://schemas.openxmlformats.org/package/2006/relationships"><Relationship Id="rId1" Type="http://schemas.openxmlformats.org/officeDocument/2006/relationships/printerSettings" Target="../printerSettings/printerSettings79.bin"/></Relationships>
</file>

<file path=xl/worksheets/_rels/sheet80.xml.rels><?xml version="1.0" encoding="UTF-8" standalone="yes"?>
<Relationships xmlns="http://schemas.openxmlformats.org/package/2006/relationships"><Relationship Id="rId1" Type="http://schemas.openxmlformats.org/officeDocument/2006/relationships/printerSettings" Target="../printerSettings/printerSettings80.bin"/></Relationships>
</file>

<file path=xl/worksheets/_rels/sheet81.xml.rels><?xml version="1.0" encoding="UTF-8" standalone="yes"?>
<Relationships xmlns="http://schemas.openxmlformats.org/package/2006/relationships"><Relationship Id="rId1" Type="http://schemas.openxmlformats.org/officeDocument/2006/relationships/printerSettings" Target="../printerSettings/printerSettings81.bin"/></Relationships>
</file>

<file path=xl/worksheets/_rels/sheet82.xml.rels><?xml version="1.0" encoding="UTF-8" standalone="yes"?>
<Relationships xmlns="http://schemas.openxmlformats.org/package/2006/relationships"><Relationship Id="rId1" Type="http://schemas.openxmlformats.org/officeDocument/2006/relationships/printerSettings" Target="../printerSettings/printerSettings82.bin"/></Relationships>
</file>

<file path=xl/worksheets/_rels/sheet83.xml.rels><?xml version="1.0" encoding="UTF-8" standalone="yes"?>
<Relationships xmlns="http://schemas.openxmlformats.org/package/2006/relationships"><Relationship Id="rId1" Type="http://schemas.openxmlformats.org/officeDocument/2006/relationships/printerSettings" Target="../printerSettings/printerSettings83.bin"/></Relationships>
</file>

<file path=xl/worksheets/_rels/sheet84.xml.rels><?xml version="1.0" encoding="UTF-8" standalone="yes"?>
<Relationships xmlns="http://schemas.openxmlformats.org/package/2006/relationships"><Relationship Id="rId1" Type="http://schemas.openxmlformats.org/officeDocument/2006/relationships/printerSettings" Target="../printerSettings/printerSettings84.bin"/></Relationships>
</file>

<file path=xl/worksheets/_rels/sheet85.xml.rels><?xml version="1.0" encoding="UTF-8" standalone="yes"?>
<Relationships xmlns="http://schemas.openxmlformats.org/package/2006/relationships"><Relationship Id="rId1" Type="http://schemas.openxmlformats.org/officeDocument/2006/relationships/printerSettings" Target="../printerSettings/printerSettings85.bin"/></Relationships>
</file>

<file path=xl/worksheets/_rels/sheet86.xml.rels><?xml version="1.0" encoding="UTF-8" standalone="yes"?>
<Relationships xmlns="http://schemas.openxmlformats.org/package/2006/relationships"><Relationship Id="rId1" Type="http://schemas.openxmlformats.org/officeDocument/2006/relationships/printerSettings" Target="../printerSettings/printerSettings86.bin"/></Relationships>
</file>

<file path=xl/worksheets/_rels/sheet87.xml.rels><?xml version="1.0" encoding="UTF-8" standalone="yes"?>
<Relationships xmlns="http://schemas.openxmlformats.org/package/2006/relationships"><Relationship Id="rId1" Type="http://schemas.openxmlformats.org/officeDocument/2006/relationships/printerSettings" Target="../printerSettings/printerSettings87.bin"/></Relationships>
</file>

<file path=xl/worksheets/_rels/sheet88.xml.rels><?xml version="1.0" encoding="UTF-8" standalone="yes"?>
<Relationships xmlns="http://schemas.openxmlformats.org/package/2006/relationships"><Relationship Id="rId1" Type="http://schemas.openxmlformats.org/officeDocument/2006/relationships/printerSettings" Target="../printerSettings/printerSettings88.bin"/></Relationships>
</file>

<file path=xl/worksheets/_rels/sheet89.xml.rels><?xml version="1.0" encoding="UTF-8" standalone="yes"?>
<Relationships xmlns="http://schemas.openxmlformats.org/package/2006/relationships"><Relationship Id="rId1" Type="http://schemas.openxmlformats.org/officeDocument/2006/relationships/printerSettings" Target="../printerSettings/printerSettings89.bin"/></Relationships>
</file>

<file path=xl/worksheets/_rels/sheet90.xml.rels><?xml version="1.0" encoding="UTF-8" standalone="yes"?>
<Relationships xmlns="http://schemas.openxmlformats.org/package/2006/relationships"><Relationship Id="rId1" Type="http://schemas.openxmlformats.org/officeDocument/2006/relationships/printerSettings" Target="../printerSettings/printerSettings90.bin"/></Relationships>
</file>

<file path=xl/worksheets/_rels/sheet91.xml.rels><?xml version="1.0" encoding="UTF-8" standalone="yes"?>
<Relationships xmlns="http://schemas.openxmlformats.org/package/2006/relationships"><Relationship Id="rId1" Type="http://schemas.openxmlformats.org/officeDocument/2006/relationships/printerSettings" Target="../printerSettings/printerSettings91.bin"/></Relationships>
</file>

<file path=xl/worksheets/_rels/sheet92.xml.rels><?xml version="1.0" encoding="UTF-8" standalone="yes"?>
<Relationships xmlns="http://schemas.openxmlformats.org/package/2006/relationships"><Relationship Id="rId1" Type="http://schemas.openxmlformats.org/officeDocument/2006/relationships/printerSettings" Target="../printerSettings/printerSettings92.bin"/></Relationships>
</file>

<file path=xl/worksheets/_rels/sheet93.xml.rels><?xml version="1.0" encoding="UTF-8" standalone="yes"?>
<Relationships xmlns="http://schemas.openxmlformats.org/package/2006/relationships"><Relationship Id="rId1" Type="http://schemas.openxmlformats.org/officeDocument/2006/relationships/printerSettings" Target="../printerSettings/printerSettings93.bin"/></Relationships>
</file>

<file path=xl/worksheets/_rels/sheet94.xml.rels><?xml version="1.0" encoding="UTF-8" standalone="yes"?>
<Relationships xmlns="http://schemas.openxmlformats.org/package/2006/relationships"><Relationship Id="rId1" Type="http://schemas.openxmlformats.org/officeDocument/2006/relationships/printerSettings" Target="../printerSettings/printerSettings94.bin"/></Relationships>
</file>

<file path=xl/worksheets/_rels/sheet95.xml.rels><?xml version="1.0" encoding="UTF-8" standalone="yes"?>
<Relationships xmlns="http://schemas.openxmlformats.org/package/2006/relationships"><Relationship Id="rId1" Type="http://schemas.openxmlformats.org/officeDocument/2006/relationships/printerSettings" Target="../printerSettings/printerSettings95.bin"/></Relationships>
</file>

<file path=xl/worksheets/_rels/sheet96.xml.rels><?xml version="1.0" encoding="UTF-8" standalone="yes"?>
<Relationships xmlns="http://schemas.openxmlformats.org/package/2006/relationships"><Relationship Id="rId1" Type="http://schemas.openxmlformats.org/officeDocument/2006/relationships/printerSettings" Target="../printerSettings/printerSettings96.bin"/></Relationships>
</file>

<file path=xl/worksheets/_rels/sheet97.xml.rels><?xml version="1.0" encoding="UTF-8" standalone="yes"?>
<Relationships xmlns="http://schemas.openxmlformats.org/package/2006/relationships"><Relationship Id="rId1" Type="http://schemas.openxmlformats.org/officeDocument/2006/relationships/printerSettings" Target="../printerSettings/printerSettings97.bin"/></Relationships>
</file>

<file path=xl/worksheets/_rels/sheet98.xml.rels><?xml version="1.0" encoding="UTF-8" standalone="yes"?>
<Relationships xmlns="http://schemas.openxmlformats.org/package/2006/relationships"><Relationship Id="rId1" Type="http://schemas.openxmlformats.org/officeDocument/2006/relationships/printerSettings" Target="../printerSettings/printerSettings98.bin"/></Relationships>
</file>

<file path=xl/worksheets/_rels/sheet99.xml.rels><?xml version="1.0" encoding="UTF-8" standalone="yes"?>
<Relationships xmlns="http://schemas.openxmlformats.org/package/2006/relationships"><Relationship Id="rId1" Type="http://schemas.openxmlformats.org/officeDocument/2006/relationships/printerSettings" Target="../printerSettings/printerSettings99.bin"/></Relationships>
</file>

<file path=xl/worksheets/_rels/sheet100.xml.rels><?xml version="1.0" encoding="UTF-8" standalone="yes"?>
<Relationships xmlns="http://schemas.openxmlformats.org/package/2006/relationships"><Relationship Id="rId1" Type="http://schemas.openxmlformats.org/officeDocument/2006/relationships/printerSettings" Target="../printerSettings/printerSettings100.bin"/></Relationships>
</file>

<file path=xl/worksheets/_rels/sheet101.xml.rels><?xml version="1.0" encoding="UTF-8" standalone="yes"?>
<Relationships xmlns="http://schemas.openxmlformats.org/package/2006/relationships"><Relationship Id="rId1" Type="http://schemas.openxmlformats.org/officeDocument/2006/relationships/printerSettings" Target="../printerSettings/printerSettings101.bin"/></Relationships>
</file>

<file path=xl/worksheets/_rels/sheet102.xml.rels><?xml version="1.0" encoding="UTF-8" standalone="yes"?>
<Relationships xmlns="http://schemas.openxmlformats.org/package/2006/relationships"><Relationship Id="rId3" Type="http://schemas.openxmlformats.org/officeDocument/2006/relationships/vmlDrawing" Target="../drawings/vmlDrawing2.vml"/><Relationship Id="rId2" Type="http://schemas.openxmlformats.org/officeDocument/2006/relationships/drawing" Target="../drawings/drawing3.xml"/><Relationship Id="rId1" Type="http://schemas.openxmlformats.org/officeDocument/2006/relationships/printerSettings" Target="../printerSettings/printerSettings102.bin"/></Relationships>
</file>

<file path=xl/worksheets/_rels/sheet103.xml.rels><?xml version="1.0" encoding="UTF-8" standalone="yes"?>
<Relationships xmlns="http://schemas.openxmlformats.org/package/2006/relationships"><Relationship Id="rId1" Type="http://schemas.openxmlformats.org/officeDocument/2006/relationships/printerSettings" Target="../printerSettings/printerSettings103.bin"/></Relationships>
</file>

<file path=xl/worksheets/_rels/sheet104.xml.rels><?xml version="1.0" encoding="UTF-8" standalone="yes"?>
<Relationships xmlns="http://schemas.openxmlformats.org/package/2006/relationships"><Relationship Id="rId1" Type="http://schemas.openxmlformats.org/officeDocument/2006/relationships/printerSettings" Target="../printerSettings/printerSettings104.bin"/></Relationships>
</file>

<file path=xl/worksheets/_rels/sheet105.xml.rels><?xml version="1.0" encoding="UTF-8" standalone="yes"?>
<Relationships xmlns="http://schemas.openxmlformats.org/package/2006/relationships"><Relationship Id="rId1" Type="http://schemas.openxmlformats.org/officeDocument/2006/relationships/printerSettings" Target="../printerSettings/printerSettings105.bin"/></Relationships>
</file>

<file path=xl/worksheets/_rels/sheet106.xml.rels><?xml version="1.0" encoding="UTF-8" standalone="yes"?>
<Relationships xmlns="http://schemas.openxmlformats.org/package/2006/relationships"><Relationship Id="rId1" Type="http://schemas.openxmlformats.org/officeDocument/2006/relationships/printerSettings" Target="../printerSettings/printerSettings106.bin"/></Relationships>
</file>

<file path=xl/worksheets/_rels/sheet107.xml.rels><?xml version="1.0" encoding="UTF-8" standalone="yes"?>
<Relationships xmlns="http://schemas.openxmlformats.org/package/2006/relationships"><Relationship Id="rId1" Type="http://schemas.openxmlformats.org/officeDocument/2006/relationships/printerSettings" Target="../printerSettings/printerSettings107.bin"/></Relationships>
</file>

<file path=xl/worksheets/_rels/sheet108.xml.rels><?xml version="1.0" encoding="UTF-8" standalone="yes"?>
<Relationships xmlns="http://schemas.openxmlformats.org/package/2006/relationships"><Relationship Id="rId1" Type="http://schemas.openxmlformats.org/officeDocument/2006/relationships/printerSettings" Target="../printerSettings/printerSettings108.bin"/></Relationships>
</file>

<file path=xl/worksheets/_rels/sheet109.xml.rels><?xml version="1.0" encoding="UTF-8" standalone="yes"?>
<Relationships xmlns="http://schemas.openxmlformats.org/package/2006/relationships"><Relationship Id="rId1" Type="http://schemas.openxmlformats.org/officeDocument/2006/relationships/printerSettings" Target="../printerSettings/printerSettings109.bin"/></Relationships>
</file>

<file path=xl/worksheets/_rels/sheet110.xml.rels><?xml version="1.0" encoding="UTF-8" standalone="yes"?>
<Relationships xmlns="http://schemas.openxmlformats.org/package/2006/relationships"><Relationship Id="rId1" Type="http://schemas.openxmlformats.org/officeDocument/2006/relationships/printerSettings" Target="../printerSettings/printerSettings110.bin"/></Relationships>
</file>

<file path=xl/worksheets/_rels/sheet111.xml.rels><?xml version="1.0" encoding="UTF-8" standalone="yes"?>
<Relationships xmlns="http://schemas.openxmlformats.org/package/2006/relationships"><Relationship Id="rId1" Type="http://schemas.openxmlformats.org/officeDocument/2006/relationships/printerSettings" Target="../printerSettings/printerSettings111.bin"/></Relationships>
</file>

<file path=xl/worksheets/_rels/sheet112.xml.rels><?xml version="1.0" encoding="UTF-8" standalone="yes"?>
<Relationships xmlns="http://schemas.openxmlformats.org/package/2006/relationships"><Relationship Id="rId1" Type="http://schemas.openxmlformats.org/officeDocument/2006/relationships/printerSettings" Target="../printerSettings/printerSettings112.bin"/></Relationships>
</file>

<file path=xl/worksheets/_rels/sheet113.xml.rels><?xml version="1.0" encoding="UTF-8" standalone="yes"?>
<Relationships xmlns="http://schemas.openxmlformats.org/package/2006/relationships"><Relationship Id="rId1" Type="http://schemas.openxmlformats.org/officeDocument/2006/relationships/printerSettings" Target="../printerSettings/printerSettings113.bin"/></Relationships>
</file>

<file path=xl/worksheets/_rels/sheet114.xml.rels><?xml version="1.0" encoding="UTF-8" standalone="yes"?>
<Relationships xmlns="http://schemas.openxmlformats.org/package/2006/relationships"><Relationship Id="rId1" Type="http://schemas.openxmlformats.org/officeDocument/2006/relationships/printerSettings" Target="../printerSettings/printerSettings114.bin"/></Relationships>
</file>

<file path=xl/worksheets/_rels/sheet115.xml.rels><?xml version="1.0" encoding="UTF-8" standalone="yes"?>
<Relationships xmlns="http://schemas.openxmlformats.org/package/2006/relationships"><Relationship Id="rId1" Type="http://schemas.openxmlformats.org/officeDocument/2006/relationships/printerSettings" Target="../printerSettings/printerSettings115.bin"/></Relationships>
</file>

<file path=xl/worksheets/_rels/sheet116.xml.rels><?xml version="1.0" encoding="UTF-8" standalone="yes"?>
<Relationships xmlns="http://schemas.openxmlformats.org/package/2006/relationships"><Relationship Id="rId1" Type="http://schemas.openxmlformats.org/officeDocument/2006/relationships/printerSettings" Target="../printerSettings/printerSettings116.bin"/></Relationships>
</file>

<file path=xl/worksheets/_rels/sheet117.xml.rels><?xml version="1.0" encoding="UTF-8" standalone="yes"?>
<Relationships xmlns="http://schemas.openxmlformats.org/package/2006/relationships"><Relationship Id="rId1" Type="http://schemas.openxmlformats.org/officeDocument/2006/relationships/printerSettings" Target="../printerSettings/printerSettings117.bin"/></Relationships>
</file>

<file path=xl/worksheets/_rels/sheet118.xml.rels><?xml version="1.0" encoding="UTF-8" standalone="yes"?>
<Relationships xmlns="http://schemas.openxmlformats.org/package/2006/relationships"><Relationship Id="rId1" Type="http://schemas.openxmlformats.org/officeDocument/2006/relationships/printerSettings" Target="../printerSettings/printerSettings118.bin"/></Relationships>
</file>

<file path=xl/worksheets/_rels/sheet119.xml.rels><?xml version="1.0" encoding="UTF-8" standalone="yes"?>
<Relationships xmlns="http://schemas.openxmlformats.org/package/2006/relationships"><Relationship Id="rId1" Type="http://schemas.openxmlformats.org/officeDocument/2006/relationships/printerSettings" Target="../printerSettings/printerSettings119.bin"/></Relationships>
</file>

<file path=xl/worksheets/_rels/sheet120.xml.rels><?xml version="1.0" encoding="UTF-8" standalone="yes"?>
<Relationships xmlns="http://schemas.openxmlformats.org/package/2006/relationships"><Relationship Id="rId3" Type="http://schemas.openxmlformats.org/officeDocument/2006/relationships/comments" Target="../comments2.xml"/><Relationship Id="rId2" Type="http://schemas.openxmlformats.org/officeDocument/2006/relationships/vmlDrawing" Target="../drawings/vmlDrawing3.vml"/><Relationship Id="rId1" Type="http://schemas.openxmlformats.org/officeDocument/2006/relationships/printerSettings" Target="../printerSettings/printerSettings120.bin"/></Relationships>
</file>

<file path=xl/worksheets/_rels/sheet121.xml.rels><?xml version="1.0" encoding="UTF-8" standalone="yes"?>
<Relationships xmlns="http://schemas.openxmlformats.org/package/2006/relationships"><Relationship Id="rId1" Type="http://schemas.openxmlformats.org/officeDocument/2006/relationships/printerSettings" Target="../printerSettings/printerSettings121.bin"/></Relationships>
</file>

<file path=xl/worksheets/_rels/sheet122.xml.rels><?xml version="1.0" encoding="UTF-8" standalone="yes"?>
<Relationships xmlns="http://schemas.openxmlformats.org/package/2006/relationships"><Relationship Id="rId1" Type="http://schemas.openxmlformats.org/officeDocument/2006/relationships/printerSettings" Target="../printerSettings/printerSettings122.bin"/></Relationships>
</file>

<file path=xl/worksheets/_rels/sheet123.xml.rels><?xml version="1.0" encoding="UTF-8" standalone="yes"?>
<Relationships xmlns="http://schemas.openxmlformats.org/package/2006/relationships"><Relationship Id="rId1" Type="http://schemas.openxmlformats.org/officeDocument/2006/relationships/printerSettings" Target="../printerSettings/printerSettings123.bin"/></Relationships>
</file>

<file path=xl/worksheets/_rels/sheet124.xml.rels><?xml version="1.0" encoding="UTF-8" standalone="yes"?>
<Relationships xmlns="http://schemas.openxmlformats.org/package/2006/relationships"><Relationship Id="rId1" Type="http://schemas.openxmlformats.org/officeDocument/2006/relationships/printerSettings" Target="../printerSettings/printerSettings124.bin"/></Relationships>
</file>

<file path=xl/worksheets/_rels/sheet125.xml.rels><?xml version="1.0" encoding="UTF-8" standalone="yes"?>
<Relationships xmlns="http://schemas.openxmlformats.org/package/2006/relationships"><Relationship Id="rId1" Type="http://schemas.openxmlformats.org/officeDocument/2006/relationships/printerSettings" Target="../printerSettings/printerSettings125.bin"/></Relationships>
</file>

<file path=xl/worksheets/_rels/sheet126.xml.rels><?xml version="1.0" encoding="UTF-8" standalone="yes"?>
<Relationships xmlns="http://schemas.openxmlformats.org/package/2006/relationships"><Relationship Id="rId1" Type="http://schemas.openxmlformats.org/officeDocument/2006/relationships/printerSettings" Target="../printerSettings/printerSettings126.bin"/></Relationships>
</file>

<file path=xl/worksheets/_rels/sheet127.xml.rels><?xml version="1.0" encoding="UTF-8" standalone="yes"?>
<Relationships xmlns="http://schemas.openxmlformats.org/package/2006/relationships"><Relationship Id="rId1" Type="http://schemas.openxmlformats.org/officeDocument/2006/relationships/printerSettings" Target="../printerSettings/printerSettings127.bin"/></Relationships>
</file>

<file path=xl/worksheets/_rels/sheet128.xml.rels><?xml version="1.0" encoding="UTF-8" standalone="yes"?>
<Relationships xmlns="http://schemas.openxmlformats.org/package/2006/relationships"><Relationship Id="rId1" Type="http://schemas.openxmlformats.org/officeDocument/2006/relationships/printerSettings" Target="../printerSettings/printerSettings128.bin"/></Relationships>
</file>

<file path=xl/worksheets/_rels/sheet129.xml.rels><?xml version="1.0" encoding="UTF-8" standalone="yes"?>
<Relationships xmlns="http://schemas.openxmlformats.org/package/2006/relationships"><Relationship Id="rId1" Type="http://schemas.openxmlformats.org/officeDocument/2006/relationships/printerSettings" Target="../printerSettings/printerSettings129.bin"/></Relationships>
</file>

<file path=xl/worksheets/_rels/sheet130.xml.rels><?xml version="1.0" encoding="UTF-8" standalone="yes"?>
<Relationships xmlns="http://schemas.openxmlformats.org/package/2006/relationships"><Relationship Id="rId1" Type="http://schemas.openxmlformats.org/officeDocument/2006/relationships/printerSettings" Target="../printerSettings/printerSettings130.bin"/></Relationships>
</file>

<file path=xl/worksheets/_rels/sheet131.xml.rels><?xml version="1.0" encoding="UTF-8" standalone="yes"?>
<Relationships xmlns="http://schemas.openxmlformats.org/package/2006/relationships"><Relationship Id="rId1" Type="http://schemas.openxmlformats.org/officeDocument/2006/relationships/printerSettings" Target="../printerSettings/printerSettings131.bin"/></Relationships>
</file>

<file path=xl/worksheets/_rels/sheet132.xml.rels><?xml version="1.0" encoding="UTF-8" standalone="yes"?>
<Relationships xmlns="http://schemas.openxmlformats.org/package/2006/relationships"><Relationship Id="rId1" Type="http://schemas.openxmlformats.org/officeDocument/2006/relationships/printerSettings" Target="../printerSettings/printerSettings132.bin"/></Relationships>
</file>

<file path=xl/worksheets/_rels/sheet133.xml.rels><?xml version="1.0" encoding="UTF-8" standalone="yes"?>
<Relationships xmlns="http://schemas.openxmlformats.org/package/2006/relationships"><Relationship Id="rId1" Type="http://schemas.openxmlformats.org/officeDocument/2006/relationships/printerSettings" Target="../printerSettings/printerSettings133.bin"/></Relationships>
</file>

<file path=xl/worksheets/_rels/sheet134.xml.rels><?xml version="1.0" encoding="UTF-8" standalone="yes"?>
<Relationships xmlns="http://schemas.openxmlformats.org/package/2006/relationships"><Relationship Id="rId1" Type="http://schemas.openxmlformats.org/officeDocument/2006/relationships/printerSettings" Target="../printerSettings/printerSettings134.bin"/></Relationships>
</file>

<file path=xl/worksheets/_rels/sheet135.xml.rels><?xml version="1.0" encoding="UTF-8" standalone="yes"?>
<Relationships xmlns="http://schemas.openxmlformats.org/package/2006/relationships"><Relationship Id="rId1" Type="http://schemas.openxmlformats.org/officeDocument/2006/relationships/printerSettings" Target="../printerSettings/printerSettings135.bin"/></Relationships>
</file>

<file path=xl/worksheets/_rels/sheet136.xml.rels><?xml version="1.0" encoding="UTF-8" standalone="yes"?>
<Relationships xmlns="http://schemas.openxmlformats.org/package/2006/relationships"><Relationship Id="rId1" Type="http://schemas.openxmlformats.org/officeDocument/2006/relationships/printerSettings" Target="../printerSettings/printerSettings136.bin"/></Relationships>
</file>

<file path=xl/worksheets/_rels/sheet137.xml.rels><?xml version="1.0" encoding="UTF-8" standalone="yes"?>
<Relationships xmlns="http://schemas.openxmlformats.org/package/2006/relationships"><Relationship Id="rId1" Type="http://schemas.openxmlformats.org/officeDocument/2006/relationships/printerSettings" Target="../printerSettings/printerSettings137.bin"/></Relationships>
</file>

<file path=xl/worksheets/_rels/sheet138.xml.rels><?xml version="1.0" encoding="UTF-8" standalone="yes"?>
<Relationships xmlns="http://schemas.openxmlformats.org/package/2006/relationships"><Relationship Id="rId1" Type="http://schemas.openxmlformats.org/officeDocument/2006/relationships/printerSettings" Target="../printerSettings/printerSettings138.bin"/></Relationships>
</file>

<file path=xl/worksheets/_rels/sheet139.xml.rels><?xml version="1.0" encoding="UTF-8" standalone="yes"?>
<Relationships xmlns="http://schemas.openxmlformats.org/package/2006/relationships"><Relationship Id="rId1" Type="http://schemas.openxmlformats.org/officeDocument/2006/relationships/printerSettings" Target="../printerSettings/printerSettings139.bin"/></Relationships>
</file>

<file path=xl/worksheets/_rels/sheet140.xml.rels><?xml version="1.0" encoding="UTF-8" standalone="yes"?>
<Relationships xmlns="http://schemas.openxmlformats.org/package/2006/relationships"><Relationship Id="rId1" Type="http://schemas.openxmlformats.org/officeDocument/2006/relationships/printerSettings" Target="../printerSettings/printerSettings140.bin"/></Relationships>
</file>

<file path=xl/worksheets/_rels/sheet141.xml.rels><?xml version="1.0" encoding="UTF-8" standalone="yes"?>
<Relationships xmlns="http://schemas.openxmlformats.org/package/2006/relationships"><Relationship Id="rId1" Type="http://schemas.openxmlformats.org/officeDocument/2006/relationships/printerSettings" Target="../printerSettings/printerSettings141.bin"/></Relationships>
</file>

<file path=xl/worksheets/_rels/sheet142.xml.rels><?xml version="1.0" encoding="UTF-8" standalone="yes"?>
<Relationships xmlns="http://schemas.openxmlformats.org/package/2006/relationships"><Relationship Id="rId1" Type="http://schemas.openxmlformats.org/officeDocument/2006/relationships/printerSettings" Target="../printerSettings/printerSettings142.bin"/></Relationships>
</file>

<file path=xl/worksheets/_rels/sheet143.xml.rels><?xml version="1.0" encoding="UTF-8" standalone="yes"?>
<Relationships xmlns="http://schemas.openxmlformats.org/package/2006/relationships"><Relationship Id="rId1" Type="http://schemas.openxmlformats.org/officeDocument/2006/relationships/printerSettings" Target="../printerSettings/printerSettings143.bin"/></Relationships>
</file>

<file path=xl/worksheets/_rels/sheet144.xml.rels><?xml version="1.0" encoding="UTF-8" standalone="yes"?>
<Relationships xmlns="http://schemas.openxmlformats.org/package/2006/relationships"><Relationship Id="rId1" Type="http://schemas.openxmlformats.org/officeDocument/2006/relationships/printerSettings" Target="../printerSettings/printerSettings144.bin"/></Relationships>
</file>

<file path=xl/worksheets/_rels/sheet145.xml.rels><?xml version="1.0" encoding="UTF-8" standalone="yes"?>
<Relationships xmlns="http://schemas.openxmlformats.org/package/2006/relationships"><Relationship Id="rId1" Type="http://schemas.openxmlformats.org/officeDocument/2006/relationships/printerSettings" Target="../printerSettings/printerSettings145.bin"/></Relationships>
</file>

<file path=xl/worksheets/_rels/sheet146.xml.rels><?xml version="1.0" encoding="UTF-8" standalone="yes"?>
<Relationships xmlns="http://schemas.openxmlformats.org/package/2006/relationships"><Relationship Id="rId1" Type="http://schemas.openxmlformats.org/officeDocument/2006/relationships/printerSettings" Target="../printerSettings/printerSettings146.bin"/></Relationships>
</file>

<file path=xl/worksheets/_rels/sheet147.xml.rels><?xml version="1.0" encoding="UTF-8" standalone="yes"?>
<Relationships xmlns="http://schemas.openxmlformats.org/package/2006/relationships"><Relationship Id="rId1" Type="http://schemas.openxmlformats.org/officeDocument/2006/relationships/printerSettings" Target="../printerSettings/printerSettings147.bin"/></Relationships>
</file>

<file path=xl/worksheets/_rels/sheet148.xml.rels><?xml version="1.0" encoding="UTF-8" standalone="yes"?>
<Relationships xmlns="http://schemas.openxmlformats.org/package/2006/relationships"><Relationship Id="rId1" Type="http://schemas.openxmlformats.org/officeDocument/2006/relationships/printerSettings" Target="../printerSettings/printerSettings148.bin"/></Relationships>
</file>

<file path=xl/worksheets/_rels/sheet149.xml.rels><?xml version="1.0" encoding="UTF-8" standalone="yes"?>
<Relationships xmlns="http://schemas.openxmlformats.org/package/2006/relationships"><Relationship Id="rId1" Type="http://schemas.openxmlformats.org/officeDocument/2006/relationships/printerSettings" Target="../printerSettings/printerSettings149.bin"/></Relationships>
</file>

<file path=xl/worksheets/_rels/sheet150.xml.rels><?xml version="1.0" encoding="UTF-8" standalone="yes"?>
<Relationships xmlns="http://schemas.openxmlformats.org/package/2006/relationships"><Relationship Id="rId1" Type="http://schemas.openxmlformats.org/officeDocument/2006/relationships/printerSettings" Target="../printerSettings/printerSettings150.bin"/></Relationships>
</file>

<file path=xl/worksheets/_rels/sheet151.xml.rels><?xml version="1.0" encoding="UTF-8" standalone="yes"?>
<Relationships xmlns="http://schemas.openxmlformats.org/package/2006/relationships"><Relationship Id="rId1" Type="http://schemas.openxmlformats.org/officeDocument/2006/relationships/printerSettings" Target="../printerSettings/printerSettings151.bin"/></Relationships>
</file>

<file path=xl/worksheets/_rels/sheet152.xml.rels><?xml version="1.0" encoding="UTF-8" standalone="yes"?>
<Relationships xmlns="http://schemas.openxmlformats.org/package/2006/relationships"><Relationship Id="rId1" Type="http://schemas.openxmlformats.org/officeDocument/2006/relationships/printerSettings" Target="../printerSettings/printerSettings152.bin"/></Relationships>
</file>

<file path=xl/worksheets/_rels/sheet153.xml.rels><?xml version="1.0" encoding="UTF-8" standalone="yes"?>
<Relationships xmlns="http://schemas.openxmlformats.org/package/2006/relationships"><Relationship Id="rId1" Type="http://schemas.openxmlformats.org/officeDocument/2006/relationships/printerSettings" Target="../printerSettings/printerSettings153.bin"/></Relationships>
</file>

<file path=xl/worksheets/_rels/sheet154.xml.rels><?xml version="1.0" encoding="UTF-8" standalone="yes"?>
<Relationships xmlns="http://schemas.openxmlformats.org/package/2006/relationships"><Relationship Id="rId1" Type="http://schemas.openxmlformats.org/officeDocument/2006/relationships/printerSettings" Target="../printerSettings/printerSettings154.bin"/></Relationships>
</file>

<file path=xl/worksheets/_rels/sheet155.xml.rels><?xml version="1.0" encoding="UTF-8" standalone="yes"?>
<Relationships xmlns="http://schemas.openxmlformats.org/package/2006/relationships"><Relationship Id="rId1" Type="http://schemas.openxmlformats.org/officeDocument/2006/relationships/printerSettings" Target="../printerSettings/printerSettings155.bin"/></Relationships>
</file>

<file path=xl/worksheets/_rels/sheet156.xml.rels><?xml version="1.0" encoding="UTF-8" standalone="yes"?>
<Relationships xmlns="http://schemas.openxmlformats.org/package/2006/relationships"><Relationship Id="rId1" Type="http://schemas.openxmlformats.org/officeDocument/2006/relationships/printerSettings" Target="../printerSettings/printerSettings156.bin"/></Relationships>
</file>

<file path=xl/worksheets/_rels/sheet157.xml.rels><?xml version="1.0" encoding="UTF-8" standalone="yes"?>
<Relationships xmlns="http://schemas.openxmlformats.org/package/2006/relationships"><Relationship Id="rId1" Type="http://schemas.openxmlformats.org/officeDocument/2006/relationships/printerSettings" Target="../printerSettings/printerSettings157.bin"/></Relationships>
</file>

<file path=xl/worksheets/_rels/sheet158.xml.rels><?xml version="1.0" encoding="UTF-8" standalone="yes"?>
<Relationships xmlns="http://schemas.openxmlformats.org/package/2006/relationships"><Relationship Id="rId1" Type="http://schemas.openxmlformats.org/officeDocument/2006/relationships/printerSettings" Target="../printerSettings/printerSettings158.bin"/></Relationships>
</file>

<file path=xl/worksheets/_rels/sheet159.xml.rels><?xml version="1.0" encoding="UTF-8" standalone="yes"?>
<Relationships xmlns="http://schemas.openxmlformats.org/package/2006/relationships"><Relationship Id="rId1" Type="http://schemas.openxmlformats.org/officeDocument/2006/relationships/printerSettings" Target="../printerSettings/printerSettings159.bin"/></Relationships>
</file>

<file path=xl/worksheets/_rels/sheet160.xml.rels><?xml version="1.0" encoding="UTF-8" standalone="yes"?>
<Relationships xmlns="http://schemas.openxmlformats.org/package/2006/relationships"><Relationship Id="rId1" Type="http://schemas.openxmlformats.org/officeDocument/2006/relationships/printerSettings" Target="../printerSettings/printerSettings160.bin"/></Relationships>
</file>

<file path=xl/worksheets/_rels/sheet161.xml.rels><?xml version="1.0" encoding="UTF-8" standalone="yes"?>
<Relationships xmlns="http://schemas.openxmlformats.org/package/2006/relationships"><Relationship Id="rId1" Type="http://schemas.openxmlformats.org/officeDocument/2006/relationships/printerSettings" Target="../printerSettings/printerSettings161.bin"/></Relationships>
</file>

<file path=xl/worksheets/_rels/sheet162.xml.rels><?xml version="1.0" encoding="UTF-8" standalone="yes"?>
<Relationships xmlns="http://schemas.openxmlformats.org/package/2006/relationships"><Relationship Id="rId1" Type="http://schemas.openxmlformats.org/officeDocument/2006/relationships/printerSettings" Target="../printerSettings/printerSettings162.bin"/></Relationships>
</file>

<file path=xl/worksheets/_rels/sheet163.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rinterSettings" Target="../printerSettings/printerSettings163.bin"/></Relationships>
</file>

<file path=xl/worksheets/_rels/sheet164.xml.rels><?xml version="1.0" encoding="UTF-8" standalone="yes"?>
<Relationships xmlns="http://schemas.openxmlformats.org/package/2006/relationships"><Relationship Id="rId1" Type="http://schemas.openxmlformats.org/officeDocument/2006/relationships/printerSettings" Target="../printerSettings/printerSettings164.bin"/></Relationships>
</file>

<file path=xl/worksheets/_rels/sheet165.xml.rels><?xml version="1.0" encoding="UTF-8" standalone="yes"?>
<Relationships xmlns="http://schemas.openxmlformats.org/package/2006/relationships"><Relationship Id="rId1" Type="http://schemas.openxmlformats.org/officeDocument/2006/relationships/printerSettings" Target="../printerSettings/printerSettings165.bin"/></Relationships>
</file>

<file path=xl/worksheets/_rels/sheet166.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rinterSettings" Target="../printerSettings/printerSettings166.bin"/></Relationships>
</file>

<file path=xl/worksheets/_rels/sheet167.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printerSettings" Target="../printerSettings/printerSettings167.bin"/></Relationships>
</file>

<file path=xl/worksheets/_rels/sheet168.xml.rels><?xml version="1.0" encoding="UTF-8" standalone="yes"?>
<Relationships xmlns="http://schemas.openxmlformats.org/package/2006/relationships"><Relationship Id="rId1" Type="http://schemas.openxmlformats.org/officeDocument/2006/relationships/printerSettings" Target="../printerSettings/printerSettings168.bin"/></Relationships>
</file>

<file path=xl/worksheets/_rels/sheet169.xml.rels><?xml version="1.0" encoding="UTF-8" standalone="yes"?>
<Relationships xmlns="http://schemas.openxmlformats.org/package/2006/relationships"><Relationship Id="rId1" Type="http://schemas.openxmlformats.org/officeDocument/2006/relationships/printerSettings" Target="../printerSettings/printerSettings169.bin"/></Relationships>
</file>

<file path=xl/worksheets/_rels/sheet170.xml.rels><?xml version="1.0" encoding="UTF-8" standalone="yes"?>
<Relationships xmlns="http://schemas.openxmlformats.org/package/2006/relationships"><Relationship Id="rId1" Type="http://schemas.openxmlformats.org/officeDocument/2006/relationships/printerSettings" Target="../printerSettings/printerSettings170.bin"/></Relationships>
</file>

<file path=xl/worksheets/_rels/sheet171.xml.rels><?xml version="1.0" encoding="UTF-8" standalone="yes"?>
<Relationships xmlns="http://schemas.openxmlformats.org/package/2006/relationships"><Relationship Id="rId1" Type="http://schemas.openxmlformats.org/officeDocument/2006/relationships/printerSettings" Target="../printerSettings/printerSettings171.bin"/></Relationships>
</file>

<file path=xl/worksheets/_rels/sheet172.xml.rels><?xml version="1.0" encoding="UTF-8" standalone="yes"?>
<Relationships xmlns="http://schemas.openxmlformats.org/package/2006/relationships"><Relationship Id="rId1" Type="http://schemas.openxmlformats.org/officeDocument/2006/relationships/printerSettings" Target="../printerSettings/printerSettings172.bin"/></Relationships>
</file>

<file path=xl/worksheets/_rels/sheet173.xml.rels><?xml version="1.0" encoding="UTF-8" standalone="yes"?>
<Relationships xmlns="http://schemas.openxmlformats.org/package/2006/relationships"><Relationship Id="rId1" Type="http://schemas.openxmlformats.org/officeDocument/2006/relationships/printerSettings" Target="../printerSettings/printerSettings173.bin"/></Relationships>
</file>

<file path=xl/worksheets/_rels/sheet174.xml.rels><?xml version="1.0" encoding="UTF-8" standalone="yes"?>
<Relationships xmlns="http://schemas.openxmlformats.org/package/2006/relationships"><Relationship Id="rId1" Type="http://schemas.openxmlformats.org/officeDocument/2006/relationships/printerSettings" Target="../printerSettings/printerSettings174.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84"/>
  <dimension ref="A1:M1128"/>
  <sheetViews>
    <sheetView workbookViewId="0">
      <selection activeCell="A2" sqref="A2"/>
    </sheetView>
  </sheetViews>
  <sheetFormatPr defaultColWidth="9" defaultRowHeight="15.6"/>
  <cols>
    <col min="1" max="1" width="25.69921875" customWidth="1"/>
    <col min="4" max="4" width="20.19921875" bestFit="1" customWidth="1"/>
    <col min="6" max="6" width="20.19921875" bestFit="1" customWidth="1"/>
    <col min="8" max="8" width="35.5" bestFit="1" customWidth="1"/>
    <col min="14" max="15" width="0" hidden="1" customWidth="1"/>
    <col min="52" max="52" width="9" customWidth="1"/>
  </cols>
  <sheetData>
    <row r="1" spans="1:13">
      <c r="A1" s="1326" t="s">
        <v>10296</v>
      </c>
      <c r="C1" s="1326" t="s">
        <v>9969</v>
      </c>
      <c r="D1" s="1326" t="s">
        <v>7707</v>
      </c>
      <c r="E1" s="1326" t="s">
        <v>9970</v>
      </c>
      <c r="F1" s="1326" t="s">
        <v>7743</v>
      </c>
      <c r="G1" t="s">
        <v>7781</v>
      </c>
      <c r="H1" t="s">
        <v>7782</v>
      </c>
      <c r="I1" t="s">
        <v>7870</v>
      </c>
      <c r="J1" t="s">
        <v>7871</v>
      </c>
      <c r="M1">
        <f t="array" ref="M1">SUM(IFERROR(ABS(凭证检查!$G$6:$G$205),0))</f>
        <v>0</v>
      </c>
    </row>
    <row r="2" spans="1:13">
      <c r="C2" t="s">
        <v>1710</v>
      </c>
      <c r="D2" t="s">
        <v>7708</v>
      </c>
      <c r="E2" t="s">
        <v>7733</v>
      </c>
      <c r="F2" t="s">
        <v>7732</v>
      </c>
      <c r="G2" t="s">
        <v>7783</v>
      </c>
      <c r="H2" t="s">
        <v>12</v>
      </c>
      <c r="I2" t="s">
        <v>7872</v>
      </c>
      <c r="J2" t="s">
        <v>7873</v>
      </c>
      <c r="M2">
        <f t="array" ref="M2">SUM(IFERROR(ABS(纳税申报数据!$D$6:$D$19),0),IFERROR(ABS(纳税申报数据!$F$6:$I$23),0),IFERROR(ABS(纳税申报数据!$K$6:$K$14),0))</f>
        <v>0</v>
      </c>
    </row>
    <row r="3" spans="1:13" ht="62.4" customHeight="1">
      <c r="C3" t="s">
        <v>7710</v>
      </c>
      <c r="D3" t="s">
        <v>7709</v>
      </c>
      <c r="E3" s="1326" t="s">
        <v>9978</v>
      </c>
      <c r="F3" s="1702" t="s">
        <v>9979</v>
      </c>
      <c r="G3" t="s">
        <v>7784</v>
      </c>
      <c r="H3" t="s">
        <v>224</v>
      </c>
      <c r="I3" t="s">
        <v>7874</v>
      </c>
      <c r="J3" t="s">
        <v>7875</v>
      </c>
      <c r="M3">
        <f t="array" ref="M3">SUM(IFERROR(ABS(工资福利!$C$7:$H$25),0),IFERROR(ABS(工资福利!$G$27:$H$30),0),IFERROR(ABS(工资福利!$G$33),0),IFERROR(ABS(工资福利!$G$36),0),IFERROR(ABS(工资福利!$G$37),0),IFERROR(ABS(工资福利!$G$38),0))</f>
        <v>0</v>
      </c>
    </row>
    <row r="4" spans="1:13" ht="62.4" customHeight="1">
      <c r="C4" t="s">
        <v>7712</v>
      </c>
      <c r="D4" t="s">
        <v>7711</v>
      </c>
      <c r="E4" s="1326" t="s">
        <v>9980</v>
      </c>
      <c r="F4" s="1702" t="s">
        <v>9982</v>
      </c>
      <c r="G4" t="s">
        <v>7785</v>
      </c>
      <c r="H4" t="s">
        <v>1271</v>
      </c>
      <c r="I4" t="s">
        <v>7876</v>
      </c>
      <c r="J4" t="s">
        <v>7877</v>
      </c>
      <c r="M4">
        <f t="array" ref="M4">SUM(IFERROR(ABS(招待!$E$8:$K$16),0),IFERROR(ABS(招待!$J$23),0),IFERROR(ABS(招待!$J$24),0))</f>
        <v>0</v>
      </c>
    </row>
    <row r="5" spans="1:13" ht="14.25" customHeight="1">
      <c r="A5" t="s">
        <v>7706</v>
      </c>
      <c r="B5" t="s">
        <v>7706</v>
      </c>
      <c r="C5" t="s">
        <v>7714</v>
      </c>
      <c r="D5" t="s">
        <v>7713</v>
      </c>
      <c r="E5" s="1326" t="s">
        <v>9981</v>
      </c>
      <c r="F5" s="1702" t="s">
        <v>9983</v>
      </c>
      <c r="G5" t="s">
        <v>7786</v>
      </c>
      <c r="H5" t="s">
        <v>1276</v>
      </c>
      <c r="I5" t="s">
        <v>7878</v>
      </c>
      <c r="J5" t="s">
        <v>7879</v>
      </c>
      <c r="M5">
        <f t="array" aca="1" ref="M5" ca="1">SUM(IFERROR(ABS(固资折旧!$A$8:$G$29),0))</f>
        <v>0</v>
      </c>
    </row>
    <row r="6" spans="1:13" ht="14.25" customHeight="1">
      <c r="B6" t="s">
        <v>9984</v>
      </c>
      <c r="C6" t="s">
        <v>6609</v>
      </c>
      <c r="D6" t="s">
        <v>6610</v>
      </c>
      <c r="G6" t="s">
        <v>7787</v>
      </c>
      <c r="H6" t="s">
        <v>7788</v>
      </c>
      <c r="I6" t="s">
        <v>7880</v>
      </c>
      <c r="J6" t="s">
        <v>7881</v>
      </c>
      <c r="M6">
        <f t="array" ref="M6">SUM(IFERROR(ABS(折旧测算!$C$8:$O$8),0))</f>
        <v>0</v>
      </c>
    </row>
    <row r="7" spans="1:13">
      <c r="B7" t="s">
        <v>9992</v>
      </c>
      <c r="C7" t="s">
        <v>7716</v>
      </c>
      <c r="D7" t="s">
        <v>7715</v>
      </c>
      <c r="G7" t="s">
        <v>7779</v>
      </c>
      <c r="H7" t="s">
        <v>1277</v>
      </c>
      <c r="I7" t="s">
        <v>7882</v>
      </c>
      <c r="J7" t="s">
        <v>7883</v>
      </c>
      <c r="M7">
        <f t="array" ref="M7">SUM(IFERROR(ABS(无形长摊!$B$7:$O$27),0))</f>
        <v>0</v>
      </c>
    </row>
    <row r="8" spans="1:13">
      <c r="B8" t="s">
        <v>9989</v>
      </c>
      <c r="C8" t="s">
        <v>7718</v>
      </c>
      <c r="D8" t="s">
        <v>7717</v>
      </c>
      <c r="G8" t="s">
        <v>7789</v>
      </c>
      <c r="H8" t="s">
        <v>226</v>
      </c>
      <c r="I8" t="s">
        <v>7884</v>
      </c>
      <c r="J8" t="s">
        <v>7885</v>
      </c>
      <c r="M8">
        <f t="array" ref="M8">SUM(IFERROR(ABS(社保!$D$8:$F$20),0),IFERROR(ABS(社保!$C$24:$G$24),0),IFERROR(ABS(社保!$C$27:$G$27),0))</f>
        <v>0</v>
      </c>
    </row>
    <row r="9" spans="1:13">
      <c r="B9" t="s">
        <v>9990</v>
      </c>
      <c r="C9" t="s">
        <v>7720</v>
      </c>
      <c r="D9" t="s">
        <v>7719</v>
      </c>
      <c r="G9" t="s">
        <v>7767</v>
      </c>
      <c r="H9" t="s">
        <v>711</v>
      </c>
      <c r="I9" t="s">
        <v>7886</v>
      </c>
      <c r="J9" t="s">
        <v>7887</v>
      </c>
      <c r="M9">
        <f t="array" ref="M9">SUM(IFERROR(ABS(社保明细工资人数!$B$8:$J$36),0))</f>
        <v>0</v>
      </c>
    </row>
    <row r="10" spans="1:13" ht="14.25" customHeight="1">
      <c r="B10" t="s">
        <v>9985</v>
      </c>
      <c r="C10" t="s">
        <v>7722</v>
      </c>
      <c r="D10" t="s">
        <v>7721</v>
      </c>
      <c r="G10" t="s">
        <v>7790</v>
      </c>
      <c r="H10" t="s">
        <v>1278</v>
      </c>
      <c r="I10" t="s">
        <v>7888</v>
      </c>
      <c r="J10" t="s">
        <v>7889</v>
      </c>
      <c r="M10">
        <f t="array" ref="M10">SUM(IFERROR(ABS(广宣!$A$7:$J$24),0),IFERROR(ABS(广宣!$C$27:$J$27),0),IFERROR(ABS(广宣!$J$33:$J$37),0),IFERROR(ABS(广宣!$J$31),0))</f>
        <v>0</v>
      </c>
    </row>
    <row r="11" spans="1:13">
      <c r="B11" t="s">
        <v>9986</v>
      </c>
      <c r="C11" t="s">
        <v>7724</v>
      </c>
      <c r="D11" t="s">
        <v>7723</v>
      </c>
      <c r="G11" t="s">
        <v>7773</v>
      </c>
      <c r="H11" t="s">
        <v>1280</v>
      </c>
      <c r="I11" t="s">
        <v>7890</v>
      </c>
      <c r="J11" t="s">
        <v>7891</v>
      </c>
      <c r="M11">
        <f t="array" ref="M11">SUM(IFERROR(ABS(捐赠!$A$7:$J$17),0))</f>
        <v>0</v>
      </c>
    </row>
    <row r="12" spans="1:13">
      <c r="B12" t="s">
        <v>9998</v>
      </c>
      <c r="C12" t="s">
        <v>6611</v>
      </c>
      <c r="D12" t="s">
        <v>6612</v>
      </c>
      <c r="G12" t="s">
        <v>7791</v>
      </c>
      <c r="H12" t="s">
        <v>2363</v>
      </c>
      <c r="I12" t="s">
        <v>7892</v>
      </c>
      <c r="J12" t="s">
        <v>7893</v>
      </c>
      <c r="M12">
        <f t="array" ref="M12">SUM(IFERROR(ABS(利息!$B$8:$J$17),0),IFERROR(ABS(利息!$C$21:$J$21),0))</f>
        <v>0</v>
      </c>
    </row>
    <row r="13" spans="1:13">
      <c r="B13" t="s">
        <v>9987</v>
      </c>
      <c r="C13" t="s">
        <v>6613</v>
      </c>
      <c r="D13" t="s">
        <v>6614</v>
      </c>
      <c r="G13" t="s">
        <v>7792</v>
      </c>
      <c r="H13" t="s">
        <v>230</v>
      </c>
      <c r="I13" t="s">
        <v>7894</v>
      </c>
      <c r="J13" t="s">
        <v>7895</v>
      </c>
      <c r="M13">
        <f t="array" ref="M13">SUM(IFERROR(ABS(租金!$D$8:$J$18),0),IFERROR(ABS(租金!$B$21:$J$21),0))</f>
        <v>0</v>
      </c>
    </row>
    <row r="14" spans="1:13">
      <c r="B14" t="s">
        <v>9988</v>
      </c>
      <c r="C14" t="s">
        <v>6615</v>
      </c>
      <c r="D14" t="s">
        <v>7725</v>
      </c>
      <c r="G14" t="s">
        <v>7793</v>
      </c>
      <c r="H14" t="s">
        <v>184</v>
      </c>
      <c r="I14" t="s">
        <v>7896</v>
      </c>
      <c r="J14" t="s">
        <v>7897</v>
      </c>
      <c r="M14">
        <f t="array" aca="1" ref="M14" ca="1">SUM(IFERROR(ABS(补亏!$B$7:$G$17),0))</f>
        <v>0</v>
      </c>
    </row>
    <row r="15" spans="1:13" ht="14.25" customHeight="1">
      <c r="A15" s="1326" t="s">
        <v>10063</v>
      </c>
      <c r="B15" t="s">
        <v>1712</v>
      </c>
      <c r="C15" t="s">
        <v>7727</v>
      </c>
      <c r="D15" t="s">
        <v>7726</v>
      </c>
      <c r="G15" t="s">
        <v>7794</v>
      </c>
      <c r="H15" t="s">
        <v>7795</v>
      </c>
      <c r="I15" t="s">
        <v>7898</v>
      </c>
      <c r="J15" t="s">
        <v>7899</v>
      </c>
      <c r="M15">
        <f t="array" ref="M15">SUM(IFERROR(ABS(其他事项!$D$7:$F$42),0))</f>
        <v>0</v>
      </c>
    </row>
    <row r="16" spans="1:13" ht="14.25" customHeight="1">
      <c r="A16" s="1326" t="s">
        <v>10064</v>
      </c>
      <c r="B16" t="s">
        <v>1710</v>
      </c>
      <c r="C16" t="s">
        <v>7729</v>
      </c>
      <c r="D16" t="s">
        <v>7728</v>
      </c>
      <c r="G16" t="s">
        <v>7796</v>
      </c>
      <c r="H16" t="s">
        <v>7797</v>
      </c>
      <c r="I16" t="s">
        <v>7900</v>
      </c>
      <c r="J16" t="s">
        <v>7901</v>
      </c>
      <c r="M16">
        <f t="array" ref="M16">SUM(IFERROR(ABS(无限期结转扣除项目审核表!$C$6:$K$10),0))</f>
        <v>0</v>
      </c>
    </row>
    <row r="17" spans="1:13" ht="14.25" customHeight="1">
      <c r="A17" s="1326" t="s">
        <v>10065</v>
      </c>
      <c r="B17" t="s">
        <v>7682</v>
      </c>
      <c r="C17" t="s">
        <v>7731</v>
      </c>
      <c r="D17" t="s">
        <v>7730</v>
      </c>
      <c r="G17" t="s">
        <v>7798</v>
      </c>
      <c r="H17" t="s">
        <v>7799</v>
      </c>
      <c r="I17" t="s">
        <v>7902</v>
      </c>
      <c r="J17" t="s">
        <v>7903</v>
      </c>
      <c r="M17">
        <f t="array" ref="M17">SUM(IFERROR(ABS(跨年度确认所得情况表!$C$8:$F$17),0))</f>
        <v>0</v>
      </c>
    </row>
    <row r="18" spans="1:13">
      <c r="A18" s="1326" t="s">
        <v>10066</v>
      </c>
      <c r="B18" t="s">
        <v>10073</v>
      </c>
      <c r="C18" t="s">
        <v>7735</v>
      </c>
      <c r="D18" t="s">
        <v>7734</v>
      </c>
      <c r="G18" t="s">
        <v>7800</v>
      </c>
      <c r="H18" t="s">
        <v>7801</v>
      </c>
      <c r="I18" t="s">
        <v>7904</v>
      </c>
      <c r="J18" t="s">
        <v>7905</v>
      </c>
      <c r="M18">
        <f t="array" ref="M18">SUM(IFERROR(ABS(视同销售和房地产开发企业特定业务审核表!$C$8:$D$36),0))</f>
        <v>0</v>
      </c>
    </row>
    <row r="19" spans="1:13">
      <c r="A19" s="1326" t="s">
        <v>10067</v>
      </c>
      <c r="B19" t="s">
        <v>10074</v>
      </c>
      <c r="C19" t="s">
        <v>7737</v>
      </c>
      <c r="D19" t="s">
        <v>7736</v>
      </c>
      <c r="G19" t="s">
        <v>7802</v>
      </c>
      <c r="H19" t="s">
        <v>228</v>
      </c>
      <c r="I19" t="s">
        <v>7906</v>
      </c>
      <c r="J19" t="s">
        <v>7907</v>
      </c>
      <c r="M19">
        <f t="array" ref="M19">SUM(IFERROR(ABS(未按权责发生制确认收入审核表!$C$6:$H$19),0))</f>
        <v>0</v>
      </c>
    </row>
    <row r="20" spans="1:13">
      <c r="B20" s="1326" t="s">
        <v>10075</v>
      </c>
      <c r="C20" t="s">
        <v>7739</v>
      </c>
      <c r="D20" t="s">
        <v>7738</v>
      </c>
      <c r="G20" t="s">
        <v>7803</v>
      </c>
      <c r="H20" t="s">
        <v>7804</v>
      </c>
      <c r="I20" t="s">
        <v>7908</v>
      </c>
      <c r="J20" t="s">
        <v>7909</v>
      </c>
      <c r="M20">
        <f t="array" ref="M20">SUM(IFERROR(ABS(投资收益审核表!$C$6:$M$15),0))</f>
        <v>0</v>
      </c>
    </row>
    <row r="21" spans="1:13" ht="14.25" customHeight="1">
      <c r="B21" s="1326" t="s">
        <v>10076</v>
      </c>
      <c r="C21" t="s">
        <v>6616</v>
      </c>
      <c r="D21" t="s">
        <v>6617</v>
      </c>
      <c r="G21" t="s">
        <v>7805</v>
      </c>
      <c r="H21" t="s">
        <v>7806</v>
      </c>
      <c r="I21" t="s">
        <v>7910</v>
      </c>
      <c r="J21" t="s">
        <v>7911</v>
      </c>
      <c r="M21">
        <f t="array" ref="M21">SUM(IFERROR(ABS(专项用途财政性资金审核表!$D$7:$P$13),0))</f>
        <v>0</v>
      </c>
    </row>
    <row r="22" spans="1:13" ht="14.25" customHeight="1">
      <c r="B22" s="1326" t="s">
        <v>10078</v>
      </c>
      <c r="C22" t="s">
        <v>6618</v>
      </c>
      <c r="D22" t="s">
        <v>6619</v>
      </c>
      <c r="G22" t="s">
        <v>7807</v>
      </c>
      <c r="H22" t="s">
        <v>7808</v>
      </c>
      <c r="I22" t="s">
        <v>7912</v>
      </c>
      <c r="J22" t="s">
        <v>7913</v>
      </c>
      <c r="M22">
        <f t="array" ref="M22">SUM(IFERROR(ABS(固定资产加速折旧审核表!$B$7:$U$34),0))</f>
        <v>0</v>
      </c>
    </row>
    <row r="23" spans="1:13" ht="14.25" customHeight="1">
      <c r="A23" s="1326" t="s">
        <v>9995</v>
      </c>
      <c r="B23" t="s">
        <v>9974</v>
      </c>
      <c r="C23" t="s">
        <v>6620</v>
      </c>
      <c r="D23" t="s">
        <v>6621</v>
      </c>
      <c r="G23" t="s">
        <v>7759</v>
      </c>
      <c r="H23" t="s">
        <v>7809</v>
      </c>
      <c r="I23" t="s">
        <v>7914</v>
      </c>
      <c r="J23" t="s">
        <v>7915</v>
      </c>
      <c r="M23">
        <f t="array" ref="M23">SUM(IFERROR(ABS(资产损失税前扣除审核表!$C$5:$E$18),0))</f>
        <v>0</v>
      </c>
    </row>
    <row r="24" spans="1:13">
      <c r="B24" t="s">
        <v>9991</v>
      </c>
      <c r="C24" s="1326" t="s">
        <v>7742</v>
      </c>
      <c r="D24" t="s">
        <v>6622</v>
      </c>
      <c r="G24" t="s">
        <v>7763</v>
      </c>
      <c r="H24" t="s">
        <v>7810</v>
      </c>
      <c r="I24" t="s">
        <v>7916</v>
      </c>
      <c r="J24" t="s">
        <v>7917</v>
      </c>
      <c r="M24">
        <f t="array" ref="M24">SUM(IFERROR(ABS('资产损失（专项申报）税前扣除审核表'!$C$6:$H$25),0))</f>
        <v>0</v>
      </c>
    </row>
    <row r="25" spans="1:13">
      <c r="B25" t="s">
        <v>9992</v>
      </c>
      <c r="C25" t="s">
        <v>6623</v>
      </c>
      <c r="D25" t="s">
        <v>6624</v>
      </c>
      <c r="G25" t="s">
        <v>7757</v>
      </c>
      <c r="H25" t="s">
        <v>7811</v>
      </c>
      <c r="I25" t="s">
        <v>7918</v>
      </c>
      <c r="J25" t="s">
        <v>7919</v>
      </c>
      <c r="M25">
        <f t="array" ref="M25">SUM(IFERROR(ABS(企业重组审核表!$C$6:$I$19),0))</f>
        <v>0</v>
      </c>
    </row>
    <row r="26" spans="1:13">
      <c r="B26" t="s">
        <v>9993</v>
      </c>
      <c r="C26" t="s">
        <v>6625</v>
      </c>
      <c r="D26" t="s">
        <v>6626</v>
      </c>
      <c r="G26" t="s">
        <v>7765</v>
      </c>
      <c r="H26" t="s">
        <v>7812</v>
      </c>
      <c r="I26" t="s">
        <v>7920</v>
      </c>
      <c r="J26" t="s">
        <v>7921</v>
      </c>
      <c r="M26">
        <f t="array" ref="M26">SUM(IFERROR(ABS(政策性搬迁审核表!$C$4:$C$27),0))</f>
        <v>0</v>
      </c>
    </row>
    <row r="27" spans="1:13">
      <c r="B27" t="s">
        <v>9994</v>
      </c>
      <c r="C27" t="s">
        <v>7685</v>
      </c>
      <c r="D27" t="s">
        <v>7740</v>
      </c>
      <c r="G27" t="s">
        <v>7761</v>
      </c>
      <c r="H27" t="s">
        <v>7813</v>
      </c>
      <c r="I27" t="s">
        <v>7922</v>
      </c>
      <c r="J27" t="s">
        <v>7923</v>
      </c>
      <c r="M27">
        <f t="array" ref="M27">SUM(IFERROR(ABS(特殊行业准备金审核表!$C$5:$E$34),0))</f>
        <v>0</v>
      </c>
    </row>
    <row r="28" spans="1:13">
      <c r="B28" t="s">
        <v>9996</v>
      </c>
      <c r="C28" t="s">
        <v>7686</v>
      </c>
      <c r="D28" t="s">
        <v>7741</v>
      </c>
      <c r="G28" t="s">
        <v>7814</v>
      </c>
      <c r="H28" t="s">
        <v>7815</v>
      </c>
      <c r="I28" t="s">
        <v>7924</v>
      </c>
      <c r="J28" t="s">
        <v>7925</v>
      </c>
      <c r="M28">
        <f t="array" ref="M28">SUM(IFERROR(ABS(免税、减计收入及加计扣除优惠审核表!$C$4:$C$30),0))</f>
        <v>0</v>
      </c>
    </row>
    <row r="29" spans="1:13">
      <c r="B29" t="s">
        <v>9997</v>
      </c>
      <c r="G29" t="s">
        <v>7816</v>
      </c>
      <c r="H29" t="s">
        <v>7817</v>
      </c>
      <c r="I29" t="s">
        <v>7926</v>
      </c>
      <c r="J29" t="s">
        <v>7927</v>
      </c>
      <c r="M29">
        <f t="array" ref="M29">SUM(IFERROR(ABS(股息红利优惠审核表!$D$6:$Q$15),0))</f>
        <v>0</v>
      </c>
    </row>
    <row r="30" spans="1:13">
      <c r="B30" t="s">
        <v>9998</v>
      </c>
      <c r="G30" t="s">
        <v>7818</v>
      </c>
      <c r="H30" t="s">
        <v>7819</v>
      </c>
      <c r="I30" t="s">
        <v>7928</v>
      </c>
      <c r="J30" t="s">
        <v>7929</v>
      </c>
      <c r="M30">
        <f t="array" ref="M30">SUM(IFERROR(ABS(综合利用资源生产产品取得的收入优惠审核表!$J$6:$K$15),0))</f>
        <v>0</v>
      </c>
    </row>
    <row r="31" spans="1:13">
      <c r="B31" t="s">
        <v>9999</v>
      </c>
      <c r="G31" t="s">
        <v>7820</v>
      </c>
      <c r="H31" t="s">
        <v>7821</v>
      </c>
      <c r="I31" t="s">
        <v>7930</v>
      </c>
      <c r="J31" t="s">
        <v>7931</v>
      </c>
      <c r="M31">
        <f t="array" ref="M31">SUM(IFERROR(ABS(金融保险等机构取得涉农利息保费收入优惠审核表!$C$5:$C$16),0))</f>
        <v>0</v>
      </c>
    </row>
    <row r="32" spans="1:13">
      <c r="B32" t="s">
        <v>10000</v>
      </c>
      <c r="G32" t="s">
        <v>7822</v>
      </c>
      <c r="H32" t="s">
        <v>7823</v>
      </c>
      <c r="I32" t="s">
        <v>7932</v>
      </c>
      <c r="J32" t="s">
        <v>7933</v>
      </c>
      <c r="M32">
        <f t="array" ref="M32">SUM(IFERROR(ABS(研发费用加计扣除优惠审核表!$C$6:$T$15),0))</f>
        <v>0</v>
      </c>
    </row>
    <row r="33" spans="1:13">
      <c r="A33" s="1326" t="s">
        <v>10063</v>
      </c>
      <c r="B33" s="1702" t="s">
        <v>10068</v>
      </c>
      <c r="G33" t="s">
        <v>7824</v>
      </c>
      <c r="H33" t="s">
        <v>7825</v>
      </c>
      <c r="I33" t="s">
        <v>7934</v>
      </c>
      <c r="J33" t="s">
        <v>7935</v>
      </c>
      <c r="M33">
        <f t="array" ref="M33">SUM(IFERROR(ABS(所得减免优惠审核表!$C$5:$I$44),0))</f>
        <v>0</v>
      </c>
    </row>
    <row r="34" spans="1:13">
      <c r="A34" s="1326" t="s">
        <v>10064</v>
      </c>
      <c r="B34" s="1326" t="s">
        <v>10069</v>
      </c>
      <c r="G34" t="s">
        <v>7826</v>
      </c>
      <c r="H34" t="s">
        <v>7827</v>
      </c>
      <c r="I34" t="s">
        <v>7936</v>
      </c>
      <c r="J34" t="s">
        <v>7937</v>
      </c>
      <c r="M34">
        <f t="array" ref="M34">SUM(IFERROR(ABS(抵扣应纳税所得额审核表!$C$5),0),IFERROR(ABS(抵扣应纳税所得额审核表!$C$8),0),IFERROR(ABS(抵扣应纳税所得额审核表!$C$14:$C$16),0))</f>
        <v>0</v>
      </c>
    </row>
    <row r="35" spans="1:13">
      <c r="A35" s="1326" t="s">
        <v>10065</v>
      </c>
      <c r="B35" s="1702" t="s">
        <v>10070</v>
      </c>
      <c r="G35" t="s">
        <v>7828</v>
      </c>
      <c r="H35" t="s">
        <v>7829</v>
      </c>
      <c r="I35" t="s">
        <v>7938</v>
      </c>
      <c r="J35" t="s">
        <v>7939</v>
      </c>
      <c r="M35">
        <f t="array" ref="M35">SUM(IFERROR(ABS(减免所得税优惠审核表!$C$4:$C$53),0))</f>
        <v>0</v>
      </c>
    </row>
    <row r="36" spans="1:13">
      <c r="A36" s="1326" t="s">
        <v>10066</v>
      </c>
      <c r="B36" s="1675" t="s">
        <v>10071</v>
      </c>
      <c r="G36" t="s">
        <v>7830</v>
      </c>
      <c r="H36" t="s">
        <v>7831</v>
      </c>
      <c r="I36" t="s">
        <v>7940</v>
      </c>
      <c r="J36" t="s">
        <v>7941</v>
      </c>
      <c r="M36">
        <f t="array" ref="M36">SUM(IFERROR(ABS(高新技术企业优惠情况审核表!$D$4:$D$34),0))</f>
        <v>0</v>
      </c>
    </row>
    <row r="37" spans="1:13">
      <c r="A37" s="1326" t="s">
        <v>10067</v>
      </c>
      <c r="B37" s="1675" t="s">
        <v>10072</v>
      </c>
      <c r="G37" t="s">
        <v>7832</v>
      </c>
      <c r="H37" t="s">
        <v>7833</v>
      </c>
      <c r="I37" t="s">
        <v>7942</v>
      </c>
      <c r="J37" t="s">
        <v>7943</v>
      </c>
      <c r="M37">
        <f t="array" ref="M37">SUM(IFERROR(ABS(软件、集成电路企业优惠情况审核表!$E$4:$E$45),0))</f>
        <v>0</v>
      </c>
    </row>
    <row r="38" spans="1:13">
      <c r="B38" s="1326" t="s">
        <v>10075</v>
      </c>
      <c r="G38" t="s">
        <v>7834</v>
      </c>
      <c r="H38" t="s">
        <v>7835</v>
      </c>
      <c r="I38" t="s">
        <v>7944</v>
      </c>
      <c r="J38" t="s">
        <v>7945</v>
      </c>
      <c r="M38">
        <f t="array" aca="1" ref="M38" ca="1">SUM(IFERROR(ABS(税额抵免优惠审核表!$E$6:$N$11),0),IFERROR(ABS(税额抵免优惠审核表!$M$12),0),IFERROR(ABS(税额抵免优惠审核表!$N$13),0),IFERROR(ABS(税额抵免优惠审核表!$K$14:$N$16),0))</f>
        <v>0</v>
      </c>
    </row>
    <row r="39" spans="1:13">
      <c r="B39" s="1326" t="s">
        <v>10077</v>
      </c>
      <c r="G39" t="s">
        <v>7836</v>
      </c>
      <c r="H39" t="s">
        <v>7837</v>
      </c>
      <c r="I39" t="s">
        <v>7946</v>
      </c>
      <c r="J39" t="s">
        <v>7947</v>
      </c>
      <c r="M39">
        <f t="array" ref="M39">SUM(IFERROR(ABS(境外所得税收抵免审核表!$C$6:$T$15),0))</f>
        <v>0</v>
      </c>
    </row>
    <row r="40" spans="1:13">
      <c r="B40" s="1326" t="s">
        <v>10079</v>
      </c>
      <c r="G40" t="s">
        <v>7838</v>
      </c>
      <c r="H40" t="s">
        <v>7839</v>
      </c>
      <c r="I40" t="s">
        <v>7948</v>
      </c>
      <c r="J40" t="s">
        <v>7949</v>
      </c>
      <c r="M40">
        <f t="array" ref="M40">SUM(IFERROR(ABS(境外所得纳税调整后所得审核表!$C$6:$S$15),0))</f>
        <v>0</v>
      </c>
    </row>
    <row r="41" spans="1:13">
      <c r="G41" t="s">
        <v>7840</v>
      </c>
      <c r="H41" t="s">
        <v>7841</v>
      </c>
      <c r="I41" t="s">
        <v>7950</v>
      </c>
      <c r="J41" t="s">
        <v>7951</v>
      </c>
      <c r="M41">
        <f t="array" ref="M41">SUM(IFERROR(ABS(境外分支机构弥补亏损审核表!$C$9:$T$18),0))</f>
        <v>0</v>
      </c>
    </row>
    <row r="42" spans="1:13">
      <c r="G42" t="s">
        <v>7769</v>
      </c>
      <c r="H42" t="s">
        <v>1273</v>
      </c>
      <c r="I42" t="s">
        <v>7952</v>
      </c>
      <c r="J42" t="s">
        <v>7953</v>
      </c>
      <c r="M42">
        <f t="array" ref="M42">SUM(IFERROR(ABS(跨年度结转抵免境外所得税审核表!$C$6:$T$15),0))</f>
        <v>0</v>
      </c>
    </row>
    <row r="43" spans="1:13">
      <c r="G43" t="s">
        <v>7771</v>
      </c>
      <c r="H43" t="s">
        <v>1274</v>
      </c>
      <c r="I43" t="s">
        <v>7954</v>
      </c>
      <c r="J43" t="s">
        <v>7955</v>
      </c>
      <c r="M43">
        <f t="array" ref="M43">SUM(IFERROR(ABS(跨地区经营汇总纳税企业年度分摊企业所得税审核表!$C$4),0))</f>
        <v>0</v>
      </c>
    </row>
    <row r="44" spans="1:13">
      <c r="G44" t="s">
        <v>7842</v>
      </c>
      <c r="H44" t="s">
        <v>1275</v>
      </c>
      <c r="I44" t="s">
        <v>7956</v>
      </c>
      <c r="J44" t="s">
        <v>7957</v>
      </c>
      <c r="M44">
        <f t="array" ref="M44">SUM(IFERROR(ABS(企业所得税汇总纳税分支机构所得税分配表!$D$9:$H$23),0))</f>
        <v>0</v>
      </c>
    </row>
    <row r="45" spans="1:13">
      <c r="G45" t="s">
        <v>7777</v>
      </c>
      <c r="H45" t="s">
        <v>7843</v>
      </c>
      <c r="I45" t="s">
        <v>7958</v>
      </c>
      <c r="J45" t="s">
        <v>7959</v>
      </c>
      <c r="M45">
        <f t="array" ref="M45">SUM(IFERROR(ABS(减值准备审核表!$C$6:$H$22),0))</f>
        <v>0</v>
      </c>
    </row>
    <row r="46" spans="1:13">
      <c r="G46" t="s">
        <v>7844</v>
      </c>
      <c r="H46" t="s">
        <v>7845</v>
      </c>
      <c r="I46" t="s">
        <v>7960</v>
      </c>
      <c r="J46" t="s">
        <v>7961</v>
      </c>
      <c r="M46">
        <f t="array" ref="M46">SUM(IFERROR(ABS(公允价值变动审定表!$C$8:$G$17),0))</f>
        <v>0</v>
      </c>
    </row>
    <row r="47" spans="1:13">
      <c r="G47" t="s">
        <v>7846</v>
      </c>
      <c r="H47" t="s">
        <v>7847</v>
      </c>
      <c r="I47" t="s">
        <v>7962</v>
      </c>
      <c r="J47" t="s">
        <v>7963</v>
      </c>
      <c r="M47">
        <f t="array" ref="M47">SUM(IFERROR(ABS(主营收支!$C$8:$H$40),0))</f>
        <v>0</v>
      </c>
    </row>
    <row r="48" spans="1:13">
      <c r="G48" t="s">
        <v>7848</v>
      </c>
      <c r="H48" t="s">
        <v>7849</v>
      </c>
      <c r="I48" t="s">
        <v>7964</v>
      </c>
      <c r="J48" t="s">
        <v>7965</v>
      </c>
      <c r="M48">
        <f t="array" ref="M48">SUM(IFERROR(ABS(收入与申报核对表!$D$8:$K$25),0))</f>
        <v>0</v>
      </c>
    </row>
    <row r="49" spans="7:13">
      <c r="G49" t="s">
        <v>7850</v>
      </c>
      <c r="H49" t="s">
        <v>7851</v>
      </c>
      <c r="I49" t="s">
        <v>7966</v>
      </c>
      <c r="J49" t="s">
        <v>7967</v>
      </c>
      <c r="M49">
        <f t="array" ref="M49">SUM(IFERROR(ABS(毛利分析!$C$8:$F$34),0))</f>
        <v>0</v>
      </c>
    </row>
    <row r="50" spans="7:13">
      <c r="G50" t="s">
        <v>7852</v>
      </c>
      <c r="H50" t="s">
        <v>7853</v>
      </c>
      <c r="I50" t="s">
        <v>7968</v>
      </c>
      <c r="J50" t="s">
        <v>7969</v>
      </c>
      <c r="M50">
        <f t="array" ref="M50">SUM(IFERROR(ABS(制造费用、生产成本!$B$8:$G$40),0))</f>
        <v>0</v>
      </c>
    </row>
    <row r="51" spans="7:13">
      <c r="G51" t="s">
        <v>7854</v>
      </c>
      <c r="H51" t="s">
        <v>7855</v>
      </c>
      <c r="I51" t="s">
        <v>7970</v>
      </c>
      <c r="J51" t="s">
        <v>7971</v>
      </c>
      <c r="M51">
        <f t="array" ref="M51">SUM(IFERROR(ABS(成本倒轧!$D$8:$E$40),0))</f>
        <v>0</v>
      </c>
    </row>
    <row r="52" spans="7:13">
      <c r="G52" t="s">
        <v>7856</v>
      </c>
      <c r="H52" t="s">
        <v>7857</v>
      </c>
      <c r="I52" t="s">
        <v>7972</v>
      </c>
      <c r="J52" t="s">
        <v>7973</v>
      </c>
      <c r="M52">
        <f t="array" ref="M52">SUM(IFERROR(ABS(存货计价测试!$B$8:$O$20),0))</f>
        <v>0</v>
      </c>
    </row>
    <row r="53" spans="7:13">
      <c r="G53" t="s">
        <v>7858</v>
      </c>
      <c r="H53" t="s">
        <v>7859</v>
      </c>
      <c r="I53" t="s">
        <v>7974</v>
      </c>
      <c r="J53" t="s">
        <v>7975</v>
      </c>
      <c r="M53">
        <f t="array" ref="M53">SUM(IFERROR(ABS(主营税金!$E$8:$G$42),0))</f>
        <v>0</v>
      </c>
    </row>
    <row r="54" spans="7:13">
      <c r="G54" t="s">
        <v>7860</v>
      </c>
      <c r="H54" t="s">
        <v>7861</v>
      </c>
      <c r="I54" t="s">
        <v>7976</v>
      </c>
      <c r="J54" t="s">
        <v>7977</v>
      </c>
      <c r="M54">
        <f t="array" aca="1" ref="M54" ca="1">SUM(IFERROR(ABS(税费缴纳测算!$C$7:$G$25),0),IFERROR(ABS(税费缴纳测算!$E$36:$H$56),0))</f>
        <v>0</v>
      </c>
    </row>
    <row r="55" spans="7:13">
      <c r="G55" t="s">
        <v>7862</v>
      </c>
      <c r="H55" t="s">
        <v>7863</v>
      </c>
      <c r="I55" t="s">
        <v>7978</v>
      </c>
      <c r="J55" t="s">
        <v>7979</v>
      </c>
      <c r="M55">
        <f t="array" ref="M55">SUM(IFERROR(ABS(其他业务!$C$8:$J$18),0),IFERROR(ABS(其他业务!$F$19),0),IFERROR(ABS(其他业务!$H$19),0),IFERROR(ABS(其他业务!$J$19),0))</f>
        <v>0</v>
      </c>
    </row>
    <row r="56" spans="7:13">
      <c r="G56" t="s">
        <v>7864</v>
      </c>
      <c r="H56" t="s">
        <v>7865</v>
      </c>
      <c r="I56" t="s">
        <v>7980</v>
      </c>
      <c r="J56" t="s">
        <v>7981</v>
      </c>
      <c r="M56">
        <f t="array" ref="M56">SUM(IFERROR(ABS(营业费用!$D$6:$H$44),0))</f>
        <v>0</v>
      </c>
    </row>
    <row r="57" spans="7:13">
      <c r="G57" t="s">
        <v>7866</v>
      </c>
      <c r="H57" t="s">
        <v>7867</v>
      </c>
      <c r="I57" t="s">
        <v>7982</v>
      </c>
      <c r="J57" t="s">
        <v>7983</v>
      </c>
      <c r="M57">
        <f t="array" ref="M57">SUM(IFERROR(ABS(管理费用!$D$6:$H$44),0))</f>
        <v>0</v>
      </c>
    </row>
    <row r="58" spans="7:13">
      <c r="G58" t="s">
        <v>7868</v>
      </c>
      <c r="H58" t="s">
        <v>7869</v>
      </c>
      <c r="I58" t="s">
        <v>7984</v>
      </c>
      <c r="J58" t="s">
        <v>7985</v>
      </c>
      <c r="M58">
        <f t="array" ref="M58">SUM(IFERROR(ABS(财务费用!$D$6:$H$27),0))</f>
        <v>0</v>
      </c>
    </row>
    <row r="59" spans="7:13">
      <c r="G59" t="s">
        <v>7775</v>
      </c>
      <c r="H59" t="s">
        <v>247</v>
      </c>
      <c r="I59" t="s">
        <v>7986</v>
      </c>
      <c r="J59" t="s">
        <v>7987</v>
      </c>
      <c r="M59">
        <f t="array" ref="M59">SUM(IFERROR(ABS(营外收支!$C$6:$F$36),0))</f>
        <v>0</v>
      </c>
    </row>
    <row r="60" spans="7:13">
      <c r="I60" t="s">
        <v>7988</v>
      </c>
      <c r="J60" t="s">
        <v>7989</v>
      </c>
      <c r="M60">
        <f t="array" ref="M60">SUM(IFERROR(ABS(货币资金!$D$24:$H$24),0))</f>
        <v>0</v>
      </c>
    </row>
    <row r="61" spans="7:13">
      <c r="I61" t="s">
        <v>7990</v>
      </c>
      <c r="J61" t="s">
        <v>7991</v>
      </c>
      <c r="M61">
        <f t="array" ref="M61">SUM(IFERROR(ABS(现金证明!$D$6),0))</f>
        <v>0</v>
      </c>
    </row>
    <row r="62" spans="7:13">
      <c r="I62" t="s">
        <v>7992</v>
      </c>
      <c r="J62" t="s">
        <v>7993</v>
      </c>
      <c r="M62">
        <f t="array" ref="M62">SUM(IFERROR(ABS(银行调节!$A$5),0))</f>
        <v>0</v>
      </c>
    </row>
    <row r="63" spans="7:13">
      <c r="I63" t="s">
        <v>7994</v>
      </c>
      <c r="J63" t="s">
        <v>7995</v>
      </c>
      <c r="M63">
        <f t="array" ref="M63">SUM(IFERROR(ABS(应收!$B$13:$F$14),0),IFERROR(ABS(应收!$B$11:$F$11),0))</f>
        <v>0</v>
      </c>
    </row>
    <row r="64" spans="7:13">
      <c r="I64" t="s">
        <v>7996</v>
      </c>
      <c r="J64" t="s">
        <v>7997</v>
      </c>
      <c r="M64">
        <f t="array" ref="M64">SUM(IFERROR(ABS(预付!$B$11:$F$11),0),IFERROR(ABS(预付!$B$13:$F$14),0))</f>
        <v>0</v>
      </c>
    </row>
    <row r="65" spans="9:13">
      <c r="I65" t="s">
        <v>7998</v>
      </c>
      <c r="J65" t="s">
        <v>7999</v>
      </c>
      <c r="M65">
        <f t="array" ref="M65">SUM(IFERROR(ABS(其他应收!$B$11:$F$11),0),IFERROR(ABS(其他应收!$B$13:$F$14),0))</f>
        <v>0</v>
      </c>
    </row>
    <row r="66" spans="9:13">
      <c r="I66" t="s">
        <v>8000</v>
      </c>
      <c r="J66" t="s">
        <v>8001</v>
      </c>
      <c r="M66">
        <f t="array" ref="M66">SUM(IFERROR(ABS(存货!$C$7:$F$27),0))</f>
        <v>0</v>
      </c>
    </row>
    <row r="67" spans="9:13">
      <c r="I67" t="s">
        <v>8002</v>
      </c>
      <c r="J67" t="s">
        <v>8003</v>
      </c>
      <c r="M67">
        <f t="array" ref="M67">SUM(IFERROR(ABS(待摊预提!$D$12:$J$12),0),IFERROR(ABS(待摊预提!$D$19:$J$19),0))</f>
        <v>0</v>
      </c>
    </row>
    <row r="68" spans="9:13">
      <c r="I68" t="s">
        <v>8004</v>
      </c>
      <c r="J68" t="s">
        <v>8005</v>
      </c>
      <c r="M68">
        <f t="array" ref="M68">SUM(IFERROR(ABS(在建工程审核表!$C$15:$H$15),0))</f>
        <v>0</v>
      </c>
    </row>
    <row r="69" spans="9:13">
      <c r="I69" t="s">
        <v>8006</v>
      </c>
      <c r="J69" t="s">
        <v>8007</v>
      </c>
      <c r="M69">
        <f t="array" ref="M69">SUM(IFERROR(ABS(应付!$B$11:$F$12),0))</f>
        <v>0</v>
      </c>
    </row>
    <row r="70" spans="9:13">
      <c r="I70" t="s">
        <v>8008</v>
      </c>
      <c r="J70" t="s">
        <v>8009</v>
      </c>
      <c r="M70">
        <f t="array" ref="M70">SUM(IFERROR(ABS(预收!$B$11:$F$12),0))</f>
        <v>0</v>
      </c>
    </row>
    <row r="71" spans="9:13">
      <c r="I71" t="s">
        <v>8010</v>
      </c>
      <c r="J71" t="s">
        <v>8011</v>
      </c>
      <c r="M71">
        <f t="array" ref="M71">SUM(IFERROR(ABS(其他应付!$B$11:$F$12),0))</f>
        <v>0</v>
      </c>
    </row>
    <row r="72" spans="9:13">
      <c r="I72" t="s">
        <v>8012</v>
      </c>
      <c r="J72" t="s">
        <v>8013</v>
      </c>
      <c r="M72">
        <f t="array" ref="M72">SUM(IFERROR(ABS(实收公积!$C$13:$H$13),0),IFERROR(ABS(实收公积!$C$18:$H$18),0),IFERROR(ABS(实收公积!$C$24:$H$24),0))</f>
        <v>0</v>
      </c>
    </row>
    <row r="73" spans="9:13">
      <c r="I73" t="s">
        <v>8014</v>
      </c>
      <c r="J73" t="s">
        <v>8015</v>
      </c>
      <c r="M73">
        <f t="array" ref="M73">SUM(IFERROR(ABS(未分利润!$C$8:$E$24),0))</f>
        <v>0</v>
      </c>
    </row>
    <row r="74" spans="9:13">
      <c r="I74" t="s">
        <v>8016</v>
      </c>
      <c r="J74" t="s">
        <v>8017</v>
      </c>
    </row>
    <row r="75" spans="9:13">
      <c r="I75" t="s">
        <v>8018</v>
      </c>
      <c r="J75" t="s">
        <v>8019</v>
      </c>
    </row>
    <row r="76" spans="9:13">
      <c r="I76" t="s">
        <v>8020</v>
      </c>
      <c r="J76" t="s">
        <v>8021</v>
      </c>
    </row>
    <row r="77" spans="9:13">
      <c r="I77" t="s">
        <v>8022</v>
      </c>
      <c r="J77" t="s">
        <v>8023</v>
      </c>
    </row>
    <row r="78" spans="9:13">
      <c r="I78" t="s">
        <v>8024</v>
      </c>
      <c r="J78" t="s">
        <v>8025</v>
      </c>
    </row>
    <row r="79" spans="9:13">
      <c r="I79" t="s">
        <v>8026</v>
      </c>
      <c r="J79" t="s">
        <v>8027</v>
      </c>
    </row>
    <row r="80" spans="9:13">
      <c r="I80" t="s">
        <v>8028</v>
      </c>
      <c r="J80" t="s">
        <v>8029</v>
      </c>
    </row>
    <row r="81" spans="9:10">
      <c r="I81" t="s">
        <v>8030</v>
      </c>
      <c r="J81" t="s">
        <v>8031</v>
      </c>
    </row>
    <row r="82" spans="9:10">
      <c r="I82" t="s">
        <v>8032</v>
      </c>
      <c r="J82" t="s">
        <v>8033</v>
      </c>
    </row>
    <row r="83" spans="9:10">
      <c r="I83" t="s">
        <v>8034</v>
      </c>
      <c r="J83" t="s">
        <v>8035</v>
      </c>
    </row>
    <row r="84" spans="9:10">
      <c r="I84" t="s">
        <v>8036</v>
      </c>
      <c r="J84" t="s">
        <v>8037</v>
      </c>
    </row>
    <row r="85" spans="9:10">
      <c r="I85" t="s">
        <v>8038</v>
      </c>
      <c r="J85" t="s">
        <v>8039</v>
      </c>
    </row>
    <row r="86" spans="9:10">
      <c r="I86" t="s">
        <v>8040</v>
      </c>
      <c r="J86" t="s">
        <v>8041</v>
      </c>
    </row>
    <row r="87" spans="9:10">
      <c r="I87" t="s">
        <v>8042</v>
      </c>
      <c r="J87" t="s">
        <v>2795</v>
      </c>
    </row>
    <row r="88" spans="9:10">
      <c r="I88" t="s">
        <v>8043</v>
      </c>
      <c r="J88" t="s">
        <v>8044</v>
      </c>
    </row>
    <row r="89" spans="9:10">
      <c r="I89" t="s">
        <v>8045</v>
      </c>
      <c r="J89" t="s">
        <v>8046</v>
      </c>
    </row>
    <row r="90" spans="9:10">
      <c r="I90" t="s">
        <v>8047</v>
      </c>
      <c r="J90" t="s">
        <v>8048</v>
      </c>
    </row>
    <row r="91" spans="9:10">
      <c r="I91" t="s">
        <v>8049</v>
      </c>
      <c r="J91" t="s">
        <v>8050</v>
      </c>
    </row>
    <row r="92" spans="9:10">
      <c r="I92" t="s">
        <v>8051</v>
      </c>
      <c r="J92" t="s">
        <v>8052</v>
      </c>
    </row>
    <row r="93" spans="9:10">
      <c r="I93" t="s">
        <v>8053</v>
      </c>
      <c r="J93" t="s">
        <v>8054</v>
      </c>
    </row>
    <row r="94" spans="9:10">
      <c r="I94" t="s">
        <v>8055</v>
      </c>
      <c r="J94" t="s">
        <v>8056</v>
      </c>
    </row>
    <row r="95" spans="9:10">
      <c r="I95" t="s">
        <v>8057</v>
      </c>
      <c r="J95" t="s">
        <v>8058</v>
      </c>
    </row>
    <row r="96" spans="9:10">
      <c r="I96" t="s">
        <v>8059</v>
      </c>
      <c r="J96" t="s">
        <v>8060</v>
      </c>
    </row>
    <row r="97" spans="9:10">
      <c r="I97" t="s">
        <v>8061</v>
      </c>
      <c r="J97" t="s">
        <v>8062</v>
      </c>
    </row>
    <row r="98" spans="9:10">
      <c r="I98" t="s">
        <v>8063</v>
      </c>
      <c r="J98" t="s">
        <v>8064</v>
      </c>
    </row>
    <row r="99" spans="9:10">
      <c r="I99" t="s">
        <v>8065</v>
      </c>
      <c r="J99" t="s">
        <v>8066</v>
      </c>
    </row>
    <row r="100" spans="9:10">
      <c r="I100" t="s">
        <v>8067</v>
      </c>
      <c r="J100" t="s">
        <v>8068</v>
      </c>
    </row>
    <row r="101" spans="9:10">
      <c r="I101" t="s">
        <v>8069</v>
      </c>
      <c r="J101" t="s">
        <v>8070</v>
      </c>
    </row>
    <row r="102" spans="9:10">
      <c r="I102" t="s">
        <v>8071</v>
      </c>
      <c r="J102" t="s">
        <v>8072</v>
      </c>
    </row>
    <row r="103" spans="9:10">
      <c r="I103" t="s">
        <v>8073</v>
      </c>
      <c r="J103" t="s">
        <v>8074</v>
      </c>
    </row>
    <row r="104" spans="9:10">
      <c r="I104" t="s">
        <v>8075</v>
      </c>
      <c r="J104" t="s">
        <v>8076</v>
      </c>
    </row>
    <row r="105" spans="9:10">
      <c r="I105" t="s">
        <v>8077</v>
      </c>
      <c r="J105" t="s">
        <v>8078</v>
      </c>
    </row>
    <row r="106" spans="9:10">
      <c r="I106" t="s">
        <v>8079</v>
      </c>
      <c r="J106" t="s">
        <v>8080</v>
      </c>
    </row>
    <row r="107" spans="9:10">
      <c r="I107" t="s">
        <v>8081</v>
      </c>
      <c r="J107" t="s">
        <v>8082</v>
      </c>
    </row>
    <row r="108" spans="9:10">
      <c r="I108" t="s">
        <v>8083</v>
      </c>
      <c r="J108" t="s">
        <v>8084</v>
      </c>
    </row>
    <row r="109" spans="9:10">
      <c r="I109" t="s">
        <v>8085</v>
      </c>
      <c r="J109" t="s">
        <v>8086</v>
      </c>
    </row>
    <row r="110" spans="9:10">
      <c r="I110" t="s">
        <v>8087</v>
      </c>
      <c r="J110" t="s">
        <v>8088</v>
      </c>
    </row>
    <row r="111" spans="9:10">
      <c r="I111" t="s">
        <v>8089</v>
      </c>
      <c r="J111" t="s">
        <v>8090</v>
      </c>
    </row>
    <row r="112" spans="9:10">
      <c r="I112" t="s">
        <v>8091</v>
      </c>
      <c r="J112" t="s">
        <v>8092</v>
      </c>
    </row>
    <row r="113" spans="9:10">
      <c r="I113" t="s">
        <v>8093</v>
      </c>
      <c r="J113" t="s">
        <v>8094</v>
      </c>
    </row>
    <row r="114" spans="9:10">
      <c r="I114" t="s">
        <v>8095</v>
      </c>
      <c r="J114" t="s">
        <v>8096</v>
      </c>
    </row>
    <row r="115" spans="9:10">
      <c r="I115" t="s">
        <v>8097</v>
      </c>
      <c r="J115" t="s">
        <v>8098</v>
      </c>
    </row>
    <row r="116" spans="9:10">
      <c r="I116" t="s">
        <v>8099</v>
      </c>
      <c r="J116" t="s">
        <v>8100</v>
      </c>
    </row>
    <row r="117" spans="9:10">
      <c r="I117" t="s">
        <v>8101</v>
      </c>
      <c r="J117" t="s">
        <v>8102</v>
      </c>
    </row>
    <row r="118" spans="9:10">
      <c r="I118" t="s">
        <v>8103</v>
      </c>
      <c r="J118" t="s">
        <v>4420</v>
      </c>
    </row>
    <row r="119" spans="9:10">
      <c r="I119" t="s">
        <v>8104</v>
      </c>
      <c r="J119" t="s">
        <v>8105</v>
      </c>
    </row>
    <row r="120" spans="9:10">
      <c r="I120" t="s">
        <v>8106</v>
      </c>
      <c r="J120" t="s">
        <v>8107</v>
      </c>
    </row>
    <row r="121" spans="9:10">
      <c r="I121" t="s">
        <v>8108</v>
      </c>
      <c r="J121" t="s">
        <v>8109</v>
      </c>
    </row>
    <row r="122" spans="9:10">
      <c r="I122" t="s">
        <v>8110</v>
      </c>
      <c r="J122" t="s">
        <v>8111</v>
      </c>
    </row>
    <row r="123" spans="9:10">
      <c r="I123" t="s">
        <v>8112</v>
      </c>
      <c r="J123" t="s">
        <v>8113</v>
      </c>
    </row>
    <row r="124" spans="9:10">
      <c r="I124" t="s">
        <v>8114</v>
      </c>
      <c r="J124" t="s">
        <v>8115</v>
      </c>
    </row>
    <row r="125" spans="9:10">
      <c r="I125" t="s">
        <v>8116</v>
      </c>
      <c r="J125" t="s">
        <v>8117</v>
      </c>
    </row>
    <row r="126" spans="9:10">
      <c r="I126" t="s">
        <v>8118</v>
      </c>
      <c r="J126" t="s">
        <v>8119</v>
      </c>
    </row>
    <row r="127" spans="9:10">
      <c r="I127" t="s">
        <v>8120</v>
      </c>
      <c r="J127" t="s">
        <v>8121</v>
      </c>
    </row>
    <row r="128" spans="9:10">
      <c r="I128" t="s">
        <v>8122</v>
      </c>
      <c r="J128" t="s">
        <v>8123</v>
      </c>
    </row>
    <row r="129" spans="9:10">
      <c r="I129" t="s">
        <v>8124</v>
      </c>
      <c r="J129" t="s">
        <v>8125</v>
      </c>
    </row>
    <row r="130" spans="9:10">
      <c r="I130" t="s">
        <v>8126</v>
      </c>
      <c r="J130" t="s">
        <v>8127</v>
      </c>
    </row>
    <row r="131" spans="9:10">
      <c r="I131" t="s">
        <v>8128</v>
      </c>
      <c r="J131" t="s">
        <v>8129</v>
      </c>
    </row>
    <row r="132" spans="9:10">
      <c r="I132" t="s">
        <v>8130</v>
      </c>
      <c r="J132" t="s">
        <v>8131</v>
      </c>
    </row>
    <row r="133" spans="9:10">
      <c r="I133" t="s">
        <v>8132</v>
      </c>
      <c r="J133" t="s">
        <v>8133</v>
      </c>
    </row>
    <row r="134" spans="9:10">
      <c r="I134" t="s">
        <v>8134</v>
      </c>
      <c r="J134" t="s">
        <v>8135</v>
      </c>
    </row>
    <row r="135" spans="9:10">
      <c r="I135" t="s">
        <v>8136</v>
      </c>
      <c r="J135" t="s">
        <v>8137</v>
      </c>
    </row>
    <row r="136" spans="9:10">
      <c r="I136" t="s">
        <v>8138</v>
      </c>
      <c r="J136" t="s">
        <v>8139</v>
      </c>
    </row>
    <row r="137" spans="9:10">
      <c r="I137" t="s">
        <v>8140</v>
      </c>
      <c r="J137" t="s">
        <v>8141</v>
      </c>
    </row>
    <row r="138" spans="9:10">
      <c r="I138" t="s">
        <v>8142</v>
      </c>
      <c r="J138" t="s">
        <v>8143</v>
      </c>
    </row>
    <row r="139" spans="9:10">
      <c r="I139" t="s">
        <v>8144</v>
      </c>
      <c r="J139" t="s">
        <v>8145</v>
      </c>
    </row>
    <row r="140" spans="9:10">
      <c r="I140" t="s">
        <v>8146</v>
      </c>
      <c r="J140" t="s">
        <v>8147</v>
      </c>
    </row>
    <row r="141" spans="9:10">
      <c r="I141" t="s">
        <v>8148</v>
      </c>
      <c r="J141" t="s">
        <v>8149</v>
      </c>
    </row>
    <row r="142" spans="9:10">
      <c r="I142" t="s">
        <v>8150</v>
      </c>
      <c r="J142" t="s">
        <v>8151</v>
      </c>
    </row>
    <row r="143" spans="9:10">
      <c r="I143" t="s">
        <v>8152</v>
      </c>
      <c r="J143" t="s">
        <v>8153</v>
      </c>
    </row>
    <row r="144" spans="9:10">
      <c r="I144" t="s">
        <v>8154</v>
      </c>
      <c r="J144" t="s">
        <v>8155</v>
      </c>
    </row>
    <row r="145" spans="9:10">
      <c r="I145" t="s">
        <v>8156</v>
      </c>
      <c r="J145" t="s">
        <v>8157</v>
      </c>
    </row>
    <row r="146" spans="9:10">
      <c r="I146" t="s">
        <v>8158</v>
      </c>
      <c r="J146" t="s">
        <v>8159</v>
      </c>
    </row>
    <row r="147" spans="9:10">
      <c r="I147" t="s">
        <v>8160</v>
      </c>
      <c r="J147" t="s">
        <v>8161</v>
      </c>
    </row>
    <row r="148" spans="9:10">
      <c r="I148" t="s">
        <v>8162</v>
      </c>
      <c r="J148" t="s">
        <v>8163</v>
      </c>
    </row>
    <row r="149" spans="9:10">
      <c r="I149" t="s">
        <v>8164</v>
      </c>
      <c r="J149" t="s">
        <v>8165</v>
      </c>
    </row>
    <row r="150" spans="9:10">
      <c r="I150" t="s">
        <v>8166</v>
      </c>
      <c r="J150" t="s">
        <v>8167</v>
      </c>
    </row>
    <row r="151" spans="9:10">
      <c r="I151" t="s">
        <v>8168</v>
      </c>
      <c r="J151" t="s">
        <v>8169</v>
      </c>
    </row>
    <row r="152" spans="9:10">
      <c r="I152" t="s">
        <v>8170</v>
      </c>
      <c r="J152" t="s">
        <v>8171</v>
      </c>
    </row>
    <row r="153" spans="9:10">
      <c r="I153" t="s">
        <v>8172</v>
      </c>
      <c r="J153" t="s">
        <v>8173</v>
      </c>
    </row>
    <row r="154" spans="9:10">
      <c r="I154" t="s">
        <v>8174</v>
      </c>
      <c r="J154" t="s">
        <v>8175</v>
      </c>
    </row>
    <row r="155" spans="9:10">
      <c r="I155" t="s">
        <v>8176</v>
      </c>
      <c r="J155" t="s">
        <v>8177</v>
      </c>
    </row>
    <row r="156" spans="9:10">
      <c r="I156" t="s">
        <v>8178</v>
      </c>
      <c r="J156" t="s">
        <v>8179</v>
      </c>
    </row>
    <row r="157" spans="9:10">
      <c r="I157" t="s">
        <v>8180</v>
      </c>
      <c r="J157" t="s">
        <v>8181</v>
      </c>
    </row>
    <row r="158" spans="9:10">
      <c r="I158" t="s">
        <v>8182</v>
      </c>
      <c r="J158" t="s">
        <v>8183</v>
      </c>
    </row>
    <row r="159" spans="9:10">
      <c r="I159" t="s">
        <v>8184</v>
      </c>
      <c r="J159" t="s">
        <v>8185</v>
      </c>
    </row>
    <row r="160" spans="9:10">
      <c r="I160" t="s">
        <v>8186</v>
      </c>
      <c r="J160" t="s">
        <v>8187</v>
      </c>
    </row>
    <row r="161" spans="9:10">
      <c r="I161" t="s">
        <v>8188</v>
      </c>
      <c r="J161" t="s">
        <v>8189</v>
      </c>
    </row>
    <row r="162" spans="9:10">
      <c r="I162" t="s">
        <v>8190</v>
      </c>
      <c r="J162" t="s">
        <v>8191</v>
      </c>
    </row>
    <row r="163" spans="9:10">
      <c r="I163" t="s">
        <v>8192</v>
      </c>
      <c r="J163" t="s">
        <v>8193</v>
      </c>
    </row>
    <row r="164" spans="9:10">
      <c r="I164" t="s">
        <v>8194</v>
      </c>
      <c r="J164" t="s">
        <v>8195</v>
      </c>
    </row>
    <row r="165" spans="9:10">
      <c r="I165" t="s">
        <v>8196</v>
      </c>
      <c r="J165" t="s">
        <v>8197</v>
      </c>
    </row>
    <row r="166" spans="9:10">
      <c r="I166" t="s">
        <v>8198</v>
      </c>
      <c r="J166" t="s">
        <v>8199</v>
      </c>
    </row>
    <row r="167" spans="9:10">
      <c r="I167" t="s">
        <v>8200</v>
      </c>
      <c r="J167" t="s">
        <v>8201</v>
      </c>
    </row>
    <row r="168" spans="9:10">
      <c r="I168" t="s">
        <v>8202</v>
      </c>
      <c r="J168" t="s">
        <v>8203</v>
      </c>
    </row>
    <row r="169" spans="9:10">
      <c r="I169" t="s">
        <v>8204</v>
      </c>
      <c r="J169" t="s">
        <v>8205</v>
      </c>
    </row>
    <row r="170" spans="9:10">
      <c r="I170" t="s">
        <v>8206</v>
      </c>
      <c r="J170" t="s">
        <v>8207</v>
      </c>
    </row>
    <row r="171" spans="9:10">
      <c r="I171" t="s">
        <v>8208</v>
      </c>
      <c r="J171" t="s">
        <v>8209</v>
      </c>
    </row>
    <row r="172" spans="9:10">
      <c r="I172" t="s">
        <v>8210</v>
      </c>
      <c r="J172" t="s">
        <v>8211</v>
      </c>
    </row>
    <row r="173" spans="9:10">
      <c r="I173" t="s">
        <v>8212</v>
      </c>
      <c r="J173" t="s">
        <v>8213</v>
      </c>
    </row>
    <row r="174" spans="9:10">
      <c r="I174" t="s">
        <v>8214</v>
      </c>
      <c r="J174" t="s">
        <v>8215</v>
      </c>
    </row>
    <row r="175" spans="9:10">
      <c r="I175" t="s">
        <v>8216</v>
      </c>
      <c r="J175" t="s">
        <v>8217</v>
      </c>
    </row>
    <row r="176" spans="9:10">
      <c r="I176" t="s">
        <v>8218</v>
      </c>
      <c r="J176" t="s">
        <v>8219</v>
      </c>
    </row>
    <row r="177" spans="9:10">
      <c r="I177" t="s">
        <v>8220</v>
      </c>
      <c r="J177" t="s">
        <v>8221</v>
      </c>
    </row>
    <row r="178" spans="9:10">
      <c r="I178" t="s">
        <v>8222</v>
      </c>
      <c r="J178" t="s">
        <v>8223</v>
      </c>
    </row>
    <row r="179" spans="9:10">
      <c r="I179" t="s">
        <v>8224</v>
      </c>
      <c r="J179" t="s">
        <v>8225</v>
      </c>
    </row>
    <row r="180" spans="9:10">
      <c r="I180" t="s">
        <v>8226</v>
      </c>
      <c r="J180" t="s">
        <v>8227</v>
      </c>
    </row>
    <row r="181" spans="9:10">
      <c r="I181" t="s">
        <v>8228</v>
      </c>
      <c r="J181" t="s">
        <v>8229</v>
      </c>
    </row>
    <row r="182" spans="9:10">
      <c r="I182" t="s">
        <v>8230</v>
      </c>
      <c r="J182" t="s">
        <v>8231</v>
      </c>
    </row>
    <row r="183" spans="9:10">
      <c r="I183" t="s">
        <v>8232</v>
      </c>
      <c r="J183" t="s">
        <v>8233</v>
      </c>
    </row>
    <row r="184" spans="9:10">
      <c r="I184" t="s">
        <v>8234</v>
      </c>
      <c r="J184" t="s">
        <v>8235</v>
      </c>
    </row>
    <row r="185" spans="9:10">
      <c r="I185" t="s">
        <v>8236</v>
      </c>
      <c r="J185" t="s">
        <v>8237</v>
      </c>
    </row>
    <row r="186" spans="9:10">
      <c r="I186" t="s">
        <v>8238</v>
      </c>
      <c r="J186" t="s">
        <v>8239</v>
      </c>
    </row>
    <row r="187" spans="9:10">
      <c r="I187" t="s">
        <v>8240</v>
      </c>
      <c r="J187" t="s">
        <v>8241</v>
      </c>
    </row>
    <row r="188" spans="9:10">
      <c r="I188" t="s">
        <v>8242</v>
      </c>
      <c r="J188" t="s">
        <v>8243</v>
      </c>
    </row>
    <row r="189" spans="9:10">
      <c r="I189" t="s">
        <v>8244</v>
      </c>
      <c r="J189" t="s">
        <v>8245</v>
      </c>
    </row>
    <row r="190" spans="9:10">
      <c r="I190" t="s">
        <v>8246</v>
      </c>
      <c r="J190" t="s">
        <v>8247</v>
      </c>
    </row>
    <row r="191" spans="9:10">
      <c r="I191" t="s">
        <v>8248</v>
      </c>
      <c r="J191" t="s">
        <v>8249</v>
      </c>
    </row>
    <row r="192" spans="9:10">
      <c r="I192" t="s">
        <v>8250</v>
      </c>
      <c r="J192" t="s">
        <v>8251</v>
      </c>
    </row>
    <row r="193" spans="9:10">
      <c r="I193" t="s">
        <v>8252</v>
      </c>
      <c r="J193" t="s">
        <v>8253</v>
      </c>
    </row>
    <row r="194" spans="9:10">
      <c r="I194" t="s">
        <v>8254</v>
      </c>
      <c r="J194" t="s">
        <v>8255</v>
      </c>
    </row>
    <row r="195" spans="9:10">
      <c r="I195" t="s">
        <v>8256</v>
      </c>
      <c r="J195" t="s">
        <v>8257</v>
      </c>
    </row>
    <row r="196" spans="9:10">
      <c r="I196" t="s">
        <v>8258</v>
      </c>
      <c r="J196" t="s">
        <v>8259</v>
      </c>
    </row>
    <row r="197" spans="9:10">
      <c r="I197" t="s">
        <v>8260</v>
      </c>
      <c r="J197" t="s">
        <v>7875</v>
      </c>
    </row>
    <row r="198" spans="9:10">
      <c r="I198" t="s">
        <v>8261</v>
      </c>
      <c r="J198" t="s">
        <v>7877</v>
      </c>
    </row>
    <row r="199" spans="9:10">
      <c r="I199" t="s">
        <v>8262</v>
      </c>
      <c r="J199" t="s">
        <v>8263</v>
      </c>
    </row>
    <row r="200" spans="9:10">
      <c r="I200" t="s">
        <v>8264</v>
      </c>
      <c r="J200" t="s">
        <v>8265</v>
      </c>
    </row>
    <row r="201" spans="9:10">
      <c r="I201" t="s">
        <v>8266</v>
      </c>
      <c r="J201" t="s">
        <v>8267</v>
      </c>
    </row>
    <row r="202" spans="9:10">
      <c r="I202" t="s">
        <v>8268</v>
      </c>
      <c r="J202" t="s">
        <v>8269</v>
      </c>
    </row>
    <row r="203" spans="9:10">
      <c r="I203" t="s">
        <v>8270</v>
      </c>
      <c r="J203" t="s">
        <v>8271</v>
      </c>
    </row>
    <row r="204" spans="9:10">
      <c r="I204" t="s">
        <v>8272</v>
      </c>
      <c r="J204" t="s">
        <v>7885</v>
      </c>
    </row>
    <row r="205" spans="9:10">
      <c r="I205" t="s">
        <v>8273</v>
      </c>
      <c r="J205" t="s">
        <v>8274</v>
      </c>
    </row>
    <row r="206" spans="9:10">
      <c r="I206" t="s">
        <v>8275</v>
      </c>
      <c r="J206" t="s">
        <v>8276</v>
      </c>
    </row>
    <row r="207" spans="9:10">
      <c r="I207" t="s">
        <v>8277</v>
      </c>
      <c r="J207" t="s">
        <v>7889</v>
      </c>
    </row>
    <row r="208" spans="9:10">
      <c r="I208" t="s">
        <v>8278</v>
      </c>
      <c r="J208" t="s">
        <v>7943</v>
      </c>
    </row>
    <row r="209" spans="9:10">
      <c r="I209" t="s">
        <v>8279</v>
      </c>
      <c r="J209" t="s">
        <v>8280</v>
      </c>
    </row>
    <row r="210" spans="9:10">
      <c r="I210" t="s">
        <v>8281</v>
      </c>
      <c r="J210" t="s">
        <v>8282</v>
      </c>
    </row>
    <row r="211" spans="9:10">
      <c r="I211" t="s">
        <v>8283</v>
      </c>
      <c r="J211" t="s">
        <v>8284</v>
      </c>
    </row>
    <row r="212" spans="9:10">
      <c r="I212" t="s">
        <v>8285</v>
      </c>
      <c r="J212" t="s">
        <v>8286</v>
      </c>
    </row>
    <row r="213" spans="9:10">
      <c r="I213" t="s">
        <v>8287</v>
      </c>
      <c r="J213" t="s">
        <v>8288</v>
      </c>
    </row>
    <row r="214" spans="9:10">
      <c r="I214" t="s">
        <v>8289</v>
      </c>
      <c r="J214" t="s">
        <v>8290</v>
      </c>
    </row>
    <row r="215" spans="9:10">
      <c r="I215" t="s">
        <v>8291</v>
      </c>
      <c r="J215" t="s">
        <v>8292</v>
      </c>
    </row>
    <row r="216" spans="9:10">
      <c r="I216" t="s">
        <v>8293</v>
      </c>
      <c r="J216" t="s">
        <v>8294</v>
      </c>
    </row>
    <row r="217" spans="9:10">
      <c r="I217" t="s">
        <v>8295</v>
      </c>
      <c r="J217" t="s">
        <v>8296</v>
      </c>
    </row>
    <row r="218" spans="9:10">
      <c r="I218" t="s">
        <v>8297</v>
      </c>
      <c r="J218" t="s">
        <v>8298</v>
      </c>
    </row>
    <row r="219" spans="9:10">
      <c r="I219" t="s">
        <v>8299</v>
      </c>
      <c r="J219" t="s">
        <v>8300</v>
      </c>
    </row>
    <row r="220" spans="9:10">
      <c r="I220" t="s">
        <v>8301</v>
      </c>
      <c r="J220" t="s">
        <v>8302</v>
      </c>
    </row>
    <row r="221" spans="9:10">
      <c r="I221" t="s">
        <v>8303</v>
      </c>
      <c r="J221" t="s">
        <v>8304</v>
      </c>
    </row>
    <row r="222" spans="9:10">
      <c r="I222" t="s">
        <v>8305</v>
      </c>
      <c r="J222" t="s">
        <v>8306</v>
      </c>
    </row>
    <row r="223" spans="9:10">
      <c r="I223" t="s">
        <v>8307</v>
      </c>
      <c r="J223" t="s">
        <v>8308</v>
      </c>
    </row>
    <row r="224" spans="9:10">
      <c r="I224" t="s">
        <v>8309</v>
      </c>
      <c r="J224" t="s">
        <v>8310</v>
      </c>
    </row>
    <row r="225" spans="9:10">
      <c r="I225" t="s">
        <v>8311</v>
      </c>
      <c r="J225" t="s">
        <v>8312</v>
      </c>
    </row>
    <row r="226" spans="9:10">
      <c r="I226" t="s">
        <v>8313</v>
      </c>
      <c r="J226" t="s">
        <v>8314</v>
      </c>
    </row>
    <row r="227" spans="9:10">
      <c r="I227" t="s">
        <v>8315</v>
      </c>
      <c r="J227" t="s">
        <v>8316</v>
      </c>
    </row>
    <row r="228" spans="9:10">
      <c r="I228" t="s">
        <v>8317</v>
      </c>
      <c r="J228" t="s">
        <v>8318</v>
      </c>
    </row>
    <row r="229" spans="9:10">
      <c r="I229" t="s">
        <v>8319</v>
      </c>
      <c r="J229" t="s">
        <v>8320</v>
      </c>
    </row>
    <row r="230" spans="9:10">
      <c r="I230" t="s">
        <v>8321</v>
      </c>
      <c r="J230" t="s">
        <v>8322</v>
      </c>
    </row>
    <row r="231" spans="9:10">
      <c r="I231" t="s">
        <v>8323</v>
      </c>
      <c r="J231" t="s">
        <v>8324</v>
      </c>
    </row>
    <row r="232" spans="9:10">
      <c r="I232" t="s">
        <v>8325</v>
      </c>
      <c r="J232" t="s">
        <v>8326</v>
      </c>
    </row>
    <row r="233" spans="9:10">
      <c r="I233" t="s">
        <v>8327</v>
      </c>
      <c r="J233" t="s">
        <v>8328</v>
      </c>
    </row>
    <row r="234" spans="9:10">
      <c r="I234" t="s">
        <v>8329</v>
      </c>
      <c r="J234" t="s">
        <v>8330</v>
      </c>
    </row>
    <row r="235" spans="9:10">
      <c r="I235" t="s">
        <v>8331</v>
      </c>
      <c r="J235" t="s">
        <v>8332</v>
      </c>
    </row>
    <row r="236" spans="9:10">
      <c r="I236" t="s">
        <v>8333</v>
      </c>
      <c r="J236" t="s">
        <v>8334</v>
      </c>
    </row>
    <row r="237" spans="9:10">
      <c r="I237" t="s">
        <v>8335</v>
      </c>
      <c r="J237" t="s">
        <v>8336</v>
      </c>
    </row>
    <row r="238" spans="9:10">
      <c r="I238" t="s">
        <v>8337</v>
      </c>
      <c r="J238" t="s">
        <v>8338</v>
      </c>
    </row>
    <row r="239" spans="9:10">
      <c r="I239" t="s">
        <v>8339</v>
      </c>
      <c r="J239" t="s">
        <v>8340</v>
      </c>
    </row>
    <row r="240" spans="9:10">
      <c r="I240" t="s">
        <v>8341</v>
      </c>
      <c r="J240" t="s">
        <v>8247</v>
      </c>
    </row>
    <row r="241" spans="9:10">
      <c r="I241" t="s">
        <v>8342</v>
      </c>
      <c r="J241" t="s">
        <v>8249</v>
      </c>
    </row>
    <row r="242" spans="9:10">
      <c r="I242" t="s">
        <v>8343</v>
      </c>
      <c r="J242" t="s">
        <v>8344</v>
      </c>
    </row>
    <row r="243" spans="9:10">
      <c r="I243" t="s">
        <v>8345</v>
      </c>
      <c r="J243" t="s">
        <v>8346</v>
      </c>
    </row>
    <row r="244" spans="9:10">
      <c r="I244" t="s">
        <v>8347</v>
      </c>
      <c r="J244" t="s">
        <v>8348</v>
      </c>
    </row>
    <row r="245" spans="9:10">
      <c r="I245" t="s">
        <v>8349</v>
      </c>
      <c r="J245" t="s">
        <v>8350</v>
      </c>
    </row>
    <row r="246" spans="9:10">
      <c r="I246" t="s">
        <v>8351</v>
      </c>
      <c r="J246" t="s">
        <v>4232</v>
      </c>
    </row>
    <row r="247" spans="9:10">
      <c r="I247" t="s">
        <v>8352</v>
      </c>
      <c r="J247" t="s">
        <v>8353</v>
      </c>
    </row>
    <row r="248" spans="9:10">
      <c r="I248" t="s">
        <v>8354</v>
      </c>
      <c r="J248" t="s">
        <v>8355</v>
      </c>
    </row>
    <row r="249" spans="9:10">
      <c r="I249" t="s">
        <v>8356</v>
      </c>
      <c r="J249" t="s">
        <v>8357</v>
      </c>
    </row>
    <row r="250" spans="9:10">
      <c r="I250" t="s">
        <v>8358</v>
      </c>
      <c r="J250" t="s">
        <v>8359</v>
      </c>
    </row>
    <row r="251" spans="9:10">
      <c r="I251" t="s">
        <v>8360</v>
      </c>
      <c r="J251" t="s">
        <v>8361</v>
      </c>
    </row>
    <row r="252" spans="9:10">
      <c r="I252" t="s">
        <v>8362</v>
      </c>
      <c r="J252" t="s">
        <v>8363</v>
      </c>
    </row>
    <row r="253" spans="9:10">
      <c r="I253" t="s">
        <v>8364</v>
      </c>
      <c r="J253" t="s">
        <v>8365</v>
      </c>
    </row>
    <row r="254" spans="9:10">
      <c r="I254" t="s">
        <v>8366</v>
      </c>
      <c r="J254" t="s">
        <v>8367</v>
      </c>
    </row>
    <row r="255" spans="9:10">
      <c r="I255" t="s">
        <v>8368</v>
      </c>
      <c r="J255" t="s">
        <v>8369</v>
      </c>
    </row>
    <row r="256" spans="9:10">
      <c r="I256" t="s">
        <v>8370</v>
      </c>
      <c r="J256" t="s">
        <v>8371</v>
      </c>
    </row>
    <row r="257" spans="9:10">
      <c r="I257" t="s">
        <v>8372</v>
      </c>
      <c r="J257" t="s">
        <v>8373</v>
      </c>
    </row>
    <row r="258" spans="9:10">
      <c r="I258" t="s">
        <v>8374</v>
      </c>
      <c r="J258" t="s">
        <v>8375</v>
      </c>
    </row>
    <row r="259" spans="9:10">
      <c r="I259" t="s">
        <v>8376</v>
      </c>
      <c r="J259" t="s">
        <v>8377</v>
      </c>
    </row>
    <row r="260" spans="9:10">
      <c r="I260" t="s">
        <v>8378</v>
      </c>
      <c r="J260" t="s">
        <v>8379</v>
      </c>
    </row>
    <row r="261" spans="9:10">
      <c r="I261" t="s">
        <v>8380</v>
      </c>
      <c r="J261" t="s">
        <v>8381</v>
      </c>
    </row>
    <row r="262" spans="9:10">
      <c r="I262" t="s">
        <v>8382</v>
      </c>
      <c r="J262" t="s">
        <v>8383</v>
      </c>
    </row>
    <row r="263" spans="9:10">
      <c r="I263" t="s">
        <v>8384</v>
      </c>
      <c r="J263" t="s">
        <v>8385</v>
      </c>
    </row>
    <row r="264" spans="9:10">
      <c r="I264" t="s">
        <v>8386</v>
      </c>
      <c r="J264" t="s">
        <v>8387</v>
      </c>
    </row>
    <row r="265" spans="9:10">
      <c r="I265" t="s">
        <v>8388</v>
      </c>
      <c r="J265" t="s">
        <v>8389</v>
      </c>
    </row>
    <row r="266" spans="9:10">
      <c r="I266" t="s">
        <v>8390</v>
      </c>
      <c r="J266" t="s">
        <v>8391</v>
      </c>
    </row>
    <row r="267" spans="9:10">
      <c r="I267" t="s">
        <v>8392</v>
      </c>
      <c r="J267" t="s">
        <v>8393</v>
      </c>
    </row>
    <row r="268" spans="9:10">
      <c r="I268" t="s">
        <v>8394</v>
      </c>
      <c r="J268" t="s">
        <v>4756</v>
      </c>
    </row>
    <row r="269" spans="9:10">
      <c r="I269" t="s">
        <v>8395</v>
      </c>
      <c r="J269" t="s">
        <v>8396</v>
      </c>
    </row>
    <row r="270" spans="9:10">
      <c r="I270" t="s">
        <v>8397</v>
      </c>
      <c r="J270" t="s">
        <v>8398</v>
      </c>
    </row>
    <row r="271" spans="9:10">
      <c r="I271" t="s">
        <v>8399</v>
      </c>
      <c r="J271" t="s">
        <v>8400</v>
      </c>
    </row>
    <row r="272" spans="9:10">
      <c r="I272" t="s">
        <v>8401</v>
      </c>
      <c r="J272" t="s">
        <v>8402</v>
      </c>
    </row>
    <row r="273" spans="9:10">
      <c r="I273" t="s">
        <v>8403</v>
      </c>
      <c r="J273" t="s">
        <v>8404</v>
      </c>
    </row>
    <row r="274" spans="9:10">
      <c r="I274" t="s">
        <v>8405</v>
      </c>
      <c r="J274" t="s">
        <v>8406</v>
      </c>
    </row>
    <row r="275" spans="9:10">
      <c r="I275" t="s">
        <v>8407</v>
      </c>
      <c r="J275" t="s">
        <v>8408</v>
      </c>
    </row>
    <row r="276" spans="9:10">
      <c r="I276" t="s">
        <v>8409</v>
      </c>
      <c r="J276" t="s">
        <v>4418</v>
      </c>
    </row>
    <row r="277" spans="9:10">
      <c r="I277" t="s">
        <v>8410</v>
      </c>
      <c r="J277" t="s">
        <v>8411</v>
      </c>
    </row>
    <row r="278" spans="9:10">
      <c r="I278" t="s">
        <v>8412</v>
      </c>
      <c r="J278" t="s">
        <v>8413</v>
      </c>
    </row>
    <row r="279" spans="9:10">
      <c r="I279" t="s">
        <v>8414</v>
      </c>
      <c r="J279" t="s">
        <v>8415</v>
      </c>
    </row>
    <row r="280" spans="9:10">
      <c r="I280" t="s">
        <v>8416</v>
      </c>
      <c r="J280" t="s">
        <v>8417</v>
      </c>
    </row>
    <row r="281" spans="9:10">
      <c r="I281" t="s">
        <v>8418</v>
      </c>
      <c r="J281" t="s">
        <v>8419</v>
      </c>
    </row>
    <row r="282" spans="9:10">
      <c r="I282" t="s">
        <v>8420</v>
      </c>
      <c r="J282" t="s">
        <v>8421</v>
      </c>
    </row>
    <row r="283" spans="9:10">
      <c r="I283" t="s">
        <v>8422</v>
      </c>
      <c r="J283" t="s">
        <v>8423</v>
      </c>
    </row>
    <row r="284" spans="9:10">
      <c r="I284" t="s">
        <v>8424</v>
      </c>
      <c r="J284" t="s">
        <v>8425</v>
      </c>
    </row>
    <row r="285" spans="9:10">
      <c r="I285" t="s">
        <v>8426</v>
      </c>
      <c r="J285" t="s">
        <v>8427</v>
      </c>
    </row>
    <row r="286" spans="9:10">
      <c r="I286" t="s">
        <v>8428</v>
      </c>
      <c r="J286" t="s">
        <v>8429</v>
      </c>
    </row>
    <row r="287" spans="9:10">
      <c r="I287" t="s">
        <v>8430</v>
      </c>
      <c r="J287" t="s">
        <v>8431</v>
      </c>
    </row>
    <row r="288" spans="9:10">
      <c r="I288" t="s">
        <v>8432</v>
      </c>
      <c r="J288" t="s">
        <v>8433</v>
      </c>
    </row>
    <row r="289" spans="9:10">
      <c r="I289" t="s">
        <v>8434</v>
      </c>
      <c r="J289" t="s">
        <v>8435</v>
      </c>
    </row>
    <row r="290" spans="9:10">
      <c r="I290" t="s">
        <v>8436</v>
      </c>
      <c r="J290" t="s">
        <v>8247</v>
      </c>
    </row>
    <row r="291" spans="9:10">
      <c r="I291" t="s">
        <v>8437</v>
      </c>
      <c r="J291" t="s">
        <v>8249</v>
      </c>
    </row>
    <row r="292" spans="9:10">
      <c r="I292" t="s">
        <v>8438</v>
      </c>
      <c r="J292" t="s">
        <v>8439</v>
      </c>
    </row>
    <row r="293" spans="9:10">
      <c r="I293" t="s">
        <v>8440</v>
      </c>
      <c r="J293" t="s">
        <v>8247</v>
      </c>
    </row>
    <row r="294" spans="9:10">
      <c r="I294" t="s">
        <v>8441</v>
      </c>
      <c r="J294" t="s">
        <v>8249</v>
      </c>
    </row>
    <row r="295" spans="9:10">
      <c r="I295" t="s">
        <v>8442</v>
      </c>
      <c r="J295" t="s">
        <v>7867</v>
      </c>
    </row>
    <row r="296" spans="9:10">
      <c r="I296" t="s">
        <v>8443</v>
      </c>
      <c r="J296" t="s">
        <v>7788</v>
      </c>
    </row>
    <row r="297" spans="9:10">
      <c r="I297" t="s">
        <v>7780</v>
      </c>
      <c r="J297" t="s">
        <v>8444</v>
      </c>
    </row>
    <row r="298" spans="9:10">
      <c r="I298" t="s">
        <v>8445</v>
      </c>
      <c r="J298" t="s">
        <v>8446</v>
      </c>
    </row>
    <row r="299" spans="9:10">
      <c r="I299" t="s">
        <v>8447</v>
      </c>
      <c r="J299" t="s">
        <v>8448</v>
      </c>
    </row>
    <row r="300" spans="9:10">
      <c r="I300" t="s">
        <v>8449</v>
      </c>
      <c r="J300" t="s">
        <v>8450</v>
      </c>
    </row>
    <row r="301" spans="9:10">
      <c r="I301" t="s">
        <v>8451</v>
      </c>
      <c r="J301" t="s">
        <v>8452</v>
      </c>
    </row>
    <row r="302" spans="9:10">
      <c r="I302" t="s">
        <v>8453</v>
      </c>
      <c r="J302" t="s">
        <v>5828</v>
      </c>
    </row>
    <row r="303" spans="9:10">
      <c r="I303" t="s">
        <v>8454</v>
      </c>
      <c r="J303" t="s">
        <v>8455</v>
      </c>
    </row>
    <row r="304" spans="9:10">
      <c r="I304" t="s">
        <v>8456</v>
      </c>
      <c r="J304" t="s">
        <v>8457</v>
      </c>
    </row>
    <row r="305" spans="9:10">
      <c r="I305" t="s">
        <v>8458</v>
      </c>
      <c r="J305" t="s">
        <v>8459</v>
      </c>
    </row>
    <row r="306" spans="9:10">
      <c r="I306" t="s">
        <v>8460</v>
      </c>
      <c r="J306" t="s">
        <v>8461</v>
      </c>
    </row>
    <row r="307" spans="9:10">
      <c r="I307" t="s">
        <v>8462</v>
      </c>
      <c r="J307" t="s">
        <v>8463</v>
      </c>
    </row>
    <row r="308" spans="9:10">
      <c r="I308" t="s">
        <v>8464</v>
      </c>
      <c r="J308" t="s">
        <v>8465</v>
      </c>
    </row>
    <row r="309" spans="9:10">
      <c r="I309" t="s">
        <v>8466</v>
      </c>
      <c r="J309" t="s">
        <v>8467</v>
      </c>
    </row>
    <row r="310" spans="9:10">
      <c r="I310" t="s">
        <v>8468</v>
      </c>
      <c r="J310" t="s">
        <v>8469</v>
      </c>
    </row>
    <row r="311" spans="9:10">
      <c r="I311" t="s">
        <v>8470</v>
      </c>
      <c r="J311" t="s">
        <v>8471</v>
      </c>
    </row>
    <row r="312" spans="9:10">
      <c r="I312" t="s">
        <v>8472</v>
      </c>
      <c r="J312" t="s">
        <v>5830</v>
      </c>
    </row>
    <row r="313" spans="9:10">
      <c r="I313" t="s">
        <v>8473</v>
      </c>
      <c r="J313" t="s">
        <v>8247</v>
      </c>
    </row>
    <row r="314" spans="9:10">
      <c r="I314" t="s">
        <v>8474</v>
      </c>
      <c r="J314" t="s">
        <v>8249</v>
      </c>
    </row>
    <row r="315" spans="9:10">
      <c r="I315" t="s">
        <v>8475</v>
      </c>
      <c r="J315" t="s">
        <v>8033</v>
      </c>
    </row>
    <row r="316" spans="9:10">
      <c r="I316" t="s">
        <v>8476</v>
      </c>
      <c r="J316" t="s">
        <v>8035</v>
      </c>
    </row>
    <row r="317" spans="9:10">
      <c r="I317" t="s">
        <v>8477</v>
      </c>
      <c r="J317" t="s">
        <v>8025</v>
      </c>
    </row>
    <row r="318" spans="9:10">
      <c r="I318" t="s">
        <v>8478</v>
      </c>
      <c r="J318" t="s">
        <v>8479</v>
      </c>
    </row>
    <row r="319" spans="9:10">
      <c r="I319" t="s">
        <v>8480</v>
      </c>
      <c r="J319" t="s">
        <v>8481</v>
      </c>
    </row>
    <row r="320" spans="9:10">
      <c r="I320" t="s">
        <v>8482</v>
      </c>
      <c r="J320" t="s">
        <v>8483</v>
      </c>
    </row>
    <row r="321" spans="9:10">
      <c r="I321" t="s">
        <v>8484</v>
      </c>
      <c r="J321" t="s">
        <v>8485</v>
      </c>
    </row>
    <row r="322" spans="9:10">
      <c r="I322" t="s">
        <v>8486</v>
      </c>
      <c r="J322" t="s">
        <v>8487</v>
      </c>
    </row>
    <row r="323" spans="9:10">
      <c r="I323" t="s">
        <v>8488</v>
      </c>
      <c r="J323" t="s">
        <v>8489</v>
      </c>
    </row>
    <row r="324" spans="9:10">
      <c r="I324" t="s">
        <v>8490</v>
      </c>
      <c r="J324" t="s">
        <v>8491</v>
      </c>
    </row>
    <row r="325" spans="9:10">
      <c r="I325" t="s">
        <v>8492</v>
      </c>
      <c r="J325" t="s">
        <v>8493</v>
      </c>
    </row>
    <row r="326" spans="9:10">
      <c r="I326" t="s">
        <v>8494</v>
      </c>
      <c r="J326" t="s">
        <v>8495</v>
      </c>
    </row>
    <row r="327" spans="9:10">
      <c r="I327" t="s">
        <v>8496</v>
      </c>
      <c r="J327" t="s">
        <v>8497</v>
      </c>
    </row>
    <row r="328" spans="9:10">
      <c r="I328" t="s">
        <v>8498</v>
      </c>
      <c r="J328" t="s">
        <v>8499</v>
      </c>
    </row>
    <row r="329" spans="9:10">
      <c r="I329" t="s">
        <v>8500</v>
      </c>
      <c r="J329" t="s">
        <v>8501</v>
      </c>
    </row>
    <row r="330" spans="9:10">
      <c r="I330" t="s">
        <v>8502</v>
      </c>
      <c r="J330" t="s">
        <v>8503</v>
      </c>
    </row>
    <row r="331" spans="9:10">
      <c r="I331" t="s">
        <v>8504</v>
      </c>
      <c r="J331" t="s">
        <v>8505</v>
      </c>
    </row>
    <row r="332" spans="9:10">
      <c r="I332" t="s">
        <v>8506</v>
      </c>
      <c r="J332" t="s">
        <v>8507</v>
      </c>
    </row>
    <row r="333" spans="9:10">
      <c r="I333" t="s">
        <v>8508</v>
      </c>
      <c r="J333" t="s">
        <v>8509</v>
      </c>
    </row>
    <row r="334" spans="9:10">
      <c r="I334" t="s">
        <v>8510</v>
      </c>
      <c r="J334" t="s">
        <v>8511</v>
      </c>
    </row>
    <row r="335" spans="9:10">
      <c r="I335" t="s">
        <v>8512</v>
      </c>
      <c r="J335" t="s">
        <v>8513</v>
      </c>
    </row>
    <row r="336" spans="9:10">
      <c r="I336" t="s">
        <v>8514</v>
      </c>
      <c r="J336" t="s">
        <v>8515</v>
      </c>
    </row>
    <row r="337" spans="9:10">
      <c r="I337" t="s">
        <v>8516</v>
      </c>
      <c r="J337" t="s">
        <v>8517</v>
      </c>
    </row>
    <row r="338" spans="9:10">
      <c r="I338" t="s">
        <v>8518</v>
      </c>
      <c r="J338" t="s">
        <v>8519</v>
      </c>
    </row>
    <row r="339" spans="9:10">
      <c r="I339" t="s">
        <v>8520</v>
      </c>
      <c r="J339" t="s">
        <v>8521</v>
      </c>
    </row>
    <row r="340" spans="9:10">
      <c r="I340" t="s">
        <v>8522</v>
      </c>
      <c r="J340" t="s">
        <v>8523</v>
      </c>
    </row>
    <row r="341" spans="9:10">
      <c r="I341" t="s">
        <v>8524</v>
      </c>
      <c r="J341" t="s">
        <v>8525</v>
      </c>
    </row>
    <row r="342" spans="9:10">
      <c r="I342" t="s">
        <v>8526</v>
      </c>
      <c r="J342" t="s">
        <v>8527</v>
      </c>
    </row>
    <row r="343" spans="9:10">
      <c r="I343" t="s">
        <v>8528</v>
      </c>
      <c r="J343" t="s">
        <v>8529</v>
      </c>
    </row>
    <row r="344" spans="9:10">
      <c r="I344" t="s">
        <v>8530</v>
      </c>
      <c r="J344" t="s">
        <v>8531</v>
      </c>
    </row>
    <row r="345" spans="9:10">
      <c r="I345" t="s">
        <v>8532</v>
      </c>
      <c r="J345" t="s">
        <v>8533</v>
      </c>
    </row>
    <row r="346" spans="9:10">
      <c r="I346" t="s">
        <v>8534</v>
      </c>
      <c r="J346" t="s">
        <v>8535</v>
      </c>
    </row>
    <row r="347" spans="9:10">
      <c r="I347" t="s">
        <v>8536</v>
      </c>
      <c r="J347" t="s">
        <v>8537</v>
      </c>
    </row>
    <row r="348" spans="9:10">
      <c r="I348" t="s">
        <v>8538</v>
      </c>
      <c r="J348" t="s">
        <v>8539</v>
      </c>
    </row>
    <row r="349" spans="9:10">
      <c r="I349" t="s">
        <v>8540</v>
      </c>
      <c r="J349" t="s">
        <v>8541</v>
      </c>
    </row>
    <row r="350" spans="9:10">
      <c r="I350" t="s">
        <v>8542</v>
      </c>
      <c r="J350" t="s">
        <v>8543</v>
      </c>
    </row>
    <row r="351" spans="9:10">
      <c r="I351" t="s">
        <v>8544</v>
      </c>
      <c r="J351" t="s">
        <v>8545</v>
      </c>
    </row>
    <row r="352" spans="9:10">
      <c r="I352" t="s">
        <v>8546</v>
      </c>
      <c r="J352" t="s">
        <v>8547</v>
      </c>
    </row>
    <row r="353" spans="9:10">
      <c r="I353" t="s">
        <v>8548</v>
      </c>
      <c r="J353" t="s">
        <v>8549</v>
      </c>
    </row>
    <row r="354" spans="9:10">
      <c r="I354" t="s">
        <v>8550</v>
      </c>
      <c r="J354" t="s">
        <v>8551</v>
      </c>
    </row>
    <row r="355" spans="9:10">
      <c r="I355" t="s">
        <v>8552</v>
      </c>
      <c r="J355" t="s">
        <v>8553</v>
      </c>
    </row>
    <row r="356" spans="9:10">
      <c r="I356" t="s">
        <v>8554</v>
      </c>
      <c r="J356" t="s">
        <v>8555</v>
      </c>
    </row>
    <row r="357" spans="9:10">
      <c r="I357" t="s">
        <v>8556</v>
      </c>
      <c r="J357" t="s">
        <v>8557</v>
      </c>
    </row>
    <row r="358" spans="9:10">
      <c r="I358" t="s">
        <v>8558</v>
      </c>
      <c r="J358" t="s">
        <v>8559</v>
      </c>
    </row>
    <row r="359" spans="9:10">
      <c r="I359" t="s">
        <v>8560</v>
      </c>
      <c r="J359" t="s">
        <v>8561</v>
      </c>
    </row>
    <row r="360" spans="9:10">
      <c r="I360" t="s">
        <v>8562</v>
      </c>
      <c r="J360" t="s">
        <v>8563</v>
      </c>
    </row>
    <row r="361" spans="9:10">
      <c r="I361" t="s">
        <v>8564</v>
      </c>
      <c r="J361" t="s">
        <v>8565</v>
      </c>
    </row>
    <row r="362" spans="9:10">
      <c r="I362" t="s">
        <v>8566</v>
      </c>
      <c r="J362" t="s">
        <v>8567</v>
      </c>
    </row>
    <row r="363" spans="9:10">
      <c r="I363" t="s">
        <v>8568</v>
      </c>
      <c r="J363" t="s">
        <v>8569</v>
      </c>
    </row>
    <row r="364" spans="9:10">
      <c r="I364" t="s">
        <v>8570</v>
      </c>
      <c r="J364" t="s">
        <v>8571</v>
      </c>
    </row>
    <row r="365" spans="9:10">
      <c r="I365" t="s">
        <v>8572</v>
      </c>
      <c r="J365" t="s">
        <v>8573</v>
      </c>
    </row>
    <row r="366" spans="9:10">
      <c r="I366" t="s">
        <v>8574</v>
      </c>
      <c r="J366" t="s">
        <v>8575</v>
      </c>
    </row>
    <row r="367" spans="9:10">
      <c r="I367" t="s">
        <v>8576</v>
      </c>
      <c r="J367" t="s">
        <v>8577</v>
      </c>
    </row>
    <row r="368" spans="9:10">
      <c r="I368" t="s">
        <v>8578</v>
      </c>
      <c r="J368" t="s">
        <v>8579</v>
      </c>
    </row>
    <row r="369" spans="9:10">
      <c r="I369" t="s">
        <v>8580</v>
      </c>
      <c r="J369" t="s">
        <v>8581</v>
      </c>
    </row>
    <row r="370" spans="9:10">
      <c r="I370" t="s">
        <v>8582</v>
      </c>
      <c r="J370" t="s">
        <v>8583</v>
      </c>
    </row>
    <row r="371" spans="9:10">
      <c r="I371" t="s">
        <v>8584</v>
      </c>
      <c r="J371" t="s">
        <v>8585</v>
      </c>
    </row>
    <row r="372" spans="9:10">
      <c r="I372" t="s">
        <v>8586</v>
      </c>
      <c r="J372" t="s">
        <v>8587</v>
      </c>
    </row>
    <row r="373" spans="9:10">
      <c r="I373" t="s">
        <v>8588</v>
      </c>
      <c r="J373" t="s">
        <v>8589</v>
      </c>
    </row>
    <row r="374" spans="9:10">
      <c r="I374" t="s">
        <v>8590</v>
      </c>
      <c r="J374" t="s">
        <v>8591</v>
      </c>
    </row>
    <row r="375" spans="9:10">
      <c r="I375" t="s">
        <v>8592</v>
      </c>
      <c r="J375" t="s">
        <v>8593</v>
      </c>
    </row>
    <row r="376" spans="9:10">
      <c r="I376" t="s">
        <v>8594</v>
      </c>
      <c r="J376" t="s">
        <v>8595</v>
      </c>
    </row>
    <row r="377" spans="9:10">
      <c r="I377" t="s">
        <v>8596</v>
      </c>
      <c r="J377" t="s">
        <v>8597</v>
      </c>
    </row>
    <row r="378" spans="9:10">
      <c r="I378" t="s">
        <v>8598</v>
      </c>
      <c r="J378" t="s">
        <v>8599</v>
      </c>
    </row>
    <row r="379" spans="9:10">
      <c r="I379" t="s">
        <v>8600</v>
      </c>
      <c r="J379" t="s">
        <v>8601</v>
      </c>
    </row>
    <row r="380" spans="9:10">
      <c r="I380" t="s">
        <v>8602</v>
      </c>
      <c r="J380" t="s">
        <v>8603</v>
      </c>
    </row>
    <row r="381" spans="9:10">
      <c r="I381" t="s">
        <v>8604</v>
      </c>
      <c r="J381" t="s">
        <v>8605</v>
      </c>
    </row>
    <row r="382" spans="9:10">
      <c r="I382" t="s">
        <v>8606</v>
      </c>
      <c r="J382" t="s">
        <v>8607</v>
      </c>
    </row>
    <row r="383" spans="9:10">
      <c r="I383" t="s">
        <v>8608</v>
      </c>
      <c r="J383" t="s">
        <v>8609</v>
      </c>
    </row>
    <row r="384" spans="9:10">
      <c r="I384" t="s">
        <v>8610</v>
      </c>
      <c r="J384" t="s">
        <v>8611</v>
      </c>
    </row>
    <row r="385" spans="9:10">
      <c r="I385" t="s">
        <v>8612</v>
      </c>
      <c r="J385" t="s">
        <v>8613</v>
      </c>
    </row>
    <row r="386" spans="9:10">
      <c r="I386" t="s">
        <v>8614</v>
      </c>
      <c r="J386" t="s">
        <v>8615</v>
      </c>
    </row>
    <row r="387" spans="9:10">
      <c r="I387" t="s">
        <v>8616</v>
      </c>
      <c r="J387" t="s">
        <v>8617</v>
      </c>
    </row>
    <row r="388" spans="9:10">
      <c r="I388" t="s">
        <v>8618</v>
      </c>
      <c r="J388" t="s">
        <v>8619</v>
      </c>
    </row>
    <row r="389" spans="9:10">
      <c r="I389" t="s">
        <v>8620</v>
      </c>
      <c r="J389" t="s">
        <v>8621</v>
      </c>
    </row>
    <row r="390" spans="9:10">
      <c r="I390" t="s">
        <v>8622</v>
      </c>
      <c r="J390" t="s">
        <v>8623</v>
      </c>
    </row>
    <row r="391" spans="9:10">
      <c r="I391" t="s">
        <v>8624</v>
      </c>
      <c r="J391" t="s">
        <v>8625</v>
      </c>
    </row>
    <row r="392" spans="9:10">
      <c r="I392" t="s">
        <v>8626</v>
      </c>
      <c r="J392" t="s">
        <v>8627</v>
      </c>
    </row>
    <row r="393" spans="9:10">
      <c r="I393" t="s">
        <v>8628</v>
      </c>
      <c r="J393" t="s">
        <v>8629</v>
      </c>
    </row>
    <row r="394" spans="9:10">
      <c r="I394" t="s">
        <v>8630</v>
      </c>
      <c r="J394" t="s">
        <v>8631</v>
      </c>
    </row>
    <row r="395" spans="9:10">
      <c r="I395" t="s">
        <v>8632</v>
      </c>
      <c r="J395" t="s">
        <v>8633</v>
      </c>
    </row>
    <row r="396" spans="9:10">
      <c r="I396" t="s">
        <v>8634</v>
      </c>
      <c r="J396" t="s">
        <v>8635</v>
      </c>
    </row>
    <row r="397" spans="9:10">
      <c r="I397" t="s">
        <v>8636</v>
      </c>
      <c r="J397" t="s">
        <v>8637</v>
      </c>
    </row>
    <row r="398" spans="9:10">
      <c r="I398" t="s">
        <v>8638</v>
      </c>
      <c r="J398" t="s">
        <v>8639</v>
      </c>
    </row>
    <row r="399" spans="9:10">
      <c r="I399" t="s">
        <v>8640</v>
      </c>
      <c r="J399" t="s">
        <v>8641</v>
      </c>
    </row>
    <row r="400" spans="9:10">
      <c r="I400" t="s">
        <v>8642</v>
      </c>
      <c r="J400" t="s">
        <v>8643</v>
      </c>
    </row>
    <row r="401" spans="9:10">
      <c r="I401" t="s">
        <v>8644</v>
      </c>
      <c r="J401" t="s">
        <v>8645</v>
      </c>
    </row>
    <row r="402" spans="9:10">
      <c r="I402" t="s">
        <v>8646</v>
      </c>
      <c r="J402" t="s">
        <v>8647</v>
      </c>
    </row>
    <row r="403" spans="9:10">
      <c r="I403" t="s">
        <v>8648</v>
      </c>
      <c r="J403" t="s">
        <v>8649</v>
      </c>
    </row>
    <row r="404" spans="9:10">
      <c r="I404" t="s">
        <v>8650</v>
      </c>
      <c r="J404" t="s">
        <v>8651</v>
      </c>
    </row>
    <row r="405" spans="9:10">
      <c r="I405" t="s">
        <v>8652</v>
      </c>
      <c r="J405" t="s">
        <v>8653</v>
      </c>
    </row>
    <row r="406" spans="9:10">
      <c r="I406" t="s">
        <v>8654</v>
      </c>
      <c r="J406" t="s">
        <v>8655</v>
      </c>
    </row>
    <row r="407" spans="9:10">
      <c r="I407" t="s">
        <v>8656</v>
      </c>
      <c r="J407" t="s">
        <v>8657</v>
      </c>
    </row>
    <row r="408" spans="9:10">
      <c r="I408" t="s">
        <v>8658</v>
      </c>
      <c r="J408" t="s">
        <v>8659</v>
      </c>
    </row>
    <row r="409" spans="9:10">
      <c r="I409" t="s">
        <v>8660</v>
      </c>
      <c r="J409" t="s">
        <v>8661</v>
      </c>
    </row>
    <row r="410" spans="9:10">
      <c r="I410" t="s">
        <v>8662</v>
      </c>
      <c r="J410" t="s">
        <v>8663</v>
      </c>
    </row>
    <row r="411" spans="9:10">
      <c r="I411" t="s">
        <v>8664</v>
      </c>
      <c r="J411" t="s">
        <v>8665</v>
      </c>
    </row>
    <row r="412" spans="9:10">
      <c r="I412" t="s">
        <v>8666</v>
      </c>
      <c r="J412" t="s">
        <v>8667</v>
      </c>
    </row>
    <row r="413" spans="9:10">
      <c r="I413" t="s">
        <v>8668</v>
      </c>
      <c r="J413" t="s">
        <v>8669</v>
      </c>
    </row>
    <row r="414" spans="9:10">
      <c r="I414" t="s">
        <v>8670</v>
      </c>
      <c r="J414" t="s">
        <v>8671</v>
      </c>
    </row>
    <row r="415" spans="9:10">
      <c r="I415" t="s">
        <v>8672</v>
      </c>
      <c r="J415" t="s">
        <v>8673</v>
      </c>
    </row>
    <row r="416" spans="9:10">
      <c r="I416" t="s">
        <v>8674</v>
      </c>
      <c r="J416" t="s">
        <v>8675</v>
      </c>
    </row>
    <row r="417" spans="9:10">
      <c r="I417" t="s">
        <v>8676</v>
      </c>
      <c r="J417" t="s">
        <v>8677</v>
      </c>
    </row>
    <row r="418" spans="9:10">
      <c r="I418" t="s">
        <v>8678</v>
      </c>
      <c r="J418" t="s">
        <v>8679</v>
      </c>
    </row>
    <row r="419" spans="9:10">
      <c r="I419" t="s">
        <v>8680</v>
      </c>
      <c r="J419" t="s">
        <v>8681</v>
      </c>
    </row>
    <row r="420" spans="9:10">
      <c r="I420" t="s">
        <v>8682</v>
      </c>
      <c r="J420" t="s">
        <v>8683</v>
      </c>
    </row>
    <row r="421" spans="9:10">
      <c r="I421" t="s">
        <v>8684</v>
      </c>
      <c r="J421" t="s">
        <v>8685</v>
      </c>
    </row>
    <row r="422" spans="9:10">
      <c r="I422" t="s">
        <v>8686</v>
      </c>
      <c r="J422" t="s">
        <v>8687</v>
      </c>
    </row>
    <row r="423" spans="9:10">
      <c r="I423" t="s">
        <v>8688</v>
      </c>
      <c r="J423" t="s">
        <v>8689</v>
      </c>
    </row>
    <row r="424" spans="9:10">
      <c r="I424" t="s">
        <v>8690</v>
      </c>
      <c r="J424" t="s">
        <v>8691</v>
      </c>
    </row>
    <row r="425" spans="9:10">
      <c r="I425" t="s">
        <v>8692</v>
      </c>
      <c r="J425" t="s">
        <v>8693</v>
      </c>
    </row>
    <row r="426" spans="9:10">
      <c r="I426" t="s">
        <v>8694</v>
      </c>
      <c r="J426" t="s">
        <v>8695</v>
      </c>
    </row>
    <row r="427" spans="9:10">
      <c r="I427" t="s">
        <v>8696</v>
      </c>
      <c r="J427" t="s">
        <v>8697</v>
      </c>
    </row>
    <row r="428" spans="9:10">
      <c r="I428" t="s">
        <v>8698</v>
      </c>
      <c r="J428" t="s">
        <v>8699</v>
      </c>
    </row>
    <row r="429" spans="9:10">
      <c r="I429" t="s">
        <v>8700</v>
      </c>
      <c r="J429" t="s">
        <v>8701</v>
      </c>
    </row>
    <row r="430" spans="9:10">
      <c r="I430" t="s">
        <v>8702</v>
      </c>
      <c r="J430" t="s">
        <v>8703</v>
      </c>
    </row>
    <row r="431" spans="9:10">
      <c r="I431" t="s">
        <v>8704</v>
      </c>
      <c r="J431" t="s">
        <v>8705</v>
      </c>
    </row>
    <row r="432" spans="9:10">
      <c r="I432" t="s">
        <v>8706</v>
      </c>
      <c r="J432" t="s">
        <v>8707</v>
      </c>
    </row>
    <row r="433" spans="9:10">
      <c r="I433" t="s">
        <v>8708</v>
      </c>
      <c r="J433" t="s">
        <v>8709</v>
      </c>
    </row>
    <row r="434" spans="9:10">
      <c r="I434" t="s">
        <v>8710</v>
      </c>
      <c r="J434" t="s">
        <v>8711</v>
      </c>
    </row>
    <row r="435" spans="9:10">
      <c r="I435" t="s">
        <v>8712</v>
      </c>
      <c r="J435" t="s">
        <v>8713</v>
      </c>
    </row>
    <row r="436" spans="9:10">
      <c r="I436" t="s">
        <v>8714</v>
      </c>
      <c r="J436" t="s">
        <v>8715</v>
      </c>
    </row>
    <row r="437" spans="9:10">
      <c r="I437" t="s">
        <v>8716</v>
      </c>
      <c r="J437" t="s">
        <v>8717</v>
      </c>
    </row>
    <row r="438" spans="9:10">
      <c r="I438" t="s">
        <v>8718</v>
      </c>
      <c r="J438" t="s">
        <v>8719</v>
      </c>
    </row>
    <row r="439" spans="9:10">
      <c r="I439" t="s">
        <v>8720</v>
      </c>
      <c r="J439" t="s">
        <v>8721</v>
      </c>
    </row>
    <row r="440" spans="9:10">
      <c r="I440" t="s">
        <v>8722</v>
      </c>
      <c r="J440" t="s">
        <v>8723</v>
      </c>
    </row>
    <row r="441" spans="9:10">
      <c r="I441" t="s">
        <v>8724</v>
      </c>
      <c r="J441" t="s">
        <v>8725</v>
      </c>
    </row>
    <row r="442" spans="9:10">
      <c r="I442" t="s">
        <v>8726</v>
      </c>
      <c r="J442" t="s">
        <v>8727</v>
      </c>
    </row>
    <row r="443" spans="9:10">
      <c r="I443" t="s">
        <v>8728</v>
      </c>
      <c r="J443" t="s">
        <v>8729</v>
      </c>
    </row>
    <row r="444" spans="9:10">
      <c r="I444" t="s">
        <v>8730</v>
      </c>
      <c r="J444" t="s">
        <v>8731</v>
      </c>
    </row>
    <row r="445" spans="9:10">
      <c r="I445" t="s">
        <v>8732</v>
      </c>
      <c r="J445" t="s">
        <v>8733</v>
      </c>
    </row>
    <row r="446" spans="9:10">
      <c r="I446" t="s">
        <v>8734</v>
      </c>
      <c r="J446" t="s">
        <v>8735</v>
      </c>
    </row>
    <row r="447" spans="9:10">
      <c r="I447" t="s">
        <v>8736</v>
      </c>
      <c r="J447" t="s">
        <v>8737</v>
      </c>
    </row>
    <row r="448" spans="9:10">
      <c r="I448" t="s">
        <v>8738</v>
      </c>
      <c r="J448" t="s">
        <v>8739</v>
      </c>
    </row>
    <row r="449" spans="9:10">
      <c r="I449" t="s">
        <v>8740</v>
      </c>
      <c r="J449" t="s">
        <v>8741</v>
      </c>
    </row>
    <row r="450" spans="9:10">
      <c r="I450" t="s">
        <v>8742</v>
      </c>
      <c r="J450" t="s">
        <v>8033</v>
      </c>
    </row>
    <row r="451" spans="9:10">
      <c r="I451" t="s">
        <v>8743</v>
      </c>
      <c r="J451" t="s">
        <v>8035</v>
      </c>
    </row>
    <row r="452" spans="9:10">
      <c r="I452" t="s">
        <v>8744</v>
      </c>
      <c r="J452" t="s">
        <v>8745</v>
      </c>
    </row>
    <row r="453" spans="9:10">
      <c r="I453" t="s">
        <v>8746</v>
      </c>
      <c r="J453" t="s">
        <v>8747</v>
      </c>
    </row>
    <row r="454" spans="9:10">
      <c r="I454" t="s">
        <v>8748</v>
      </c>
      <c r="J454" t="s">
        <v>8749</v>
      </c>
    </row>
    <row r="455" spans="9:10">
      <c r="I455" t="s">
        <v>8750</v>
      </c>
      <c r="J455" t="s">
        <v>8751</v>
      </c>
    </row>
    <row r="456" spans="9:10">
      <c r="I456" t="s">
        <v>8752</v>
      </c>
      <c r="J456" t="s">
        <v>8753</v>
      </c>
    </row>
    <row r="457" spans="9:10">
      <c r="I457" t="s">
        <v>8754</v>
      </c>
      <c r="J457" t="s">
        <v>8755</v>
      </c>
    </row>
    <row r="458" spans="9:10">
      <c r="I458" t="s">
        <v>8756</v>
      </c>
      <c r="J458" t="s">
        <v>8757</v>
      </c>
    </row>
    <row r="459" spans="9:10">
      <c r="I459" t="s">
        <v>8758</v>
      </c>
      <c r="J459" t="s">
        <v>8759</v>
      </c>
    </row>
    <row r="460" spans="9:10">
      <c r="I460" t="s">
        <v>8760</v>
      </c>
      <c r="J460" t="s">
        <v>8761</v>
      </c>
    </row>
    <row r="461" spans="9:10">
      <c r="I461" t="s">
        <v>8762</v>
      </c>
      <c r="J461" t="s">
        <v>8763</v>
      </c>
    </row>
    <row r="462" spans="9:10">
      <c r="I462" t="s">
        <v>8764</v>
      </c>
      <c r="J462" t="s">
        <v>8765</v>
      </c>
    </row>
    <row r="463" spans="9:10">
      <c r="I463" t="s">
        <v>8766</v>
      </c>
      <c r="J463" t="s">
        <v>8767</v>
      </c>
    </row>
    <row r="464" spans="9:10">
      <c r="I464" t="s">
        <v>8768</v>
      </c>
      <c r="J464" t="s">
        <v>8769</v>
      </c>
    </row>
    <row r="465" spans="9:10">
      <c r="I465" t="s">
        <v>8770</v>
      </c>
      <c r="J465" t="s">
        <v>8631</v>
      </c>
    </row>
    <row r="466" spans="9:10">
      <c r="I466" t="s">
        <v>8771</v>
      </c>
      <c r="J466" t="s">
        <v>8629</v>
      </c>
    </row>
    <row r="467" spans="9:10">
      <c r="I467" t="s">
        <v>8772</v>
      </c>
      <c r="J467" t="s">
        <v>8725</v>
      </c>
    </row>
    <row r="468" spans="9:10">
      <c r="I468" t="s">
        <v>8773</v>
      </c>
      <c r="J468" t="s">
        <v>8727</v>
      </c>
    </row>
    <row r="469" spans="9:10">
      <c r="I469" t="s">
        <v>8774</v>
      </c>
      <c r="J469" t="s">
        <v>8775</v>
      </c>
    </row>
    <row r="470" spans="9:10">
      <c r="I470" t="s">
        <v>8776</v>
      </c>
      <c r="J470" t="s">
        <v>8777</v>
      </c>
    </row>
    <row r="471" spans="9:10">
      <c r="I471" t="s">
        <v>8778</v>
      </c>
      <c r="J471" t="s">
        <v>8779</v>
      </c>
    </row>
    <row r="472" spans="9:10">
      <c r="I472" t="s">
        <v>8780</v>
      </c>
      <c r="J472" t="s">
        <v>8781</v>
      </c>
    </row>
    <row r="473" spans="9:10">
      <c r="I473" t="s">
        <v>8782</v>
      </c>
      <c r="J473" t="s">
        <v>8783</v>
      </c>
    </row>
    <row r="474" spans="9:10">
      <c r="I474" t="s">
        <v>8784</v>
      </c>
      <c r="J474" t="s">
        <v>8785</v>
      </c>
    </row>
    <row r="475" spans="9:10">
      <c r="I475" t="s">
        <v>8786</v>
      </c>
      <c r="J475" t="s">
        <v>8787</v>
      </c>
    </row>
    <row r="476" spans="9:10">
      <c r="I476" t="s">
        <v>8788</v>
      </c>
      <c r="J476" t="s">
        <v>8789</v>
      </c>
    </row>
    <row r="477" spans="9:10">
      <c r="I477" t="s">
        <v>8790</v>
      </c>
      <c r="J477" t="s">
        <v>8791</v>
      </c>
    </row>
    <row r="478" spans="9:10">
      <c r="I478" t="s">
        <v>8792</v>
      </c>
      <c r="J478" t="s">
        <v>8793</v>
      </c>
    </row>
    <row r="479" spans="9:10">
      <c r="I479" t="s">
        <v>8794</v>
      </c>
      <c r="J479" t="s">
        <v>8795</v>
      </c>
    </row>
    <row r="480" spans="9:10">
      <c r="I480" t="s">
        <v>8796</v>
      </c>
      <c r="J480" t="s">
        <v>8797</v>
      </c>
    </row>
    <row r="481" spans="9:10">
      <c r="I481" t="s">
        <v>8798</v>
      </c>
      <c r="J481" t="s">
        <v>8799</v>
      </c>
    </row>
    <row r="482" spans="9:10">
      <c r="I482" t="s">
        <v>8800</v>
      </c>
      <c r="J482" t="s">
        <v>8801</v>
      </c>
    </row>
    <row r="483" spans="9:10">
      <c r="I483" t="s">
        <v>8802</v>
      </c>
      <c r="J483" t="s">
        <v>8803</v>
      </c>
    </row>
    <row r="484" spans="9:10">
      <c r="I484" t="s">
        <v>8804</v>
      </c>
      <c r="J484" t="s">
        <v>8805</v>
      </c>
    </row>
    <row r="485" spans="9:10">
      <c r="I485" t="s">
        <v>8806</v>
      </c>
      <c r="J485" t="s">
        <v>8505</v>
      </c>
    </row>
    <row r="486" spans="9:10">
      <c r="I486" t="s">
        <v>8807</v>
      </c>
      <c r="J486" t="s">
        <v>8483</v>
      </c>
    </row>
    <row r="487" spans="9:10">
      <c r="I487" t="s">
        <v>8808</v>
      </c>
      <c r="J487" t="s">
        <v>8809</v>
      </c>
    </row>
    <row r="488" spans="9:10">
      <c r="I488" t="s">
        <v>8810</v>
      </c>
      <c r="J488" t="s">
        <v>8489</v>
      </c>
    </row>
    <row r="489" spans="9:10">
      <c r="I489" t="s">
        <v>8811</v>
      </c>
      <c r="J489" t="s">
        <v>8557</v>
      </c>
    </row>
    <row r="490" spans="9:10">
      <c r="I490" t="s">
        <v>8812</v>
      </c>
      <c r="J490" t="s">
        <v>8551</v>
      </c>
    </row>
    <row r="491" spans="9:10">
      <c r="I491" t="s">
        <v>8813</v>
      </c>
      <c r="J491" t="s">
        <v>8814</v>
      </c>
    </row>
    <row r="492" spans="9:10">
      <c r="I492" t="s">
        <v>8815</v>
      </c>
      <c r="J492" t="s">
        <v>8816</v>
      </c>
    </row>
    <row r="493" spans="9:10">
      <c r="I493" t="s">
        <v>8817</v>
      </c>
      <c r="J493" t="s">
        <v>8818</v>
      </c>
    </row>
    <row r="494" spans="9:10">
      <c r="I494" t="s">
        <v>8819</v>
      </c>
      <c r="J494" t="s">
        <v>8820</v>
      </c>
    </row>
    <row r="495" spans="9:10">
      <c r="I495" t="s">
        <v>8821</v>
      </c>
      <c r="J495" t="s">
        <v>8822</v>
      </c>
    </row>
    <row r="496" spans="9:10">
      <c r="I496" t="s">
        <v>8823</v>
      </c>
      <c r="J496" t="s">
        <v>8735</v>
      </c>
    </row>
    <row r="497" spans="9:10">
      <c r="I497" t="s">
        <v>8824</v>
      </c>
      <c r="J497" t="s">
        <v>8737</v>
      </c>
    </row>
    <row r="498" spans="9:10">
      <c r="I498" t="s">
        <v>8825</v>
      </c>
      <c r="J498" t="s">
        <v>8826</v>
      </c>
    </row>
    <row r="499" spans="9:10">
      <c r="I499" t="s">
        <v>8827</v>
      </c>
      <c r="J499" t="s">
        <v>8828</v>
      </c>
    </row>
    <row r="500" spans="9:10">
      <c r="I500" t="s">
        <v>8829</v>
      </c>
      <c r="J500" t="s">
        <v>8830</v>
      </c>
    </row>
    <row r="501" spans="9:10">
      <c r="I501" t="s">
        <v>8831</v>
      </c>
      <c r="J501" t="s">
        <v>8832</v>
      </c>
    </row>
    <row r="502" spans="9:10">
      <c r="I502" t="s">
        <v>8833</v>
      </c>
      <c r="J502" t="s">
        <v>8834</v>
      </c>
    </row>
    <row r="503" spans="9:10">
      <c r="I503" t="s">
        <v>8835</v>
      </c>
      <c r="J503" t="s">
        <v>8507</v>
      </c>
    </row>
    <row r="504" spans="9:10">
      <c r="I504" t="s">
        <v>8836</v>
      </c>
      <c r="J504" t="s">
        <v>8837</v>
      </c>
    </row>
    <row r="505" spans="9:10">
      <c r="I505" t="s">
        <v>8838</v>
      </c>
      <c r="J505" t="s">
        <v>8839</v>
      </c>
    </row>
    <row r="506" spans="9:10">
      <c r="I506" t="s">
        <v>8840</v>
      </c>
      <c r="J506" t="s">
        <v>8533</v>
      </c>
    </row>
    <row r="507" spans="9:10">
      <c r="I507" t="s">
        <v>8841</v>
      </c>
      <c r="J507" t="s">
        <v>8493</v>
      </c>
    </row>
    <row r="508" spans="9:10">
      <c r="I508" t="s">
        <v>8842</v>
      </c>
      <c r="J508" t="s">
        <v>8515</v>
      </c>
    </row>
    <row r="509" spans="9:10">
      <c r="I509" t="s">
        <v>8843</v>
      </c>
      <c r="J509" t="s">
        <v>8521</v>
      </c>
    </row>
    <row r="510" spans="9:10">
      <c r="I510" t="s">
        <v>8844</v>
      </c>
      <c r="J510" t="s">
        <v>8845</v>
      </c>
    </row>
    <row r="511" spans="9:10">
      <c r="I511" t="s">
        <v>8846</v>
      </c>
      <c r="J511" t="s">
        <v>8517</v>
      </c>
    </row>
    <row r="512" spans="9:10">
      <c r="I512" t="s">
        <v>8847</v>
      </c>
      <c r="J512" t="s">
        <v>8509</v>
      </c>
    </row>
    <row r="513" spans="9:10">
      <c r="I513" t="s">
        <v>8848</v>
      </c>
      <c r="J513" t="s">
        <v>8497</v>
      </c>
    </row>
    <row r="514" spans="9:10">
      <c r="I514" t="s">
        <v>8849</v>
      </c>
      <c r="J514" t="s">
        <v>8481</v>
      </c>
    </row>
    <row r="515" spans="9:10">
      <c r="I515" t="s">
        <v>8850</v>
      </c>
      <c r="J515" t="s">
        <v>8851</v>
      </c>
    </row>
    <row r="516" spans="9:10">
      <c r="I516" t="s">
        <v>8852</v>
      </c>
      <c r="J516" t="s">
        <v>8853</v>
      </c>
    </row>
    <row r="517" spans="9:10">
      <c r="I517" t="s">
        <v>8854</v>
      </c>
      <c r="J517" t="s">
        <v>8503</v>
      </c>
    </row>
    <row r="518" spans="9:10">
      <c r="I518" t="s">
        <v>8855</v>
      </c>
      <c r="J518" t="s">
        <v>8856</v>
      </c>
    </row>
    <row r="519" spans="9:10">
      <c r="I519" t="s">
        <v>8857</v>
      </c>
      <c r="J519" t="s">
        <v>8495</v>
      </c>
    </row>
    <row r="520" spans="9:10">
      <c r="I520" t="s">
        <v>8858</v>
      </c>
      <c r="J520" t="s">
        <v>8859</v>
      </c>
    </row>
    <row r="521" spans="9:10">
      <c r="I521" t="s">
        <v>8860</v>
      </c>
      <c r="J521" t="s">
        <v>8861</v>
      </c>
    </row>
    <row r="522" spans="9:10">
      <c r="I522" t="s">
        <v>8862</v>
      </c>
      <c r="J522" t="s">
        <v>8529</v>
      </c>
    </row>
    <row r="523" spans="9:10">
      <c r="I523" t="s">
        <v>8863</v>
      </c>
      <c r="J523" t="s">
        <v>8527</v>
      </c>
    </row>
    <row r="524" spans="9:10">
      <c r="I524" t="s">
        <v>8864</v>
      </c>
      <c r="J524" t="s">
        <v>8865</v>
      </c>
    </row>
    <row r="525" spans="9:10">
      <c r="I525" t="s">
        <v>8866</v>
      </c>
      <c r="J525" t="s">
        <v>8867</v>
      </c>
    </row>
    <row r="526" spans="9:10">
      <c r="I526" t="s">
        <v>8868</v>
      </c>
      <c r="J526" t="s">
        <v>8869</v>
      </c>
    </row>
    <row r="527" spans="9:10">
      <c r="I527" t="s">
        <v>8870</v>
      </c>
      <c r="J527" t="s">
        <v>8523</v>
      </c>
    </row>
    <row r="528" spans="9:10">
      <c r="I528" t="s">
        <v>8871</v>
      </c>
      <c r="J528" t="s">
        <v>8872</v>
      </c>
    </row>
    <row r="529" spans="9:10">
      <c r="I529" t="s">
        <v>8873</v>
      </c>
      <c r="J529" t="s">
        <v>8874</v>
      </c>
    </row>
    <row r="530" spans="9:10">
      <c r="I530" t="s">
        <v>8875</v>
      </c>
      <c r="J530" t="s">
        <v>8876</v>
      </c>
    </row>
    <row r="531" spans="9:10">
      <c r="I531" t="s">
        <v>8877</v>
      </c>
      <c r="J531" t="s">
        <v>8878</v>
      </c>
    </row>
    <row r="532" spans="9:10">
      <c r="I532" t="s">
        <v>8879</v>
      </c>
      <c r="J532" t="s">
        <v>8880</v>
      </c>
    </row>
    <row r="533" spans="9:10">
      <c r="I533" t="s">
        <v>8881</v>
      </c>
      <c r="J533" t="s">
        <v>8511</v>
      </c>
    </row>
    <row r="534" spans="9:10">
      <c r="I534" t="s">
        <v>8882</v>
      </c>
      <c r="J534" t="s">
        <v>8513</v>
      </c>
    </row>
    <row r="535" spans="9:10">
      <c r="I535" t="s">
        <v>8883</v>
      </c>
      <c r="J535" t="s">
        <v>8884</v>
      </c>
    </row>
    <row r="536" spans="9:10">
      <c r="I536" t="s">
        <v>8885</v>
      </c>
      <c r="J536" t="s">
        <v>8886</v>
      </c>
    </row>
    <row r="537" spans="9:10">
      <c r="I537" t="s">
        <v>8887</v>
      </c>
      <c r="J537" t="s">
        <v>8888</v>
      </c>
    </row>
    <row r="538" spans="9:10">
      <c r="I538" t="s">
        <v>8889</v>
      </c>
      <c r="J538" t="s">
        <v>8531</v>
      </c>
    </row>
    <row r="539" spans="9:10">
      <c r="I539" t="s">
        <v>8890</v>
      </c>
      <c r="J539" t="s">
        <v>8891</v>
      </c>
    </row>
    <row r="540" spans="9:10">
      <c r="I540" t="s">
        <v>8892</v>
      </c>
      <c r="J540" t="s">
        <v>8553</v>
      </c>
    </row>
    <row r="541" spans="9:10">
      <c r="I541" t="s">
        <v>8893</v>
      </c>
      <c r="J541" t="s">
        <v>8894</v>
      </c>
    </row>
    <row r="542" spans="9:10">
      <c r="I542" t="s">
        <v>8895</v>
      </c>
      <c r="J542" t="s">
        <v>8499</v>
      </c>
    </row>
    <row r="543" spans="9:10">
      <c r="I543" t="s">
        <v>8896</v>
      </c>
      <c r="J543" t="s">
        <v>8897</v>
      </c>
    </row>
    <row r="544" spans="9:10">
      <c r="I544" t="s">
        <v>8898</v>
      </c>
      <c r="J544" t="s">
        <v>8899</v>
      </c>
    </row>
    <row r="545" spans="9:10">
      <c r="I545" t="s">
        <v>8900</v>
      </c>
      <c r="J545" t="s">
        <v>8555</v>
      </c>
    </row>
    <row r="546" spans="9:10">
      <c r="I546" t="s">
        <v>8901</v>
      </c>
      <c r="J546" t="s">
        <v>8902</v>
      </c>
    </row>
    <row r="547" spans="9:10">
      <c r="I547" t="s">
        <v>8903</v>
      </c>
      <c r="J547" t="s">
        <v>8904</v>
      </c>
    </row>
    <row r="548" spans="9:10">
      <c r="I548" t="s">
        <v>8905</v>
      </c>
      <c r="J548" t="s">
        <v>8906</v>
      </c>
    </row>
    <row r="549" spans="9:10">
      <c r="I549" t="s">
        <v>8907</v>
      </c>
      <c r="J549" t="s">
        <v>8908</v>
      </c>
    </row>
    <row r="550" spans="9:10">
      <c r="I550" t="s">
        <v>8909</v>
      </c>
      <c r="J550" t="s">
        <v>8910</v>
      </c>
    </row>
    <row r="551" spans="9:10">
      <c r="I551" t="s">
        <v>8911</v>
      </c>
      <c r="J551" t="s">
        <v>8912</v>
      </c>
    </row>
    <row r="552" spans="9:10">
      <c r="I552" t="s">
        <v>8913</v>
      </c>
      <c r="J552" t="s">
        <v>8914</v>
      </c>
    </row>
    <row r="553" spans="9:10">
      <c r="I553" t="s">
        <v>8915</v>
      </c>
      <c r="J553" t="s">
        <v>8916</v>
      </c>
    </row>
    <row r="554" spans="9:10">
      <c r="I554" t="s">
        <v>8917</v>
      </c>
      <c r="J554" t="s">
        <v>8918</v>
      </c>
    </row>
    <row r="555" spans="9:10">
      <c r="I555" t="s">
        <v>8919</v>
      </c>
      <c r="J555" t="s">
        <v>8920</v>
      </c>
    </row>
    <row r="556" spans="9:10">
      <c r="I556" t="s">
        <v>8921</v>
      </c>
      <c r="J556" t="s">
        <v>8922</v>
      </c>
    </row>
    <row r="557" spans="9:10">
      <c r="I557" t="s">
        <v>8923</v>
      </c>
      <c r="J557" t="s">
        <v>8924</v>
      </c>
    </row>
    <row r="558" spans="9:10">
      <c r="I558" t="s">
        <v>8925</v>
      </c>
      <c r="J558" t="s">
        <v>8926</v>
      </c>
    </row>
    <row r="559" spans="9:10">
      <c r="I559" t="s">
        <v>8927</v>
      </c>
      <c r="J559" t="s">
        <v>8928</v>
      </c>
    </row>
    <row r="560" spans="9:10">
      <c r="I560" t="s">
        <v>8929</v>
      </c>
      <c r="J560" t="s">
        <v>8930</v>
      </c>
    </row>
    <row r="561" spans="9:10">
      <c r="I561" t="s">
        <v>8931</v>
      </c>
      <c r="J561" t="s">
        <v>8932</v>
      </c>
    </row>
    <row r="562" spans="9:10">
      <c r="I562" t="s">
        <v>8933</v>
      </c>
      <c r="J562" t="s">
        <v>8934</v>
      </c>
    </row>
    <row r="563" spans="9:10">
      <c r="I563" t="s">
        <v>8935</v>
      </c>
      <c r="J563" t="s">
        <v>8936</v>
      </c>
    </row>
    <row r="564" spans="9:10">
      <c r="I564" t="s">
        <v>8937</v>
      </c>
      <c r="J564" t="s">
        <v>8938</v>
      </c>
    </row>
    <row r="565" spans="9:10">
      <c r="I565" t="s">
        <v>8939</v>
      </c>
      <c r="J565" t="s">
        <v>8940</v>
      </c>
    </row>
    <row r="566" spans="9:10">
      <c r="I566" t="s">
        <v>8941</v>
      </c>
      <c r="J566" t="s">
        <v>8942</v>
      </c>
    </row>
    <row r="567" spans="9:10">
      <c r="I567" t="s">
        <v>8943</v>
      </c>
      <c r="J567" t="s">
        <v>8944</v>
      </c>
    </row>
    <row r="568" spans="9:10">
      <c r="I568" t="s">
        <v>8945</v>
      </c>
      <c r="J568" t="s">
        <v>8946</v>
      </c>
    </row>
    <row r="569" spans="9:10">
      <c r="I569" t="s">
        <v>8947</v>
      </c>
      <c r="J569" t="s">
        <v>8948</v>
      </c>
    </row>
    <row r="570" spans="9:10">
      <c r="I570" t="s">
        <v>8949</v>
      </c>
      <c r="J570" t="s">
        <v>8950</v>
      </c>
    </row>
    <row r="571" spans="9:10">
      <c r="I571" t="s">
        <v>8951</v>
      </c>
      <c r="J571" t="s">
        <v>8952</v>
      </c>
    </row>
    <row r="572" spans="9:10">
      <c r="I572" t="s">
        <v>8953</v>
      </c>
      <c r="J572" t="s">
        <v>8954</v>
      </c>
    </row>
    <row r="573" spans="9:10">
      <c r="I573" t="s">
        <v>8955</v>
      </c>
      <c r="J573" t="s">
        <v>8956</v>
      </c>
    </row>
    <row r="574" spans="9:10">
      <c r="I574" t="s">
        <v>8957</v>
      </c>
      <c r="J574" t="s">
        <v>8958</v>
      </c>
    </row>
    <row r="575" spans="9:10">
      <c r="I575" t="s">
        <v>8959</v>
      </c>
      <c r="J575" t="s">
        <v>8960</v>
      </c>
    </row>
    <row r="576" spans="9:10">
      <c r="I576" t="s">
        <v>8961</v>
      </c>
      <c r="J576" t="s">
        <v>8962</v>
      </c>
    </row>
    <row r="577" spans="9:10">
      <c r="I577" t="s">
        <v>8963</v>
      </c>
      <c r="J577" t="s">
        <v>8964</v>
      </c>
    </row>
    <row r="578" spans="9:10">
      <c r="I578" t="s">
        <v>8965</v>
      </c>
      <c r="J578" t="s">
        <v>8966</v>
      </c>
    </row>
    <row r="579" spans="9:10">
      <c r="I579" t="s">
        <v>8967</v>
      </c>
      <c r="J579" t="s">
        <v>8968</v>
      </c>
    </row>
    <row r="580" spans="9:10">
      <c r="I580" t="s">
        <v>8969</v>
      </c>
      <c r="J580" t="s">
        <v>8970</v>
      </c>
    </row>
    <row r="581" spans="9:10">
      <c r="I581" t="s">
        <v>8971</v>
      </c>
      <c r="J581" t="s">
        <v>8972</v>
      </c>
    </row>
    <row r="582" spans="9:10">
      <c r="I582" t="s">
        <v>8973</v>
      </c>
      <c r="J582" t="s">
        <v>8974</v>
      </c>
    </row>
    <row r="583" spans="9:10">
      <c r="I583" t="s">
        <v>8975</v>
      </c>
      <c r="J583" t="s">
        <v>8976</v>
      </c>
    </row>
    <row r="584" spans="9:10">
      <c r="I584" t="s">
        <v>8977</v>
      </c>
      <c r="J584" t="s">
        <v>8978</v>
      </c>
    </row>
    <row r="585" spans="9:10">
      <c r="I585" t="s">
        <v>8979</v>
      </c>
      <c r="J585" t="s">
        <v>8980</v>
      </c>
    </row>
    <row r="586" spans="9:10">
      <c r="I586" t="s">
        <v>8981</v>
      </c>
      <c r="J586" t="s">
        <v>8982</v>
      </c>
    </row>
    <row r="587" spans="9:10">
      <c r="I587" t="s">
        <v>8983</v>
      </c>
      <c r="J587" t="s">
        <v>8984</v>
      </c>
    </row>
    <row r="588" spans="9:10">
      <c r="I588" t="s">
        <v>8985</v>
      </c>
      <c r="J588" t="s">
        <v>8986</v>
      </c>
    </row>
    <row r="589" spans="9:10">
      <c r="I589" t="s">
        <v>8987</v>
      </c>
      <c r="J589" t="s">
        <v>1296</v>
      </c>
    </row>
    <row r="590" spans="9:10">
      <c r="I590" t="s">
        <v>8988</v>
      </c>
      <c r="J590" t="s">
        <v>8247</v>
      </c>
    </row>
    <row r="591" spans="9:10">
      <c r="I591" t="s">
        <v>8989</v>
      </c>
      <c r="J591" t="s">
        <v>8249</v>
      </c>
    </row>
    <row r="592" spans="9:10">
      <c r="I592" t="s">
        <v>8990</v>
      </c>
      <c r="J592" t="s">
        <v>8247</v>
      </c>
    </row>
    <row r="593" spans="9:10">
      <c r="I593" t="s">
        <v>8991</v>
      </c>
      <c r="J593" t="s">
        <v>8249</v>
      </c>
    </row>
    <row r="594" spans="9:10">
      <c r="I594" t="s">
        <v>8992</v>
      </c>
      <c r="J594" t="s">
        <v>8993</v>
      </c>
    </row>
    <row r="595" spans="9:10">
      <c r="I595" t="s">
        <v>7768</v>
      </c>
      <c r="J595" t="s">
        <v>8994</v>
      </c>
    </row>
    <row r="596" spans="9:10">
      <c r="I596" t="s">
        <v>8995</v>
      </c>
      <c r="J596" t="s">
        <v>8996</v>
      </c>
    </row>
    <row r="597" spans="9:10">
      <c r="I597" t="s">
        <v>8997</v>
      </c>
      <c r="J597" t="s">
        <v>8998</v>
      </c>
    </row>
    <row r="598" spans="9:10">
      <c r="I598" t="s">
        <v>8999</v>
      </c>
      <c r="J598" t="s">
        <v>9000</v>
      </c>
    </row>
    <row r="599" spans="9:10">
      <c r="I599" t="s">
        <v>9001</v>
      </c>
      <c r="J599" t="s">
        <v>9002</v>
      </c>
    </row>
    <row r="600" spans="9:10">
      <c r="I600" t="s">
        <v>9003</v>
      </c>
      <c r="J600" t="s">
        <v>9004</v>
      </c>
    </row>
    <row r="601" spans="9:10">
      <c r="I601" t="s">
        <v>9005</v>
      </c>
      <c r="J601" t="s">
        <v>9006</v>
      </c>
    </row>
    <row r="602" spans="9:10">
      <c r="I602" t="s">
        <v>9007</v>
      </c>
      <c r="J602" t="s">
        <v>9008</v>
      </c>
    </row>
    <row r="603" spans="9:10">
      <c r="I603" t="s">
        <v>9009</v>
      </c>
      <c r="J603" t="s">
        <v>9010</v>
      </c>
    </row>
    <row r="604" spans="9:10">
      <c r="I604" t="s">
        <v>9011</v>
      </c>
      <c r="J604" t="s">
        <v>8247</v>
      </c>
    </row>
    <row r="605" spans="9:10">
      <c r="I605" t="s">
        <v>9012</v>
      </c>
      <c r="J605" t="s">
        <v>8249</v>
      </c>
    </row>
    <row r="606" spans="9:10">
      <c r="I606" t="s">
        <v>9013</v>
      </c>
      <c r="J606" t="s">
        <v>9014</v>
      </c>
    </row>
    <row r="607" spans="9:10">
      <c r="I607" t="s">
        <v>9015</v>
      </c>
      <c r="J607" t="s">
        <v>9016</v>
      </c>
    </row>
    <row r="608" spans="9:10">
      <c r="I608" t="s">
        <v>9017</v>
      </c>
      <c r="J608" t="s">
        <v>9018</v>
      </c>
    </row>
    <row r="609" spans="9:10">
      <c r="I609" t="s">
        <v>9019</v>
      </c>
      <c r="J609" t="s">
        <v>8247</v>
      </c>
    </row>
    <row r="610" spans="9:10">
      <c r="I610" t="s">
        <v>9020</v>
      </c>
      <c r="J610" t="s">
        <v>8249</v>
      </c>
    </row>
    <row r="611" spans="9:10">
      <c r="I611" t="s">
        <v>7774</v>
      </c>
      <c r="J611" t="s">
        <v>9021</v>
      </c>
    </row>
    <row r="612" spans="9:10">
      <c r="I612" t="s">
        <v>9022</v>
      </c>
      <c r="J612" t="s">
        <v>9023</v>
      </c>
    </row>
    <row r="613" spans="9:10">
      <c r="I613" t="s">
        <v>9024</v>
      </c>
      <c r="J613" t="s">
        <v>9025</v>
      </c>
    </row>
    <row r="614" spans="9:10">
      <c r="I614" t="s">
        <v>9026</v>
      </c>
      <c r="J614" t="s">
        <v>9027</v>
      </c>
    </row>
    <row r="615" spans="9:10">
      <c r="I615" t="s">
        <v>9028</v>
      </c>
      <c r="J615" t="s">
        <v>9029</v>
      </c>
    </row>
    <row r="616" spans="9:10">
      <c r="I616" t="s">
        <v>9030</v>
      </c>
      <c r="J616" t="s">
        <v>9031</v>
      </c>
    </row>
    <row r="617" spans="9:10">
      <c r="I617" t="s">
        <v>9032</v>
      </c>
      <c r="J617" t="s">
        <v>9033</v>
      </c>
    </row>
    <row r="618" spans="9:10">
      <c r="I618" t="s">
        <v>9034</v>
      </c>
      <c r="J618" t="s">
        <v>9035</v>
      </c>
    </row>
    <row r="619" spans="9:10">
      <c r="I619" t="s">
        <v>9036</v>
      </c>
      <c r="J619" t="s">
        <v>9037</v>
      </c>
    </row>
    <row r="620" spans="9:10">
      <c r="I620" t="s">
        <v>9038</v>
      </c>
      <c r="J620" t="s">
        <v>9039</v>
      </c>
    </row>
    <row r="621" spans="9:10">
      <c r="I621" t="s">
        <v>9040</v>
      </c>
      <c r="J621" t="s">
        <v>9041</v>
      </c>
    </row>
    <row r="622" spans="9:10">
      <c r="I622" t="s">
        <v>9042</v>
      </c>
      <c r="J622" t="s">
        <v>9043</v>
      </c>
    </row>
    <row r="623" spans="9:10">
      <c r="I623" t="s">
        <v>9044</v>
      </c>
      <c r="J623" t="s">
        <v>9045</v>
      </c>
    </row>
    <row r="624" spans="9:10">
      <c r="I624" t="s">
        <v>9046</v>
      </c>
      <c r="J624" t="s">
        <v>9047</v>
      </c>
    </row>
    <row r="625" spans="9:10">
      <c r="I625" t="s">
        <v>9048</v>
      </c>
      <c r="J625" t="s">
        <v>9049</v>
      </c>
    </row>
    <row r="626" spans="9:10">
      <c r="I626" t="s">
        <v>9050</v>
      </c>
      <c r="J626" t="s">
        <v>9051</v>
      </c>
    </row>
    <row r="627" spans="9:10">
      <c r="I627" t="s">
        <v>9052</v>
      </c>
      <c r="J627" t="s">
        <v>9053</v>
      </c>
    </row>
    <row r="628" spans="9:10">
      <c r="I628" t="s">
        <v>9054</v>
      </c>
      <c r="J628" t="s">
        <v>9055</v>
      </c>
    </row>
    <row r="629" spans="9:10">
      <c r="I629" t="s">
        <v>9056</v>
      </c>
      <c r="J629" t="s">
        <v>9057</v>
      </c>
    </row>
    <row r="630" spans="9:10">
      <c r="I630" t="s">
        <v>9058</v>
      </c>
      <c r="J630" t="s">
        <v>9059</v>
      </c>
    </row>
    <row r="631" spans="9:10">
      <c r="I631" t="s">
        <v>9060</v>
      </c>
      <c r="J631" t="s">
        <v>9061</v>
      </c>
    </row>
    <row r="632" spans="9:10">
      <c r="I632" t="s">
        <v>9062</v>
      </c>
      <c r="J632" t="s">
        <v>9063</v>
      </c>
    </row>
    <row r="633" spans="9:10">
      <c r="I633" t="s">
        <v>9064</v>
      </c>
      <c r="J633" t="s">
        <v>8247</v>
      </c>
    </row>
    <row r="634" spans="9:10">
      <c r="I634" t="s">
        <v>9065</v>
      </c>
      <c r="J634" t="s">
        <v>8249</v>
      </c>
    </row>
    <row r="635" spans="9:10">
      <c r="I635" t="s">
        <v>9066</v>
      </c>
      <c r="J635" t="s">
        <v>7867</v>
      </c>
    </row>
    <row r="636" spans="9:10">
      <c r="I636" t="s">
        <v>9067</v>
      </c>
      <c r="J636" t="s">
        <v>9068</v>
      </c>
    </row>
    <row r="637" spans="9:10">
      <c r="I637" t="s">
        <v>9069</v>
      </c>
      <c r="J637" t="s">
        <v>9070</v>
      </c>
    </row>
    <row r="638" spans="9:10">
      <c r="I638" t="s">
        <v>9071</v>
      </c>
      <c r="J638" t="s">
        <v>9072</v>
      </c>
    </row>
    <row r="639" spans="9:10">
      <c r="I639" t="s">
        <v>9073</v>
      </c>
      <c r="J639" t="s">
        <v>9074</v>
      </c>
    </row>
    <row r="640" spans="9:10">
      <c r="I640" t="s">
        <v>9075</v>
      </c>
      <c r="J640" t="s">
        <v>9076</v>
      </c>
    </row>
    <row r="641" spans="9:10">
      <c r="I641" t="s">
        <v>9077</v>
      </c>
      <c r="J641" t="s">
        <v>9078</v>
      </c>
    </row>
    <row r="642" spans="9:10">
      <c r="I642" t="s">
        <v>9079</v>
      </c>
      <c r="J642" t="s">
        <v>9080</v>
      </c>
    </row>
    <row r="643" spans="9:10">
      <c r="I643" t="s">
        <v>9081</v>
      </c>
      <c r="J643" t="s">
        <v>9082</v>
      </c>
    </row>
    <row r="644" spans="9:10">
      <c r="I644" t="s">
        <v>9083</v>
      </c>
      <c r="J644" t="s">
        <v>9084</v>
      </c>
    </row>
    <row r="645" spans="9:10">
      <c r="I645" t="s">
        <v>9085</v>
      </c>
      <c r="J645" t="s">
        <v>9086</v>
      </c>
    </row>
    <row r="646" spans="9:10">
      <c r="I646" t="s">
        <v>9087</v>
      </c>
      <c r="J646" t="s">
        <v>9088</v>
      </c>
    </row>
    <row r="647" spans="9:10">
      <c r="I647" t="s">
        <v>9089</v>
      </c>
      <c r="J647" t="s">
        <v>9090</v>
      </c>
    </row>
    <row r="648" spans="9:10">
      <c r="I648" t="s">
        <v>9091</v>
      </c>
      <c r="J648" t="s">
        <v>9092</v>
      </c>
    </row>
    <row r="649" spans="9:10">
      <c r="I649" t="s">
        <v>9093</v>
      </c>
      <c r="J649" t="s">
        <v>9094</v>
      </c>
    </row>
    <row r="650" spans="9:10">
      <c r="I650" t="s">
        <v>9095</v>
      </c>
      <c r="J650" t="s">
        <v>9096</v>
      </c>
    </row>
    <row r="651" spans="9:10">
      <c r="I651" t="s">
        <v>9097</v>
      </c>
      <c r="J651" t="s">
        <v>9098</v>
      </c>
    </row>
    <row r="652" spans="9:10">
      <c r="I652" t="s">
        <v>9099</v>
      </c>
      <c r="J652" t="s">
        <v>9100</v>
      </c>
    </row>
    <row r="653" spans="9:10">
      <c r="I653" t="s">
        <v>9101</v>
      </c>
      <c r="J653" t="s">
        <v>9102</v>
      </c>
    </row>
    <row r="654" spans="9:10">
      <c r="I654" t="s">
        <v>9103</v>
      </c>
      <c r="J654" t="s">
        <v>9104</v>
      </c>
    </row>
    <row r="655" spans="9:10">
      <c r="I655" t="s">
        <v>9105</v>
      </c>
      <c r="J655" t="s">
        <v>9106</v>
      </c>
    </row>
    <row r="656" spans="9:10">
      <c r="I656" t="s">
        <v>9107</v>
      </c>
      <c r="J656" t="s">
        <v>9108</v>
      </c>
    </row>
    <row r="657" spans="9:10">
      <c r="I657" t="s">
        <v>9109</v>
      </c>
      <c r="J657" t="s">
        <v>9110</v>
      </c>
    </row>
    <row r="658" spans="9:10">
      <c r="I658" t="s">
        <v>9111</v>
      </c>
      <c r="J658" t="s">
        <v>9112</v>
      </c>
    </row>
    <row r="659" spans="9:10">
      <c r="I659" t="s">
        <v>9113</v>
      </c>
      <c r="J659" t="s">
        <v>9114</v>
      </c>
    </row>
    <row r="660" spans="9:10">
      <c r="I660" t="s">
        <v>9115</v>
      </c>
      <c r="J660" t="s">
        <v>9116</v>
      </c>
    </row>
    <row r="661" spans="9:10">
      <c r="I661" t="s">
        <v>9117</v>
      </c>
      <c r="J661" t="s">
        <v>9118</v>
      </c>
    </row>
    <row r="662" spans="9:10">
      <c r="I662" t="s">
        <v>9119</v>
      </c>
      <c r="J662" t="s">
        <v>9120</v>
      </c>
    </row>
    <row r="663" spans="9:10">
      <c r="I663" t="s">
        <v>9121</v>
      </c>
      <c r="J663" t="s">
        <v>9122</v>
      </c>
    </row>
    <row r="664" spans="9:10">
      <c r="I664" t="s">
        <v>9123</v>
      </c>
      <c r="J664" t="s">
        <v>9124</v>
      </c>
    </row>
    <row r="665" spans="9:10">
      <c r="I665" t="s">
        <v>9125</v>
      </c>
      <c r="J665" t="s">
        <v>9126</v>
      </c>
    </row>
    <row r="666" spans="9:10">
      <c r="I666" t="s">
        <v>9127</v>
      </c>
      <c r="J666" t="s">
        <v>9128</v>
      </c>
    </row>
    <row r="667" spans="9:10">
      <c r="I667" t="s">
        <v>9129</v>
      </c>
      <c r="J667" t="s">
        <v>9130</v>
      </c>
    </row>
    <row r="668" spans="9:10">
      <c r="I668" t="s">
        <v>9131</v>
      </c>
      <c r="J668" t="s">
        <v>9132</v>
      </c>
    </row>
    <row r="669" spans="9:10">
      <c r="I669" t="s">
        <v>9133</v>
      </c>
      <c r="J669" t="s">
        <v>9134</v>
      </c>
    </row>
    <row r="670" spans="9:10">
      <c r="I670" t="s">
        <v>9135</v>
      </c>
      <c r="J670" t="s">
        <v>9136</v>
      </c>
    </row>
    <row r="671" spans="9:10">
      <c r="I671" t="s">
        <v>9137</v>
      </c>
      <c r="J671" t="s">
        <v>9138</v>
      </c>
    </row>
    <row r="672" spans="9:10">
      <c r="I672" t="s">
        <v>9139</v>
      </c>
      <c r="J672" t="s">
        <v>9140</v>
      </c>
    </row>
    <row r="673" spans="9:10">
      <c r="I673" t="s">
        <v>9141</v>
      </c>
      <c r="J673" t="s">
        <v>9142</v>
      </c>
    </row>
    <row r="674" spans="9:10">
      <c r="I674" t="s">
        <v>9143</v>
      </c>
      <c r="J674" t="s">
        <v>9144</v>
      </c>
    </row>
    <row r="675" spans="9:10">
      <c r="I675" t="s">
        <v>9145</v>
      </c>
      <c r="J675" t="s">
        <v>9146</v>
      </c>
    </row>
    <row r="676" spans="9:10">
      <c r="I676" t="s">
        <v>9147</v>
      </c>
      <c r="J676" t="s">
        <v>9148</v>
      </c>
    </row>
    <row r="677" spans="9:10">
      <c r="I677" t="s">
        <v>9149</v>
      </c>
      <c r="J677" t="s">
        <v>9150</v>
      </c>
    </row>
    <row r="678" spans="9:10">
      <c r="I678" t="s">
        <v>9151</v>
      </c>
      <c r="J678" t="s">
        <v>9152</v>
      </c>
    </row>
    <row r="679" spans="9:10">
      <c r="I679" t="s">
        <v>9153</v>
      </c>
      <c r="J679" t="s">
        <v>9154</v>
      </c>
    </row>
    <row r="680" spans="9:10">
      <c r="I680" t="s">
        <v>9155</v>
      </c>
      <c r="J680" t="s">
        <v>9156</v>
      </c>
    </row>
    <row r="681" spans="9:10">
      <c r="I681" t="s">
        <v>9157</v>
      </c>
      <c r="J681" t="s">
        <v>9158</v>
      </c>
    </row>
    <row r="682" spans="9:10">
      <c r="I682" t="s">
        <v>9159</v>
      </c>
      <c r="J682" t="s">
        <v>9160</v>
      </c>
    </row>
    <row r="683" spans="9:10">
      <c r="I683" t="s">
        <v>9161</v>
      </c>
      <c r="J683" t="s">
        <v>9162</v>
      </c>
    </row>
    <row r="684" spans="9:10">
      <c r="I684" t="s">
        <v>9163</v>
      </c>
      <c r="J684" t="s">
        <v>9164</v>
      </c>
    </row>
    <row r="685" spans="9:10">
      <c r="I685" t="s">
        <v>9165</v>
      </c>
      <c r="J685" t="s">
        <v>9166</v>
      </c>
    </row>
    <row r="686" spans="9:10">
      <c r="I686" t="s">
        <v>9167</v>
      </c>
      <c r="J686" t="s">
        <v>9168</v>
      </c>
    </row>
    <row r="687" spans="9:10">
      <c r="I687" t="s">
        <v>9169</v>
      </c>
      <c r="J687" t="s">
        <v>9170</v>
      </c>
    </row>
    <row r="688" spans="9:10">
      <c r="I688" t="s">
        <v>9171</v>
      </c>
      <c r="J688" t="s">
        <v>9172</v>
      </c>
    </row>
    <row r="689" spans="9:10">
      <c r="I689" t="s">
        <v>9173</v>
      </c>
      <c r="J689" t="s">
        <v>9174</v>
      </c>
    </row>
    <row r="690" spans="9:10">
      <c r="I690" t="s">
        <v>9175</v>
      </c>
      <c r="J690" t="s">
        <v>9176</v>
      </c>
    </row>
    <row r="691" spans="9:10">
      <c r="I691" t="s">
        <v>9177</v>
      </c>
      <c r="J691" t="s">
        <v>9178</v>
      </c>
    </row>
    <row r="692" spans="9:10">
      <c r="I692" t="s">
        <v>9179</v>
      </c>
      <c r="J692" t="s">
        <v>9180</v>
      </c>
    </row>
    <row r="693" spans="9:10">
      <c r="I693" t="s">
        <v>9181</v>
      </c>
      <c r="J693" t="s">
        <v>9182</v>
      </c>
    </row>
    <row r="694" spans="9:10">
      <c r="I694" t="s">
        <v>9183</v>
      </c>
      <c r="J694" t="s">
        <v>9184</v>
      </c>
    </row>
    <row r="695" spans="9:10">
      <c r="I695" t="s">
        <v>9185</v>
      </c>
      <c r="J695" t="s">
        <v>9186</v>
      </c>
    </row>
    <row r="696" spans="9:10">
      <c r="I696" t="s">
        <v>9187</v>
      </c>
      <c r="J696" t="s">
        <v>9188</v>
      </c>
    </row>
    <row r="697" spans="9:10">
      <c r="I697" t="s">
        <v>9189</v>
      </c>
      <c r="J697" t="s">
        <v>9190</v>
      </c>
    </row>
    <row r="698" spans="9:10">
      <c r="I698" t="s">
        <v>9191</v>
      </c>
      <c r="J698" t="s">
        <v>9192</v>
      </c>
    </row>
    <row r="699" spans="9:10">
      <c r="I699" t="s">
        <v>9193</v>
      </c>
      <c r="J699" t="s">
        <v>9194</v>
      </c>
    </row>
    <row r="700" spans="9:10">
      <c r="I700" t="s">
        <v>9195</v>
      </c>
      <c r="J700" t="s">
        <v>8247</v>
      </c>
    </row>
    <row r="701" spans="9:10">
      <c r="I701" t="s">
        <v>9196</v>
      </c>
      <c r="J701" t="s">
        <v>8249</v>
      </c>
    </row>
    <row r="702" spans="9:10">
      <c r="I702" t="s">
        <v>9197</v>
      </c>
      <c r="J702" t="s">
        <v>9198</v>
      </c>
    </row>
    <row r="703" spans="9:10">
      <c r="I703" t="s">
        <v>9199</v>
      </c>
      <c r="J703" t="s">
        <v>9200</v>
      </c>
    </row>
    <row r="704" spans="9:10">
      <c r="I704" t="s">
        <v>9201</v>
      </c>
      <c r="J704" t="s">
        <v>9202</v>
      </c>
    </row>
    <row r="705" spans="9:10">
      <c r="I705" t="s">
        <v>9203</v>
      </c>
      <c r="J705" t="s">
        <v>9204</v>
      </c>
    </row>
    <row r="706" spans="9:10">
      <c r="I706" t="s">
        <v>9205</v>
      </c>
      <c r="J706" t="s">
        <v>9206</v>
      </c>
    </row>
    <row r="707" spans="9:10">
      <c r="I707" t="s">
        <v>9207</v>
      </c>
      <c r="J707" t="s">
        <v>9208</v>
      </c>
    </row>
    <row r="708" spans="9:10">
      <c r="I708" t="s">
        <v>9209</v>
      </c>
      <c r="J708" t="s">
        <v>9210</v>
      </c>
    </row>
    <row r="709" spans="9:10">
      <c r="I709" t="s">
        <v>9211</v>
      </c>
      <c r="J709" t="s">
        <v>9212</v>
      </c>
    </row>
    <row r="710" spans="9:10">
      <c r="I710" t="s">
        <v>9213</v>
      </c>
      <c r="J710" t="s">
        <v>9214</v>
      </c>
    </row>
    <row r="711" spans="9:10">
      <c r="I711" t="s">
        <v>9215</v>
      </c>
      <c r="J711" t="s">
        <v>9216</v>
      </c>
    </row>
    <row r="712" spans="9:10">
      <c r="I712" t="s">
        <v>9217</v>
      </c>
      <c r="J712" t="s">
        <v>9218</v>
      </c>
    </row>
    <row r="713" spans="9:10">
      <c r="I713" t="s">
        <v>9219</v>
      </c>
      <c r="J713" t="s">
        <v>9220</v>
      </c>
    </row>
    <row r="714" spans="9:10">
      <c r="I714" t="s">
        <v>9221</v>
      </c>
      <c r="J714" t="s">
        <v>9222</v>
      </c>
    </row>
    <row r="715" spans="9:10">
      <c r="I715" t="s">
        <v>9223</v>
      </c>
      <c r="J715" t="s">
        <v>9224</v>
      </c>
    </row>
    <row r="716" spans="9:10">
      <c r="I716" t="s">
        <v>9225</v>
      </c>
      <c r="J716" t="s">
        <v>9226</v>
      </c>
    </row>
    <row r="717" spans="9:10">
      <c r="I717" t="s">
        <v>9227</v>
      </c>
      <c r="J717" t="s">
        <v>9228</v>
      </c>
    </row>
    <row r="718" spans="9:10">
      <c r="I718" t="s">
        <v>9229</v>
      </c>
      <c r="J718" t="s">
        <v>9230</v>
      </c>
    </row>
    <row r="719" spans="9:10">
      <c r="I719" t="s">
        <v>9231</v>
      </c>
      <c r="J719" t="s">
        <v>8247</v>
      </c>
    </row>
    <row r="720" spans="9:10">
      <c r="I720" t="s">
        <v>9232</v>
      </c>
      <c r="J720" t="s">
        <v>8249</v>
      </c>
    </row>
    <row r="721" spans="9:10">
      <c r="I721" t="s">
        <v>9233</v>
      </c>
      <c r="J721" t="s">
        <v>8304</v>
      </c>
    </row>
    <row r="722" spans="9:10">
      <c r="I722" t="s">
        <v>9234</v>
      </c>
      <c r="J722" t="s">
        <v>9235</v>
      </c>
    </row>
    <row r="723" spans="9:10">
      <c r="I723" t="s">
        <v>9236</v>
      </c>
      <c r="J723" t="s">
        <v>9237</v>
      </c>
    </row>
    <row r="724" spans="9:10">
      <c r="I724" t="s">
        <v>9238</v>
      </c>
      <c r="J724" t="s">
        <v>8310</v>
      </c>
    </row>
    <row r="725" spans="9:10">
      <c r="I725" t="s">
        <v>9239</v>
      </c>
      <c r="J725" t="s">
        <v>8312</v>
      </c>
    </row>
    <row r="726" spans="9:10">
      <c r="I726" t="s">
        <v>9240</v>
      </c>
      <c r="J726" t="s">
        <v>8314</v>
      </c>
    </row>
    <row r="727" spans="9:10">
      <c r="I727" t="s">
        <v>9241</v>
      </c>
      <c r="J727" t="s">
        <v>8316</v>
      </c>
    </row>
    <row r="728" spans="9:10">
      <c r="I728" t="s">
        <v>9242</v>
      </c>
      <c r="J728" t="s">
        <v>9243</v>
      </c>
    </row>
    <row r="729" spans="9:10">
      <c r="I729" t="s">
        <v>9244</v>
      </c>
      <c r="J729" t="s">
        <v>9245</v>
      </c>
    </row>
    <row r="730" spans="9:10">
      <c r="I730" t="s">
        <v>9246</v>
      </c>
      <c r="J730" t="s">
        <v>9247</v>
      </c>
    </row>
    <row r="731" spans="9:10">
      <c r="I731" t="s">
        <v>9248</v>
      </c>
      <c r="J731" t="s">
        <v>9249</v>
      </c>
    </row>
    <row r="732" spans="9:10">
      <c r="I732" t="s">
        <v>9250</v>
      </c>
      <c r="J732" t="s">
        <v>7979</v>
      </c>
    </row>
    <row r="733" spans="9:10">
      <c r="I733" t="s">
        <v>9251</v>
      </c>
      <c r="J733" t="s">
        <v>9252</v>
      </c>
    </row>
    <row r="734" spans="9:10">
      <c r="I734" t="s">
        <v>9253</v>
      </c>
      <c r="J734" t="s">
        <v>9254</v>
      </c>
    </row>
    <row r="735" spans="9:10">
      <c r="I735" t="s">
        <v>9255</v>
      </c>
      <c r="J735" t="s">
        <v>7983</v>
      </c>
    </row>
    <row r="736" spans="9:10">
      <c r="I736" t="s">
        <v>9256</v>
      </c>
      <c r="J736" t="s">
        <v>9257</v>
      </c>
    </row>
    <row r="737" spans="9:10">
      <c r="I737" t="s">
        <v>9258</v>
      </c>
      <c r="J737" t="s">
        <v>9259</v>
      </c>
    </row>
    <row r="738" spans="9:10">
      <c r="I738" t="s">
        <v>9260</v>
      </c>
      <c r="J738" t="s">
        <v>9261</v>
      </c>
    </row>
    <row r="739" spans="9:10">
      <c r="I739" t="s">
        <v>9262</v>
      </c>
      <c r="J739" t="s">
        <v>9263</v>
      </c>
    </row>
    <row r="740" spans="9:10">
      <c r="I740" t="s">
        <v>9264</v>
      </c>
      <c r="J740" t="s">
        <v>9265</v>
      </c>
    </row>
    <row r="741" spans="9:10">
      <c r="I741" t="s">
        <v>9266</v>
      </c>
      <c r="J741" t="s">
        <v>9267</v>
      </c>
    </row>
    <row r="742" spans="9:10">
      <c r="I742" t="s">
        <v>9268</v>
      </c>
      <c r="J742" t="s">
        <v>9269</v>
      </c>
    </row>
    <row r="743" spans="9:10">
      <c r="I743" t="s">
        <v>9270</v>
      </c>
      <c r="J743" t="s">
        <v>9271</v>
      </c>
    </row>
    <row r="744" spans="9:10">
      <c r="I744" t="s">
        <v>9272</v>
      </c>
      <c r="J744" t="s">
        <v>9273</v>
      </c>
    </row>
    <row r="745" spans="9:10">
      <c r="I745" t="s">
        <v>9274</v>
      </c>
      <c r="J745" t="s">
        <v>8324</v>
      </c>
    </row>
    <row r="746" spans="9:10">
      <c r="I746" t="s">
        <v>9275</v>
      </c>
      <c r="J746" t="s">
        <v>9276</v>
      </c>
    </row>
    <row r="747" spans="9:10">
      <c r="I747" t="s">
        <v>9277</v>
      </c>
      <c r="J747" t="s">
        <v>9278</v>
      </c>
    </row>
    <row r="748" spans="9:10">
      <c r="I748" t="s">
        <v>9279</v>
      </c>
      <c r="J748" t="s">
        <v>9280</v>
      </c>
    </row>
    <row r="749" spans="9:10">
      <c r="I749" t="s">
        <v>9281</v>
      </c>
      <c r="J749" t="s">
        <v>9282</v>
      </c>
    </row>
    <row r="750" spans="9:10">
      <c r="I750" t="s">
        <v>9283</v>
      </c>
      <c r="J750" t="s">
        <v>9284</v>
      </c>
    </row>
    <row r="751" spans="9:10">
      <c r="I751" t="s">
        <v>9285</v>
      </c>
      <c r="J751" t="s">
        <v>8982</v>
      </c>
    </row>
    <row r="752" spans="9:10">
      <c r="I752" t="s">
        <v>9286</v>
      </c>
      <c r="J752" t="s">
        <v>8247</v>
      </c>
    </row>
    <row r="753" spans="9:10">
      <c r="I753" t="s">
        <v>9287</v>
      </c>
      <c r="J753" t="s">
        <v>8249</v>
      </c>
    </row>
    <row r="754" spans="9:10">
      <c r="I754" t="s">
        <v>9288</v>
      </c>
      <c r="J754" t="s">
        <v>8247</v>
      </c>
    </row>
    <row r="755" spans="9:10">
      <c r="I755" t="s">
        <v>9289</v>
      </c>
      <c r="J755" t="s">
        <v>8249</v>
      </c>
    </row>
    <row r="756" spans="9:10">
      <c r="I756" t="s">
        <v>9290</v>
      </c>
      <c r="J756" t="s">
        <v>7797</v>
      </c>
    </row>
    <row r="757" spans="9:10">
      <c r="I757" t="s">
        <v>9291</v>
      </c>
      <c r="J757" t="s">
        <v>8247</v>
      </c>
    </row>
    <row r="758" spans="9:10">
      <c r="I758" t="s">
        <v>9292</v>
      </c>
      <c r="J758" t="s">
        <v>8249</v>
      </c>
    </row>
    <row r="759" spans="9:10">
      <c r="I759" t="s">
        <v>9293</v>
      </c>
      <c r="J759" t="s">
        <v>9294</v>
      </c>
    </row>
    <row r="760" spans="9:10">
      <c r="I760" t="s">
        <v>9295</v>
      </c>
      <c r="J760" t="s">
        <v>9296</v>
      </c>
    </row>
    <row r="761" spans="9:10">
      <c r="I761" t="s">
        <v>9297</v>
      </c>
      <c r="J761" t="s">
        <v>9298</v>
      </c>
    </row>
    <row r="762" spans="9:10">
      <c r="I762" t="s">
        <v>9299</v>
      </c>
      <c r="J762" t="s">
        <v>9300</v>
      </c>
    </row>
    <row r="763" spans="9:10">
      <c r="I763" t="s">
        <v>9301</v>
      </c>
      <c r="J763" t="s">
        <v>9302</v>
      </c>
    </row>
    <row r="764" spans="9:10">
      <c r="I764" t="s">
        <v>9303</v>
      </c>
      <c r="J764" t="s">
        <v>9304</v>
      </c>
    </row>
    <row r="765" spans="9:10">
      <c r="I765" t="s">
        <v>9305</v>
      </c>
      <c r="J765" t="s">
        <v>9306</v>
      </c>
    </row>
    <row r="766" spans="9:10">
      <c r="I766" t="s">
        <v>9307</v>
      </c>
      <c r="J766" t="s">
        <v>9308</v>
      </c>
    </row>
    <row r="767" spans="9:10">
      <c r="I767" t="s">
        <v>9309</v>
      </c>
      <c r="J767" t="s">
        <v>9310</v>
      </c>
    </row>
    <row r="768" spans="9:10">
      <c r="I768" t="s">
        <v>9311</v>
      </c>
      <c r="J768" t="s">
        <v>9312</v>
      </c>
    </row>
    <row r="769" spans="9:10">
      <c r="I769" t="s">
        <v>9313</v>
      </c>
      <c r="J769" t="s">
        <v>9314</v>
      </c>
    </row>
    <row r="770" spans="9:10">
      <c r="I770" t="s">
        <v>9315</v>
      </c>
      <c r="J770" t="s">
        <v>8247</v>
      </c>
    </row>
    <row r="771" spans="9:10">
      <c r="I771" t="s">
        <v>9316</v>
      </c>
      <c r="J771" t="s">
        <v>8249</v>
      </c>
    </row>
    <row r="772" spans="9:10">
      <c r="I772" t="s">
        <v>9317</v>
      </c>
      <c r="J772" t="s">
        <v>9318</v>
      </c>
    </row>
    <row r="773" spans="9:10">
      <c r="I773" t="s">
        <v>9319</v>
      </c>
      <c r="J773" t="s">
        <v>9320</v>
      </c>
    </row>
    <row r="774" spans="9:10">
      <c r="I774" t="s">
        <v>9321</v>
      </c>
      <c r="J774" t="s">
        <v>9322</v>
      </c>
    </row>
    <row r="775" spans="9:10">
      <c r="I775" t="s">
        <v>9323</v>
      </c>
      <c r="J775" t="s">
        <v>9324</v>
      </c>
    </row>
    <row r="776" spans="9:10">
      <c r="I776" t="s">
        <v>9325</v>
      </c>
      <c r="J776" t="s">
        <v>9326</v>
      </c>
    </row>
    <row r="777" spans="9:10">
      <c r="I777" t="s">
        <v>9327</v>
      </c>
      <c r="J777" t="s">
        <v>9328</v>
      </c>
    </row>
    <row r="778" spans="9:10">
      <c r="I778" t="s">
        <v>9329</v>
      </c>
      <c r="J778" t="s">
        <v>9330</v>
      </c>
    </row>
    <row r="779" spans="9:10">
      <c r="I779" t="s">
        <v>9331</v>
      </c>
      <c r="J779" t="s">
        <v>9332</v>
      </c>
    </row>
    <row r="780" spans="9:10">
      <c r="I780" t="s">
        <v>9333</v>
      </c>
      <c r="J780" t="s">
        <v>9334</v>
      </c>
    </row>
    <row r="781" spans="9:10">
      <c r="I781" t="s">
        <v>9335</v>
      </c>
      <c r="J781" t="s">
        <v>9336</v>
      </c>
    </row>
    <row r="782" spans="9:10">
      <c r="I782" t="s">
        <v>9337</v>
      </c>
      <c r="J782" t="s">
        <v>9338</v>
      </c>
    </row>
    <row r="783" spans="9:10">
      <c r="I783" t="s">
        <v>9339</v>
      </c>
      <c r="J783" t="s">
        <v>9340</v>
      </c>
    </row>
    <row r="784" spans="9:10">
      <c r="I784" t="s">
        <v>9341</v>
      </c>
      <c r="J784" t="s">
        <v>9342</v>
      </c>
    </row>
    <row r="785" spans="9:10">
      <c r="I785" t="s">
        <v>9343</v>
      </c>
      <c r="J785" t="s">
        <v>9344</v>
      </c>
    </row>
    <row r="786" spans="9:10">
      <c r="I786" t="s">
        <v>9345</v>
      </c>
      <c r="J786" t="s">
        <v>9346</v>
      </c>
    </row>
    <row r="787" spans="9:10">
      <c r="I787" t="s">
        <v>9347</v>
      </c>
      <c r="J787" t="s">
        <v>9348</v>
      </c>
    </row>
    <row r="788" spans="9:10">
      <c r="I788" t="s">
        <v>9349</v>
      </c>
      <c r="J788" t="s">
        <v>9350</v>
      </c>
    </row>
    <row r="789" spans="9:10">
      <c r="I789" t="s">
        <v>9351</v>
      </c>
      <c r="J789" t="s">
        <v>9352</v>
      </c>
    </row>
    <row r="790" spans="9:10">
      <c r="I790" t="s">
        <v>9353</v>
      </c>
      <c r="J790" t="s">
        <v>9354</v>
      </c>
    </row>
    <row r="791" spans="9:10">
      <c r="I791" t="s">
        <v>9355</v>
      </c>
      <c r="J791" t="s">
        <v>9356</v>
      </c>
    </row>
    <row r="792" spans="9:10">
      <c r="I792" t="s">
        <v>9357</v>
      </c>
      <c r="J792" t="s">
        <v>9358</v>
      </c>
    </row>
    <row r="793" spans="9:10">
      <c r="I793" t="s">
        <v>9359</v>
      </c>
      <c r="J793" t="s">
        <v>9360</v>
      </c>
    </row>
    <row r="794" spans="9:10">
      <c r="I794" t="s">
        <v>9361</v>
      </c>
      <c r="J794" t="s">
        <v>9362</v>
      </c>
    </row>
    <row r="795" spans="9:10">
      <c r="I795" t="s">
        <v>9363</v>
      </c>
      <c r="J795" t="s">
        <v>9364</v>
      </c>
    </row>
    <row r="796" spans="9:10">
      <c r="I796" t="s">
        <v>9365</v>
      </c>
      <c r="J796" t="s">
        <v>9366</v>
      </c>
    </row>
    <row r="797" spans="9:10">
      <c r="I797" t="s">
        <v>9367</v>
      </c>
      <c r="J797" t="s">
        <v>9368</v>
      </c>
    </row>
    <row r="798" spans="9:10">
      <c r="I798" t="s">
        <v>9369</v>
      </c>
      <c r="J798" t="s">
        <v>9370</v>
      </c>
    </row>
    <row r="799" spans="9:10">
      <c r="I799" t="s">
        <v>9371</v>
      </c>
      <c r="J799" t="s">
        <v>9372</v>
      </c>
    </row>
    <row r="800" spans="9:10">
      <c r="I800" t="s">
        <v>9373</v>
      </c>
      <c r="J800" t="s">
        <v>9374</v>
      </c>
    </row>
    <row r="801" spans="9:10">
      <c r="I801" t="s">
        <v>9375</v>
      </c>
      <c r="J801" t="s">
        <v>9376</v>
      </c>
    </row>
    <row r="802" spans="9:10">
      <c r="I802" t="s">
        <v>9377</v>
      </c>
      <c r="J802" t="s">
        <v>9378</v>
      </c>
    </row>
    <row r="803" spans="9:10">
      <c r="I803" t="s">
        <v>9379</v>
      </c>
      <c r="J803" t="s">
        <v>9380</v>
      </c>
    </row>
    <row r="804" spans="9:10">
      <c r="I804" t="s">
        <v>9381</v>
      </c>
      <c r="J804" t="s">
        <v>9382</v>
      </c>
    </row>
    <row r="805" spans="9:10">
      <c r="I805" t="s">
        <v>9383</v>
      </c>
      <c r="J805" t="s">
        <v>9384</v>
      </c>
    </row>
    <row r="806" spans="9:10">
      <c r="I806" t="s">
        <v>9385</v>
      </c>
      <c r="J806" t="s">
        <v>9386</v>
      </c>
    </row>
    <row r="807" spans="9:10">
      <c r="I807" t="s">
        <v>9387</v>
      </c>
      <c r="J807" t="s">
        <v>9388</v>
      </c>
    </row>
    <row r="808" spans="9:10">
      <c r="I808" t="s">
        <v>9389</v>
      </c>
      <c r="J808" t="s">
        <v>9390</v>
      </c>
    </row>
    <row r="809" spans="9:10">
      <c r="I809" t="s">
        <v>9391</v>
      </c>
      <c r="J809" t="s">
        <v>9392</v>
      </c>
    </row>
    <row r="810" spans="9:10">
      <c r="I810" t="s">
        <v>9393</v>
      </c>
      <c r="J810" t="s">
        <v>9394</v>
      </c>
    </row>
    <row r="811" spans="9:10">
      <c r="I811" t="s">
        <v>9395</v>
      </c>
      <c r="J811" t="s">
        <v>9396</v>
      </c>
    </row>
    <row r="812" spans="9:10">
      <c r="I812" t="s">
        <v>9397</v>
      </c>
      <c r="J812" t="s">
        <v>9398</v>
      </c>
    </row>
    <row r="813" spans="9:10">
      <c r="I813" t="s">
        <v>9399</v>
      </c>
      <c r="J813" t="s">
        <v>9400</v>
      </c>
    </row>
    <row r="814" spans="9:10">
      <c r="I814" t="s">
        <v>9401</v>
      </c>
      <c r="J814" t="s">
        <v>9402</v>
      </c>
    </row>
    <row r="815" spans="9:10">
      <c r="I815" t="s">
        <v>9403</v>
      </c>
      <c r="J815" t="s">
        <v>9404</v>
      </c>
    </row>
    <row r="816" spans="9:10">
      <c r="I816" t="s">
        <v>9405</v>
      </c>
      <c r="J816" t="s">
        <v>9406</v>
      </c>
    </row>
    <row r="817" spans="9:10">
      <c r="I817" t="s">
        <v>9407</v>
      </c>
      <c r="J817" t="s">
        <v>9408</v>
      </c>
    </row>
    <row r="818" spans="9:10">
      <c r="I818" t="s">
        <v>9409</v>
      </c>
      <c r="J818" t="s">
        <v>9410</v>
      </c>
    </row>
    <row r="819" spans="9:10">
      <c r="I819" t="s">
        <v>9411</v>
      </c>
      <c r="J819" t="s">
        <v>9412</v>
      </c>
    </row>
    <row r="820" spans="9:10">
      <c r="I820" t="s">
        <v>9413</v>
      </c>
      <c r="J820" t="s">
        <v>9414</v>
      </c>
    </row>
    <row r="821" spans="9:10">
      <c r="I821" t="s">
        <v>9415</v>
      </c>
      <c r="J821" t="s">
        <v>9416</v>
      </c>
    </row>
    <row r="822" spans="9:10">
      <c r="I822" t="s">
        <v>9417</v>
      </c>
      <c r="J822" t="s">
        <v>9418</v>
      </c>
    </row>
    <row r="823" spans="9:10">
      <c r="I823" t="s">
        <v>9419</v>
      </c>
      <c r="J823" t="s">
        <v>9420</v>
      </c>
    </row>
    <row r="824" spans="9:10">
      <c r="I824" t="s">
        <v>9421</v>
      </c>
      <c r="J824" t="s">
        <v>9422</v>
      </c>
    </row>
    <row r="825" spans="9:10">
      <c r="I825" t="s">
        <v>9423</v>
      </c>
      <c r="J825" t="s">
        <v>9424</v>
      </c>
    </row>
    <row r="826" spans="9:10">
      <c r="I826" t="s">
        <v>9425</v>
      </c>
      <c r="J826" t="s">
        <v>9426</v>
      </c>
    </row>
    <row r="827" spans="9:10">
      <c r="I827" t="s">
        <v>9427</v>
      </c>
      <c r="J827" t="s">
        <v>9428</v>
      </c>
    </row>
    <row r="828" spans="9:10">
      <c r="I828" t="s">
        <v>9429</v>
      </c>
      <c r="J828" t="s">
        <v>9430</v>
      </c>
    </row>
    <row r="829" spans="9:10">
      <c r="I829" t="s">
        <v>9431</v>
      </c>
      <c r="J829" t="s">
        <v>9432</v>
      </c>
    </row>
    <row r="830" spans="9:10">
      <c r="I830" t="s">
        <v>9433</v>
      </c>
      <c r="J830" t="s">
        <v>9434</v>
      </c>
    </row>
    <row r="831" spans="9:10">
      <c r="I831" t="s">
        <v>9435</v>
      </c>
      <c r="J831" t="s">
        <v>9436</v>
      </c>
    </row>
    <row r="832" spans="9:10">
      <c r="I832" t="s">
        <v>9437</v>
      </c>
      <c r="J832" t="s">
        <v>9438</v>
      </c>
    </row>
    <row r="833" spans="9:10">
      <c r="I833" t="s">
        <v>9439</v>
      </c>
      <c r="J833" t="s">
        <v>9440</v>
      </c>
    </row>
    <row r="834" spans="9:10">
      <c r="I834" t="s">
        <v>9441</v>
      </c>
      <c r="J834" t="s">
        <v>9442</v>
      </c>
    </row>
    <row r="835" spans="9:10">
      <c r="I835" t="s">
        <v>9443</v>
      </c>
      <c r="J835" t="s">
        <v>9444</v>
      </c>
    </row>
    <row r="836" spans="9:10">
      <c r="I836" t="s">
        <v>9445</v>
      </c>
      <c r="J836" t="s">
        <v>9446</v>
      </c>
    </row>
    <row r="837" spans="9:10">
      <c r="I837" t="s">
        <v>9447</v>
      </c>
      <c r="J837" t="s">
        <v>9448</v>
      </c>
    </row>
    <row r="838" spans="9:10">
      <c r="I838" t="s">
        <v>9449</v>
      </c>
      <c r="J838" t="s">
        <v>9450</v>
      </c>
    </row>
    <row r="839" spans="9:10">
      <c r="I839" t="s">
        <v>9451</v>
      </c>
      <c r="J839" t="s">
        <v>9452</v>
      </c>
    </row>
    <row r="840" spans="9:10">
      <c r="I840" t="s">
        <v>9453</v>
      </c>
      <c r="J840" t="s">
        <v>9454</v>
      </c>
    </row>
    <row r="841" spans="9:10">
      <c r="I841" t="s">
        <v>9455</v>
      </c>
      <c r="J841" t="s">
        <v>9456</v>
      </c>
    </row>
    <row r="842" spans="9:10">
      <c r="I842" t="s">
        <v>9457</v>
      </c>
      <c r="J842" t="s">
        <v>9458</v>
      </c>
    </row>
    <row r="843" spans="9:10">
      <c r="I843" t="s">
        <v>9459</v>
      </c>
      <c r="J843" t="s">
        <v>9460</v>
      </c>
    </row>
    <row r="844" spans="9:10">
      <c r="I844" t="s">
        <v>9461</v>
      </c>
      <c r="J844" t="s">
        <v>9462</v>
      </c>
    </row>
    <row r="845" spans="9:10">
      <c r="I845" t="s">
        <v>9463</v>
      </c>
      <c r="J845" t="s">
        <v>9464</v>
      </c>
    </row>
    <row r="846" spans="9:10">
      <c r="I846" t="s">
        <v>9465</v>
      </c>
      <c r="J846" t="s">
        <v>9466</v>
      </c>
    </row>
    <row r="847" spans="9:10">
      <c r="I847" t="s">
        <v>9467</v>
      </c>
      <c r="J847" t="s">
        <v>9468</v>
      </c>
    </row>
    <row r="848" spans="9:10">
      <c r="I848" t="s">
        <v>9469</v>
      </c>
      <c r="J848" t="s">
        <v>9470</v>
      </c>
    </row>
    <row r="849" spans="9:10">
      <c r="I849" t="s">
        <v>9471</v>
      </c>
      <c r="J849" t="s">
        <v>9472</v>
      </c>
    </row>
    <row r="850" spans="9:10">
      <c r="I850" t="s">
        <v>9473</v>
      </c>
      <c r="J850" t="s">
        <v>9474</v>
      </c>
    </row>
    <row r="851" spans="9:10">
      <c r="I851" t="s">
        <v>9475</v>
      </c>
      <c r="J851" t="s">
        <v>9476</v>
      </c>
    </row>
    <row r="852" spans="9:10">
      <c r="I852" t="s">
        <v>9477</v>
      </c>
      <c r="J852" t="s">
        <v>9478</v>
      </c>
    </row>
    <row r="853" spans="9:10">
      <c r="I853" t="s">
        <v>9479</v>
      </c>
      <c r="J853" t="s">
        <v>8247</v>
      </c>
    </row>
    <row r="854" spans="9:10">
      <c r="I854" t="s">
        <v>9480</v>
      </c>
      <c r="J854" t="s">
        <v>8249</v>
      </c>
    </row>
    <row r="855" spans="9:10">
      <c r="I855" t="s">
        <v>9481</v>
      </c>
      <c r="J855" t="s">
        <v>9482</v>
      </c>
    </row>
    <row r="856" spans="9:10">
      <c r="I856" t="s">
        <v>9483</v>
      </c>
      <c r="J856" t="s">
        <v>9484</v>
      </c>
    </row>
    <row r="857" spans="9:10">
      <c r="I857" t="s">
        <v>9485</v>
      </c>
      <c r="J857" t="s">
        <v>8247</v>
      </c>
    </row>
    <row r="858" spans="9:10">
      <c r="I858" t="s">
        <v>9486</v>
      </c>
      <c r="J858" t="s">
        <v>8249</v>
      </c>
    </row>
    <row r="859" spans="9:10">
      <c r="I859" t="s">
        <v>9487</v>
      </c>
      <c r="J859" t="s">
        <v>9488</v>
      </c>
    </row>
    <row r="860" spans="9:10">
      <c r="I860" t="s">
        <v>9489</v>
      </c>
      <c r="J860" t="s">
        <v>8247</v>
      </c>
    </row>
    <row r="861" spans="9:10">
      <c r="I861" t="s">
        <v>9490</v>
      </c>
      <c r="J861" t="s">
        <v>8249</v>
      </c>
    </row>
    <row r="862" spans="9:10">
      <c r="I862" t="s">
        <v>9491</v>
      </c>
      <c r="J862" t="s">
        <v>9492</v>
      </c>
    </row>
    <row r="863" spans="9:10">
      <c r="I863" t="s">
        <v>9493</v>
      </c>
      <c r="J863" t="s">
        <v>9494</v>
      </c>
    </row>
    <row r="864" spans="9:10">
      <c r="I864" t="s">
        <v>9495</v>
      </c>
      <c r="J864" t="s">
        <v>9496</v>
      </c>
    </row>
    <row r="865" spans="9:10">
      <c r="I865" t="s">
        <v>9497</v>
      </c>
      <c r="J865" t="s">
        <v>9498</v>
      </c>
    </row>
    <row r="866" spans="9:10">
      <c r="I866" t="s">
        <v>9499</v>
      </c>
      <c r="J866" t="s">
        <v>9500</v>
      </c>
    </row>
    <row r="867" spans="9:10">
      <c r="I867" t="s">
        <v>9501</v>
      </c>
      <c r="J867" t="s">
        <v>9502</v>
      </c>
    </row>
    <row r="868" spans="9:10">
      <c r="I868" t="s">
        <v>9503</v>
      </c>
      <c r="J868" t="s">
        <v>9504</v>
      </c>
    </row>
    <row r="869" spans="9:10">
      <c r="I869" t="s">
        <v>9505</v>
      </c>
      <c r="J869" t="s">
        <v>9506</v>
      </c>
    </row>
    <row r="870" spans="9:10">
      <c r="I870" t="s">
        <v>9507</v>
      </c>
      <c r="J870" t="s">
        <v>9508</v>
      </c>
    </row>
    <row r="871" spans="9:10">
      <c r="I871" t="s">
        <v>9509</v>
      </c>
      <c r="J871" t="s">
        <v>9510</v>
      </c>
    </row>
    <row r="872" spans="9:10">
      <c r="I872" t="s">
        <v>9511</v>
      </c>
      <c r="J872" t="s">
        <v>9512</v>
      </c>
    </row>
    <row r="873" spans="9:10">
      <c r="I873" t="s">
        <v>9513</v>
      </c>
      <c r="J873" t="s">
        <v>9514</v>
      </c>
    </row>
    <row r="874" spans="9:10">
      <c r="I874" t="s">
        <v>9515</v>
      </c>
      <c r="J874" t="s">
        <v>9516</v>
      </c>
    </row>
    <row r="875" spans="9:10">
      <c r="I875" t="s">
        <v>9517</v>
      </c>
      <c r="J875" t="s">
        <v>9518</v>
      </c>
    </row>
    <row r="876" spans="9:10">
      <c r="I876" t="s">
        <v>9519</v>
      </c>
      <c r="J876" t="s">
        <v>9520</v>
      </c>
    </row>
    <row r="877" spans="9:10">
      <c r="I877" t="s">
        <v>9521</v>
      </c>
      <c r="J877" t="s">
        <v>9522</v>
      </c>
    </row>
    <row r="878" spans="9:10">
      <c r="I878" t="s">
        <v>9523</v>
      </c>
      <c r="J878" t="s">
        <v>9524</v>
      </c>
    </row>
    <row r="879" spans="9:10">
      <c r="I879" t="s">
        <v>9525</v>
      </c>
      <c r="J879" t="s">
        <v>9526</v>
      </c>
    </row>
    <row r="880" spans="9:10">
      <c r="I880" t="s">
        <v>9527</v>
      </c>
      <c r="J880" t="s">
        <v>9528</v>
      </c>
    </row>
    <row r="881" spans="9:10">
      <c r="I881" t="s">
        <v>9529</v>
      </c>
      <c r="J881" t="s">
        <v>9530</v>
      </c>
    </row>
    <row r="882" spans="9:10">
      <c r="I882" t="s">
        <v>9531</v>
      </c>
      <c r="J882" t="s">
        <v>9532</v>
      </c>
    </row>
    <row r="883" spans="9:10">
      <c r="I883" t="s">
        <v>9533</v>
      </c>
      <c r="J883" t="s">
        <v>9534</v>
      </c>
    </row>
    <row r="884" spans="9:10">
      <c r="I884" t="s">
        <v>9535</v>
      </c>
      <c r="J884" t="s">
        <v>9536</v>
      </c>
    </row>
    <row r="885" spans="9:10">
      <c r="I885" t="s">
        <v>9537</v>
      </c>
      <c r="J885" t="s">
        <v>9538</v>
      </c>
    </row>
    <row r="886" spans="9:10">
      <c r="I886" t="s">
        <v>9539</v>
      </c>
      <c r="J886" t="s">
        <v>9540</v>
      </c>
    </row>
    <row r="887" spans="9:10">
      <c r="I887" t="s">
        <v>9541</v>
      </c>
      <c r="J887" t="s">
        <v>9542</v>
      </c>
    </row>
    <row r="888" spans="9:10">
      <c r="I888" t="s">
        <v>9543</v>
      </c>
      <c r="J888" t="s">
        <v>9544</v>
      </c>
    </row>
    <row r="889" spans="9:10">
      <c r="I889" t="s">
        <v>9545</v>
      </c>
      <c r="J889" t="s">
        <v>9546</v>
      </c>
    </row>
    <row r="890" spans="9:10">
      <c r="I890" t="s">
        <v>9547</v>
      </c>
      <c r="J890" t="s">
        <v>9548</v>
      </c>
    </row>
    <row r="891" spans="9:10">
      <c r="I891" t="s">
        <v>9549</v>
      </c>
      <c r="J891" t="s">
        <v>9550</v>
      </c>
    </row>
    <row r="892" spans="9:10">
      <c r="I892" t="s">
        <v>9551</v>
      </c>
      <c r="J892" t="s">
        <v>9552</v>
      </c>
    </row>
    <row r="893" spans="9:10">
      <c r="I893" t="s">
        <v>9553</v>
      </c>
      <c r="J893" t="s">
        <v>9554</v>
      </c>
    </row>
    <row r="894" spans="9:10">
      <c r="I894" t="s">
        <v>9555</v>
      </c>
      <c r="J894" t="s">
        <v>9556</v>
      </c>
    </row>
    <row r="895" spans="9:10">
      <c r="I895" t="s">
        <v>9557</v>
      </c>
      <c r="J895" t="s">
        <v>9558</v>
      </c>
    </row>
    <row r="896" spans="9:10">
      <c r="I896" t="s">
        <v>9559</v>
      </c>
      <c r="J896" t="s">
        <v>9560</v>
      </c>
    </row>
    <row r="897" spans="9:10">
      <c r="I897" t="s">
        <v>9561</v>
      </c>
      <c r="J897" t="s">
        <v>9562</v>
      </c>
    </row>
    <row r="898" spans="9:10">
      <c r="I898" t="s">
        <v>9563</v>
      </c>
      <c r="J898" t="s">
        <v>9564</v>
      </c>
    </row>
    <row r="899" spans="9:10">
      <c r="I899" t="s">
        <v>9565</v>
      </c>
      <c r="J899" t="s">
        <v>9566</v>
      </c>
    </row>
    <row r="900" spans="9:10">
      <c r="I900" t="s">
        <v>9567</v>
      </c>
      <c r="J900" t="s">
        <v>9568</v>
      </c>
    </row>
    <row r="901" spans="9:10">
      <c r="I901" t="s">
        <v>9569</v>
      </c>
      <c r="J901" t="s">
        <v>9570</v>
      </c>
    </row>
    <row r="902" spans="9:10">
      <c r="I902" t="s">
        <v>9571</v>
      </c>
      <c r="J902" t="s">
        <v>9572</v>
      </c>
    </row>
    <row r="903" spans="9:10">
      <c r="I903" t="s">
        <v>9573</v>
      </c>
      <c r="J903" t="s">
        <v>9574</v>
      </c>
    </row>
    <row r="904" spans="9:10">
      <c r="I904" t="s">
        <v>9575</v>
      </c>
      <c r="J904" t="s">
        <v>9576</v>
      </c>
    </row>
    <row r="905" spans="9:10">
      <c r="I905" t="s">
        <v>9577</v>
      </c>
      <c r="J905" t="s">
        <v>9578</v>
      </c>
    </row>
    <row r="906" spans="9:10">
      <c r="I906" t="s">
        <v>9579</v>
      </c>
      <c r="J906" t="s">
        <v>9580</v>
      </c>
    </row>
    <row r="907" spans="9:10">
      <c r="I907" t="s">
        <v>9581</v>
      </c>
      <c r="J907" t="s">
        <v>9582</v>
      </c>
    </row>
    <row r="908" spans="9:10">
      <c r="I908" t="s">
        <v>9583</v>
      </c>
      <c r="J908" t="s">
        <v>9584</v>
      </c>
    </row>
    <row r="909" spans="9:10">
      <c r="I909" t="s">
        <v>7760</v>
      </c>
      <c r="J909" t="s">
        <v>9585</v>
      </c>
    </row>
    <row r="910" spans="9:10">
      <c r="I910" t="s">
        <v>9586</v>
      </c>
      <c r="J910" t="s">
        <v>9587</v>
      </c>
    </row>
    <row r="911" spans="9:10">
      <c r="I911" t="s">
        <v>9588</v>
      </c>
      <c r="J911" t="s">
        <v>9589</v>
      </c>
    </row>
    <row r="912" spans="9:10">
      <c r="I912" t="s">
        <v>9590</v>
      </c>
      <c r="J912" t="s">
        <v>9591</v>
      </c>
    </row>
    <row r="913" spans="9:10">
      <c r="I913" t="s">
        <v>9592</v>
      </c>
      <c r="J913" t="s">
        <v>9593</v>
      </c>
    </row>
    <row r="914" spans="9:10">
      <c r="I914" t="s">
        <v>9594</v>
      </c>
      <c r="J914" t="s">
        <v>9595</v>
      </c>
    </row>
    <row r="915" spans="9:10">
      <c r="I915" t="s">
        <v>9596</v>
      </c>
      <c r="J915" t="s">
        <v>9597</v>
      </c>
    </row>
    <row r="916" spans="9:10">
      <c r="I916" t="s">
        <v>9598</v>
      </c>
      <c r="J916" t="s">
        <v>9599</v>
      </c>
    </row>
    <row r="917" spans="9:10">
      <c r="I917" t="s">
        <v>9600</v>
      </c>
      <c r="J917" t="s">
        <v>9601</v>
      </c>
    </row>
    <row r="918" spans="9:10">
      <c r="I918" t="s">
        <v>9602</v>
      </c>
      <c r="J918" t="s">
        <v>9603</v>
      </c>
    </row>
    <row r="919" spans="9:10">
      <c r="I919" t="s">
        <v>9604</v>
      </c>
      <c r="J919" t="s">
        <v>9605</v>
      </c>
    </row>
    <row r="920" spans="9:10">
      <c r="I920" t="s">
        <v>7764</v>
      </c>
      <c r="J920" t="s">
        <v>9606</v>
      </c>
    </row>
    <row r="921" spans="9:10">
      <c r="I921" t="s">
        <v>9607</v>
      </c>
      <c r="J921" t="s">
        <v>9608</v>
      </c>
    </row>
    <row r="922" spans="9:10">
      <c r="I922" t="s">
        <v>9609</v>
      </c>
      <c r="J922" t="s">
        <v>9610</v>
      </c>
    </row>
    <row r="923" spans="9:10">
      <c r="I923" t="s">
        <v>9611</v>
      </c>
      <c r="J923" t="s">
        <v>9612</v>
      </c>
    </row>
    <row r="924" spans="9:10">
      <c r="I924" t="s">
        <v>9613</v>
      </c>
      <c r="J924" t="s">
        <v>9614</v>
      </c>
    </row>
    <row r="925" spans="9:10">
      <c r="I925" t="s">
        <v>9615</v>
      </c>
      <c r="J925" t="s">
        <v>9616</v>
      </c>
    </row>
    <row r="926" spans="9:10">
      <c r="I926" t="s">
        <v>9617</v>
      </c>
      <c r="J926" t="s">
        <v>9618</v>
      </c>
    </row>
    <row r="927" spans="9:10">
      <c r="I927" t="s">
        <v>9619</v>
      </c>
      <c r="J927" t="s">
        <v>9620</v>
      </c>
    </row>
    <row r="928" spans="9:10">
      <c r="I928" t="s">
        <v>9621</v>
      </c>
      <c r="J928" t="s">
        <v>9622</v>
      </c>
    </row>
    <row r="929" spans="9:10">
      <c r="I929" t="s">
        <v>9623</v>
      </c>
      <c r="J929" t="s">
        <v>9624</v>
      </c>
    </row>
    <row r="930" spans="9:10">
      <c r="I930" t="s">
        <v>9625</v>
      </c>
      <c r="J930" t="s">
        <v>9626</v>
      </c>
    </row>
    <row r="931" spans="9:10">
      <c r="I931" t="s">
        <v>9627</v>
      </c>
      <c r="J931" t="s">
        <v>9628</v>
      </c>
    </row>
    <row r="932" spans="9:10">
      <c r="I932" t="s">
        <v>9629</v>
      </c>
      <c r="J932" t="s">
        <v>9630</v>
      </c>
    </row>
    <row r="933" spans="9:10">
      <c r="I933" t="s">
        <v>9631</v>
      </c>
      <c r="J933" t="s">
        <v>9632</v>
      </c>
    </row>
    <row r="934" spans="9:10">
      <c r="I934" t="s">
        <v>9633</v>
      </c>
      <c r="J934" t="s">
        <v>9634</v>
      </c>
    </row>
    <row r="935" spans="9:10">
      <c r="I935" t="s">
        <v>9635</v>
      </c>
      <c r="J935" t="s">
        <v>9636</v>
      </c>
    </row>
    <row r="936" spans="9:10">
      <c r="I936" t="s">
        <v>9637</v>
      </c>
      <c r="J936" t="s">
        <v>9638</v>
      </c>
    </row>
    <row r="937" spans="9:10">
      <c r="I937" t="s">
        <v>9639</v>
      </c>
      <c r="J937" t="s">
        <v>9640</v>
      </c>
    </row>
    <row r="938" spans="9:10">
      <c r="I938" t="s">
        <v>9641</v>
      </c>
      <c r="J938" t="s">
        <v>9642</v>
      </c>
    </row>
    <row r="939" spans="9:10">
      <c r="I939" t="s">
        <v>9643</v>
      </c>
      <c r="J939" t="s">
        <v>9644</v>
      </c>
    </row>
    <row r="940" spans="9:10">
      <c r="I940" t="s">
        <v>9645</v>
      </c>
      <c r="J940" t="s">
        <v>9646</v>
      </c>
    </row>
    <row r="941" spans="9:10">
      <c r="I941" t="s">
        <v>9647</v>
      </c>
      <c r="J941" t="s">
        <v>9648</v>
      </c>
    </row>
    <row r="942" spans="9:10">
      <c r="I942" t="s">
        <v>9649</v>
      </c>
      <c r="J942" t="s">
        <v>9650</v>
      </c>
    </row>
    <row r="943" spans="9:10">
      <c r="I943" t="s">
        <v>9651</v>
      </c>
      <c r="J943" t="s">
        <v>9652</v>
      </c>
    </row>
    <row r="944" spans="9:10">
      <c r="I944" t="s">
        <v>9653</v>
      </c>
      <c r="J944" t="s">
        <v>9654</v>
      </c>
    </row>
    <row r="945" spans="9:10">
      <c r="I945" t="s">
        <v>9655</v>
      </c>
      <c r="J945" t="s">
        <v>9656</v>
      </c>
    </row>
    <row r="946" spans="9:10">
      <c r="I946" t="s">
        <v>9657</v>
      </c>
      <c r="J946" t="s">
        <v>9658</v>
      </c>
    </row>
    <row r="947" spans="9:10">
      <c r="I947" t="s">
        <v>9659</v>
      </c>
      <c r="J947" t="s">
        <v>9660</v>
      </c>
    </row>
    <row r="948" spans="9:10">
      <c r="I948" t="s">
        <v>9661</v>
      </c>
      <c r="J948" t="s">
        <v>9662</v>
      </c>
    </row>
    <row r="949" spans="9:10">
      <c r="I949" t="s">
        <v>9663</v>
      </c>
      <c r="J949" t="s">
        <v>9664</v>
      </c>
    </row>
    <row r="950" spans="9:10">
      <c r="I950" t="s">
        <v>9665</v>
      </c>
      <c r="J950" t="s">
        <v>9666</v>
      </c>
    </row>
    <row r="951" spans="9:10">
      <c r="I951" t="s">
        <v>9667</v>
      </c>
      <c r="J951" t="s">
        <v>9668</v>
      </c>
    </row>
    <row r="952" spans="9:10">
      <c r="I952" t="s">
        <v>9669</v>
      </c>
      <c r="J952" t="s">
        <v>9670</v>
      </c>
    </row>
    <row r="953" spans="9:10">
      <c r="I953" t="s">
        <v>9671</v>
      </c>
      <c r="J953" t="s">
        <v>9672</v>
      </c>
    </row>
    <row r="954" spans="9:10">
      <c r="I954" t="s">
        <v>7758</v>
      </c>
      <c r="J954" t="s">
        <v>9673</v>
      </c>
    </row>
    <row r="955" spans="9:10">
      <c r="I955" t="s">
        <v>9674</v>
      </c>
      <c r="J955" t="s">
        <v>9675</v>
      </c>
    </row>
    <row r="956" spans="9:10">
      <c r="I956" t="s">
        <v>9676</v>
      </c>
      <c r="J956" t="s">
        <v>9677</v>
      </c>
    </row>
    <row r="957" spans="9:10">
      <c r="I957" t="s">
        <v>7766</v>
      </c>
      <c r="J957" t="s">
        <v>9678</v>
      </c>
    </row>
    <row r="958" spans="9:10">
      <c r="I958" t="s">
        <v>9679</v>
      </c>
      <c r="J958" t="s">
        <v>9680</v>
      </c>
    </row>
    <row r="959" spans="9:10">
      <c r="I959" t="s">
        <v>9681</v>
      </c>
      <c r="J959" t="s">
        <v>9682</v>
      </c>
    </row>
    <row r="960" spans="9:10">
      <c r="I960" t="s">
        <v>9683</v>
      </c>
      <c r="J960" t="s">
        <v>9684</v>
      </c>
    </row>
    <row r="961" spans="9:10">
      <c r="I961" t="s">
        <v>9685</v>
      </c>
      <c r="J961" t="s">
        <v>9686</v>
      </c>
    </row>
    <row r="962" spans="9:10">
      <c r="I962" t="s">
        <v>7762</v>
      </c>
      <c r="J962" t="s">
        <v>9687</v>
      </c>
    </row>
    <row r="963" spans="9:10">
      <c r="I963" t="s">
        <v>9688</v>
      </c>
      <c r="J963" t="s">
        <v>9689</v>
      </c>
    </row>
    <row r="964" spans="9:10">
      <c r="I964" t="s">
        <v>9690</v>
      </c>
      <c r="J964" t="s">
        <v>9691</v>
      </c>
    </row>
    <row r="965" spans="9:10">
      <c r="I965" t="s">
        <v>9692</v>
      </c>
      <c r="J965" t="s">
        <v>9693</v>
      </c>
    </row>
    <row r="966" spans="9:10">
      <c r="I966" t="s">
        <v>9694</v>
      </c>
      <c r="J966" t="s">
        <v>9695</v>
      </c>
    </row>
    <row r="967" spans="9:10">
      <c r="I967" t="s">
        <v>9696</v>
      </c>
      <c r="J967" t="s">
        <v>9697</v>
      </c>
    </row>
    <row r="968" spans="9:10">
      <c r="I968" t="s">
        <v>9698</v>
      </c>
      <c r="J968" t="s">
        <v>9699</v>
      </c>
    </row>
    <row r="969" spans="9:10">
      <c r="I969" t="s">
        <v>9700</v>
      </c>
      <c r="J969" t="s">
        <v>7819</v>
      </c>
    </row>
    <row r="970" spans="9:10">
      <c r="I970" t="s">
        <v>9701</v>
      </c>
      <c r="J970" t="s">
        <v>9702</v>
      </c>
    </row>
    <row r="971" spans="9:10">
      <c r="I971" t="s">
        <v>9703</v>
      </c>
      <c r="J971" t="s">
        <v>9704</v>
      </c>
    </row>
    <row r="972" spans="9:10">
      <c r="I972" t="s">
        <v>9705</v>
      </c>
      <c r="J972" t="s">
        <v>9706</v>
      </c>
    </row>
    <row r="973" spans="9:10">
      <c r="I973" t="s">
        <v>9707</v>
      </c>
      <c r="J973" t="s">
        <v>9708</v>
      </c>
    </row>
    <row r="974" spans="9:10">
      <c r="I974" t="s">
        <v>9709</v>
      </c>
      <c r="J974" t="s">
        <v>9710</v>
      </c>
    </row>
    <row r="975" spans="9:10">
      <c r="I975" t="s">
        <v>9711</v>
      </c>
      <c r="J975" t="s">
        <v>9712</v>
      </c>
    </row>
    <row r="976" spans="9:10">
      <c r="I976" t="s">
        <v>9713</v>
      </c>
      <c r="J976" t="s">
        <v>9714</v>
      </c>
    </row>
    <row r="977" spans="9:10">
      <c r="I977" t="s">
        <v>9715</v>
      </c>
      <c r="J977" t="s">
        <v>9566</v>
      </c>
    </row>
    <row r="978" spans="9:10">
      <c r="I978" t="s">
        <v>9716</v>
      </c>
      <c r="J978" t="s">
        <v>9568</v>
      </c>
    </row>
    <row r="979" spans="9:10">
      <c r="I979" t="s">
        <v>9717</v>
      </c>
      <c r="J979" t="s">
        <v>9570</v>
      </c>
    </row>
    <row r="980" spans="9:10">
      <c r="I980" t="s">
        <v>9718</v>
      </c>
      <c r="J980" t="s">
        <v>9572</v>
      </c>
    </row>
    <row r="981" spans="9:10">
      <c r="I981" t="s">
        <v>9719</v>
      </c>
      <c r="J981" t="s">
        <v>9574</v>
      </c>
    </row>
    <row r="982" spans="9:10">
      <c r="I982" t="s">
        <v>9720</v>
      </c>
      <c r="J982" t="s">
        <v>9576</v>
      </c>
    </row>
    <row r="983" spans="9:10">
      <c r="I983" t="s">
        <v>9721</v>
      </c>
      <c r="J983" t="s">
        <v>9722</v>
      </c>
    </row>
    <row r="984" spans="9:10">
      <c r="I984" t="s">
        <v>9723</v>
      </c>
      <c r="J984" t="s">
        <v>9566</v>
      </c>
    </row>
    <row r="985" spans="9:10">
      <c r="I985" t="s">
        <v>9724</v>
      </c>
      <c r="J985" t="s">
        <v>9568</v>
      </c>
    </row>
    <row r="986" spans="9:10">
      <c r="I986" t="s">
        <v>9725</v>
      </c>
      <c r="J986" t="s">
        <v>9570</v>
      </c>
    </row>
    <row r="987" spans="9:10">
      <c r="I987" t="s">
        <v>9726</v>
      </c>
      <c r="J987" t="s">
        <v>9572</v>
      </c>
    </row>
    <row r="988" spans="9:10">
      <c r="I988" t="s">
        <v>9727</v>
      </c>
      <c r="J988" t="s">
        <v>9574</v>
      </c>
    </row>
    <row r="989" spans="9:10">
      <c r="I989" t="s">
        <v>9728</v>
      </c>
      <c r="J989" t="s">
        <v>9576</v>
      </c>
    </row>
    <row r="990" spans="9:10">
      <c r="I990" t="s">
        <v>9729</v>
      </c>
      <c r="J990" t="s">
        <v>9730</v>
      </c>
    </row>
    <row r="991" spans="9:10">
      <c r="I991" t="s">
        <v>9731</v>
      </c>
      <c r="J991" t="s">
        <v>9732</v>
      </c>
    </row>
    <row r="992" spans="9:10">
      <c r="I992" t="s">
        <v>9733</v>
      </c>
      <c r="J992" t="s">
        <v>9734</v>
      </c>
    </row>
    <row r="993" spans="9:10">
      <c r="I993" t="s">
        <v>9735</v>
      </c>
      <c r="J993" t="s">
        <v>9736</v>
      </c>
    </row>
    <row r="994" spans="9:10">
      <c r="I994" t="s">
        <v>9737</v>
      </c>
      <c r="J994" t="s">
        <v>8247</v>
      </c>
    </row>
    <row r="995" spans="9:10">
      <c r="I995" t="s">
        <v>9738</v>
      </c>
      <c r="J995" t="s">
        <v>8249</v>
      </c>
    </row>
    <row r="996" spans="9:10">
      <c r="I996" t="s">
        <v>9739</v>
      </c>
      <c r="J996" t="s">
        <v>7827</v>
      </c>
    </row>
    <row r="997" spans="9:10">
      <c r="I997" t="s">
        <v>9740</v>
      </c>
      <c r="J997" t="s">
        <v>9741</v>
      </c>
    </row>
    <row r="998" spans="9:10">
      <c r="I998" t="s">
        <v>9742</v>
      </c>
      <c r="J998" t="s">
        <v>9743</v>
      </c>
    </row>
    <row r="999" spans="9:10">
      <c r="I999" t="s">
        <v>9744</v>
      </c>
      <c r="J999" t="s">
        <v>9745</v>
      </c>
    </row>
    <row r="1000" spans="9:10">
      <c r="I1000" t="s">
        <v>9746</v>
      </c>
      <c r="J1000" t="s">
        <v>9747</v>
      </c>
    </row>
    <row r="1001" spans="9:10">
      <c r="I1001" t="s">
        <v>9748</v>
      </c>
      <c r="J1001" t="s">
        <v>9749</v>
      </c>
    </row>
    <row r="1002" spans="9:10">
      <c r="I1002" t="s">
        <v>9750</v>
      </c>
      <c r="J1002" t="s">
        <v>9751</v>
      </c>
    </row>
    <row r="1003" spans="9:10">
      <c r="I1003" t="s">
        <v>9752</v>
      </c>
      <c r="J1003" t="s">
        <v>8247</v>
      </c>
    </row>
    <row r="1004" spans="9:10">
      <c r="I1004" t="s">
        <v>9753</v>
      </c>
      <c r="J1004" t="s">
        <v>8249</v>
      </c>
    </row>
    <row r="1005" spans="9:10">
      <c r="I1005" t="s">
        <v>9754</v>
      </c>
      <c r="J1005" t="s">
        <v>9755</v>
      </c>
    </row>
    <row r="1006" spans="9:10">
      <c r="I1006" t="s">
        <v>9756</v>
      </c>
      <c r="J1006" t="s">
        <v>9757</v>
      </c>
    </row>
    <row r="1007" spans="9:10">
      <c r="I1007" t="s">
        <v>9758</v>
      </c>
      <c r="J1007" t="s">
        <v>9759</v>
      </c>
    </row>
    <row r="1008" spans="9:10">
      <c r="I1008" t="s">
        <v>9760</v>
      </c>
      <c r="J1008" t="s">
        <v>9761</v>
      </c>
    </row>
    <row r="1009" spans="9:10">
      <c r="I1009" t="s">
        <v>9762</v>
      </c>
      <c r="J1009" t="s">
        <v>9763</v>
      </c>
    </row>
    <row r="1010" spans="9:10">
      <c r="I1010" t="s">
        <v>9764</v>
      </c>
      <c r="J1010" t="s">
        <v>9765</v>
      </c>
    </row>
    <row r="1011" spans="9:10">
      <c r="I1011" t="s">
        <v>9766</v>
      </c>
      <c r="J1011" t="s">
        <v>9767</v>
      </c>
    </row>
    <row r="1012" spans="9:10">
      <c r="I1012" t="s">
        <v>9768</v>
      </c>
      <c r="J1012" t="s">
        <v>7835</v>
      </c>
    </row>
    <row r="1013" spans="9:10">
      <c r="I1013" t="s">
        <v>9769</v>
      </c>
      <c r="J1013" t="s">
        <v>8247</v>
      </c>
    </row>
    <row r="1014" spans="9:10">
      <c r="I1014" t="s">
        <v>9770</v>
      </c>
      <c r="J1014" t="s">
        <v>8249</v>
      </c>
    </row>
    <row r="1015" spans="9:10">
      <c r="I1015" t="s">
        <v>9771</v>
      </c>
      <c r="J1015" t="s">
        <v>9772</v>
      </c>
    </row>
    <row r="1016" spans="9:10">
      <c r="I1016" t="s">
        <v>9773</v>
      </c>
      <c r="J1016" t="s">
        <v>9774</v>
      </c>
    </row>
    <row r="1017" spans="9:10">
      <c r="I1017" t="s">
        <v>9775</v>
      </c>
      <c r="J1017" t="s">
        <v>9776</v>
      </c>
    </row>
    <row r="1018" spans="9:10">
      <c r="I1018" t="s">
        <v>9777</v>
      </c>
      <c r="J1018" t="s">
        <v>9778</v>
      </c>
    </row>
    <row r="1019" spans="9:10">
      <c r="I1019" t="s">
        <v>9779</v>
      </c>
      <c r="J1019" t="s">
        <v>9780</v>
      </c>
    </row>
    <row r="1020" spans="9:10">
      <c r="I1020" t="s">
        <v>9781</v>
      </c>
      <c r="J1020" t="s">
        <v>9782</v>
      </c>
    </row>
    <row r="1021" spans="9:10">
      <c r="I1021" t="s">
        <v>9783</v>
      </c>
      <c r="J1021" t="s">
        <v>8247</v>
      </c>
    </row>
    <row r="1022" spans="9:10">
      <c r="I1022" t="s">
        <v>9784</v>
      </c>
      <c r="J1022" t="s">
        <v>9785</v>
      </c>
    </row>
    <row r="1023" spans="9:10">
      <c r="I1023" t="s">
        <v>9786</v>
      </c>
      <c r="J1023" t="s">
        <v>9787</v>
      </c>
    </row>
    <row r="1024" spans="9:10">
      <c r="I1024" t="s">
        <v>9788</v>
      </c>
      <c r="J1024" t="s">
        <v>9789</v>
      </c>
    </row>
    <row r="1025" spans="9:10">
      <c r="I1025" t="s">
        <v>9790</v>
      </c>
      <c r="J1025" t="s">
        <v>9791</v>
      </c>
    </row>
    <row r="1026" spans="9:10">
      <c r="I1026" t="s">
        <v>9792</v>
      </c>
      <c r="J1026" t="s">
        <v>9793</v>
      </c>
    </row>
    <row r="1027" spans="9:10">
      <c r="I1027" t="s">
        <v>9794</v>
      </c>
      <c r="J1027" t="s">
        <v>9795</v>
      </c>
    </row>
    <row r="1028" spans="9:10">
      <c r="I1028" t="s">
        <v>9796</v>
      </c>
      <c r="J1028" t="s">
        <v>8247</v>
      </c>
    </row>
    <row r="1029" spans="9:10">
      <c r="I1029" t="s">
        <v>9797</v>
      </c>
      <c r="J1029" t="s">
        <v>8249</v>
      </c>
    </row>
    <row r="1030" spans="9:10">
      <c r="I1030" t="s">
        <v>9798</v>
      </c>
      <c r="J1030" t="s">
        <v>7841</v>
      </c>
    </row>
    <row r="1031" spans="9:10">
      <c r="I1031" t="s">
        <v>9799</v>
      </c>
      <c r="J1031" t="s">
        <v>8247</v>
      </c>
    </row>
    <row r="1032" spans="9:10">
      <c r="I1032" t="s">
        <v>7770</v>
      </c>
      <c r="J1032" t="s">
        <v>9800</v>
      </c>
    </row>
    <row r="1033" spans="9:10">
      <c r="I1033" t="s">
        <v>9801</v>
      </c>
      <c r="J1033" t="s">
        <v>9802</v>
      </c>
    </row>
    <row r="1034" spans="9:10">
      <c r="I1034" t="s">
        <v>9803</v>
      </c>
      <c r="J1034" t="s">
        <v>9804</v>
      </c>
    </row>
    <row r="1035" spans="9:10">
      <c r="I1035" t="s">
        <v>9805</v>
      </c>
      <c r="J1035" t="s">
        <v>9806</v>
      </c>
    </row>
    <row r="1036" spans="9:10">
      <c r="I1036" t="s">
        <v>9807</v>
      </c>
      <c r="J1036" t="s">
        <v>8247</v>
      </c>
    </row>
    <row r="1037" spans="9:10">
      <c r="I1037" t="s">
        <v>9808</v>
      </c>
      <c r="J1037" t="s">
        <v>8249</v>
      </c>
    </row>
    <row r="1038" spans="9:10">
      <c r="I1038" t="s">
        <v>7772</v>
      </c>
      <c r="J1038" t="s">
        <v>9809</v>
      </c>
    </row>
    <row r="1039" spans="9:10">
      <c r="I1039" t="s">
        <v>9810</v>
      </c>
      <c r="J1039" t="s">
        <v>9811</v>
      </c>
    </row>
    <row r="1040" spans="9:10">
      <c r="I1040" t="s">
        <v>9812</v>
      </c>
      <c r="J1040" t="s">
        <v>9813</v>
      </c>
    </row>
    <row r="1041" spans="9:10">
      <c r="I1041" t="s">
        <v>9814</v>
      </c>
      <c r="J1041" t="s">
        <v>8247</v>
      </c>
    </row>
    <row r="1042" spans="9:10">
      <c r="I1042" t="s">
        <v>9815</v>
      </c>
      <c r="J1042" t="s">
        <v>8249</v>
      </c>
    </row>
    <row r="1043" spans="9:10">
      <c r="I1043" t="s">
        <v>9816</v>
      </c>
      <c r="J1043" t="s">
        <v>9817</v>
      </c>
    </row>
    <row r="1044" spans="9:10">
      <c r="I1044" t="s">
        <v>9818</v>
      </c>
      <c r="J1044" t="s">
        <v>9819</v>
      </c>
    </row>
    <row r="1045" spans="9:10">
      <c r="I1045" t="s">
        <v>9820</v>
      </c>
      <c r="J1045" t="s">
        <v>8247</v>
      </c>
    </row>
    <row r="1046" spans="9:10">
      <c r="I1046" t="s">
        <v>9821</v>
      </c>
      <c r="J1046" t="s">
        <v>8249</v>
      </c>
    </row>
    <row r="1047" spans="9:10">
      <c r="I1047" t="s">
        <v>7778</v>
      </c>
      <c r="J1047" t="s">
        <v>7843</v>
      </c>
    </row>
    <row r="1048" spans="9:10">
      <c r="I1048" t="s">
        <v>9822</v>
      </c>
      <c r="J1048" t="s">
        <v>9823</v>
      </c>
    </row>
    <row r="1049" spans="9:10">
      <c r="I1049" t="s">
        <v>9824</v>
      </c>
      <c r="J1049" t="s">
        <v>9825</v>
      </c>
    </row>
    <row r="1050" spans="9:10">
      <c r="I1050" t="s">
        <v>9826</v>
      </c>
      <c r="J1050" t="s">
        <v>9827</v>
      </c>
    </row>
    <row r="1051" spans="9:10">
      <c r="I1051" t="s">
        <v>9828</v>
      </c>
      <c r="J1051" t="s">
        <v>9829</v>
      </c>
    </row>
    <row r="1052" spans="9:10">
      <c r="I1052" t="s">
        <v>9830</v>
      </c>
      <c r="J1052" t="s">
        <v>9831</v>
      </c>
    </row>
    <row r="1053" spans="9:10">
      <c r="I1053" t="s">
        <v>9832</v>
      </c>
      <c r="J1053" t="s">
        <v>9833</v>
      </c>
    </row>
    <row r="1054" spans="9:10">
      <c r="I1054" t="s">
        <v>9834</v>
      </c>
      <c r="J1054" t="s">
        <v>9835</v>
      </c>
    </row>
    <row r="1055" spans="9:10">
      <c r="I1055" t="s">
        <v>9836</v>
      </c>
      <c r="J1055" t="s">
        <v>9837</v>
      </c>
    </row>
    <row r="1056" spans="9:10">
      <c r="I1056" t="s">
        <v>9838</v>
      </c>
      <c r="J1056" t="s">
        <v>9839</v>
      </c>
    </row>
    <row r="1057" spans="9:10">
      <c r="I1057" t="s">
        <v>9840</v>
      </c>
      <c r="J1057" t="s">
        <v>9841</v>
      </c>
    </row>
    <row r="1058" spans="9:10">
      <c r="I1058" t="s">
        <v>9842</v>
      </c>
      <c r="J1058" t="s">
        <v>9843</v>
      </c>
    </row>
    <row r="1059" spans="9:10">
      <c r="I1059" t="s">
        <v>9844</v>
      </c>
      <c r="J1059" t="s">
        <v>9845</v>
      </c>
    </row>
    <row r="1060" spans="9:10">
      <c r="I1060" t="s">
        <v>9846</v>
      </c>
      <c r="J1060" t="s">
        <v>9847</v>
      </c>
    </row>
    <row r="1061" spans="9:10">
      <c r="I1061" t="s">
        <v>9848</v>
      </c>
      <c r="J1061" t="s">
        <v>9849</v>
      </c>
    </row>
    <row r="1062" spans="9:10">
      <c r="I1062" t="s">
        <v>9850</v>
      </c>
      <c r="J1062" t="s">
        <v>9851</v>
      </c>
    </row>
    <row r="1063" spans="9:10">
      <c r="I1063" t="s">
        <v>9852</v>
      </c>
      <c r="J1063" t="s">
        <v>9853</v>
      </c>
    </row>
    <row r="1064" spans="9:10">
      <c r="I1064" t="s">
        <v>9854</v>
      </c>
      <c r="J1064" t="s">
        <v>9855</v>
      </c>
    </row>
    <row r="1065" spans="9:10">
      <c r="I1065" t="s">
        <v>9856</v>
      </c>
      <c r="J1065" t="s">
        <v>9857</v>
      </c>
    </row>
    <row r="1066" spans="9:10">
      <c r="I1066" t="s">
        <v>9858</v>
      </c>
      <c r="J1066" t="s">
        <v>9859</v>
      </c>
    </row>
    <row r="1067" spans="9:10">
      <c r="I1067" t="s">
        <v>9860</v>
      </c>
      <c r="J1067" t="s">
        <v>9861</v>
      </c>
    </row>
    <row r="1068" spans="9:10">
      <c r="I1068" t="s">
        <v>9862</v>
      </c>
      <c r="J1068" t="s">
        <v>9863</v>
      </c>
    </row>
    <row r="1069" spans="9:10">
      <c r="I1069" t="s">
        <v>9864</v>
      </c>
      <c r="J1069" t="s">
        <v>9865</v>
      </c>
    </row>
    <row r="1070" spans="9:10">
      <c r="I1070" t="s">
        <v>9866</v>
      </c>
      <c r="J1070" t="s">
        <v>9867</v>
      </c>
    </row>
    <row r="1071" spans="9:10">
      <c r="I1071" t="s">
        <v>9868</v>
      </c>
      <c r="J1071" t="s">
        <v>9869</v>
      </c>
    </row>
    <row r="1072" spans="9:10">
      <c r="I1072" t="s">
        <v>9870</v>
      </c>
      <c r="J1072" t="s">
        <v>9871</v>
      </c>
    </row>
    <row r="1073" spans="9:10">
      <c r="I1073" t="s">
        <v>9872</v>
      </c>
      <c r="J1073" t="s">
        <v>8247</v>
      </c>
    </row>
    <row r="1074" spans="9:10">
      <c r="I1074" t="s">
        <v>9873</v>
      </c>
      <c r="J1074" t="s">
        <v>8249</v>
      </c>
    </row>
    <row r="1075" spans="9:10">
      <c r="I1075" t="s">
        <v>9874</v>
      </c>
      <c r="J1075" t="s">
        <v>9875</v>
      </c>
    </row>
    <row r="1076" spans="9:10">
      <c r="I1076" t="s">
        <v>9876</v>
      </c>
      <c r="J1076" t="s">
        <v>9877</v>
      </c>
    </row>
    <row r="1077" spans="9:10">
      <c r="I1077" t="s">
        <v>9878</v>
      </c>
      <c r="J1077" t="s">
        <v>9879</v>
      </c>
    </row>
    <row r="1078" spans="9:10">
      <c r="I1078" t="s">
        <v>9880</v>
      </c>
      <c r="J1078" t="s">
        <v>8249</v>
      </c>
    </row>
    <row r="1079" spans="9:10">
      <c r="I1079" t="s">
        <v>9881</v>
      </c>
      <c r="J1079" t="s">
        <v>9882</v>
      </c>
    </row>
    <row r="1080" spans="9:10">
      <c r="I1080" t="s">
        <v>9883</v>
      </c>
      <c r="J1080" t="s">
        <v>9884</v>
      </c>
    </row>
    <row r="1081" spans="9:10">
      <c r="I1081" t="s">
        <v>9885</v>
      </c>
      <c r="J1081" t="s">
        <v>9886</v>
      </c>
    </row>
    <row r="1082" spans="9:10">
      <c r="I1082" t="s">
        <v>9887</v>
      </c>
      <c r="J1082" t="s">
        <v>9888</v>
      </c>
    </row>
    <row r="1083" spans="9:10">
      <c r="I1083" t="s">
        <v>9889</v>
      </c>
      <c r="J1083" t="s">
        <v>9890</v>
      </c>
    </row>
    <row r="1084" spans="9:10">
      <c r="I1084" t="s">
        <v>9891</v>
      </c>
      <c r="J1084" t="s">
        <v>9892</v>
      </c>
    </row>
    <row r="1085" spans="9:10">
      <c r="I1085" t="s">
        <v>9893</v>
      </c>
      <c r="J1085" t="s">
        <v>9894</v>
      </c>
    </row>
    <row r="1086" spans="9:10">
      <c r="I1086" t="s">
        <v>9895</v>
      </c>
      <c r="J1086" t="s">
        <v>9896</v>
      </c>
    </row>
    <row r="1087" spans="9:10">
      <c r="I1087" t="s">
        <v>9897</v>
      </c>
      <c r="J1087" t="s">
        <v>9898</v>
      </c>
    </row>
    <row r="1088" spans="9:10">
      <c r="I1088" t="s">
        <v>9899</v>
      </c>
      <c r="J1088" t="s">
        <v>9900</v>
      </c>
    </row>
    <row r="1089" spans="9:10">
      <c r="I1089" t="s">
        <v>9901</v>
      </c>
      <c r="J1089" t="s">
        <v>9902</v>
      </c>
    </row>
    <row r="1090" spans="9:10">
      <c r="I1090" t="s">
        <v>9903</v>
      </c>
      <c r="J1090" t="s">
        <v>9904</v>
      </c>
    </row>
    <row r="1091" spans="9:10">
      <c r="I1091" t="s">
        <v>9905</v>
      </c>
      <c r="J1091" t="s">
        <v>9906</v>
      </c>
    </row>
    <row r="1092" spans="9:10">
      <c r="I1092" t="s">
        <v>9907</v>
      </c>
      <c r="J1092" t="s">
        <v>8247</v>
      </c>
    </row>
    <row r="1093" spans="9:10">
      <c r="I1093" t="s">
        <v>9908</v>
      </c>
      <c r="J1093" t="s">
        <v>8249</v>
      </c>
    </row>
    <row r="1094" spans="9:10">
      <c r="I1094" t="s">
        <v>9909</v>
      </c>
      <c r="J1094" t="s">
        <v>9910</v>
      </c>
    </row>
    <row r="1095" spans="9:10">
      <c r="I1095" t="s">
        <v>9911</v>
      </c>
      <c r="J1095" t="s">
        <v>9912</v>
      </c>
    </row>
    <row r="1096" spans="9:10">
      <c r="I1096" t="s">
        <v>9913</v>
      </c>
      <c r="J1096" t="s">
        <v>9914</v>
      </c>
    </row>
    <row r="1097" spans="9:10">
      <c r="I1097" t="s">
        <v>9915</v>
      </c>
      <c r="J1097" t="s">
        <v>9916</v>
      </c>
    </row>
    <row r="1098" spans="9:10">
      <c r="I1098" t="s">
        <v>9917</v>
      </c>
      <c r="J1098" t="s">
        <v>9918</v>
      </c>
    </row>
    <row r="1099" spans="9:10">
      <c r="I1099" t="s">
        <v>9919</v>
      </c>
      <c r="J1099" t="s">
        <v>9920</v>
      </c>
    </row>
    <row r="1100" spans="9:10">
      <c r="I1100" t="s">
        <v>9921</v>
      </c>
      <c r="J1100" t="s">
        <v>9922</v>
      </c>
    </row>
    <row r="1101" spans="9:10">
      <c r="I1101" t="s">
        <v>9923</v>
      </c>
      <c r="J1101" t="s">
        <v>9924</v>
      </c>
    </row>
    <row r="1102" spans="9:10">
      <c r="I1102" t="s">
        <v>9925</v>
      </c>
      <c r="J1102" t="s">
        <v>9926</v>
      </c>
    </row>
    <row r="1103" spans="9:10">
      <c r="I1103" t="s">
        <v>9927</v>
      </c>
      <c r="J1103" t="s">
        <v>9928</v>
      </c>
    </row>
    <row r="1104" spans="9:10">
      <c r="I1104" t="s">
        <v>9929</v>
      </c>
      <c r="J1104" t="s">
        <v>9930</v>
      </c>
    </row>
    <row r="1105" spans="9:10">
      <c r="I1105" t="s">
        <v>9931</v>
      </c>
      <c r="J1105" t="s">
        <v>9932</v>
      </c>
    </row>
    <row r="1106" spans="9:10">
      <c r="I1106" t="s">
        <v>9933</v>
      </c>
      <c r="J1106" t="s">
        <v>9934</v>
      </c>
    </row>
    <row r="1107" spans="9:10">
      <c r="I1107" t="s">
        <v>9935</v>
      </c>
      <c r="J1107" t="s">
        <v>9936</v>
      </c>
    </row>
    <row r="1108" spans="9:10">
      <c r="I1108" t="s">
        <v>9937</v>
      </c>
      <c r="J1108" t="s">
        <v>9938</v>
      </c>
    </row>
    <row r="1109" spans="9:10">
      <c r="I1109" t="s">
        <v>9939</v>
      </c>
      <c r="J1109" t="s">
        <v>9940</v>
      </c>
    </row>
    <row r="1110" spans="9:10">
      <c r="I1110" t="s">
        <v>9941</v>
      </c>
      <c r="J1110" t="s">
        <v>9942</v>
      </c>
    </row>
    <row r="1111" spans="9:10">
      <c r="I1111" t="s">
        <v>9943</v>
      </c>
      <c r="J1111" t="s">
        <v>9944</v>
      </c>
    </row>
    <row r="1112" spans="9:10">
      <c r="I1112" t="s">
        <v>9945</v>
      </c>
      <c r="J1112" t="s">
        <v>8247</v>
      </c>
    </row>
    <row r="1113" spans="9:10">
      <c r="I1113" t="s">
        <v>9946</v>
      </c>
      <c r="J1113" t="s">
        <v>8249</v>
      </c>
    </row>
    <row r="1114" spans="9:10">
      <c r="I1114" t="s">
        <v>9947</v>
      </c>
      <c r="J1114" t="s">
        <v>9948</v>
      </c>
    </row>
    <row r="1115" spans="9:10">
      <c r="I1115" t="s">
        <v>9949</v>
      </c>
      <c r="J1115" t="s">
        <v>9950</v>
      </c>
    </row>
    <row r="1116" spans="9:10">
      <c r="I1116" t="s">
        <v>9951</v>
      </c>
      <c r="J1116" t="s">
        <v>9952</v>
      </c>
    </row>
    <row r="1117" spans="9:10">
      <c r="I1117" t="s">
        <v>9953</v>
      </c>
      <c r="J1117" t="s">
        <v>9954</v>
      </c>
    </row>
    <row r="1118" spans="9:10">
      <c r="I1118" t="s">
        <v>9955</v>
      </c>
      <c r="J1118" t="s">
        <v>8247</v>
      </c>
    </row>
    <row r="1119" spans="9:10">
      <c r="I1119" t="s">
        <v>9956</v>
      </c>
      <c r="J1119" t="s">
        <v>8249</v>
      </c>
    </row>
    <row r="1120" spans="9:10">
      <c r="I1120" t="s">
        <v>9957</v>
      </c>
      <c r="J1120" t="s">
        <v>9958</v>
      </c>
    </row>
    <row r="1121" spans="9:10">
      <c r="I1121" t="s">
        <v>9959</v>
      </c>
      <c r="J1121" t="s">
        <v>9960</v>
      </c>
    </row>
    <row r="1122" spans="9:10">
      <c r="I1122" t="s">
        <v>9961</v>
      </c>
      <c r="J1122" t="s">
        <v>247</v>
      </c>
    </row>
    <row r="1123" spans="9:10">
      <c r="I1123" t="s">
        <v>9962</v>
      </c>
      <c r="J1123" t="s">
        <v>1319</v>
      </c>
    </row>
    <row r="1124" spans="9:10">
      <c r="I1124" t="s">
        <v>7776</v>
      </c>
      <c r="J1124" t="s">
        <v>9963</v>
      </c>
    </row>
    <row r="1125" spans="9:10">
      <c r="I1125" t="s">
        <v>9964</v>
      </c>
      <c r="J1125" t="s">
        <v>8247</v>
      </c>
    </row>
    <row r="1126" spans="9:10">
      <c r="I1126" t="s">
        <v>9965</v>
      </c>
      <c r="J1126" t="s">
        <v>8249</v>
      </c>
    </row>
    <row r="1127" spans="9:10">
      <c r="I1127" t="s">
        <v>9966</v>
      </c>
      <c r="J1127" t="s">
        <v>9967</v>
      </c>
    </row>
    <row r="1128" spans="9:10">
      <c r="I1128" t="s">
        <v>9968</v>
      </c>
      <c r="J1128" t="s">
        <v>247</v>
      </c>
    </row>
  </sheetData>
  <phoneticPr fontId="51" type="noConversion"/>
  <hyperlinks>
    <hyperlink ref="B36" r:id="rId1"/>
    <hyperlink ref="B37" r:id="rId2"/>
  </hyperlinks>
  <pageMargins left="0.78740157480314998" right="0.35433070866141703" top="0.511811023622047" bottom="0.11811023622047198" header="0.511811023622047" footer="0.511811023622047"/>
  <pageSetup paperSize="9" orientation="portrait" r:id="rId3"/>
  <drawing r:id="rId4"/>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
  <dimension ref="A1:J90"/>
  <sheetViews>
    <sheetView workbookViewId="0">
      <selection activeCell="D3" sqref="D3"/>
    </sheetView>
  </sheetViews>
  <sheetFormatPr defaultColWidth="9" defaultRowHeight="15.6"/>
  <cols>
    <col min="1" max="1" width="9" style="2"/>
    <col min="2" max="8" width="9" style="3"/>
    <col min="9" max="9" width="9.09765625" style="3" customWidth="1"/>
    <col min="10" max="16384" width="9" style="3"/>
  </cols>
  <sheetData>
    <row r="1" spans="1:10" ht="24.9" customHeight="1">
      <c r="A1" s="4"/>
      <c r="B1" s="4"/>
      <c r="C1" s="4"/>
      <c r="D1" s="5"/>
      <c r="E1" s="5" t="s">
        <v>271</v>
      </c>
      <c r="F1" s="2672">
        <f>基本情况!B18</f>
        <v>0</v>
      </c>
      <c r="G1" s="2672"/>
      <c r="H1" s="2672"/>
      <c r="I1" s="2672"/>
    </row>
    <row r="2" spans="1:10" ht="9" customHeight="1">
      <c r="A2" s="6"/>
      <c r="B2" s="6"/>
      <c r="C2" s="6"/>
      <c r="D2" s="6"/>
      <c r="E2" s="6"/>
      <c r="F2" s="6"/>
      <c r="G2" s="6"/>
      <c r="H2" s="6"/>
      <c r="I2" s="6"/>
    </row>
    <row r="3" spans="1:10" ht="18" customHeight="1">
      <c r="A3" s="7"/>
      <c r="B3" s="7"/>
      <c r="C3" s="7"/>
      <c r="D3" s="7"/>
      <c r="E3" s="5" t="s">
        <v>272</v>
      </c>
      <c r="F3" s="2682" t="str">
        <f>基本情况!B3</f>
        <v>企业所得税年度纳税申报审核</v>
      </c>
      <c r="G3" s="2682"/>
      <c r="H3" s="2682"/>
      <c r="I3" s="2682"/>
    </row>
    <row r="4" spans="1:10" ht="24.9" customHeight="1">
      <c r="A4" s="8"/>
      <c r="B4" s="8"/>
      <c r="C4" s="8"/>
      <c r="D4" s="8"/>
      <c r="E4" s="8"/>
      <c r="F4" s="8"/>
      <c r="G4" s="8"/>
      <c r="H4" s="8"/>
      <c r="I4" s="8"/>
    </row>
    <row r="5" spans="1:10" ht="24.9" customHeight="1">
      <c r="A5" s="6"/>
      <c r="B5" s="6"/>
      <c r="C5" s="6"/>
      <c r="D5" s="6"/>
      <c r="E5" s="6"/>
      <c r="F5" s="6"/>
      <c r="G5" s="6"/>
      <c r="H5" s="6"/>
      <c r="I5" s="6"/>
    </row>
    <row r="6" spans="1:10" ht="25.5" customHeight="1">
      <c r="A6" s="2673" t="str">
        <f>基本情况!B8</f>
        <v>中汇百邦（厦门）税务师事务所有限公司</v>
      </c>
      <c r="B6" s="2674"/>
      <c r="C6" s="2674"/>
      <c r="D6" s="2674"/>
      <c r="E6" s="2674"/>
      <c r="F6" s="2674"/>
      <c r="G6" s="2674"/>
      <c r="H6" s="2674"/>
      <c r="I6" s="2674"/>
    </row>
    <row r="7" spans="1:10" ht="39.75" customHeight="1">
      <c r="A7" s="2675" t="s">
        <v>273</v>
      </c>
      <c r="B7" s="2675"/>
      <c r="C7" s="2675"/>
      <c r="D7" s="2675"/>
      <c r="E7" s="2675"/>
      <c r="F7" s="2675"/>
      <c r="G7" s="2675"/>
      <c r="H7" s="2675"/>
      <c r="I7" s="2675"/>
    </row>
    <row r="8" spans="1:10" ht="39.75" customHeight="1">
      <c r="A8" s="9"/>
      <c r="B8" s="9"/>
      <c r="C8" s="9"/>
      <c r="D8" s="9"/>
      <c r="E8" s="9"/>
      <c r="F8" s="9"/>
      <c r="G8" s="9"/>
      <c r="H8" s="9"/>
      <c r="I8" s="9"/>
    </row>
    <row r="9" spans="1:10" ht="39.75" customHeight="1">
      <c r="A9" s="9"/>
      <c r="B9" s="9"/>
      <c r="C9" s="9"/>
      <c r="D9" s="9"/>
      <c r="E9" s="9"/>
      <c r="F9" s="9"/>
      <c r="G9" s="9"/>
      <c r="H9" s="9"/>
      <c r="I9" s="9"/>
    </row>
    <row r="10" spans="1:10" ht="24.9" customHeight="1">
      <c r="A10" s="6"/>
      <c r="B10" s="6"/>
      <c r="C10" s="6"/>
      <c r="D10" s="6"/>
      <c r="E10" s="6"/>
      <c r="F10" s="6"/>
      <c r="G10" s="6"/>
      <c r="H10" s="6"/>
      <c r="I10" s="6"/>
    </row>
    <row r="11" spans="1:10" ht="39.75" customHeight="1">
      <c r="A11" s="7" t="s">
        <v>274</v>
      </c>
      <c r="B11" s="7"/>
      <c r="C11" s="7"/>
      <c r="D11" s="2677">
        <f>基本情况!B18</f>
        <v>0</v>
      </c>
      <c r="E11" s="2677"/>
      <c r="F11" s="2677"/>
      <c r="G11" s="2677"/>
      <c r="H11" s="7"/>
      <c r="I11" s="7"/>
    </row>
    <row r="12" spans="1:10" ht="56.25" customHeight="1">
      <c r="A12" s="7" t="s">
        <v>275</v>
      </c>
      <c r="B12" s="7"/>
      <c r="C12" s="7"/>
      <c r="D12" s="2678">
        <f>基本情况!B2</f>
        <v>0</v>
      </c>
      <c r="E12" s="2678"/>
      <c r="F12" s="2678"/>
      <c r="G12" s="2678"/>
      <c r="H12" s="7"/>
      <c r="I12" s="7"/>
    </row>
    <row r="13" spans="1:10" ht="56.25" customHeight="1">
      <c r="A13" s="7" t="s">
        <v>276</v>
      </c>
      <c r="B13" s="10"/>
      <c r="C13" s="11"/>
      <c r="D13" s="2678" t="str">
        <f>IF(OR(基本情况!B6&lt;&gt;"12月31日",基本情况!F5&lt;&gt;"01",基本情况!G5&lt;&gt;"01"),基本情况!B7,基本情况!B4&amp;"年度")</f>
        <v>2016年度</v>
      </c>
      <c r="E13" s="2678"/>
      <c r="F13" s="2678"/>
      <c r="G13" s="2678"/>
      <c r="H13" s="7"/>
      <c r="I13" s="7"/>
      <c r="J13" s="12"/>
    </row>
    <row r="14" spans="1:10" ht="56.25" customHeight="1">
      <c r="A14" s="7" t="s">
        <v>277</v>
      </c>
      <c r="B14" s="7"/>
      <c r="C14" s="7"/>
      <c r="D14" s="2679">
        <f>基本情况!B11</f>
        <v>0</v>
      </c>
      <c r="E14" s="2679"/>
      <c r="F14" s="2679"/>
      <c r="G14" s="2679"/>
      <c r="H14" s="7"/>
      <c r="I14" s="7"/>
    </row>
    <row r="15" spans="1:10" ht="59.25" customHeight="1">
      <c r="A15" s="7" t="s">
        <v>278</v>
      </c>
      <c r="B15" s="7"/>
      <c r="C15" s="7"/>
      <c r="D15" s="2680" t="str">
        <f>基本情况!B20</f>
        <v>2017年5月4日</v>
      </c>
      <c r="E15" s="2680"/>
      <c r="F15" s="2680"/>
      <c r="G15" s="2680"/>
      <c r="H15" s="7"/>
      <c r="I15" s="7"/>
    </row>
    <row r="16" spans="1:10" ht="56.25" customHeight="1">
      <c r="A16" s="2681" t="s">
        <v>279</v>
      </c>
      <c r="B16" s="2681"/>
      <c r="C16" s="2681"/>
      <c r="D16" s="2681"/>
      <c r="E16" s="2681"/>
      <c r="F16" s="2681"/>
      <c r="G16" s="2681"/>
      <c r="H16" s="2681"/>
      <c r="I16" s="2681"/>
    </row>
    <row r="17" spans="1:9" ht="24.9" customHeight="1">
      <c r="A17" s="6"/>
      <c r="B17" s="6"/>
      <c r="C17" s="6"/>
      <c r="D17" s="6"/>
      <c r="E17" s="6"/>
      <c r="F17" s="6"/>
      <c r="G17" s="6"/>
      <c r="H17" s="6"/>
      <c r="I17" s="6"/>
    </row>
    <row r="18" spans="1:9" ht="24.9" customHeight="1">
      <c r="A18" s="6"/>
      <c r="B18" s="6"/>
      <c r="C18" s="6"/>
      <c r="D18" s="6"/>
      <c r="E18" s="6"/>
      <c r="F18" s="6"/>
      <c r="G18" s="6"/>
      <c r="H18" s="6"/>
      <c r="I18" s="6"/>
    </row>
    <row r="19" spans="1:9" ht="24.9" customHeight="1">
      <c r="A19" s="6"/>
      <c r="B19" s="6"/>
      <c r="C19" s="6"/>
      <c r="D19" s="6"/>
      <c r="E19" s="6"/>
      <c r="F19" s="6"/>
      <c r="G19" s="6" t="s">
        <v>280</v>
      </c>
      <c r="H19" s="2676"/>
      <c r="I19" s="2676"/>
    </row>
    <row r="20" spans="1:9" ht="24.9" customHeight="1">
      <c r="A20" s="12"/>
      <c r="B20" s="12"/>
      <c r="C20" s="12"/>
      <c r="D20" s="12"/>
      <c r="E20" s="12"/>
      <c r="F20" s="12"/>
      <c r="G20" s="12"/>
      <c r="H20" s="12"/>
      <c r="I20" s="12"/>
    </row>
    <row r="21" spans="1:9" ht="24.9" customHeight="1">
      <c r="A21" s="12"/>
      <c r="B21" s="12"/>
      <c r="C21" s="12"/>
      <c r="D21" s="12"/>
      <c r="E21" s="12"/>
      <c r="F21" s="12"/>
      <c r="G21" s="12"/>
      <c r="H21" s="12"/>
      <c r="I21" s="12"/>
    </row>
    <row r="22" spans="1:9" ht="24.9" customHeight="1">
      <c r="A22" s="12"/>
      <c r="B22" s="12"/>
      <c r="C22" s="12"/>
      <c r="D22" s="12"/>
      <c r="E22" s="12"/>
      <c r="F22" s="12"/>
    </row>
    <row r="23" spans="1:9" ht="24.9" customHeight="1">
      <c r="A23" s="12"/>
      <c r="B23" s="12"/>
      <c r="C23" s="12"/>
      <c r="D23" s="12"/>
      <c r="E23" s="12"/>
      <c r="F23" s="12"/>
    </row>
    <row r="24" spans="1:9" ht="24.9" customHeight="1">
      <c r="A24" s="12"/>
      <c r="B24" s="12"/>
      <c r="C24" s="12"/>
      <c r="D24" s="12"/>
      <c r="E24" s="12"/>
      <c r="F24" s="12"/>
    </row>
    <row r="25" spans="1:9" ht="24.9" customHeight="1">
      <c r="A25" s="12"/>
      <c r="B25" s="12"/>
      <c r="C25" s="12"/>
      <c r="D25" s="12"/>
      <c r="E25" s="12"/>
      <c r="F25" s="12"/>
    </row>
    <row r="26" spans="1:9" ht="24.9" customHeight="1">
      <c r="A26" s="12"/>
      <c r="B26" s="12"/>
      <c r="C26" s="12"/>
      <c r="D26" s="12"/>
      <c r="E26" s="12"/>
      <c r="F26" s="12"/>
    </row>
    <row r="27" spans="1:9" ht="24.9" customHeight="1">
      <c r="A27" s="12"/>
      <c r="B27" s="12"/>
      <c r="C27" s="12"/>
      <c r="D27" s="12"/>
      <c r="E27" s="12"/>
      <c r="F27" s="12"/>
    </row>
    <row r="28" spans="1:9" ht="24.9" customHeight="1">
      <c r="A28" s="12"/>
      <c r="B28" s="12"/>
      <c r="C28" s="12"/>
      <c r="D28" s="12"/>
      <c r="E28" s="12"/>
      <c r="F28" s="12"/>
    </row>
    <row r="29" spans="1:9" ht="24.9" customHeight="1">
      <c r="A29" s="12"/>
      <c r="B29" s="12"/>
      <c r="C29" s="12"/>
      <c r="D29" s="12"/>
      <c r="E29" s="12"/>
      <c r="F29" s="12"/>
    </row>
    <row r="30" spans="1:9" ht="24.9" customHeight="1">
      <c r="A30" s="12"/>
      <c r="B30" s="12"/>
      <c r="C30" s="12"/>
      <c r="D30" s="12"/>
      <c r="E30" s="12"/>
      <c r="F30" s="12"/>
    </row>
    <row r="31" spans="1:9" ht="24.9" customHeight="1">
      <c r="A31" s="12"/>
      <c r="B31" s="12"/>
      <c r="C31" s="12"/>
      <c r="D31" s="12"/>
      <c r="E31" s="12"/>
      <c r="F31" s="12"/>
    </row>
    <row r="32" spans="1:9" ht="24.9" customHeight="1">
      <c r="A32" s="12"/>
      <c r="B32" s="12"/>
      <c r="C32" s="12"/>
      <c r="D32" s="12"/>
      <c r="E32" s="12"/>
      <c r="F32" s="12"/>
    </row>
    <row r="33" spans="1:6" ht="24.9" customHeight="1">
      <c r="A33" s="12"/>
      <c r="B33" s="12"/>
      <c r="C33" s="12"/>
      <c r="D33" s="12"/>
      <c r="E33" s="12"/>
      <c r="F33" s="12"/>
    </row>
    <row r="34" spans="1:6" ht="24.9" customHeight="1">
      <c r="A34" s="12"/>
      <c r="B34" s="12"/>
      <c r="C34" s="12"/>
      <c r="D34" s="12"/>
      <c r="E34" s="12"/>
      <c r="F34" s="12"/>
    </row>
    <row r="35" spans="1:6" ht="24.9" customHeight="1">
      <c r="A35" s="12"/>
      <c r="B35" s="12"/>
      <c r="C35" s="12"/>
      <c r="D35" s="12"/>
      <c r="E35" s="12"/>
      <c r="F35" s="12"/>
    </row>
    <row r="36" spans="1:6" ht="24.9" customHeight="1">
      <c r="A36" s="12"/>
      <c r="B36" s="12"/>
      <c r="C36" s="12"/>
      <c r="D36" s="12"/>
      <c r="E36" s="12"/>
      <c r="F36" s="12"/>
    </row>
    <row r="37" spans="1:6" ht="24.9" customHeight="1">
      <c r="A37" s="12"/>
      <c r="B37" s="12"/>
      <c r="C37" s="12"/>
      <c r="D37" s="12"/>
      <c r="E37" s="12"/>
      <c r="F37" s="12"/>
    </row>
    <row r="38" spans="1:6" ht="24.9" customHeight="1">
      <c r="A38" s="12"/>
      <c r="B38" s="12"/>
      <c r="C38" s="12"/>
      <c r="D38" s="12"/>
      <c r="E38" s="12"/>
      <c r="F38" s="12"/>
    </row>
    <row r="39" spans="1:6" ht="24.9" customHeight="1">
      <c r="A39" s="12"/>
      <c r="B39" s="12"/>
      <c r="C39" s="12"/>
      <c r="D39" s="12"/>
      <c r="E39" s="12"/>
      <c r="F39" s="12"/>
    </row>
    <row r="40" spans="1:6" ht="24.9" customHeight="1">
      <c r="A40" s="12"/>
      <c r="B40" s="12"/>
      <c r="C40" s="12"/>
      <c r="D40" s="12"/>
      <c r="E40" s="12"/>
      <c r="F40" s="12"/>
    </row>
    <row r="41" spans="1:6" ht="24.9" customHeight="1">
      <c r="A41" s="12"/>
      <c r="B41" s="12"/>
      <c r="C41" s="12"/>
      <c r="D41" s="12"/>
      <c r="E41" s="12"/>
      <c r="F41" s="12"/>
    </row>
    <row r="42" spans="1:6" ht="24.9" customHeight="1">
      <c r="A42" s="12"/>
      <c r="B42" s="12"/>
      <c r="C42" s="12"/>
      <c r="D42" s="12"/>
      <c r="E42" s="12"/>
      <c r="F42" s="12"/>
    </row>
    <row r="43" spans="1:6" ht="24.9" customHeight="1">
      <c r="A43" s="12"/>
      <c r="B43" s="12"/>
      <c r="C43" s="12"/>
      <c r="D43" s="12"/>
      <c r="E43" s="12"/>
      <c r="F43" s="12"/>
    </row>
    <row r="44" spans="1:6" ht="24.9" customHeight="1">
      <c r="A44" s="12"/>
      <c r="B44" s="12"/>
      <c r="C44" s="12"/>
      <c r="D44" s="12"/>
      <c r="E44" s="12"/>
      <c r="F44" s="12"/>
    </row>
    <row r="45" spans="1:6" ht="24.9" customHeight="1">
      <c r="A45" s="12"/>
      <c r="B45" s="12"/>
      <c r="C45" s="12"/>
      <c r="D45" s="12"/>
      <c r="E45" s="12"/>
      <c r="F45" s="12"/>
    </row>
    <row r="46" spans="1:6" ht="24.9" customHeight="1">
      <c r="A46" s="12"/>
      <c r="B46" s="12"/>
      <c r="C46" s="12"/>
      <c r="D46" s="12"/>
      <c r="E46" s="12"/>
      <c r="F46" s="12"/>
    </row>
    <row r="47" spans="1:6" ht="24.9" customHeight="1">
      <c r="A47" s="12"/>
      <c r="B47" s="12"/>
      <c r="C47" s="12"/>
      <c r="D47" s="12"/>
      <c r="E47" s="12"/>
      <c r="F47" s="12"/>
    </row>
    <row r="48" spans="1:6" ht="24.9" customHeight="1">
      <c r="A48" s="12"/>
      <c r="B48" s="12"/>
      <c r="C48" s="12"/>
      <c r="D48" s="12"/>
      <c r="E48" s="12"/>
      <c r="F48" s="12"/>
    </row>
    <row r="49" spans="1:6" ht="24.9" customHeight="1">
      <c r="A49" s="12"/>
      <c r="B49" s="12"/>
      <c r="C49" s="12"/>
      <c r="D49" s="12"/>
      <c r="E49" s="12"/>
      <c r="F49" s="12"/>
    </row>
    <row r="50" spans="1:6" ht="24.9" customHeight="1">
      <c r="A50" s="12"/>
      <c r="B50" s="12"/>
      <c r="C50" s="12"/>
      <c r="D50" s="12"/>
      <c r="E50" s="12"/>
      <c r="F50" s="12"/>
    </row>
    <row r="51" spans="1:6">
      <c r="A51" s="12"/>
      <c r="B51" s="12"/>
      <c r="C51" s="12"/>
      <c r="D51" s="12"/>
      <c r="E51" s="12"/>
      <c r="F51" s="12"/>
    </row>
    <row r="52" spans="1:6">
      <c r="A52" s="12"/>
      <c r="B52" s="12"/>
      <c r="C52" s="12"/>
      <c r="D52" s="12"/>
      <c r="E52" s="12"/>
      <c r="F52" s="12"/>
    </row>
    <row r="53" spans="1:6">
      <c r="A53" s="12"/>
      <c r="B53" s="12"/>
      <c r="C53" s="12"/>
      <c r="D53" s="12"/>
      <c r="E53" s="12"/>
      <c r="F53" s="12"/>
    </row>
    <row r="54" spans="1:6">
      <c r="A54" s="12"/>
      <c r="B54" s="12"/>
      <c r="C54" s="12"/>
      <c r="D54" s="12"/>
      <c r="E54" s="12"/>
      <c r="F54" s="12"/>
    </row>
    <row r="55" spans="1:6">
      <c r="A55" s="12"/>
      <c r="B55" s="12"/>
      <c r="C55" s="12"/>
      <c r="D55" s="12"/>
      <c r="E55" s="12"/>
      <c r="F55" s="12"/>
    </row>
    <row r="56" spans="1:6">
      <c r="A56" s="12"/>
      <c r="B56" s="12"/>
      <c r="C56" s="12"/>
      <c r="D56" s="12"/>
      <c r="E56" s="12"/>
      <c r="F56" s="12"/>
    </row>
    <row r="57" spans="1:6">
      <c r="A57" s="12"/>
      <c r="B57" s="12"/>
      <c r="C57" s="12"/>
      <c r="D57" s="12"/>
      <c r="E57" s="12"/>
      <c r="F57" s="12"/>
    </row>
    <row r="58" spans="1:6">
      <c r="A58" s="12"/>
      <c r="B58" s="12"/>
      <c r="C58" s="12"/>
      <c r="D58" s="12"/>
      <c r="E58" s="12"/>
      <c r="F58" s="12"/>
    </row>
    <row r="59" spans="1:6">
      <c r="A59" s="12"/>
      <c r="B59" s="12"/>
      <c r="C59" s="12"/>
      <c r="D59" s="12"/>
      <c r="E59" s="12"/>
      <c r="F59" s="12"/>
    </row>
    <row r="60" spans="1:6">
      <c r="A60" s="12"/>
      <c r="B60" s="12"/>
      <c r="C60" s="12"/>
      <c r="D60" s="12"/>
      <c r="E60" s="12"/>
      <c r="F60" s="12"/>
    </row>
    <row r="61" spans="1:6">
      <c r="A61" s="12"/>
      <c r="B61" s="12"/>
      <c r="C61" s="12"/>
      <c r="D61" s="12"/>
      <c r="E61" s="12"/>
      <c r="F61" s="12"/>
    </row>
    <row r="62" spans="1:6">
      <c r="A62" s="12"/>
      <c r="B62" s="12"/>
      <c r="C62" s="12"/>
      <c r="D62" s="12"/>
      <c r="E62" s="12"/>
      <c r="F62" s="12"/>
    </row>
    <row r="63" spans="1:6">
      <c r="A63" s="12"/>
      <c r="B63" s="12"/>
      <c r="C63" s="12"/>
      <c r="D63" s="12"/>
      <c r="E63" s="12"/>
      <c r="F63" s="12"/>
    </row>
    <row r="64" spans="1:6">
      <c r="A64" s="12"/>
      <c r="B64" s="12"/>
      <c r="C64" s="12"/>
      <c r="D64" s="12"/>
      <c r="E64" s="12"/>
      <c r="F64" s="12"/>
    </row>
    <row r="65" spans="1:6">
      <c r="A65" s="12"/>
      <c r="B65" s="12"/>
      <c r="C65" s="12"/>
      <c r="D65" s="12"/>
      <c r="E65" s="12"/>
      <c r="F65" s="12"/>
    </row>
    <row r="66" spans="1:6">
      <c r="A66" s="12"/>
      <c r="B66" s="12"/>
      <c r="C66" s="12"/>
      <c r="D66" s="12"/>
      <c r="E66" s="12"/>
      <c r="F66" s="12"/>
    </row>
    <row r="67" spans="1:6">
      <c r="A67" s="12"/>
      <c r="B67" s="12"/>
      <c r="C67" s="12"/>
      <c r="D67" s="12"/>
      <c r="E67" s="12"/>
      <c r="F67" s="12"/>
    </row>
    <row r="68" spans="1:6">
      <c r="A68" s="12"/>
      <c r="B68" s="12"/>
      <c r="C68" s="12"/>
      <c r="D68" s="12"/>
      <c r="E68" s="12"/>
      <c r="F68" s="12"/>
    </row>
    <row r="69" spans="1:6">
      <c r="A69" s="12"/>
      <c r="B69" s="12"/>
      <c r="C69" s="12"/>
      <c r="D69" s="12"/>
      <c r="E69" s="12"/>
      <c r="F69" s="12"/>
    </row>
    <row r="70" spans="1:6">
      <c r="A70" s="12"/>
      <c r="B70" s="12"/>
      <c r="C70" s="12"/>
      <c r="D70" s="12"/>
      <c r="E70" s="12"/>
      <c r="F70" s="12"/>
    </row>
    <row r="71" spans="1:6">
      <c r="A71" s="12"/>
      <c r="B71" s="12"/>
      <c r="C71" s="12"/>
      <c r="D71" s="12"/>
      <c r="E71" s="12"/>
      <c r="F71" s="12"/>
    </row>
    <row r="72" spans="1:6">
      <c r="A72" s="12"/>
      <c r="B72" s="12"/>
      <c r="C72" s="12"/>
      <c r="D72" s="12"/>
      <c r="E72" s="12"/>
      <c r="F72" s="12"/>
    </row>
    <row r="73" spans="1:6">
      <c r="A73" s="12"/>
      <c r="B73" s="12"/>
      <c r="C73" s="12"/>
      <c r="D73" s="12"/>
      <c r="E73" s="12"/>
      <c r="F73" s="12"/>
    </row>
    <row r="74" spans="1:6">
      <c r="A74" s="12"/>
      <c r="B74" s="12"/>
      <c r="C74" s="12"/>
      <c r="D74" s="12"/>
      <c r="E74" s="12"/>
      <c r="F74" s="12"/>
    </row>
    <row r="75" spans="1:6">
      <c r="A75" s="12"/>
      <c r="B75" s="12"/>
      <c r="C75" s="12"/>
      <c r="D75" s="12"/>
      <c r="E75" s="12"/>
      <c r="F75" s="12"/>
    </row>
    <row r="76" spans="1:6">
      <c r="A76" s="12"/>
      <c r="B76" s="12"/>
      <c r="C76" s="12"/>
      <c r="D76" s="12"/>
      <c r="E76" s="12"/>
      <c r="F76" s="12"/>
    </row>
    <row r="77" spans="1:6">
      <c r="A77" s="12"/>
      <c r="B77" s="12"/>
      <c r="C77" s="12"/>
      <c r="D77" s="12"/>
      <c r="E77" s="12"/>
      <c r="F77" s="12"/>
    </row>
    <row r="78" spans="1:6">
      <c r="A78" s="12"/>
      <c r="B78" s="12"/>
      <c r="C78" s="12"/>
      <c r="D78" s="12"/>
      <c r="E78" s="12"/>
      <c r="F78" s="12"/>
    </row>
    <row r="79" spans="1:6">
      <c r="A79" s="12"/>
      <c r="B79" s="12"/>
      <c r="C79" s="12"/>
      <c r="D79" s="12"/>
      <c r="E79" s="12"/>
      <c r="F79" s="12"/>
    </row>
    <row r="80" spans="1:6">
      <c r="A80" s="12"/>
      <c r="B80" s="12"/>
      <c r="C80" s="12"/>
      <c r="D80" s="12"/>
      <c r="E80" s="12"/>
      <c r="F80" s="12"/>
    </row>
    <row r="81" spans="1:6">
      <c r="A81" s="12"/>
      <c r="B81" s="12"/>
      <c r="C81" s="12"/>
      <c r="D81" s="12"/>
      <c r="E81" s="12"/>
      <c r="F81" s="12"/>
    </row>
    <row r="82" spans="1:6">
      <c r="A82" s="12"/>
      <c r="B82" s="12"/>
      <c r="C82" s="12"/>
      <c r="D82" s="12"/>
      <c r="E82" s="12"/>
      <c r="F82" s="12"/>
    </row>
    <row r="83" spans="1:6">
      <c r="A83" s="12"/>
      <c r="B83" s="12"/>
      <c r="C83" s="12"/>
      <c r="D83" s="12"/>
      <c r="E83" s="12"/>
      <c r="F83" s="12"/>
    </row>
    <row r="84" spans="1:6">
      <c r="A84" s="12"/>
      <c r="B84" s="12"/>
      <c r="C84" s="12"/>
      <c r="D84" s="12"/>
      <c r="E84" s="12"/>
      <c r="F84" s="12"/>
    </row>
    <row r="85" spans="1:6">
      <c r="A85" s="12"/>
      <c r="B85" s="12"/>
      <c r="C85" s="12"/>
      <c r="D85" s="12"/>
      <c r="E85" s="12"/>
      <c r="F85" s="12"/>
    </row>
    <row r="86" spans="1:6">
      <c r="A86" s="12"/>
      <c r="B86" s="12"/>
      <c r="C86" s="12"/>
      <c r="D86" s="12"/>
      <c r="E86" s="12"/>
      <c r="F86" s="12"/>
    </row>
    <row r="87" spans="1:6">
      <c r="A87" s="12"/>
      <c r="B87" s="12"/>
      <c r="C87" s="12"/>
      <c r="D87" s="12"/>
      <c r="E87" s="12"/>
      <c r="F87" s="12"/>
    </row>
    <row r="88" spans="1:6">
      <c r="A88" s="12"/>
      <c r="B88" s="12"/>
      <c r="C88" s="12"/>
      <c r="D88" s="12"/>
      <c r="E88" s="12"/>
      <c r="F88" s="12"/>
    </row>
    <row r="89" spans="1:6">
      <c r="A89" s="12"/>
      <c r="B89" s="12"/>
      <c r="C89" s="12"/>
      <c r="D89" s="12"/>
      <c r="E89" s="12"/>
      <c r="F89" s="12"/>
    </row>
    <row r="90" spans="1:6">
      <c r="A90" s="12"/>
      <c r="B90" s="12"/>
      <c r="C90" s="12"/>
      <c r="D90" s="12"/>
      <c r="E90" s="12"/>
      <c r="F90" s="12"/>
    </row>
  </sheetData>
  <sheetProtection selectLockedCells="1" selectUnlockedCells="1"/>
  <mergeCells count="11">
    <mergeCell ref="F1:I1"/>
    <mergeCell ref="A6:I6"/>
    <mergeCell ref="A7:I7"/>
    <mergeCell ref="H19:I19"/>
    <mergeCell ref="D11:G11"/>
    <mergeCell ref="D12:G12"/>
    <mergeCell ref="D13:G13"/>
    <mergeCell ref="D14:G14"/>
    <mergeCell ref="D15:G15"/>
    <mergeCell ref="A16:I16"/>
    <mergeCell ref="F3:I3"/>
  </mergeCells>
  <phoneticPr fontId="51" type="noConversion"/>
  <conditionalFormatting sqref="A1:I1">
    <cfRule type="cellIs" dxfId="1" priority="1" stopIfTrue="1" operator="between">
      <formula>"厦百邦"</formula>
      <formula>"号"</formula>
    </cfRule>
  </conditionalFormatting>
  <pageMargins left="0.78740157480314998" right="0.35433070866141703" top="0.511811023622047" bottom="0.11811023622047198" header="0.511811023622047" footer="0.511811023622047"/>
  <pageSetup paperSize="9" firstPageNumber="0" orientation="portrait" blackAndWhite="1" r:id="rId1"/>
  <headerFooter alignWithMargins="0"/>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5"/>
  <dimension ref="A1:S50"/>
  <sheetViews>
    <sheetView workbookViewId="0">
      <selection activeCell="B23" sqref="B23:I24"/>
    </sheetView>
  </sheetViews>
  <sheetFormatPr defaultRowHeight="15.6"/>
  <cols>
    <col min="1" max="1" width="9.3984375" customWidth="1"/>
    <col min="2" max="2" width="31.59765625" customWidth="1"/>
    <col min="3" max="3" width="6.09765625" customWidth="1"/>
    <col min="4" max="4" width="3.3984375" customWidth="1"/>
    <col min="5" max="6" width="5" customWidth="1"/>
    <col min="7" max="7" width="2.8984375" customWidth="1"/>
    <col min="8" max="8" width="3.5" customWidth="1"/>
    <col min="9" max="9" width="5.3984375" customWidth="1"/>
    <col min="10" max="10" width="4.8984375" customWidth="1"/>
    <col min="11" max="11" width="7.3984375" customWidth="1"/>
  </cols>
  <sheetData>
    <row r="1" spans="1:19" ht="22.2">
      <c r="A1" s="2684" t="s">
        <v>447</v>
      </c>
      <c r="B1" s="2684"/>
      <c r="C1" s="2684"/>
      <c r="D1" s="2684"/>
      <c r="E1" s="2684"/>
      <c r="F1" s="2684"/>
      <c r="G1" s="2684"/>
      <c r="H1" s="2684"/>
      <c r="I1" s="2684"/>
      <c r="J1" s="2684"/>
      <c r="K1" s="2684"/>
      <c r="L1" s="84"/>
      <c r="M1" s="84"/>
      <c r="N1" s="84"/>
      <c r="O1" s="84"/>
      <c r="P1" s="84"/>
      <c r="Q1" s="84"/>
      <c r="R1" s="84"/>
      <c r="S1" s="84"/>
    </row>
    <row r="2" spans="1:19">
      <c r="A2" s="85"/>
      <c r="B2" s="85"/>
      <c r="C2" s="85"/>
      <c r="D2" s="85"/>
      <c r="E2" s="85"/>
      <c r="F2" s="85"/>
      <c r="G2" s="85"/>
      <c r="H2" s="85"/>
      <c r="I2" s="85"/>
      <c r="J2" s="85"/>
      <c r="K2" s="85"/>
      <c r="L2" s="84"/>
      <c r="M2" s="84"/>
      <c r="N2" s="1332"/>
      <c r="O2" s="84"/>
      <c r="P2" s="84"/>
      <c r="Q2" s="84"/>
      <c r="R2" s="84"/>
      <c r="S2" s="84"/>
    </row>
    <row r="3" spans="1:19">
      <c r="A3" s="2685" t="s">
        <v>448</v>
      </c>
      <c r="B3" s="2686">
        <f>基本情况!B2</f>
        <v>0</v>
      </c>
      <c r="C3" s="2687"/>
      <c r="D3" s="2687"/>
      <c r="E3" s="2687" t="s">
        <v>449</v>
      </c>
      <c r="F3" s="2687"/>
      <c r="G3" s="2687"/>
      <c r="H3" s="2687" t="s">
        <v>450</v>
      </c>
      <c r="I3" s="2687"/>
      <c r="J3" s="2687"/>
      <c r="K3" s="86" t="s">
        <v>283</v>
      </c>
      <c r="L3" s="84"/>
      <c r="M3" s="84"/>
      <c r="N3" s="84"/>
      <c r="O3" s="84"/>
      <c r="P3" s="84"/>
      <c r="Q3" s="84"/>
      <c r="R3" s="84"/>
      <c r="S3" s="84"/>
    </row>
    <row r="4" spans="1:19">
      <c r="A4" s="2685"/>
      <c r="B4" s="2686"/>
      <c r="C4" s="2688" t="s">
        <v>451</v>
      </c>
      <c r="D4" s="2688"/>
      <c r="E4" s="2689">
        <f>基本情况!B12</f>
        <v>0</v>
      </c>
      <c r="F4" s="2689"/>
      <c r="G4" s="2689"/>
      <c r="H4" s="2690" t="str">
        <f>TEXT(基本情况!B21,"yyyy-mm-dd")</f>
        <v>2017-03-16</v>
      </c>
      <c r="I4" s="2690"/>
      <c r="J4" s="2690"/>
      <c r="K4" s="2692"/>
      <c r="L4" s="84"/>
      <c r="M4" s="84"/>
      <c r="N4" s="84"/>
      <c r="O4" s="84"/>
      <c r="P4" s="84"/>
      <c r="Q4" s="84"/>
      <c r="R4" s="84"/>
      <c r="S4" s="84"/>
    </row>
    <row r="5" spans="1:19">
      <c r="A5" s="87" t="s">
        <v>452</v>
      </c>
      <c r="B5" s="88" t="str">
        <f>基本情况!B7</f>
        <v>2016年01月01日至2016年12月31日</v>
      </c>
      <c r="C5" s="2693" t="s">
        <v>453</v>
      </c>
      <c r="D5" s="2693"/>
      <c r="E5" s="2694">
        <f>基本情况!B11</f>
        <v>0</v>
      </c>
      <c r="F5" s="2694"/>
      <c r="G5" s="2694"/>
      <c r="H5" s="2694" t="str">
        <f>TEXT(基本情况!B22,"yyyy-mm-dd")</f>
        <v>2017-05-04</v>
      </c>
      <c r="I5" s="2694"/>
      <c r="J5" s="2694"/>
      <c r="K5" s="2692"/>
      <c r="L5" s="84"/>
      <c r="M5" s="84"/>
      <c r="N5" s="84"/>
      <c r="O5" s="84"/>
      <c r="P5" s="84"/>
      <c r="Q5" s="84"/>
      <c r="R5" s="84"/>
      <c r="S5" s="84"/>
    </row>
    <row r="6" spans="1:19" ht="7.5" customHeight="1">
      <c r="A6" s="2695"/>
      <c r="B6" s="2695"/>
      <c r="C6" s="2695"/>
      <c r="D6" s="2695"/>
      <c r="E6" s="2695"/>
      <c r="F6" s="2695"/>
      <c r="G6" s="2695"/>
      <c r="H6" s="2695"/>
      <c r="I6" s="2695"/>
      <c r="J6" s="2695"/>
      <c r="K6" s="2695"/>
      <c r="L6" s="84"/>
      <c r="M6" s="84"/>
      <c r="N6" s="84"/>
      <c r="O6" s="84"/>
      <c r="P6" s="84"/>
      <c r="Q6" s="84"/>
      <c r="R6" s="84"/>
      <c r="S6" s="84"/>
    </row>
    <row r="7" spans="1:19">
      <c r="A7" s="2685" t="s">
        <v>454</v>
      </c>
      <c r="B7" s="2687" t="s">
        <v>455</v>
      </c>
      <c r="C7" s="2687"/>
      <c r="D7" s="2687"/>
      <c r="E7" s="2687"/>
      <c r="F7" s="2687"/>
      <c r="G7" s="2687"/>
      <c r="H7" s="2687"/>
      <c r="I7" s="2687"/>
      <c r="J7" s="2691" t="s">
        <v>456</v>
      </c>
      <c r="K7" s="2691"/>
      <c r="L7" s="84"/>
      <c r="M7" s="84"/>
      <c r="N7" s="84"/>
      <c r="O7" s="84"/>
      <c r="P7" s="84"/>
      <c r="Q7" s="84"/>
      <c r="R7" s="84"/>
      <c r="S7" s="84"/>
    </row>
    <row r="8" spans="1:19">
      <c r="A8" s="2685"/>
      <c r="B8" s="2687"/>
      <c r="C8" s="2687"/>
      <c r="D8" s="2687"/>
      <c r="E8" s="2687"/>
      <c r="F8" s="2687"/>
      <c r="G8" s="2687"/>
      <c r="H8" s="2687"/>
      <c r="I8" s="2687"/>
      <c r="J8" s="2691"/>
      <c r="K8" s="2691"/>
      <c r="L8" s="2683" t="s">
        <v>396</v>
      </c>
      <c r="M8" s="2683"/>
      <c r="N8" s="2683"/>
      <c r="O8" s="84"/>
      <c r="P8" s="84"/>
      <c r="Q8" s="84"/>
      <c r="R8" s="84"/>
      <c r="S8" s="84"/>
    </row>
    <row r="9" spans="1:19">
      <c r="A9" s="2696">
        <v>1</v>
      </c>
      <c r="B9" s="2697"/>
      <c r="C9" s="2697"/>
      <c r="D9" s="2697"/>
      <c r="E9" s="2697"/>
      <c r="F9" s="2697"/>
      <c r="G9" s="2697"/>
      <c r="H9" s="2697"/>
      <c r="I9" s="2697"/>
      <c r="J9" s="2698"/>
      <c r="K9" s="2698"/>
      <c r="L9" s="84"/>
      <c r="M9" s="84"/>
      <c r="N9" s="84"/>
      <c r="O9" s="84"/>
      <c r="P9" s="84"/>
      <c r="Q9" s="84"/>
      <c r="R9" s="84"/>
      <c r="S9" s="84"/>
    </row>
    <row r="10" spans="1:19">
      <c r="A10" s="2696"/>
      <c r="B10" s="2697"/>
      <c r="C10" s="2697"/>
      <c r="D10" s="2697"/>
      <c r="E10" s="2697"/>
      <c r="F10" s="2697"/>
      <c r="G10" s="2697"/>
      <c r="H10" s="2697"/>
      <c r="I10" s="2697"/>
      <c r="J10" s="2698"/>
      <c r="K10" s="2698"/>
      <c r="L10" s="84"/>
      <c r="M10" s="84"/>
      <c r="N10" s="84"/>
      <c r="O10" s="84"/>
      <c r="P10" s="84"/>
      <c r="Q10" s="84"/>
      <c r="R10" s="84"/>
      <c r="S10" s="84"/>
    </row>
    <row r="11" spans="1:19">
      <c r="A11" s="2696">
        <v>2</v>
      </c>
      <c r="B11" s="2699"/>
      <c r="C11" s="2699"/>
      <c r="D11" s="2699"/>
      <c r="E11" s="2699"/>
      <c r="F11" s="2699"/>
      <c r="G11" s="2699"/>
      <c r="H11" s="2699"/>
      <c r="I11" s="2699"/>
      <c r="J11" s="2698"/>
      <c r="K11" s="2698"/>
      <c r="L11" s="84"/>
      <c r="M11" s="84"/>
      <c r="N11" s="84"/>
      <c r="O11" s="84"/>
      <c r="P11" s="84"/>
      <c r="Q11" s="84"/>
      <c r="R11" s="84"/>
      <c r="S11" s="84"/>
    </row>
    <row r="12" spans="1:19">
      <c r="A12" s="2696"/>
      <c r="B12" s="2699"/>
      <c r="C12" s="2699"/>
      <c r="D12" s="2699"/>
      <c r="E12" s="2699"/>
      <c r="F12" s="2699"/>
      <c r="G12" s="2699"/>
      <c r="H12" s="2699"/>
      <c r="I12" s="2699"/>
      <c r="J12" s="2698"/>
      <c r="K12" s="2698"/>
      <c r="L12" s="84"/>
      <c r="M12" s="84"/>
      <c r="N12" s="84"/>
      <c r="O12" s="84"/>
      <c r="P12" s="84"/>
      <c r="Q12" s="84"/>
      <c r="R12" s="84"/>
      <c r="S12" s="84"/>
    </row>
    <row r="13" spans="1:19">
      <c r="A13" s="2696">
        <v>3</v>
      </c>
      <c r="B13" s="2697"/>
      <c r="C13" s="2697"/>
      <c r="D13" s="2697"/>
      <c r="E13" s="2697"/>
      <c r="F13" s="2697"/>
      <c r="G13" s="2697"/>
      <c r="H13" s="2697"/>
      <c r="I13" s="2697"/>
      <c r="J13" s="2698"/>
      <c r="K13" s="2698"/>
      <c r="L13" s="90" t="s">
        <v>457</v>
      </c>
      <c r="M13" s="84"/>
      <c r="N13" s="84"/>
      <c r="O13" s="84"/>
      <c r="P13" s="84"/>
      <c r="Q13" s="84"/>
      <c r="R13" s="84"/>
      <c r="S13" s="84"/>
    </row>
    <row r="14" spans="1:19">
      <c r="A14" s="2696"/>
      <c r="B14" s="2697"/>
      <c r="C14" s="2697"/>
      <c r="D14" s="2697"/>
      <c r="E14" s="2697"/>
      <c r="F14" s="2697"/>
      <c r="G14" s="2697"/>
      <c r="H14" s="2697"/>
      <c r="I14" s="2697"/>
      <c r="J14" s="2698"/>
      <c r="K14" s="2698"/>
      <c r="L14" s="90" t="s">
        <v>458</v>
      </c>
      <c r="M14" s="84"/>
      <c r="N14" s="84"/>
      <c r="O14" s="84"/>
      <c r="P14" s="84"/>
      <c r="Q14" s="84"/>
      <c r="R14" s="84"/>
      <c r="S14" s="84"/>
    </row>
    <row r="15" spans="1:19">
      <c r="A15" s="2696">
        <v>4</v>
      </c>
      <c r="B15" s="2699"/>
      <c r="C15" s="2699"/>
      <c r="D15" s="2699"/>
      <c r="E15" s="2699"/>
      <c r="F15" s="2699"/>
      <c r="G15" s="2699"/>
      <c r="H15" s="2699"/>
      <c r="I15" s="2699"/>
      <c r="J15" s="2698"/>
      <c r="K15" s="2698"/>
      <c r="L15" s="84"/>
      <c r="M15" s="84"/>
      <c r="N15" s="84"/>
      <c r="O15" s="84"/>
      <c r="P15" s="84"/>
      <c r="Q15" s="84"/>
      <c r="R15" s="84"/>
      <c r="S15" s="84"/>
    </row>
    <row r="16" spans="1:19">
      <c r="A16" s="2696"/>
      <c r="B16" s="2699"/>
      <c r="C16" s="2699"/>
      <c r="D16" s="2699"/>
      <c r="E16" s="2699"/>
      <c r="F16" s="2699"/>
      <c r="G16" s="2699"/>
      <c r="H16" s="2699"/>
      <c r="I16" s="2699"/>
      <c r="J16" s="2698"/>
      <c r="K16" s="2698"/>
      <c r="L16" s="84"/>
      <c r="M16" s="84"/>
      <c r="N16" s="84"/>
      <c r="O16" s="84"/>
      <c r="P16" s="84"/>
      <c r="Q16" s="84"/>
      <c r="R16" s="84"/>
      <c r="S16" s="84"/>
    </row>
    <row r="17" spans="1:19">
      <c r="A17" s="2696">
        <v>5</v>
      </c>
      <c r="B17" s="2699"/>
      <c r="C17" s="2699"/>
      <c r="D17" s="2699"/>
      <c r="E17" s="2699"/>
      <c r="F17" s="2699"/>
      <c r="G17" s="2699"/>
      <c r="H17" s="2699"/>
      <c r="I17" s="2699"/>
      <c r="J17" s="2698"/>
      <c r="K17" s="2698"/>
      <c r="L17" s="84"/>
      <c r="M17" s="84"/>
      <c r="N17" s="84"/>
      <c r="O17" s="84"/>
      <c r="P17" s="84"/>
      <c r="Q17" s="84"/>
      <c r="R17" s="84"/>
      <c r="S17" s="84"/>
    </row>
    <row r="18" spans="1:19">
      <c r="A18" s="2696"/>
      <c r="B18" s="2699"/>
      <c r="C18" s="2699"/>
      <c r="D18" s="2699"/>
      <c r="E18" s="2699"/>
      <c r="F18" s="2699"/>
      <c r="G18" s="2699"/>
      <c r="H18" s="2699"/>
      <c r="I18" s="2699"/>
      <c r="J18" s="2698"/>
      <c r="K18" s="2698"/>
      <c r="L18" s="84"/>
      <c r="M18" s="84"/>
      <c r="N18" s="84"/>
      <c r="O18" s="84"/>
      <c r="P18" s="84"/>
      <c r="Q18" s="84"/>
      <c r="R18" s="84"/>
      <c r="S18" s="84"/>
    </row>
    <row r="19" spans="1:19">
      <c r="A19" s="2696">
        <v>6</v>
      </c>
      <c r="B19" s="2699"/>
      <c r="C19" s="2699"/>
      <c r="D19" s="2699"/>
      <c r="E19" s="2699"/>
      <c r="F19" s="2699"/>
      <c r="G19" s="2699"/>
      <c r="H19" s="2699"/>
      <c r="I19" s="2699"/>
      <c r="J19" s="2698"/>
      <c r="K19" s="2698"/>
      <c r="L19" s="84"/>
      <c r="M19" s="84"/>
      <c r="N19" s="84"/>
      <c r="O19" s="84"/>
      <c r="P19" s="84"/>
      <c r="Q19" s="84"/>
      <c r="R19" s="84"/>
      <c r="S19" s="84"/>
    </row>
    <row r="20" spans="1:19">
      <c r="A20" s="2696"/>
      <c r="B20" s="2699"/>
      <c r="C20" s="2699"/>
      <c r="D20" s="2699"/>
      <c r="E20" s="2699"/>
      <c r="F20" s="2699"/>
      <c r="G20" s="2699"/>
      <c r="H20" s="2699"/>
      <c r="I20" s="2699"/>
      <c r="J20" s="2698"/>
      <c r="K20" s="2698"/>
      <c r="L20" s="84"/>
      <c r="M20" s="84"/>
      <c r="N20" s="84"/>
      <c r="O20" s="84"/>
      <c r="P20" s="84"/>
      <c r="Q20" s="84"/>
      <c r="R20" s="84"/>
      <c r="S20" s="84"/>
    </row>
    <row r="21" spans="1:19">
      <c r="A21" s="2696">
        <v>7</v>
      </c>
      <c r="B21" s="2699"/>
      <c r="C21" s="2699"/>
      <c r="D21" s="2699"/>
      <c r="E21" s="2699"/>
      <c r="F21" s="2699"/>
      <c r="G21" s="2699"/>
      <c r="H21" s="2699"/>
      <c r="I21" s="2699"/>
      <c r="J21" s="2698"/>
      <c r="K21" s="2698"/>
      <c r="L21" s="84"/>
      <c r="M21" s="84"/>
      <c r="N21" s="84"/>
      <c r="O21" s="84"/>
      <c r="P21" s="84"/>
      <c r="Q21" s="84"/>
      <c r="R21" s="84"/>
      <c r="S21" s="84"/>
    </row>
    <row r="22" spans="1:19">
      <c r="A22" s="2696"/>
      <c r="B22" s="2699"/>
      <c r="C22" s="2699"/>
      <c r="D22" s="2699"/>
      <c r="E22" s="2699"/>
      <c r="F22" s="2699"/>
      <c r="G22" s="2699"/>
      <c r="H22" s="2699"/>
      <c r="I22" s="2699"/>
      <c r="J22" s="2698"/>
      <c r="K22" s="2698"/>
      <c r="L22" s="84"/>
      <c r="M22" s="84"/>
      <c r="N22" s="84"/>
      <c r="O22" s="84"/>
      <c r="P22" s="84"/>
      <c r="Q22" s="84"/>
      <c r="R22" s="84"/>
      <c r="S22" s="84"/>
    </row>
    <row r="23" spans="1:19">
      <c r="A23" s="2696">
        <v>8</v>
      </c>
      <c r="B23" s="2699"/>
      <c r="C23" s="2699"/>
      <c r="D23" s="2699"/>
      <c r="E23" s="2699"/>
      <c r="F23" s="2699"/>
      <c r="G23" s="2699"/>
      <c r="H23" s="2699"/>
      <c r="I23" s="2699"/>
      <c r="J23" s="2698"/>
      <c r="K23" s="2698"/>
      <c r="L23" s="84"/>
      <c r="M23" s="84"/>
      <c r="N23" s="84"/>
      <c r="O23" s="84"/>
      <c r="P23" s="84"/>
      <c r="Q23" s="84"/>
      <c r="R23" s="84"/>
      <c r="S23" s="84"/>
    </row>
    <row r="24" spans="1:19">
      <c r="A24" s="2696"/>
      <c r="B24" s="2699"/>
      <c r="C24" s="2699"/>
      <c r="D24" s="2699"/>
      <c r="E24" s="2699"/>
      <c r="F24" s="2699"/>
      <c r="G24" s="2699"/>
      <c r="H24" s="2699"/>
      <c r="I24" s="2699"/>
      <c r="J24" s="2698"/>
      <c r="K24" s="2698"/>
      <c r="L24" s="84"/>
      <c r="M24" s="84"/>
      <c r="N24" s="84"/>
      <c r="O24" s="84"/>
      <c r="P24" s="84"/>
      <c r="Q24" s="84"/>
      <c r="R24" s="84"/>
      <c r="S24" s="84"/>
    </row>
    <row r="25" spans="1:19">
      <c r="A25" s="2696">
        <v>9</v>
      </c>
      <c r="B25" s="2699"/>
      <c r="C25" s="2699"/>
      <c r="D25" s="2699"/>
      <c r="E25" s="2699"/>
      <c r="F25" s="2699"/>
      <c r="G25" s="2699"/>
      <c r="H25" s="2699"/>
      <c r="I25" s="2699"/>
      <c r="J25" s="2698"/>
      <c r="K25" s="2698"/>
      <c r="L25" s="84"/>
      <c r="M25" s="84"/>
      <c r="N25" s="84"/>
      <c r="O25" s="84"/>
      <c r="P25" s="84"/>
      <c r="Q25" s="84"/>
      <c r="R25" s="84"/>
      <c r="S25" s="84"/>
    </row>
    <row r="26" spans="1:19">
      <c r="A26" s="2696"/>
      <c r="B26" s="2699"/>
      <c r="C26" s="2699"/>
      <c r="D26" s="2699"/>
      <c r="E26" s="2699"/>
      <c r="F26" s="2699"/>
      <c r="G26" s="2699"/>
      <c r="H26" s="2699"/>
      <c r="I26" s="2699"/>
      <c r="J26" s="2698"/>
      <c r="K26" s="2698"/>
      <c r="L26" s="84"/>
      <c r="M26" s="84"/>
      <c r="N26" s="84"/>
      <c r="O26" s="84"/>
      <c r="P26" s="84"/>
      <c r="Q26" s="84"/>
      <c r="R26" s="84"/>
      <c r="S26" s="84"/>
    </row>
    <row r="27" spans="1:19">
      <c r="A27" s="2696">
        <v>10</v>
      </c>
      <c r="B27" s="2699"/>
      <c r="C27" s="2699"/>
      <c r="D27" s="2699"/>
      <c r="E27" s="2699"/>
      <c r="F27" s="2699"/>
      <c r="G27" s="2699"/>
      <c r="H27" s="2699"/>
      <c r="I27" s="2699"/>
      <c r="J27" s="2698"/>
      <c r="K27" s="2698"/>
      <c r="L27" s="84"/>
      <c r="M27" s="84"/>
      <c r="N27" s="84"/>
      <c r="O27" s="84"/>
      <c r="P27" s="84"/>
      <c r="Q27" s="84"/>
      <c r="R27" s="84"/>
      <c r="S27" s="84"/>
    </row>
    <row r="28" spans="1:19">
      <c r="A28" s="2696"/>
      <c r="B28" s="2699"/>
      <c r="C28" s="2699"/>
      <c r="D28" s="2699"/>
      <c r="E28" s="2699"/>
      <c r="F28" s="2699"/>
      <c r="G28" s="2699"/>
      <c r="H28" s="2699"/>
      <c r="I28" s="2699"/>
      <c r="J28" s="2698"/>
      <c r="K28" s="2698"/>
      <c r="L28" s="84"/>
      <c r="M28" s="84"/>
      <c r="N28" s="84"/>
      <c r="O28" s="84"/>
      <c r="P28" s="84"/>
      <c r="Q28" s="84"/>
      <c r="R28" s="84"/>
      <c r="S28" s="84"/>
    </row>
    <row r="29" spans="1:19">
      <c r="A29" s="2696">
        <v>11</v>
      </c>
      <c r="B29" s="2699"/>
      <c r="C29" s="2699"/>
      <c r="D29" s="2699"/>
      <c r="E29" s="2699"/>
      <c r="F29" s="2699"/>
      <c r="G29" s="2699"/>
      <c r="H29" s="2699"/>
      <c r="I29" s="2699"/>
      <c r="J29" s="2698"/>
      <c r="K29" s="2698"/>
      <c r="L29" s="84"/>
      <c r="M29" s="84"/>
      <c r="N29" s="84"/>
      <c r="O29" s="84"/>
      <c r="P29" s="84"/>
      <c r="Q29" s="84"/>
      <c r="R29" s="84"/>
      <c r="S29" s="84"/>
    </row>
    <row r="30" spans="1:19">
      <c r="A30" s="2696"/>
      <c r="B30" s="2699"/>
      <c r="C30" s="2699"/>
      <c r="D30" s="2699"/>
      <c r="E30" s="2699"/>
      <c r="F30" s="2699"/>
      <c r="G30" s="2699"/>
      <c r="H30" s="2699"/>
      <c r="I30" s="2699"/>
      <c r="J30" s="2698"/>
      <c r="K30" s="2698"/>
      <c r="L30" s="84"/>
      <c r="M30" s="84"/>
      <c r="N30" s="84"/>
      <c r="O30" s="84"/>
      <c r="P30" s="84"/>
      <c r="Q30" s="84"/>
      <c r="R30" s="84"/>
      <c r="S30" s="84"/>
    </row>
    <row r="31" spans="1:19">
      <c r="A31" s="2696">
        <v>12</v>
      </c>
      <c r="B31" s="2699"/>
      <c r="C31" s="2699"/>
      <c r="D31" s="2699"/>
      <c r="E31" s="2699"/>
      <c r="F31" s="2699"/>
      <c r="G31" s="2699"/>
      <c r="H31" s="2699"/>
      <c r="I31" s="2699"/>
      <c r="J31" s="2698"/>
      <c r="K31" s="2698"/>
      <c r="L31" s="84"/>
      <c r="M31" s="84"/>
      <c r="N31" s="84"/>
      <c r="O31" s="84"/>
      <c r="P31" s="84"/>
      <c r="Q31" s="84"/>
      <c r="R31" s="84"/>
      <c r="S31" s="84"/>
    </row>
    <row r="32" spans="1:19">
      <c r="A32" s="2696"/>
      <c r="B32" s="2699"/>
      <c r="C32" s="2699"/>
      <c r="D32" s="2699"/>
      <c r="E32" s="2699"/>
      <c r="F32" s="2699"/>
      <c r="G32" s="2699"/>
      <c r="H32" s="2699"/>
      <c r="I32" s="2699"/>
      <c r="J32" s="2698"/>
      <c r="K32" s="2698"/>
      <c r="L32" s="84"/>
      <c r="M32" s="84"/>
      <c r="N32" s="84"/>
      <c r="O32" s="84"/>
      <c r="P32" s="84"/>
      <c r="Q32" s="84"/>
      <c r="R32" s="84"/>
      <c r="S32" s="84"/>
    </row>
    <row r="33" spans="1:19">
      <c r="A33" s="2696">
        <v>13</v>
      </c>
      <c r="B33" s="2699"/>
      <c r="C33" s="2699"/>
      <c r="D33" s="2699"/>
      <c r="E33" s="2699"/>
      <c r="F33" s="2699"/>
      <c r="G33" s="2699"/>
      <c r="H33" s="2699"/>
      <c r="I33" s="2699"/>
      <c r="J33" s="2698"/>
      <c r="K33" s="2698"/>
      <c r="L33" s="84"/>
      <c r="M33" s="84"/>
      <c r="N33" s="84"/>
      <c r="O33" s="84"/>
      <c r="P33" s="84"/>
      <c r="Q33" s="84"/>
      <c r="R33" s="84"/>
      <c r="S33" s="84"/>
    </row>
    <row r="34" spans="1:19">
      <c r="A34" s="2696"/>
      <c r="B34" s="2699"/>
      <c r="C34" s="2699"/>
      <c r="D34" s="2699"/>
      <c r="E34" s="2699"/>
      <c r="F34" s="2699"/>
      <c r="G34" s="2699"/>
      <c r="H34" s="2699"/>
      <c r="I34" s="2699"/>
      <c r="J34" s="2698"/>
      <c r="K34" s="2698"/>
      <c r="L34" s="84"/>
      <c r="M34" s="84"/>
      <c r="N34" s="84"/>
      <c r="O34" s="84"/>
      <c r="P34" s="84"/>
      <c r="Q34" s="84"/>
      <c r="R34" s="84"/>
      <c r="S34" s="84"/>
    </row>
    <row r="35" spans="1:19">
      <c r="A35" s="2696">
        <v>14</v>
      </c>
      <c r="B35" s="2699"/>
      <c r="C35" s="2699"/>
      <c r="D35" s="2699"/>
      <c r="E35" s="2699"/>
      <c r="F35" s="2699"/>
      <c r="G35" s="2699"/>
      <c r="H35" s="2699"/>
      <c r="I35" s="2699"/>
      <c r="J35" s="2698"/>
      <c r="K35" s="2698"/>
      <c r="L35" s="84"/>
      <c r="M35" s="84"/>
      <c r="N35" s="84"/>
      <c r="O35" s="84"/>
      <c r="P35" s="84"/>
      <c r="Q35" s="84"/>
      <c r="R35" s="84"/>
      <c r="S35" s="84"/>
    </row>
    <row r="36" spans="1:19">
      <c r="A36" s="2696"/>
      <c r="B36" s="2699"/>
      <c r="C36" s="2699"/>
      <c r="D36" s="2699"/>
      <c r="E36" s="2699"/>
      <c r="F36" s="2699"/>
      <c r="G36" s="2699"/>
      <c r="H36" s="2699"/>
      <c r="I36" s="2699"/>
      <c r="J36" s="2698"/>
      <c r="K36" s="2698"/>
      <c r="L36" s="84"/>
      <c r="M36" s="84"/>
      <c r="N36" s="84"/>
      <c r="O36" s="84"/>
      <c r="P36" s="84"/>
      <c r="Q36" s="84"/>
      <c r="R36" s="84"/>
      <c r="S36" s="84"/>
    </row>
    <row r="37" spans="1:19">
      <c r="A37" s="2696">
        <v>15</v>
      </c>
      <c r="B37" s="2699"/>
      <c r="C37" s="2699"/>
      <c r="D37" s="2699"/>
      <c r="E37" s="2699"/>
      <c r="F37" s="2699"/>
      <c r="G37" s="2699"/>
      <c r="H37" s="2699"/>
      <c r="I37" s="2699"/>
      <c r="J37" s="2698"/>
      <c r="K37" s="2698"/>
      <c r="L37" s="84"/>
      <c r="M37" s="84"/>
      <c r="N37" s="84"/>
      <c r="O37" s="84"/>
      <c r="P37" s="84"/>
      <c r="Q37" s="84"/>
      <c r="R37" s="84"/>
      <c r="S37" s="84"/>
    </row>
    <row r="38" spans="1:19">
      <c r="A38" s="2696"/>
      <c r="B38" s="2699"/>
      <c r="C38" s="2699"/>
      <c r="D38" s="2699"/>
      <c r="E38" s="2699"/>
      <c r="F38" s="2699"/>
      <c r="G38" s="2699"/>
      <c r="H38" s="2699"/>
      <c r="I38" s="2699"/>
      <c r="J38" s="2698"/>
      <c r="K38" s="2698"/>
      <c r="L38" s="84"/>
      <c r="M38" s="84"/>
      <c r="N38" s="84"/>
      <c r="O38" s="84"/>
      <c r="P38" s="84"/>
      <c r="Q38" s="84"/>
      <c r="R38" s="84"/>
      <c r="S38" s="84"/>
    </row>
    <row r="39" spans="1:19">
      <c r="A39" s="2700">
        <v>16</v>
      </c>
      <c r="B39" s="2701"/>
      <c r="C39" s="2701"/>
      <c r="D39" s="2701"/>
      <c r="E39" s="2701"/>
      <c r="F39" s="2701"/>
      <c r="G39" s="2701"/>
      <c r="H39" s="2701"/>
      <c r="I39" s="2701"/>
      <c r="J39" s="2702"/>
      <c r="K39" s="2702"/>
      <c r="L39" s="84"/>
      <c r="M39" s="84"/>
      <c r="N39" s="84"/>
      <c r="O39" s="84"/>
      <c r="P39" s="84"/>
      <c r="Q39" s="84"/>
      <c r="R39" s="84"/>
      <c r="S39" s="84"/>
    </row>
    <row r="40" spans="1:19">
      <c r="A40" s="2700"/>
      <c r="B40" s="2701"/>
      <c r="C40" s="2701"/>
      <c r="D40" s="2701"/>
      <c r="E40" s="2701"/>
      <c r="F40" s="2701"/>
      <c r="G40" s="2701"/>
      <c r="H40" s="2701"/>
      <c r="I40" s="2701"/>
      <c r="J40" s="2702"/>
      <c r="K40" s="2702"/>
      <c r="L40" s="84"/>
      <c r="M40" s="84"/>
      <c r="N40" s="84"/>
      <c r="O40" s="84"/>
      <c r="P40" s="84"/>
      <c r="Q40" s="84"/>
      <c r="R40" s="84"/>
      <c r="S40" s="84"/>
    </row>
    <row r="41" spans="1:19">
      <c r="A41" s="2696">
        <v>17</v>
      </c>
      <c r="B41" s="2699"/>
      <c r="C41" s="2699"/>
      <c r="D41" s="2699"/>
      <c r="E41" s="2699"/>
      <c r="F41" s="2699"/>
      <c r="G41" s="2699"/>
      <c r="H41" s="2699"/>
      <c r="I41" s="2699"/>
      <c r="J41" s="2703"/>
      <c r="K41" s="2703"/>
      <c r="L41" s="84"/>
      <c r="M41" s="84"/>
      <c r="N41" s="84"/>
      <c r="O41" s="84"/>
      <c r="P41" s="84"/>
      <c r="Q41" s="84"/>
      <c r="R41" s="84"/>
      <c r="S41" s="84"/>
    </row>
    <row r="42" spans="1:19">
      <c r="A42" s="2696"/>
      <c r="B42" s="2699"/>
      <c r="C42" s="2699"/>
      <c r="D42" s="2699"/>
      <c r="E42" s="2699"/>
      <c r="F42" s="2699"/>
      <c r="G42" s="2699"/>
      <c r="H42" s="2699"/>
      <c r="I42" s="2699"/>
      <c r="J42" s="2703"/>
      <c r="K42" s="2703"/>
      <c r="L42" s="84"/>
      <c r="M42" s="84"/>
      <c r="N42" s="84"/>
      <c r="O42" s="84"/>
      <c r="P42" s="84"/>
      <c r="Q42" s="84"/>
      <c r="R42" s="84"/>
      <c r="S42" s="84"/>
    </row>
    <row r="43" spans="1:19">
      <c r="A43" s="2696">
        <v>18</v>
      </c>
      <c r="B43" s="2699"/>
      <c r="C43" s="2699"/>
      <c r="D43" s="2699"/>
      <c r="E43" s="2699"/>
      <c r="F43" s="2699"/>
      <c r="G43" s="2699"/>
      <c r="H43" s="2699"/>
      <c r="I43" s="2699"/>
      <c r="J43" s="2703"/>
      <c r="K43" s="2703"/>
      <c r="L43" s="84"/>
      <c r="M43" s="84"/>
      <c r="N43" s="84"/>
      <c r="O43" s="84"/>
      <c r="P43" s="84"/>
      <c r="Q43" s="84"/>
      <c r="R43" s="84"/>
      <c r="S43" s="84"/>
    </row>
    <row r="44" spans="1:19">
      <c r="A44" s="2696"/>
      <c r="B44" s="2699"/>
      <c r="C44" s="2699"/>
      <c r="D44" s="2699"/>
      <c r="E44" s="2699"/>
      <c r="F44" s="2699"/>
      <c r="G44" s="2699"/>
      <c r="H44" s="2699"/>
      <c r="I44" s="2699"/>
      <c r="J44" s="2703"/>
      <c r="K44" s="2703"/>
      <c r="L44" s="84"/>
      <c r="M44" s="84"/>
      <c r="N44" s="84"/>
      <c r="O44" s="84"/>
      <c r="P44" s="84"/>
      <c r="Q44" s="84"/>
      <c r="R44" s="84"/>
      <c r="S44" s="84"/>
    </row>
    <row r="45" spans="1:19">
      <c r="A45" s="2696">
        <v>19</v>
      </c>
      <c r="B45" s="2699"/>
      <c r="C45" s="2699"/>
      <c r="D45" s="2699"/>
      <c r="E45" s="2699"/>
      <c r="F45" s="2699"/>
      <c r="G45" s="2699"/>
      <c r="H45" s="2699"/>
      <c r="I45" s="2699"/>
      <c r="J45" s="2703"/>
      <c r="K45" s="2703"/>
      <c r="L45" s="84"/>
      <c r="M45" s="84"/>
      <c r="N45" s="84"/>
      <c r="O45" s="84"/>
      <c r="P45" s="84"/>
      <c r="Q45" s="84"/>
      <c r="R45" s="84"/>
      <c r="S45" s="84"/>
    </row>
    <row r="46" spans="1:19">
      <c r="A46" s="2696"/>
      <c r="B46" s="2699"/>
      <c r="C46" s="2699"/>
      <c r="D46" s="2699"/>
      <c r="E46" s="2699"/>
      <c r="F46" s="2699"/>
      <c r="G46" s="2699"/>
      <c r="H46" s="2699"/>
      <c r="I46" s="2699"/>
      <c r="J46" s="2703"/>
      <c r="K46" s="2703"/>
      <c r="L46" s="84"/>
      <c r="M46" s="84"/>
      <c r="N46" s="84"/>
      <c r="O46" s="84"/>
      <c r="P46" s="84"/>
      <c r="Q46" s="84"/>
      <c r="R46" s="84"/>
      <c r="S46" s="84"/>
    </row>
    <row r="47" spans="1:19">
      <c r="A47" s="2696">
        <v>20</v>
      </c>
      <c r="B47" s="2699"/>
      <c r="C47" s="2699"/>
      <c r="D47" s="2699"/>
      <c r="E47" s="2699"/>
      <c r="F47" s="2699"/>
      <c r="G47" s="2699"/>
      <c r="H47" s="2699"/>
      <c r="I47" s="2699"/>
      <c r="J47" s="2703"/>
      <c r="K47" s="2703"/>
      <c r="L47" s="84"/>
      <c r="M47" s="84"/>
      <c r="N47" s="84"/>
      <c r="O47" s="84"/>
      <c r="P47" s="84"/>
      <c r="Q47" s="84"/>
      <c r="R47" s="84"/>
      <c r="S47" s="84"/>
    </row>
    <row r="48" spans="1:19">
      <c r="A48" s="2696"/>
      <c r="B48" s="2699"/>
      <c r="C48" s="2699"/>
      <c r="D48" s="2699"/>
      <c r="E48" s="2699"/>
      <c r="F48" s="2699"/>
      <c r="G48" s="2699"/>
      <c r="H48" s="2699"/>
      <c r="I48" s="2699"/>
      <c r="J48" s="2703"/>
      <c r="K48" s="2703"/>
      <c r="L48" s="84"/>
      <c r="M48" s="84"/>
      <c r="N48" s="84"/>
      <c r="O48" s="84"/>
      <c r="P48" s="84"/>
      <c r="Q48" s="84"/>
      <c r="R48" s="84"/>
      <c r="S48" s="84"/>
    </row>
    <row r="49" spans="1:19">
      <c r="A49" s="2704">
        <v>21</v>
      </c>
      <c r="B49" s="2705"/>
      <c r="C49" s="2705"/>
      <c r="D49" s="2705"/>
      <c r="E49" s="2705"/>
      <c r="F49" s="2705"/>
      <c r="G49" s="2705"/>
      <c r="H49" s="2705"/>
      <c r="I49" s="2705"/>
      <c r="J49" s="2706"/>
      <c r="K49" s="2706"/>
      <c r="L49" s="84"/>
      <c r="M49" s="84"/>
      <c r="N49" s="84"/>
      <c r="O49" s="84"/>
      <c r="P49" s="84"/>
      <c r="Q49" s="84"/>
      <c r="R49" s="84"/>
      <c r="S49" s="84"/>
    </row>
    <row r="50" spans="1:19">
      <c r="A50" s="2704"/>
      <c r="B50" s="2705"/>
      <c r="C50" s="2705"/>
      <c r="D50" s="2705"/>
      <c r="E50" s="2705"/>
      <c r="F50" s="2705"/>
      <c r="G50" s="2705"/>
      <c r="H50" s="2705"/>
      <c r="I50" s="2705"/>
      <c r="J50" s="2706"/>
      <c r="K50" s="2706"/>
      <c r="L50" s="84"/>
      <c r="M50" s="84"/>
      <c r="N50" s="84"/>
      <c r="O50" s="84"/>
      <c r="P50" s="84"/>
      <c r="Q50" s="84"/>
      <c r="R50" s="84"/>
      <c r="S50" s="84"/>
    </row>
  </sheetData>
  <sheetProtection selectLockedCells="1" selectUnlockedCells="1"/>
  <mergeCells count="81">
    <mergeCell ref="A43:A44"/>
    <mergeCell ref="B43:I44"/>
    <mergeCell ref="J43:K44"/>
    <mergeCell ref="A49:A50"/>
    <mergeCell ref="B49:I50"/>
    <mergeCell ref="J49:K50"/>
    <mergeCell ref="A45:A46"/>
    <mergeCell ref="B45:I46"/>
    <mergeCell ref="J45:K46"/>
    <mergeCell ref="A47:A48"/>
    <mergeCell ref="B47:I48"/>
    <mergeCell ref="J47:K48"/>
    <mergeCell ref="A39:A40"/>
    <mergeCell ref="B39:I40"/>
    <mergeCell ref="J39:K40"/>
    <mergeCell ref="A41:A42"/>
    <mergeCell ref="B41:I42"/>
    <mergeCell ref="J41:K42"/>
    <mergeCell ref="A35:A36"/>
    <mergeCell ref="B35:I36"/>
    <mergeCell ref="J35:K36"/>
    <mergeCell ref="A37:A38"/>
    <mergeCell ref="B37:I38"/>
    <mergeCell ref="J37:K38"/>
    <mergeCell ref="A31:A32"/>
    <mergeCell ref="B31:I32"/>
    <mergeCell ref="J31:K32"/>
    <mergeCell ref="A33:A34"/>
    <mergeCell ref="B33:I34"/>
    <mergeCell ref="J33:K34"/>
    <mergeCell ref="A27:A28"/>
    <mergeCell ref="B27:I28"/>
    <mergeCell ref="J27:K28"/>
    <mergeCell ref="A29:A30"/>
    <mergeCell ref="B29:I30"/>
    <mergeCell ref="J29:K30"/>
    <mergeCell ref="A23:A24"/>
    <mergeCell ref="B23:I24"/>
    <mergeCell ref="J23:K24"/>
    <mergeCell ref="A25:A26"/>
    <mergeCell ref="B25:I26"/>
    <mergeCell ref="J25:K26"/>
    <mergeCell ref="A19:A20"/>
    <mergeCell ref="B19:I20"/>
    <mergeCell ref="J19:K20"/>
    <mergeCell ref="A21:A22"/>
    <mergeCell ref="B21:I22"/>
    <mergeCell ref="J21:K22"/>
    <mergeCell ref="A15:A16"/>
    <mergeCell ref="B15:I16"/>
    <mergeCell ref="J15:K16"/>
    <mergeCell ref="A17:A18"/>
    <mergeCell ref="B17:I18"/>
    <mergeCell ref="J17:K18"/>
    <mergeCell ref="A11:A12"/>
    <mergeCell ref="B11:I12"/>
    <mergeCell ref="J11:K12"/>
    <mergeCell ref="A13:A14"/>
    <mergeCell ref="B13:I14"/>
    <mergeCell ref="J13:K14"/>
    <mergeCell ref="H5:J5"/>
    <mergeCell ref="A6:K6"/>
    <mergeCell ref="A9:A10"/>
    <mergeCell ref="B9:I10"/>
    <mergeCell ref="J9:K10"/>
    <mergeCell ref="L8:N8"/>
    <mergeCell ref="A1:K1"/>
    <mergeCell ref="A3:A4"/>
    <mergeCell ref="B3:B4"/>
    <mergeCell ref="C3:D3"/>
    <mergeCell ref="E3:G3"/>
    <mergeCell ref="H3:J3"/>
    <mergeCell ref="C4:D4"/>
    <mergeCell ref="E4:G4"/>
    <mergeCell ref="H4:J4"/>
    <mergeCell ref="A7:A8"/>
    <mergeCell ref="B7:I8"/>
    <mergeCell ref="J7:K8"/>
    <mergeCell ref="K4:K5"/>
    <mergeCell ref="C5:D5"/>
    <mergeCell ref="E5:G5"/>
  </mergeCells>
  <phoneticPr fontId="51" type="noConversion"/>
  <dataValidations count="1">
    <dataValidation allowBlank="1" showErrorMessage="1" sqref="E4:G4">
      <formula1>0</formula1>
      <formula2>0</formula2>
    </dataValidation>
  </dataValidations>
  <pageMargins left="0.78740157480314998" right="0.35433070866141703" top="0.511811023622047" bottom="0.11811023622047198" header="0.511811023622047" footer="0.511811023622047"/>
  <pageSetup paperSize="9" firstPageNumber="0" orientation="portrait" blackAndWhite="1" r:id="rId1"/>
  <headerFooter alignWithMargins="0"/>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3">
    <pageSetUpPr fitToPage="1"/>
  </sheetPr>
  <dimension ref="A1:K75"/>
  <sheetViews>
    <sheetView topLeftCell="A16" workbookViewId="0">
      <selection activeCell="H18" sqref="H18"/>
    </sheetView>
  </sheetViews>
  <sheetFormatPr defaultColWidth="9" defaultRowHeight="15.6"/>
  <cols>
    <col min="1" max="1" width="8.59765625" style="13" customWidth="1"/>
    <col min="2" max="2" width="29" style="13" customWidth="1"/>
    <col min="3" max="4" width="6.59765625" style="13" customWidth="1"/>
    <col min="5" max="5" width="29.09765625" style="13" customWidth="1"/>
    <col min="6" max="6" width="6.59765625" style="13" customWidth="1"/>
    <col min="7" max="16384" width="9" style="13"/>
  </cols>
  <sheetData>
    <row r="1" spans="1:11" ht="22.2">
      <c r="A1" s="2707" t="s">
        <v>281</v>
      </c>
      <c r="B1" s="2707"/>
      <c r="C1" s="2707"/>
      <c r="D1" s="2707"/>
      <c r="E1" s="2707"/>
      <c r="F1" s="2707"/>
      <c r="G1" s="14"/>
      <c r="H1" s="14"/>
      <c r="I1" s="14"/>
      <c r="J1" s="14"/>
      <c r="K1" s="14"/>
    </row>
    <row r="2" spans="1:11" ht="24.75" customHeight="1">
      <c r="A2" s="2708" t="s">
        <v>282</v>
      </c>
      <c r="B2" s="2709">
        <f>基本情况!B2</f>
        <v>0</v>
      </c>
      <c r="C2" s="2710" t="str">
        <f>"联系人："&amp;基本情况!B37</f>
        <v>联系人：0</v>
      </c>
      <c r="D2" s="2710"/>
      <c r="E2" s="2711" t="str">
        <f>"     联系电话："&amp;基本情况!B34</f>
        <v xml:space="preserve">     联系电话：0</v>
      </c>
      <c r="F2" s="2711"/>
      <c r="G2" s="14"/>
      <c r="H2" s="14"/>
      <c r="I2" s="14"/>
      <c r="J2" s="14"/>
      <c r="K2" s="14"/>
    </row>
    <row r="3" spans="1:11" ht="33.75" customHeight="1">
      <c r="A3" s="2708"/>
      <c r="B3" s="2709"/>
      <c r="C3" s="2710"/>
      <c r="D3" s="2710"/>
      <c r="E3" s="2711"/>
      <c r="F3" s="2711"/>
      <c r="G3" s="14"/>
      <c r="H3" s="14"/>
      <c r="I3" s="14"/>
      <c r="J3" s="14"/>
      <c r="K3" s="14"/>
    </row>
    <row r="4" spans="1:11" ht="18.75" customHeight="1">
      <c r="A4" s="15" t="s">
        <v>283</v>
      </c>
      <c r="B4" s="15" t="s">
        <v>284</v>
      </c>
      <c r="C4" s="15" t="s">
        <v>285</v>
      </c>
      <c r="D4" s="15" t="s">
        <v>283</v>
      </c>
      <c r="E4" s="15" t="s">
        <v>284</v>
      </c>
      <c r="F4" s="15" t="s">
        <v>285</v>
      </c>
      <c r="G4" s="14"/>
      <c r="H4" s="14"/>
      <c r="I4" s="14"/>
      <c r="J4" s="14"/>
      <c r="K4" s="14"/>
    </row>
    <row r="5" spans="1:11" ht="18.75" customHeight="1">
      <c r="A5" s="16" t="s">
        <v>286</v>
      </c>
      <c r="B5" s="17"/>
      <c r="C5" s="15"/>
      <c r="D5" s="19" t="s">
        <v>287</v>
      </c>
      <c r="E5" s="17"/>
      <c r="F5" s="20"/>
      <c r="G5" s="2104"/>
      <c r="H5" s="14"/>
      <c r="I5" s="14"/>
      <c r="J5" s="14"/>
      <c r="K5" s="14"/>
    </row>
    <row r="6" spans="1:11" ht="18.75" customHeight="1">
      <c r="A6" s="21" t="s">
        <v>288</v>
      </c>
      <c r="B6" s="22" t="s">
        <v>289</v>
      </c>
      <c r="C6" s="15"/>
      <c r="D6" s="2101" t="s">
        <v>6679</v>
      </c>
      <c r="E6" s="2098" t="s">
        <v>6659</v>
      </c>
      <c r="F6" s="15"/>
      <c r="G6" s="2105"/>
      <c r="H6" s="14"/>
      <c r="I6" s="14"/>
      <c r="J6" s="14"/>
      <c r="K6" s="14"/>
    </row>
    <row r="7" spans="1:11" ht="18.75" customHeight="1">
      <c r="A7" s="21" t="s">
        <v>290</v>
      </c>
      <c r="B7" s="22" t="s">
        <v>291</v>
      </c>
      <c r="C7" s="15"/>
      <c r="D7" s="2101" t="s">
        <v>6680</v>
      </c>
      <c r="E7" s="31" t="s">
        <v>6660</v>
      </c>
      <c r="F7" s="15"/>
      <c r="G7" s="2106"/>
      <c r="H7" s="14"/>
      <c r="I7" s="14"/>
      <c r="J7" s="14"/>
      <c r="K7" s="14"/>
    </row>
    <row r="8" spans="1:11" ht="18.75" customHeight="1">
      <c r="A8" s="21" t="s">
        <v>293</v>
      </c>
      <c r="B8" s="22" t="s">
        <v>294</v>
      </c>
      <c r="C8" s="15"/>
      <c r="D8" s="2101" t="s">
        <v>6681</v>
      </c>
      <c r="E8" s="2099" t="s">
        <v>6661</v>
      </c>
      <c r="F8" s="15"/>
      <c r="G8" s="2106"/>
      <c r="H8" s="14"/>
      <c r="I8" s="14"/>
      <c r="J8" s="14"/>
      <c r="K8" s="14"/>
    </row>
    <row r="9" spans="1:11" ht="18.75" customHeight="1">
      <c r="A9" s="21" t="s">
        <v>297</v>
      </c>
      <c r="B9" s="22" t="s">
        <v>298</v>
      </c>
      <c r="C9" s="15"/>
      <c r="D9" s="2101" t="s">
        <v>6682</v>
      </c>
      <c r="E9" s="2100" t="s">
        <v>6662</v>
      </c>
      <c r="F9" s="15"/>
      <c r="G9" s="2107"/>
      <c r="H9" s="14"/>
      <c r="I9" s="14"/>
      <c r="J9" s="14"/>
      <c r="K9" s="14"/>
    </row>
    <row r="10" spans="1:11" ht="18.75" customHeight="1">
      <c r="A10" s="21" t="s">
        <v>301</v>
      </c>
      <c r="B10" s="22" t="s">
        <v>302</v>
      </c>
      <c r="C10" s="15"/>
      <c r="D10" s="2101" t="s">
        <v>6683</v>
      </c>
      <c r="E10" s="2108" t="s">
        <v>6663</v>
      </c>
      <c r="F10" s="15"/>
      <c r="G10" s="14"/>
      <c r="H10" s="14"/>
      <c r="I10" s="14"/>
      <c r="J10" s="14"/>
      <c r="K10" s="14"/>
    </row>
    <row r="11" spans="1:11" ht="18.75" customHeight="1">
      <c r="A11" s="21" t="s">
        <v>305</v>
      </c>
      <c r="B11" s="22" t="s">
        <v>306</v>
      </c>
      <c r="C11" s="15"/>
      <c r="D11" s="2101" t="s">
        <v>6684</v>
      </c>
      <c r="E11" s="2108" t="s">
        <v>6664</v>
      </c>
      <c r="F11" s="15"/>
      <c r="G11" s="14"/>
      <c r="H11" s="14"/>
      <c r="I11" s="14"/>
      <c r="J11" s="14"/>
      <c r="K11" s="14"/>
    </row>
    <row r="12" spans="1:11" ht="18.75" customHeight="1">
      <c r="A12" s="21" t="s">
        <v>309</v>
      </c>
      <c r="B12" s="22" t="s">
        <v>310</v>
      </c>
      <c r="C12" s="15"/>
      <c r="D12" s="2101" t="s">
        <v>6685</v>
      </c>
      <c r="E12" s="2108" t="s">
        <v>6665</v>
      </c>
      <c r="F12" s="15"/>
      <c r="G12" s="14"/>
      <c r="H12" s="14"/>
      <c r="I12" s="14"/>
      <c r="J12" s="14"/>
      <c r="K12" s="14"/>
    </row>
    <row r="13" spans="1:11" ht="18.75" customHeight="1">
      <c r="A13" s="21" t="s">
        <v>313</v>
      </c>
      <c r="B13" s="22" t="s">
        <v>314</v>
      </c>
      <c r="C13" s="15"/>
      <c r="D13" s="2101" t="s">
        <v>6686</v>
      </c>
      <c r="E13" s="2108" t="s">
        <v>6666</v>
      </c>
      <c r="F13" s="15"/>
      <c r="G13" s="14"/>
      <c r="H13" s="14"/>
      <c r="I13" s="14"/>
      <c r="J13" s="14"/>
      <c r="K13" s="14"/>
    </row>
    <row r="14" spans="1:11" ht="18.75" customHeight="1">
      <c r="A14" s="21" t="s">
        <v>317</v>
      </c>
      <c r="B14" s="22" t="s">
        <v>318</v>
      </c>
      <c r="C14" s="15"/>
      <c r="D14" s="2101" t="s">
        <v>6687</v>
      </c>
      <c r="E14" s="2108" t="s">
        <v>6667</v>
      </c>
      <c r="F14" s="15"/>
      <c r="G14" s="14"/>
      <c r="H14" s="14"/>
      <c r="I14" s="14"/>
      <c r="J14" s="14"/>
      <c r="K14" s="14"/>
    </row>
    <row r="15" spans="1:11" ht="18.75" customHeight="1">
      <c r="A15" s="21" t="s">
        <v>321</v>
      </c>
      <c r="B15" s="22" t="s">
        <v>322</v>
      </c>
      <c r="C15" s="15"/>
      <c r="D15" s="2101" t="s">
        <v>6688</v>
      </c>
      <c r="E15" s="2110" t="s">
        <v>6668</v>
      </c>
      <c r="F15" s="15"/>
      <c r="G15" s="14"/>
      <c r="H15" s="14"/>
      <c r="I15" s="14"/>
      <c r="J15" s="14"/>
      <c r="K15" s="14"/>
    </row>
    <row r="16" spans="1:11" ht="18.75" customHeight="1">
      <c r="A16" s="21" t="s">
        <v>325</v>
      </c>
      <c r="B16" s="22" t="s">
        <v>326</v>
      </c>
      <c r="C16" s="15"/>
      <c r="D16" s="2101" t="s">
        <v>6689</v>
      </c>
      <c r="E16" s="2108" t="s">
        <v>6670</v>
      </c>
      <c r="F16" s="15"/>
      <c r="G16" s="14"/>
      <c r="H16" s="14"/>
      <c r="I16" s="14"/>
      <c r="J16" s="14"/>
      <c r="K16" s="14"/>
    </row>
    <row r="17" spans="1:11" ht="18.75" customHeight="1">
      <c r="A17" s="21" t="s">
        <v>329</v>
      </c>
      <c r="B17" s="22" t="s">
        <v>330</v>
      </c>
      <c r="C17" s="15"/>
      <c r="D17" s="2101" t="s">
        <v>6690</v>
      </c>
      <c r="E17" s="2108" t="s">
        <v>6671</v>
      </c>
      <c r="F17" s="15"/>
      <c r="G17" s="14"/>
      <c r="H17" s="14"/>
      <c r="I17" s="14"/>
      <c r="J17" s="14"/>
      <c r="K17" s="14"/>
    </row>
    <row r="18" spans="1:11" ht="18.75" customHeight="1">
      <c r="A18" s="21" t="s">
        <v>333</v>
      </c>
      <c r="B18" s="22" t="s">
        <v>334</v>
      </c>
      <c r="C18" s="15"/>
      <c r="D18" s="2101" t="s">
        <v>6691</v>
      </c>
      <c r="E18" s="2108" t="s">
        <v>6672</v>
      </c>
      <c r="F18" s="15"/>
      <c r="G18" s="14"/>
      <c r="H18" s="14"/>
      <c r="I18" s="14"/>
      <c r="J18" s="14"/>
      <c r="K18" s="14"/>
    </row>
    <row r="19" spans="1:11" ht="24" customHeight="1">
      <c r="A19" s="25" t="s">
        <v>335</v>
      </c>
      <c r="B19" s="17"/>
      <c r="C19" s="18"/>
      <c r="D19" s="2101" t="s">
        <v>6692</v>
      </c>
      <c r="E19" s="2108" t="s">
        <v>6673</v>
      </c>
      <c r="F19" s="15"/>
      <c r="G19" s="14"/>
      <c r="H19" s="14"/>
      <c r="I19" s="14"/>
      <c r="J19" s="14"/>
      <c r="K19" s="14"/>
    </row>
    <row r="20" spans="1:11" ht="22.5" customHeight="1">
      <c r="A20" s="19" t="s">
        <v>337</v>
      </c>
      <c r="B20" s="17"/>
      <c r="C20" s="23"/>
      <c r="D20" s="2101" t="s">
        <v>6693</v>
      </c>
      <c r="E20" s="2109" t="s">
        <v>6674</v>
      </c>
      <c r="F20" s="15"/>
      <c r="G20" s="14"/>
      <c r="H20" s="14"/>
      <c r="I20" s="14"/>
      <c r="J20" s="14"/>
      <c r="K20" s="14"/>
    </row>
    <row r="21" spans="1:11" ht="22.5" customHeight="1">
      <c r="A21" s="21" t="s">
        <v>340</v>
      </c>
      <c r="B21" s="22" t="s">
        <v>341</v>
      </c>
      <c r="C21" s="20"/>
      <c r="D21" s="25" t="s">
        <v>292</v>
      </c>
      <c r="E21" s="17"/>
      <c r="F21" s="20"/>
      <c r="G21" s="14"/>
      <c r="H21" s="14"/>
      <c r="I21" s="14"/>
      <c r="J21" s="14"/>
      <c r="K21" s="14"/>
    </row>
    <row r="22" spans="1:11" ht="22.5" customHeight="1">
      <c r="A22" s="21" t="s">
        <v>344</v>
      </c>
      <c r="B22" s="22" t="s">
        <v>345</v>
      </c>
      <c r="C22" s="20"/>
      <c r="D22" s="21" t="s">
        <v>295</v>
      </c>
      <c r="E22" s="22" t="s">
        <v>296</v>
      </c>
      <c r="F22" s="20"/>
      <c r="G22" s="14"/>
      <c r="H22" s="14"/>
      <c r="I22" s="14"/>
      <c r="J22" s="14"/>
      <c r="K22" s="14"/>
    </row>
    <row r="23" spans="1:11" ht="22.5" customHeight="1">
      <c r="A23" s="21" t="s">
        <v>348</v>
      </c>
      <c r="B23" s="22" t="s">
        <v>349</v>
      </c>
      <c r="C23" s="20"/>
      <c r="D23" s="21" t="s">
        <v>299</v>
      </c>
      <c r="E23" s="22" t="s">
        <v>300</v>
      </c>
      <c r="F23" s="20"/>
      <c r="G23" s="14"/>
      <c r="H23" s="14"/>
      <c r="I23" s="14"/>
      <c r="J23" s="14"/>
      <c r="K23" s="14"/>
    </row>
    <row r="24" spans="1:11" ht="22.5" customHeight="1">
      <c r="A24" s="21" t="s">
        <v>352</v>
      </c>
      <c r="B24" s="22" t="s">
        <v>353</v>
      </c>
      <c r="C24" s="20"/>
      <c r="D24" s="21" t="s">
        <v>303</v>
      </c>
      <c r="E24" s="22" t="s">
        <v>304</v>
      </c>
      <c r="F24" s="20"/>
      <c r="G24" s="14"/>
      <c r="H24" s="14"/>
      <c r="I24" s="14"/>
      <c r="J24" s="14"/>
      <c r="K24" s="14"/>
    </row>
    <row r="25" spans="1:11" ht="22.5" customHeight="1">
      <c r="A25" s="21" t="s">
        <v>356</v>
      </c>
      <c r="B25" s="28" t="s">
        <v>10083</v>
      </c>
      <c r="C25" s="20"/>
      <c r="D25" s="21" t="s">
        <v>307</v>
      </c>
      <c r="E25" s="22" t="s">
        <v>308</v>
      </c>
      <c r="F25" s="20"/>
      <c r="G25" s="14"/>
      <c r="H25" s="14"/>
      <c r="I25" s="14"/>
      <c r="J25" s="14"/>
      <c r="K25" s="14"/>
    </row>
    <row r="26" spans="1:11" ht="22.5" customHeight="1">
      <c r="A26" s="21" t="s">
        <v>359</v>
      </c>
      <c r="B26" s="22" t="s">
        <v>360</v>
      </c>
      <c r="C26" s="20"/>
      <c r="D26" s="21" t="s">
        <v>311</v>
      </c>
      <c r="E26" s="22" t="s">
        <v>312</v>
      </c>
      <c r="F26" s="20"/>
      <c r="G26" s="14"/>
      <c r="H26" s="14"/>
      <c r="I26" s="14"/>
      <c r="J26" s="14"/>
      <c r="K26" s="14"/>
    </row>
    <row r="27" spans="1:11" ht="22.5" customHeight="1">
      <c r="A27" s="21" t="s">
        <v>363</v>
      </c>
      <c r="B27" s="22" t="s">
        <v>364</v>
      </c>
      <c r="C27" s="20"/>
      <c r="D27" s="21" t="s">
        <v>315</v>
      </c>
      <c r="E27" s="22" t="s">
        <v>316</v>
      </c>
      <c r="F27" s="20"/>
      <c r="G27" s="14"/>
      <c r="H27" s="14"/>
      <c r="I27" s="14"/>
      <c r="J27" s="14"/>
      <c r="K27" s="14"/>
    </row>
    <row r="28" spans="1:11" ht="22.5" customHeight="1">
      <c r="A28" s="21" t="s">
        <v>367</v>
      </c>
      <c r="B28" s="22" t="s">
        <v>368</v>
      </c>
      <c r="C28" s="20"/>
      <c r="D28" s="21" t="s">
        <v>319</v>
      </c>
      <c r="E28" s="22" t="s">
        <v>320</v>
      </c>
      <c r="F28" s="20"/>
      <c r="G28" s="14"/>
      <c r="H28" s="14"/>
      <c r="I28" s="14"/>
      <c r="J28" s="14"/>
      <c r="K28" s="14"/>
    </row>
    <row r="29" spans="1:11" ht="22.5" customHeight="1">
      <c r="A29" s="21" t="s">
        <v>371</v>
      </c>
      <c r="B29" s="22" t="s">
        <v>372</v>
      </c>
      <c r="C29" s="20"/>
      <c r="D29" s="21" t="s">
        <v>323</v>
      </c>
      <c r="E29" s="22" t="s">
        <v>324</v>
      </c>
      <c r="F29" s="20"/>
      <c r="G29" s="14"/>
      <c r="H29" s="14"/>
      <c r="I29" s="14"/>
      <c r="J29" s="14"/>
      <c r="K29" s="14"/>
    </row>
    <row r="30" spans="1:11" ht="22.5" customHeight="1">
      <c r="A30" s="21" t="s">
        <v>375</v>
      </c>
      <c r="B30" s="22" t="s">
        <v>376</v>
      </c>
      <c r="C30" s="20"/>
      <c r="D30" s="21" t="s">
        <v>327</v>
      </c>
      <c r="E30" s="22" t="s">
        <v>328</v>
      </c>
      <c r="F30" s="20"/>
      <c r="G30" s="14"/>
      <c r="H30" s="14"/>
      <c r="I30" s="14"/>
      <c r="J30" s="14"/>
      <c r="K30" s="14"/>
    </row>
    <row r="31" spans="1:11" ht="22.5" customHeight="1">
      <c r="A31" s="21" t="s">
        <v>379</v>
      </c>
      <c r="B31" s="22" t="s">
        <v>380</v>
      </c>
      <c r="C31" s="20"/>
      <c r="D31" s="21" t="s">
        <v>331</v>
      </c>
      <c r="E31" s="22" t="s">
        <v>332</v>
      </c>
      <c r="F31" s="20"/>
      <c r="G31" s="14"/>
      <c r="H31" s="14"/>
      <c r="I31" s="14"/>
      <c r="J31" s="14"/>
      <c r="K31" s="14"/>
    </row>
    <row r="32" spans="1:11" ht="22.5" customHeight="1">
      <c r="A32" s="21" t="s">
        <v>381</v>
      </c>
      <c r="B32" s="31" t="s">
        <v>382</v>
      </c>
      <c r="C32" s="20"/>
      <c r="D32" s="26"/>
      <c r="E32" s="24"/>
      <c r="F32" s="20"/>
      <c r="G32" s="14"/>
      <c r="H32" s="14"/>
      <c r="I32" s="14"/>
      <c r="J32" s="14"/>
      <c r="K32" s="14"/>
    </row>
    <row r="33" spans="1:11" ht="24" customHeight="1">
      <c r="A33" s="21" t="s">
        <v>1444</v>
      </c>
      <c r="B33" s="1281" t="s">
        <v>1446</v>
      </c>
      <c r="C33" s="20"/>
      <c r="D33" s="27" t="s">
        <v>336</v>
      </c>
      <c r="E33" s="17"/>
      <c r="F33" s="20"/>
      <c r="G33" s="14"/>
      <c r="H33" s="14"/>
      <c r="I33" s="14"/>
      <c r="J33" s="14"/>
      <c r="K33" s="14"/>
    </row>
    <row r="34" spans="1:11" ht="22.5" customHeight="1">
      <c r="A34" s="21" t="s">
        <v>1445</v>
      </c>
      <c r="B34" s="1282" t="s">
        <v>1447</v>
      </c>
      <c r="C34" s="20"/>
      <c r="D34" s="21" t="s">
        <v>338</v>
      </c>
      <c r="E34" s="22" t="s">
        <v>339</v>
      </c>
      <c r="F34" s="20"/>
      <c r="G34" s="14"/>
      <c r="H34" s="14"/>
      <c r="I34" s="14"/>
      <c r="J34" s="14"/>
      <c r="K34" s="14"/>
    </row>
    <row r="35" spans="1:11" ht="22.5" customHeight="1">
      <c r="A35" s="21" t="s">
        <v>6635</v>
      </c>
      <c r="B35" s="2097" t="s">
        <v>6649</v>
      </c>
      <c r="C35" s="20"/>
      <c r="D35" s="21" t="s">
        <v>342</v>
      </c>
      <c r="E35" s="22" t="s">
        <v>343</v>
      </c>
      <c r="F35" s="20"/>
      <c r="G35" s="14"/>
      <c r="H35" s="14"/>
      <c r="I35" s="14"/>
      <c r="J35" s="14"/>
      <c r="K35" s="14"/>
    </row>
    <row r="36" spans="1:11" ht="22.5" customHeight="1">
      <c r="A36" s="21" t="s">
        <v>6636</v>
      </c>
      <c r="B36" s="22" t="s">
        <v>6650</v>
      </c>
      <c r="C36" s="20"/>
      <c r="D36" s="21" t="s">
        <v>346</v>
      </c>
      <c r="E36" s="22" t="s">
        <v>347</v>
      </c>
      <c r="F36" s="20"/>
      <c r="G36" s="14"/>
      <c r="H36" s="14"/>
      <c r="I36" s="14"/>
      <c r="J36" s="14"/>
      <c r="K36" s="14"/>
    </row>
    <row r="37" spans="1:11" ht="22.5" customHeight="1">
      <c r="A37" s="21" t="s">
        <v>6637</v>
      </c>
      <c r="B37" s="22" t="s">
        <v>6651</v>
      </c>
      <c r="C37" s="20"/>
      <c r="D37" s="21" t="s">
        <v>350</v>
      </c>
      <c r="E37" s="22" t="s">
        <v>351</v>
      </c>
      <c r="F37" s="20"/>
      <c r="G37" s="14"/>
      <c r="H37" s="14"/>
      <c r="I37" s="14"/>
      <c r="J37" s="14"/>
      <c r="K37" s="14"/>
    </row>
    <row r="38" spans="1:11" ht="22.5" customHeight="1">
      <c r="A38" s="21" t="s">
        <v>6638</v>
      </c>
      <c r="B38" s="22" t="s">
        <v>6652</v>
      </c>
      <c r="C38" s="20"/>
      <c r="D38" s="21" t="s">
        <v>354</v>
      </c>
      <c r="E38" s="22" t="s">
        <v>355</v>
      </c>
      <c r="F38" s="20"/>
      <c r="G38" s="14"/>
      <c r="H38" s="14"/>
      <c r="I38" s="14"/>
      <c r="J38" s="14"/>
      <c r="K38" s="14"/>
    </row>
    <row r="39" spans="1:11" ht="22.5" customHeight="1">
      <c r="A39" s="21" t="s">
        <v>6639</v>
      </c>
      <c r="B39" s="22" t="s">
        <v>6653</v>
      </c>
      <c r="C39" s="20"/>
      <c r="D39" s="21" t="s">
        <v>357</v>
      </c>
      <c r="E39" s="22" t="s">
        <v>358</v>
      </c>
      <c r="F39" s="20"/>
      <c r="G39" s="14"/>
      <c r="H39" s="14"/>
      <c r="I39" s="14"/>
      <c r="J39" s="14"/>
      <c r="K39" s="14"/>
    </row>
    <row r="40" spans="1:11" ht="22.5" customHeight="1">
      <c r="A40" s="21" t="s">
        <v>6640</v>
      </c>
      <c r="B40" s="22" t="s">
        <v>6654</v>
      </c>
      <c r="C40" s="20"/>
      <c r="D40" s="21" t="s">
        <v>361</v>
      </c>
      <c r="E40" s="22" t="s">
        <v>362</v>
      </c>
      <c r="F40" s="20"/>
      <c r="G40" s="14"/>
      <c r="H40" s="14"/>
      <c r="I40" s="14"/>
      <c r="J40" s="14"/>
      <c r="K40" s="14"/>
    </row>
    <row r="41" spans="1:11" ht="22.5" customHeight="1">
      <c r="A41" s="21" t="s">
        <v>6641</v>
      </c>
      <c r="B41" s="22" t="s">
        <v>6655</v>
      </c>
      <c r="C41" s="20"/>
      <c r="D41" s="21" t="s">
        <v>365</v>
      </c>
      <c r="E41" s="22" t="s">
        <v>366</v>
      </c>
      <c r="F41" s="20"/>
      <c r="G41" s="14"/>
      <c r="H41" s="14"/>
      <c r="I41" s="14"/>
      <c r="J41" s="14"/>
      <c r="K41" s="14"/>
    </row>
    <row r="42" spans="1:11" ht="22.5" customHeight="1">
      <c r="A42" s="21" t="s">
        <v>6642</v>
      </c>
      <c r="B42" s="22" t="s">
        <v>6656</v>
      </c>
      <c r="C42" s="20"/>
      <c r="D42" s="21" t="s">
        <v>369</v>
      </c>
      <c r="E42" s="22" t="s">
        <v>370</v>
      </c>
      <c r="F42" s="20"/>
      <c r="G42" s="14"/>
      <c r="H42" s="14"/>
      <c r="I42" s="14"/>
      <c r="J42" s="14"/>
      <c r="K42" s="14"/>
    </row>
    <row r="43" spans="1:11" ht="22.5" customHeight="1">
      <c r="A43" s="21" t="s">
        <v>6643</v>
      </c>
      <c r="B43" s="22" t="s">
        <v>6657</v>
      </c>
      <c r="C43" s="20"/>
      <c r="D43" s="21" t="s">
        <v>373</v>
      </c>
      <c r="E43" s="28" t="s">
        <v>374</v>
      </c>
      <c r="F43" s="20"/>
      <c r="G43" s="14"/>
      <c r="H43" s="14"/>
      <c r="I43" s="14"/>
      <c r="J43" s="14"/>
      <c r="K43" s="14"/>
    </row>
    <row r="44" spans="1:11" ht="22.5" customHeight="1">
      <c r="A44" s="21" t="s">
        <v>6644</v>
      </c>
      <c r="B44" s="22" t="s">
        <v>6658</v>
      </c>
      <c r="C44" s="20"/>
      <c r="D44" s="21" t="s">
        <v>377</v>
      </c>
      <c r="E44" s="22" t="s">
        <v>378</v>
      </c>
      <c r="F44" s="20"/>
      <c r="G44" s="14"/>
      <c r="H44" s="14"/>
      <c r="I44" s="14"/>
      <c r="J44" s="14"/>
      <c r="K44" s="14"/>
    </row>
    <row r="45" spans="1:11" ht="22.5" customHeight="1">
      <c r="A45" s="21" t="s">
        <v>6645</v>
      </c>
      <c r="B45" s="2108" t="s">
        <v>6675</v>
      </c>
      <c r="C45" s="20"/>
      <c r="D45" s="29"/>
      <c r="E45" s="30"/>
      <c r="F45" s="20"/>
      <c r="G45" s="14"/>
      <c r="H45" s="14"/>
      <c r="I45" s="14"/>
      <c r="J45" s="14"/>
      <c r="K45" s="14"/>
    </row>
    <row r="46" spans="1:11" ht="22.5" customHeight="1">
      <c r="A46" s="21" t="s">
        <v>6646</v>
      </c>
      <c r="B46" s="2108" t="s">
        <v>6676</v>
      </c>
      <c r="C46" s="32"/>
      <c r="D46" s="33"/>
      <c r="E46" s="34"/>
      <c r="F46" s="32"/>
      <c r="G46" s="14"/>
      <c r="H46" s="14"/>
      <c r="I46" s="14"/>
      <c r="J46" s="14"/>
      <c r="K46" s="14"/>
    </row>
    <row r="47" spans="1:11" ht="22.5" customHeight="1">
      <c r="A47" s="21" t="s">
        <v>6647</v>
      </c>
      <c r="B47" s="2108" t="s">
        <v>6677</v>
      </c>
      <c r="C47" s="35"/>
      <c r="D47" s="36" t="s">
        <v>383</v>
      </c>
      <c r="E47" s="37"/>
      <c r="F47" s="38"/>
      <c r="G47" s="14"/>
      <c r="H47" s="14"/>
      <c r="I47" s="14"/>
      <c r="J47" s="14"/>
      <c r="K47" s="14"/>
    </row>
    <row r="48" spans="1:11" ht="22.5" customHeight="1">
      <c r="A48" s="21" t="s">
        <v>6648</v>
      </c>
      <c r="B48" s="2108" t="s">
        <v>6678</v>
      </c>
      <c r="C48" s="35"/>
      <c r="D48" s="36"/>
      <c r="E48" s="37"/>
      <c r="F48" s="38"/>
      <c r="G48" s="14"/>
      <c r="H48" s="14"/>
      <c r="I48" s="14"/>
      <c r="J48" s="14"/>
      <c r="K48" s="14"/>
    </row>
    <row r="49" spans="1:6" ht="22.5" customHeight="1">
      <c r="A49" s="2102"/>
      <c r="B49" s="2103"/>
      <c r="C49" s="39"/>
      <c r="D49" s="40"/>
      <c r="E49" s="41"/>
      <c r="F49" s="39"/>
    </row>
    <row r="50" spans="1:6">
      <c r="A50" s="42"/>
      <c r="B50" s="43"/>
      <c r="C50" s="43"/>
      <c r="D50" s="42"/>
      <c r="E50" s="43"/>
      <c r="F50" s="43"/>
    </row>
    <row r="51" spans="1:6">
      <c r="A51" s="42"/>
      <c r="B51" s="43"/>
      <c r="C51" s="43"/>
      <c r="D51" s="42"/>
      <c r="E51" s="43"/>
      <c r="F51" s="43"/>
    </row>
    <row r="52" spans="1:6">
      <c r="D52" s="44"/>
    </row>
    <row r="53" spans="1:6">
      <c r="D53" s="44"/>
    </row>
    <row r="54" spans="1:6">
      <c r="D54" s="44"/>
    </row>
    <row r="55" spans="1:6">
      <c r="D55" s="44"/>
    </row>
    <row r="56" spans="1:6">
      <c r="D56" s="44"/>
    </row>
    <row r="57" spans="1:6">
      <c r="D57" s="44"/>
    </row>
    <row r="58" spans="1:6">
      <c r="D58" s="44"/>
    </row>
    <row r="59" spans="1:6">
      <c r="D59" s="44"/>
    </row>
    <row r="60" spans="1:6">
      <c r="D60" s="44"/>
    </row>
    <row r="61" spans="1:6">
      <c r="D61" s="44"/>
    </row>
    <row r="62" spans="1:6">
      <c r="D62" s="44"/>
    </row>
    <row r="63" spans="1:6">
      <c r="D63" s="44"/>
    </row>
    <row r="64" spans="1:6">
      <c r="D64" s="44"/>
    </row>
    <row r="65" spans="4:4">
      <c r="D65" s="44"/>
    </row>
    <row r="66" spans="4:4">
      <c r="D66" s="44"/>
    </row>
    <row r="67" spans="4:4">
      <c r="D67" s="44"/>
    </row>
    <row r="68" spans="4:4">
      <c r="D68" s="44"/>
    </row>
    <row r="69" spans="4:4">
      <c r="D69" s="44"/>
    </row>
    <row r="70" spans="4:4">
      <c r="D70" s="44"/>
    </row>
    <row r="71" spans="4:4">
      <c r="D71" s="44"/>
    </row>
    <row r="72" spans="4:4">
      <c r="D72" s="44"/>
    </row>
    <row r="73" spans="4:4">
      <c r="D73" s="44"/>
    </row>
    <row r="74" spans="4:4">
      <c r="D74" s="44"/>
    </row>
    <row r="75" spans="4:4">
      <c r="D75" s="44"/>
    </row>
  </sheetData>
  <sheetProtection selectLockedCells="1" selectUnlockedCells="1"/>
  <mergeCells count="5">
    <mergeCell ref="A1:F1"/>
    <mergeCell ref="A2:A3"/>
    <mergeCell ref="B2:B3"/>
    <mergeCell ref="C2:D3"/>
    <mergeCell ref="E2:F3"/>
  </mergeCells>
  <phoneticPr fontId="51" type="noConversion"/>
  <hyperlinks>
    <hyperlink ref="E22" location="主营收支!A1" display="主营业务收支审核表"/>
    <hyperlink ref="E23" location="收入与申报核对表!A1" display="收入与纳税申报核对审核表"/>
    <hyperlink ref="E24" location="制造费用、生产成本!A1" display="制造费用、生产成本审核表 "/>
    <hyperlink ref="E25" location="成本倒轧!A1" display="主营业务成本倒轧审核表"/>
    <hyperlink ref="E26" location="主营税金!A1" display="主营业务税金附加审核表"/>
    <hyperlink ref="E27" location="其他业务!A1" display="其他业务收支审核表"/>
    <hyperlink ref="E28" location="营业费用!A1" display="营业费用审核表"/>
    <hyperlink ref="E29" location="管理费用!A1" display="管理费用审核表"/>
    <hyperlink ref="E30" location="财务费用!A1" display="财务费用审核表"/>
    <hyperlink ref="E31" location="营外收支!A1" display="营业外收支审核表"/>
    <hyperlink ref="E34" location="货币资金!A1" display="货币资金审核表"/>
    <hyperlink ref="E35" location="应收!A1" display="应收账款审核表"/>
    <hyperlink ref="E36" location="预付!A1" display="预付账款审核表"/>
    <hyperlink ref="E37" location="其他应收!A1" display="其他应收款审核表"/>
    <hyperlink ref="E38" location="存货!A1" display="存货审核表"/>
    <hyperlink ref="E39" location="待摊预提!A1" display="待摊费用、预提费用审核表"/>
    <hyperlink ref="E40" location="应付!A1" display="应付账款审核表"/>
    <hyperlink ref="E41" location="预收!A1" display="预收账款审核表"/>
    <hyperlink ref="E42" location="其他应付!A1" display="其他应付款审核表"/>
    <hyperlink ref="E43" location="实收公积!A1" display="实收资本、资本公积、盈余公积审核表"/>
    <hyperlink ref="E44" location="未分利润!A1" display="未分配利润审核表"/>
    <hyperlink ref="B6" location="签发单!A1" display="报告审核签发单"/>
    <hyperlink ref="B7" location="报告正文!A1" display="正式报告书及送审稿"/>
    <hyperlink ref="B8" location="三级复核!A1" display="三级复核表"/>
    <hyperlink ref="B9" location="业务约定!A1" display="业务约定书"/>
    <hyperlink ref="B10" location="基本情况!A1" display="企业基本情况表"/>
    <hyperlink ref="B11" location="当局声明!A1" display="客户管理当局声明书"/>
    <hyperlink ref="B12" location="计划!A1" display="审核整体工作计划"/>
    <hyperlink ref="B13" location="内控!A1" display="企业内部控制制度调查问卷"/>
    <hyperlink ref="B14" location="审核问卷!A1" display="审核调查问卷"/>
    <hyperlink ref="B15" location="重大问题!A1" display="重大问题请示报告"/>
    <hyperlink ref="B16" location="交换意见!A1" display="与客户交换意见记录"/>
    <hyperlink ref="B17" location="资料清单!A1" display="客户提供资料一览表"/>
    <hyperlink ref="B18" location="审核标识!A1" display="审核标识说明表"/>
    <hyperlink ref="B21" location="工资福利!A1" display="工资薪金、三项经费审核表"/>
    <hyperlink ref="B22" location="招待!A1" display="业务招待费用审核表"/>
    <hyperlink ref="B23" location="固资折旧!A1" display="固定资产及累计折旧审核表"/>
    <hyperlink ref="B24" location="无形长摊!A1" display="无形资产、长期待摊费用审核表"/>
    <hyperlink ref="B25" location="社保!A1" display="社会保障性缴款和住房公积金鉴证表"/>
    <hyperlink ref="B26" location="广宣!A1" display="广告费、业务宣传费支出审核表"/>
    <hyperlink ref="B27" location="捐赠!A1" display="捐赠、赞助支出审核表"/>
    <hyperlink ref="B28" location="利息!A1" display="利息支出审核表"/>
    <hyperlink ref="B29" location="租金!A1" display="租金支出审核表"/>
    <hyperlink ref="B30" location="补亏!A1" display="弥补亏损审核表"/>
    <hyperlink ref="B31" location="其他事项!A1" display="其他事项审核表"/>
    <hyperlink ref="B32" location="凭证检查!A1" display="原始凭证检查底稿"/>
    <hyperlink ref="B33" location="无限期结转扣除项目情况表!A1" display="无限期结转审核表"/>
    <hyperlink ref="B34" location="跨年度确认所得情况表!A1" display="跨年度确认所得审核表"/>
    <hyperlink ref="B45" location="跨地区经营汇总纳税企业年度分摊企业所得税审核表!A1" display="汇总纳税分摊企业所得税审核表"/>
    <hyperlink ref="B35" location="视同销售和房地产开发企业特定业务审核表!A1" display="视同销售和房地产开发企业特定业务审核表"/>
    <hyperlink ref="B36" location="未按权责发生制确认收入审核表!A1" display="未按权责发生制确认收入审核表"/>
    <hyperlink ref="B37" location="投资收益审核表!A1" display="投资收益审核表"/>
    <hyperlink ref="B38" location="专项用途财政性资金审核表!A1" display="专项用途财政性资金审核表"/>
    <hyperlink ref="B39" location="固定资产加速折旧审核表!A1" display="固定资产加速折旧审核表"/>
    <hyperlink ref="B40" location="资产损失税前扣除审核表!A1" display="资产损失税前扣除审核表"/>
    <hyperlink ref="B41" location="'资产损失（专项申报）税前扣除审核表'!A1" display="资产损失（专项申报）审核表"/>
    <hyperlink ref="B42" location="企业重组审核表!A1" display="企业重组审核表"/>
    <hyperlink ref="B43" location="政策性搬迁审核表!A1" display="政策性搬迁审核表"/>
    <hyperlink ref="B44" location="特殊行业准备金审核表!A1" display="特殊行业准备金审核表"/>
    <hyperlink ref="B46" location="企业所得税汇总纳税分支机构所得税分配表!A1" display="汇总纳税分支机构所得税分配表"/>
    <hyperlink ref="B47" location="减值准备审核表!A1" display="减值准备审核表"/>
    <hyperlink ref="B48" location="公允价值变动审定表!A1" display="公允价值变动审定表"/>
    <hyperlink ref="E6" location="免税、减计收入及加计扣除优惠审核表!A1" display="免税、减计收入及加计扣除审核表"/>
    <hyperlink ref="E7" location="股息红利优惠审核表!A1" display="股息红利优惠审核表"/>
    <hyperlink ref="E8" location="综合利用资源生产产品取得的收入优惠审核表!A1" display="综合利用资源生产产品取得收入审核表"/>
    <hyperlink ref="E9" location="金融保险等机构取得涉农利息保费收入优惠审核表!A1" display="金融保险机构涉农利息保费收入审核表"/>
    <hyperlink ref="E10" location="研发费用加计扣除优惠审核表!A1" display="研发费用加计扣除优惠审核表"/>
    <hyperlink ref="E11" location="所得减免优惠审核表!A1" display="所得减免优惠审核表"/>
    <hyperlink ref="E12" location="抵扣应纳税所得额审核表!A1" display="抵扣应纳税所得额审核表"/>
    <hyperlink ref="E13" location="减免所得税优惠审核表!A1" display="减免所得税优惠审核表"/>
    <hyperlink ref="E14" location="高新技术企业优惠情况审核表!A1" display="高新技术企业优惠情况审核表"/>
    <hyperlink ref="E15" location="软件、集成电路企业优惠情况审核表!A1" display="软件、集成电路企业优惠情况审核表"/>
    <hyperlink ref="E16" location="税额抵免优惠审核表!A1" display="税额抵免优惠审核表"/>
    <hyperlink ref="E17" location="境外所得税收抵免审核表!A1" display="境外所得税收抵免审核表"/>
    <hyperlink ref="E18" location="境外所得纳税调整后所得审核表!A1" display="境外所得纳税调整后所得审核表"/>
    <hyperlink ref="E19" location="境外分支机构弥补亏损审核表!A1" display="境外分支机构弥补亏损审核表"/>
    <hyperlink ref="E20" location="跨年度结转抵免境外所得税审核表!A1" display="跨年度结转抵免境外所得税审核表"/>
  </hyperlinks>
  <pageMargins left="0.78740157480314998" right="0.35433070866141703" top="0.511811023622047" bottom="0.11811023622047198" header="0.511811023622047" footer="0.511811023622047"/>
  <pageSetup paperSize="9" scale="98" firstPageNumber="0" fitToHeight="0" orientation="portrait" blackAndWhite="1" r:id="rId1"/>
  <headerFooter alignWithMargins="0">
    <oddHeader>&amp;R第 &amp;P 页</oddHeader>
  </headerFooter>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6"/>
  <dimension ref="A1:K25"/>
  <sheetViews>
    <sheetView workbookViewId="0">
      <selection sqref="A1:E1"/>
    </sheetView>
  </sheetViews>
  <sheetFormatPr defaultColWidth="9" defaultRowHeight="15.6"/>
  <cols>
    <col min="1" max="1" width="10.19921875" style="91" customWidth="1"/>
    <col min="2" max="2" width="32.5" style="92" customWidth="1"/>
    <col min="3" max="3" width="8.19921875" style="92" customWidth="1"/>
    <col min="4" max="4" width="9.5" style="92" customWidth="1"/>
    <col min="5" max="5" width="19.19921875" style="92" customWidth="1"/>
    <col min="6" max="16384" width="9" style="92"/>
  </cols>
  <sheetData>
    <row r="1" spans="1:11" s="95" customFormat="1" ht="24" customHeight="1">
      <c r="A1" s="2724" t="s">
        <v>7700</v>
      </c>
      <c r="B1" s="2724"/>
      <c r="C1" s="2724"/>
      <c r="D1" s="2724"/>
      <c r="E1" s="2724"/>
      <c r="F1" s="93"/>
      <c r="G1" s="93"/>
      <c r="H1" s="93"/>
      <c r="I1" s="94"/>
      <c r="J1" s="94"/>
      <c r="K1" s="94"/>
    </row>
    <row r="2" spans="1:11" ht="24" customHeight="1">
      <c r="A2" s="2725" t="s">
        <v>459</v>
      </c>
      <c r="B2" s="2725"/>
      <c r="C2" s="2725"/>
      <c r="D2" s="2725"/>
      <c r="E2" s="96" t="str">
        <f>"索引号："&amp;档案索引!A20</f>
        <v>索引号：A、调增项目类</v>
      </c>
      <c r="F2" s="97"/>
      <c r="G2" s="97"/>
      <c r="H2" s="97"/>
      <c r="I2" s="98"/>
      <c r="J2" s="98"/>
      <c r="K2" s="98"/>
    </row>
    <row r="3" spans="1:11" ht="6.75" customHeight="1">
      <c r="A3" s="2726"/>
      <c r="B3" s="2726"/>
      <c r="C3" s="2726"/>
      <c r="D3" s="2726"/>
      <c r="E3" s="2726"/>
      <c r="F3" s="97"/>
      <c r="G3" s="97"/>
      <c r="H3" s="97"/>
      <c r="I3" s="98"/>
      <c r="J3" s="98"/>
      <c r="K3" s="98"/>
    </row>
    <row r="4" spans="1:11" ht="36" customHeight="1">
      <c r="A4" s="99" t="s">
        <v>448</v>
      </c>
      <c r="B4" s="2727">
        <f>基本情况!B2</f>
        <v>0</v>
      </c>
      <c r="C4" s="2727"/>
      <c r="D4" s="99" t="s">
        <v>460</v>
      </c>
      <c r="E4" s="1314">
        <f>基本情况!B17</f>
        <v>1500</v>
      </c>
      <c r="F4" s="97"/>
      <c r="G4" s="97"/>
      <c r="H4" s="97"/>
      <c r="I4" s="98"/>
      <c r="J4" s="98"/>
      <c r="K4" s="98"/>
    </row>
    <row r="5" spans="1:11" ht="32.25" customHeight="1">
      <c r="A5" s="99" t="s">
        <v>403</v>
      </c>
      <c r="B5" s="2727">
        <f>基本情况!B18</f>
        <v>0</v>
      </c>
      <c r="C5" s="2727"/>
      <c r="D5" s="99" t="s">
        <v>461</v>
      </c>
      <c r="E5" s="100" t="str">
        <f>基本情况!B3</f>
        <v>企业所得税年度纳税申报审核</v>
      </c>
      <c r="F5" s="97"/>
      <c r="G5" s="97"/>
      <c r="H5" s="97"/>
      <c r="I5" s="98"/>
      <c r="J5" s="98"/>
      <c r="K5" s="98"/>
    </row>
    <row r="6" spans="1:11" ht="33" customHeight="1">
      <c r="A6" s="2723" t="s">
        <v>462</v>
      </c>
      <c r="B6" s="2720"/>
      <c r="C6" s="2720"/>
      <c r="D6" s="2720"/>
      <c r="E6" s="2720"/>
      <c r="F6" s="98"/>
      <c r="G6" s="98"/>
      <c r="H6" s="98"/>
      <c r="I6" s="98"/>
      <c r="J6" s="98"/>
      <c r="K6" s="98"/>
    </row>
    <row r="7" spans="1:11" ht="33" customHeight="1">
      <c r="A7" s="2723"/>
      <c r="B7" s="2720"/>
      <c r="C7" s="2720"/>
      <c r="D7" s="2720"/>
      <c r="E7" s="2720"/>
      <c r="F7" s="98"/>
      <c r="G7" s="98"/>
      <c r="H7" s="98"/>
      <c r="I7" s="98"/>
      <c r="J7" s="98"/>
      <c r="K7" s="98"/>
    </row>
    <row r="8" spans="1:11" ht="28.5" customHeight="1">
      <c r="A8" s="2723"/>
      <c r="B8" s="2721" t="str">
        <f>"  签字："&amp;基本情况!B12&amp;"                         日期："&amp;基本情况!B20</f>
        <v xml:space="preserve">  签字：                         日期：2017年5月4日</v>
      </c>
      <c r="C8" s="2721"/>
      <c r="D8" s="2721"/>
      <c r="E8" s="2721"/>
      <c r="F8" s="98"/>
      <c r="G8" s="98"/>
      <c r="H8" s="98"/>
      <c r="I8" s="98"/>
      <c r="J8" s="98"/>
      <c r="K8" s="98"/>
    </row>
    <row r="9" spans="1:11" ht="33" customHeight="1">
      <c r="A9" s="2718" t="s">
        <v>463</v>
      </c>
      <c r="B9" s="2722"/>
      <c r="C9" s="2722"/>
      <c r="D9" s="2722"/>
      <c r="E9" s="2722"/>
      <c r="F9" s="98"/>
      <c r="G9" s="98"/>
      <c r="H9" s="98"/>
      <c r="I9" s="98"/>
      <c r="J9" s="98"/>
      <c r="K9" s="98"/>
    </row>
    <row r="10" spans="1:11" ht="33" customHeight="1">
      <c r="A10" s="2718"/>
      <c r="B10" s="2722"/>
      <c r="C10" s="2722"/>
      <c r="D10" s="2722"/>
      <c r="E10" s="2722"/>
      <c r="F10" s="98"/>
      <c r="G10" s="98"/>
      <c r="H10" s="98"/>
      <c r="I10" s="98"/>
      <c r="J10" s="98"/>
      <c r="K10" s="98"/>
    </row>
    <row r="11" spans="1:11" ht="36" customHeight="1">
      <c r="A11" s="2718"/>
      <c r="B11" s="2717" t="str">
        <f>"  签字："&amp;基本情况!B11&amp;"                         日期："&amp;基本情况!B20</f>
        <v xml:space="preserve">  签字：                         日期：2017年5月4日</v>
      </c>
      <c r="C11" s="2717"/>
      <c r="D11" s="2717"/>
      <c r="E11" s="2717"/>
      <c r="F11" s="98"/>
      <c r="G11" s="98"/>
      <c r="H11" s="98"/>
      <c r="I11" s="98"/>
      <c r="J11" s="98"/>
      <c r="K11" s="98"/>
    </row>
    <row r="12" spans="1:11" ht="33" customHeight="1">
      <c r="A12" s="2718" t="s">
        <v>464</v>
      </c>
      <c r="B12" s="2719"/>
      <c r="C12" s="2719"/>
      <c r="D12" s="2719"/>
      <c r="E12" s="2719"/>
      <c r="F12" s="98"/>
      <c r="G12" s="98"/>
      <c r="H12" s="98"/>
      <c r="I12" s="98"/>
      <c r="J12" s="98"/>
      <c r="K12" s="98"/>
    </row>
    <row r="13" spans="1:11" ht="33" customHeight="1">
      <c r="A13" s="2718"/>
      <c r="B13" s="2719"/>
      <c r="C13" s="2719"/>
      <c r="D13" s="2719"/>
      <c r="E13" s="2719"/>
      <c r="F13" s="98"/>
      <c r="G13" s="98"/>
      <c r="H13" s="98"/>
      <c r="I13" s="98"/>
      <c r="J13" s="98"/>
      <c r="K13" s="98"/>
    </row>
    <row r="14" spans="1:11" ht="36" customHeight="1">
      <c r="A14" s="2718"/>
      <c r="B14" s="2717" t="str">
        <f>"  签字："&amp;基本情况!B10&amp;"                         日期："&amp;基本情况!B20</f>
        <v xml:space="preserve">  签字：                         日期：2017年5月4日</v>
      </c>
      <c r="C14" s="2717"/>
      <c r="D14" s="2717"/>
      <c r="E14" s="2717"/>
      <c r="F14" s="98"/>
      <c r="G14" s="98"/>
      <c r="H14" s="98"/>
      <c r="I14" s="98"/>
      <c r="J14" s="98"/>
      <c r="K14" s="98"/>
    </row>
    <row r="15" spans="1:11" ht="33" customHeight="1">
      <c r="A15" s="2718" t="s">
        <v>465</v>
      </c>
      <c r="B15" s="2719"/>
      <c r="C15" s="2719"/>
      <c r="D15" s="2719"/>
      <c r="E15" s="2719"/>
      <c r="F15" s="98"/>
      <c r="G15" s="98"/>
      <c r="H15" s="98"/>
      <c r="I15" s="98"/>
      <c r="J15" s="98"/>
      <c r="K15" s="98"/>
    </row>
    <row r="16" spans="1:11" ht="33" customHeight="1">
      <c r="A16" s="2718"/>
      <c r="B16" s="2719"/>
      <c r="C16" s="2719"/>
      <c r="D16" s="2719"/>
      <c r="E16" s="2719"/>
      <c r="F16" s="98"/>
      <c r="G16" s="98"/>
      <c r="H16" s="98"/>
      <c r="I16" s="98"/>
      <c r="J16" s="98"/>
      <c r="K16" s="98"/>
    </row>
    <row r="17" spans="1:11" ht="36" customHeight="1">
      <c r="A17" s="2718"/>
      <c r="B17" s="2717" t="str">
        <f>"  签字："&amp;基本情况!B9&amp;"                         日期："&amp;基本情况!B20</f>
        <v xml:space="preserve">  签字：                         日期：2017年5月4日</v>
      </c>
      <c r="C17" s="2717"/>
      <c r="D17" s="2717"/>
      <c r="E17" s="2717"/>
      <c r="F17" s="98"/>
      <c r="G17" s="98"/>
      <c r="H17" s="98"/>
      <c r="I17" s="98"/>
      <c r="J17" s="98"/>
      <c r="K17" s="98"/>
    </row>
    <row r="18" spans="1:11" ht="30" customHeight="1">
      <c r="A18" s="2718" t="s">
        <v>466</v>
      </c>
      <c r="B18" s="101" t="s">
        <v>467</v>
      </c>
      <c r="C18" s="2729" t="s">
        <v>468</v>
      </c>
      <c r="D18" s="2729"/>
      <c r="E18" s="2729"/>
      <c r="F18" s="98"/>
      <c r="G18" s="98"/>
      <c r="H18" s="98"/>
      <c r="I18" s="98"/>
      <c r="J18" s="98"/>
      <c r="K18" s="98"/>
    </row>
    <row r="19" spans="1:11" ht="22.5" customHeight="1">
      <c r="A19" s="2718"/>
      <c r="B19" s="2737" t="s">
        <v>469</v>
      </c>
      <c r="C19" s="2737"/>
      <c r="D19" s="2737"/>
      <c r="E19" s="2737"/>
      <c r="F19" s="98"/>
      <c r="G19" s="98"/>
      <c r="H19" s="98"/>
      <c r="I19" s="98"/>
      <c r="J19" s="98"/>
      <c r="K19" s="98"/>
    </row>
    <row r="20" spans="1:11" ht="36" customHeight="1">
      <c r="A20" s="2718"/>
      <c r="B20" s="2730" t="s">
        <v>1454</v>
      </c>
      <c r="C20" s="2730"/>
      <c r="D20" s="2730"/>
      <c r="E20" s="2730"/>
      <c r="F20" s="98"/>
      <c r="G20" s="98"/>
      <c r="H20" s="98"/>
      <c r="I20" s="98"/>
      <c r="J20" s="98"/>
      <c r="K20" s="98"/>
    </row>
    <row r="21" spans="1:11" ht="30" customHeight="1">
      <c r="A21" s="2718"/>
      <c r="B21" s="102" t="s">
        <v>1455</v>
      </c>
      <c r="C21" s="2714" t="s">
        <v>1456</v>
      </c>
      <c r="D21" s="2714"/>
      <c r="E21" s="2714"/>
      <c r="F21" s="98"/>
      <c r="G21" s="98"/>
      <c r="H21" s="98"/>
      <c r="I21" s="98"/>
      <c r="J21" s="98"/>
      <c r="K21" s="98"/>
    </row>
    <row r="22" spans="1:11" ht="30" customHeight="1">
      <c r="A22" s="2731" t="s">
        <v>456</v>
      </c>
      <c r="B22" s="2733" t="s">
        <v>266</v>
      </c>
      <c r="C22" s="2734"/>
      <c r="D22" s="2735">
        <f ca="1">'A100000中华人民共和国企业所得税年度纳税申报表（A类）'!D22</f>
        <v>0</v>
      </c>
      <c r="E22" s="2736"/>
      <c r="F22" s="2712" t="s">
        <v>649</v>
      </c>
      <c r="G22" s="2713"/>
      <c r="H22" s="2713"/>
      <c r="I22" s="2713"/>
      <c r="J22" s="98"/>
      <c r="K22" s="98"/>
    </row>
    <row r="23" spans="1:11" ht="24" customHeight="1">
      <c r="A23" s="2732"/>
      <c r="B23" s="2715" t="s">
        <v>265</v>
      </c>
      <c r="C23" s="2716"/>
      <c r="D23" s="2735">
        <f ca="1">'A100000中华人民共和国企业所得税年度纳税申报表（A类）'!D26</f>
        <v>0</v>
      </c>
      <c r="E23" s="2736"/>
      <c r="F23" s="98"/>
      <c r="G23" s="98"/>
      <c r="H23" s="98"/>
      <c r="I23" s="98"/>
      <c r="J23" s="98"/>
      <c r="K23" s="98"/>
    </row>
    <row r="24" spans="1:11" ht="24" customHeight="1">
      <c r="A24" s="2732"/>
      <c r="B24" s="2740" t="s">
        <v>263</v>
      </c>
      <c r="C24" s="2741"/>
      <c r="D24" s="2738">
        <f ca="1">'A100000中华人民共和国企业所得税年度纳税申报表（A类）'!D36</f>
        <v>0</v>
      </c>
      <c r="E24" s="2739"/>
      <c r="F24" s="98"/>
      <c r="G24" s="98"/>
      <c r="H24" s="98"/>
      <c r="I24" s="98"/>
      <c r="J24" s="98"/>
      <c r="K24" s="98"/>
    </row>
    <row r="25" spans="1:11" ht="39" customHeight="1">
      <c r="A25" s="2695"/>
      <c r="B25" s="2728"/>
      <c r="C25" s="2728"/>
      <c r="D25" s="2728"/>
      <c r="E25" s="2728"/>
      <c r="F25" s="98"/>
      <c r="G25" s="98"/>
      <c r="H25" s="98"/>
      <c r="I25" s="98"/>
      <c r="J25" s="98"/>
      <c r="K25" s="98"/>
    </row>
  </sheetData>
  <sheetProtection selectLockedCells="1" selectUnlockedCells="1"/>
  <mergeCells count="31">
    <mergeCell ref="B25:E25"/>
    <mergeCell ref="A15:A17"/>
    <mergeCell ref="B15:E16"/>
    <mergeCell ref="B17:E17"/>
    <mergeCell ref="A18:A21"/>
    <mergeCell ref="C18:E18"/>
    <mergeCell ref="B20:E20"/>
    <mergeCell ref="A22:A25"/>
    <mergeCell ref="B22:C22"/>
    <mergeCell ref="D22:E22"/>
    <mergeCell ref="B19:E19"/>
    <mergeCell ref="D23:E23"/>
    <mergeCell ref="D24:E24"/>
    <mergeCell ref="B24:C24"/>
    <mergeCell ref="A1:E1"/>
    <mergeCell ref="A2:D2"/>
    <mergeCell ref="A3:E3"/>
    <mergeCell ref="B4:C4"/>
    <mergeCell ref="B5:C5"/>
    <mergeCell ref="B6:E7"/>
    <mergeCell ref="B8:E8"/>
    <mergeCell ref="A9:A11"/>
    <mergeCell ref="B9:E10"/>
    <mergeCell ref="A6:A8"/>
    <mergeCell ref="F22:I22"/>
    <mergeCell ref="C21:E21"/>
    <mergeCell ref="B23:C23"/>
    <mergeCell ref="B11:E11"/>
    <mergeCell ref="A12:A14"/>
    <mergeCell ref="B12:E13"/>
    <mergeCell ref="B14:E14"/>
  </mergeCells>
  <phoneticPr fontId="51" type="noConversion"/>
  <hyperlinks>
    <hyperlink ref="F22:I22" location="'A100000中华人民共和国企业所得税年度纳税申报表（A类）'!A30" display="申报主表"/>
  </hyperlinks>
  <pageMargins left="0.78740157480314998" right="0.35433070866141703" top="0.511811023622047" bottom="0.11811023622047198" header="0.511811023622047" footer="0.511811023622047"/>
  <pageSetup paperSize="9" firstPageNumber="0" orientation="portrait" blackAndWhite="1" r:id="rId1"/>
  <headerFooter alignWithMargins="0"/>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7"/>
  <dimension ref="A1:Q44"/>
  <sheetViews>
    <sheetView workbookViewId="0">
      <selection activeCell="F3" sqref="F3"/>
    </sheetView>
  </sheetViews>
  <sheetFormatPr defaultColWidth="9" defaultRowHeight="15.6"/>
  <cols>
    <col min="1" max="1" width="4.59765625" style="103" customWidth="1"/>
    <col min="2" max="2" width="5" style="103" customWidth="1"/>
    <col min="3" max="9" width="6" style="103" customWidth="1"/>
    <col min="10" max="10" width="22.19921875" style="103" customWidth="1"/>
    <col min="11" max="11" width="8.19921875" style="103" customWidth="1"/>
    <col min="12" max="16384" width="9" style="103"/>
  </cols>
  <sheetData>
    <row r="1" spans="1:17" ht="27" customHeight="1">
      <c r="A1" s="2742" t="s">
        <v>294</v>
      </c>
      <c r="B1" s="2742"/>
      <c r="C1" s="2742"/>
      <c r="D1" s="2742"/>
      <c r="E1" s="2742"/>
      <c r="F1" s="2742"/>
      <c r="G1" s="2742"/>
      <c r="H1" s="2742"/>
      <c r="I1" s="2742"/>
      <c r="J1" s="2742"/>
      <c r="K1" s="2742"/>
      <c r="L1" s="104"/>
      <c r="M1" s="104"/>
      <c r="N1" s="104"/>
      <c r="O1" s="104"/>
      <c r="P1" s="104"/>
      <c r="Q1" s="104"/>
    </row>
    <row r="2" spans="1:17" ht="25.5" customHeight="1">
      <c r="A2" s="2743" t="str">
        <f>"委托单位名称："&amp;基本情况!B2</f>
        <v>委托单位名称：0</v>
      </c>
      <c r="B2" s="2743"/>
      <c r="C2" s="2743"/>
      <c r="D2" s="2743"/>
      <c r="E2" s="2743"/>
      <c r="F2" s="2743"/>
      <c r="G2" s="2743"/>
      <c r="H2" s="2743"/>
      <c r="I2" s="2743"/>
      <c r="J2" s="2743"/>
      <c r="K2" s="105" t="s">
        <v>283</v>
      </c>
      <c r="L2" s="104"/>
      <c r="M2" s="104"/>
      <c r="N2" s="104"/>
      <c r="O2" s="104"/>
      <c r="P2" s="104"/>
      <c r="Q2" s="104"/>
    </row>
    <row r="3" spans="1:17" ht="30" customHeight="1">
      <c r="A3" s="2744" t="s">
        <v>1457</v>
      </c>
      <c r="B3" s="2744"/>
      <c r="C3" s="106"/>
      <c r="D3" s="107"/>
      <c r="E3" s="106"/>
      <c r="F3" s="106"/>
      <c r="G3" s="107"/>
      <c r="H3" s="107"/>
      <c r="I3" s="2745" t="str">
        <f>"纳税所属年度："&amp;IF(OR(基本情况!B6&lt;&gt;"12月31日",基本情况!F5&lt;&gt;"01",基本情况!G5&lt;&gt;"01"),基本情况!B7,基本情况!B4&amp;"年度")</f>
        <v>纳税所属年度：2016年度</v>
      </c>
      <c r="J3" s="2745"/>
      <c r="K3" s="2746" t="str">
        <f>档案索引!A22</f>
        <v>2A-2</v>
      </c>
      <c r="L3" s="104"/>
      <c r="M3" s="104"/>
      <c r="N3" s="104"/>
      <c r="O3" s="104"/>
      <c r="P3" s="104"/>
      <c r="Q3" s="104"/>
    </row>
    <row r="4" spans="1:17" ht="25.5" customHeight="1">
      <c r="A4" s="108" t="str">
        <f>"报告文号："&amp;基本情况!B18</f>
        <v>报告文号：</v>
      </c>
      <c r="B4" s="109"/>
      <c r="C4" s="109"/>
      <c r="D4" s="110"/>
      <c r="E4" s="110"/>
      <c r="F4" s="110"/>
      <c r="G4" s="111"/>
      <c r="H4" s="112"/>
      <c r="I4" s="2747" t="str">
        <f>"业务类型："&amp;基本情况!B3</f>
        <v>业务类型：企业所得税年度纳税申报审核</v>
      </c>
      <c r="J4" s="2747"/>
      <c r="K4" s="2746"/>
      <c r="L4" s="104"/>
      <c r="M4" s="104"/>
      <c r="N4" s="104"/>
      <c r="O4" s="104"/>
      <c r="P4" s="104"/>
      <c r="Q4" s="104"/>
    </row>
    <row r="5" spans="1:17" ht="7.5" customHeight="1">
      <c r="A5" s="2748"/>
      <c r="B5" s="2748"/>
      <c r="C5" s="2748"/>
      <c r="D5" s="2748"/>
      <c r="E5" s="2748"/>
      <c r="F5" s="2748"/>
      <c r="G5" s="2748"/>
      <c r="H5" s="2748"/>
      <c r="I5" s="2748"/>
      <c r="J5" s="2748"/>
      <c r="K5" s="2748"/>
      <c r="L5" s="104"/>
      <c r="M5" s="104"/>
      <c r="N5" s="104"/>
      <c r="O5" s="104"/>
      <c r="P5" s="104"/>
      <c r="Q5" s="104"/>
    </row>
    <row r="6" spans="1:17" ht="28.5" customHeight="1">
      <c r="A6" s="113" t="s">
        <v>1458</v>
      </c>
      <c r="B6" s="2749" t="s">
        <v>1459</v>
      </c>
      <c r="C6" s="2749"/>
      <c r="D6" s="2749"/>
      <c r="E6" s="114" t="s">
        <v>1460</v>
      </c>
      <c r="F6" s="2749" t="s">
        <v>1420</v>
      </c>
      <c r="G6" s="2749"/>
      <c r="H6" s="2749"/>
      <c r="I6" s="2749"/>
      <c r="J6" s="2749"/>
      <c r="K6" s="115" t="s">
        <v>1421</v>
      </c>
      <c r="L6" s="104"/>
      <c r="M6" s="104"/>
      <c r="N6" s="104"/>
      <c r="O6" s="104"/>
      <c r="P6" s="104"/>
      <c r="Q6" s="104"/>
    </row>
    <row r="7" spans="1:17" ht="22.5" customHeight="1">
      <c r="A7" s="2750" t="s">
        <v>399</v>
      </c>
      <c r="B7" s="2751" t="s">
        <v>1422</v>
      </c>
      <c r="C7" s="2751"/>
      <c r="D7" s="2751"/>
      <c r="E7" s="2752"/>
      <c r="F7" s="2753"/>
      <c r="G7" s="2753"/>
      <c r="H7" s="2753"/>
      <c r="I7" s="2753"/>
      <c r="J7" s="2753"/>
      <c r="K7" s="2754"/>
      <c r="L7" s="104"/>
      <c r="M7" s="104"/>
      <c r="N7" s="104"/>
      <c r="O7" s="104"/>
      <c r="P7" s="104"/>
      <c r="Q7" s="104"/>
    </row>
    <row r="8" spans="1:17" ht="22.5" customHeight="1">
      <c r="A8" s="2750"/>
      <c r="B8" s="2751"/>
      <c r="C8" s="2751"/>
      <c r="D8" s="2751"/>
      <c r="E8" s="2752"/>
      <c r="F8" s="2755"/>
      <c r="G8" s="2755"/>
      <c r="H8" s="2755"/>
      <c r="I8" s="2755"/>
      <c r="J8" s="2755"/>
      <c r="K8" s="2754"/>
      <c r="L8" s="104"/>
      <c r="M8" s="104"/>
      <c r="N8" s="104"/>
      <c r="O8" s="104"/>
      <c r="P8" s="104"/>
      <c r="Q8" s="104"/>
    </row>
    <row r="9" spans="1:17" ht="22.5" customHeight="1">
      <c r="A9" s="2750"/>
      <c r="B9" s="2751"/>
      <c r="C9" s="2751"/>
      <c r="D9" s="2751"/>
      <c r="E9" s="2752"/>
      <c r="F9" s="2755"/>
      <c r="G9" s="2755"/>
      <c r="H9" s="2755"/>
      <c r="I9" s="2755"/>
      <c r="J9" s="2755"/>
      <c r="K9" s="2754"/>
      <c r="L9" s="104"/>
      <c r="M9" s="104"/>
      <c r="N9" s="104"/>
      <c r="O9" s="104"/>
      <c r="P9" s="104"/>
      <c r="Q9" s="104"/>
    </row>
    <row r="10" spans="1:17" ht="21" customHeight="1">
      <c r="A10" s="2750"/>
      <c r="B10" s="2751"/>
      <c r="C10" s="2751"/>
      <c r="D10" s="2751"/>
      <c r="E10" s="2752"/>
      <c r="F10" s="2755"/>
      <c r="G10" s="2755"/>
      <c r="H10" s="2755"/>
      <c r="I10" s="2755"/>
      <c r="J10" s="2755"/>
      <c r="K10" s="2754"/>
      <c r="L10" s="104"/>
      <c r="M10" s="104"/>
      <c r="N10" s="104"/>
      <c r="O10" s="104"/>
      <c r="P10" s="104"/>
      <c r="Q10" s="104"/>
    </row>
    <row r="11" spans="1:17" ht="15" customHeight="1">
      <c r="A11" s="2750"/>
      <c r="B11" s="2751"/>
      <c r="C11" s="2751"/>
      <c r="D11" s="2751"/>
      <c r="E11" s="2752"/>
      <c r="F11" s="2755"/>
      <c r="G11" s="2755"/>
      <c r="H11" s="2755"/>
      <c r="I11" s="2755"/>
      <c r="J11" s="2755"/>
      <c r="K11" s="2754"/>
      <c r="L11" s="104"/>
      <c r="M11" s="104"/>
      <c r="N11" s="104"/>
      <c r="O11" s="104"/>
      <c r="P11" s="104"/>
      <c r="Q11" s="104"/>
    </row>
    <row r="12" spans="1:17" ht="13.5" customHeight="1">
      <c r="A12" s="2750"/>
      <c r="B12" s="2751"/>
      <c r="C12" s="2751"/>
      <c r="D12" s="2751"/>
      <c r="E12" s="2752"/>
      <c r="F12" s="2755"/>
      <c r="G12" s="2755"/>
      <c r="H12" s="2755"/>
      <c r="I12" s="2755"/>
      <c r="J12" s="2755"/>
      <c r="K12" s="2754"/>
      <c r="L12" s="104"/>
      <c r="M12" s="104"/>
      <c r="N12" s="104"/>
      <c r="O12" s="104"/>
      <c r="P12" s="104"/>
      <c r="Q12" s="104"/>
    </row>
    <row r="13" spans="1:17" ht="14.25" customHeight="1">
      <c r="A13" s="2750"/>
      <c r="B13" s="2751"/>
      <c r="C13" s="2751"/>
      <c r="D13" s="2751"/>
      <c r="E13" s="2752"/>
      <c r="F13" s="2755"/>
      <c r="G13" s="2755"/>
      <c r="H13" s="2755"/>
      <c r="I13" s="2755"/>
      <c r="J13" s="2755"/>
      <c r="K13" s="2754"/>
      <c r="L13" s="104"/>
      <c r="M13" s="104"/>
      <c r="N13" s="104"/>
      <c r="O13" s="104"/>
      <c r="P13" s="104"/>
      <c r="Q13" s="104"/>
    </row>
    <row r="14" spans="1:17" ht="14.25" customHeight="1">
      <c r="A14" s="2750"/>
      <c r="B14" s="2751"/>
      <c r="C14" s="2751"/>
      <c r="D14" s="2751"/>
      <c r="E14" s="2752"/>
      <c r="F14" s="2756" t="str">
        <f>"签名："&amp;基本情况!B11&amp;"               日期："&amp;基本情况!B20</f>
        <v>签名：               日期：2017年5月4日</v>
      </c>
      <c r="G14" s="2756"/>
      <c r="H14" s="2756"/>
      <c r="I14" s="2756"/>
      <c r="J14" s="2756"/>
      <c r="K14" s="2754"/>
      <c r="L14" s="104"/>
      <c r="M14" s="104"/>
      <c r="N14" s="104"/>
      <c r="O14" s="104"/>
      <c r="P14" s="104"/>
      <c r="Q14" s="104"/>
    </row>
    <row r="15" spans="1:17" ht="12" customHeight="1">
      <c r="A15" s="2750"/>
      <c r="B15" s="2751"/>
      <c r="C15" s="2751"/>
      <c r="D15" s="2751"/>
      <c r="E15" s="2752"/>
      <c r="F15" s="2756"/>
      <c r="G15" s="2756"/>
      <c r="H15" s="2756"/>
      <c r="I15" s="2756"/>
      <c r="J15" s="2756"/>
      <c r="K15" s="2754"/>
      <c r="L15" s="104"/>
      <c r="M15" s="104"/>
      <c r="N15" s="104"/>
      <c r="O15" s="104"/>
      <c r="P15" s="104"/>
      <c r="Q15" s="104"/>
    </row>
    <row r="16" spans="1:17" ht="20.25" customHeight="1">
      <c r="A16" s="2757" t="s">
        <v>1423</v>
      </c>
      <c r="B16" s="2758" t="s">
        <v>1424</v>
      </c>
      <c r="C16" s="2758"/>
      <c r="D16" s="2758"/>
      <c r="E16" s="2759"/>
      <c r="F16" s="2760"/>
      <c r="G16" s="2760"/>
      <c r="H16" s="2760"/>
      <c r="I16" s="2760"/>
      <c r="J16" s="2760"/>
      <c r="K16" s="2761"/>
      <c r="L16" s="104"/>
      <c r="M16" s="104"/>
      <c r="N16" s="104"/>
      <c r="O16" s="104"/>
      <c r="P16" s="104"/>
      <c r="Q16" s="104"/>
    </row>
    <row r="17" spans="1:17" ht="11.25" customHeight="1">
      <c r="A17" s="2757"/>
      <c r="B17" s="2758"/>
      <c r="C17" s="2758"/>
      <c r="D17" s="2758"/>
      <c r="E17" s="2759"/>
      <c r="F17" s="2755"/>
      <c r="G17" s="2755"/>
      <c r="H17" s="2755"/>
      <c r="I17" s="2755"/>
      <c r="J17" s="2755"/>
      <c r="K17" s="2761"/>
      <c r="L17" s="104"/>
      <c r="M17" s="104"/>
      <c r="N17" s="104"/>
      <c r="O17" s="104"/>
      <c r="P17" s="104"/>
      <c r="Q17" s="104"/>
    </row>
    <row r="18" spans="1:17" ht="15.75" customHeight="1">
      <c r="A18" s="2757"/>
      <c r="B18" s="2758"/>
      <c r="C18" s="2758"/>
      <c r="D18" s="2758"/>
      <c r="E18" s="2759"/>
      <c r="F18" s="2755"/>
      <c r="G18" s="2755"/>
      <c r="H18" s="2755"/>
      <c r="I18" s="2755"/>
      <c r="J18" s="2755"/>
      <c r="K18" s="2761"/>
      <c r="L18" s="104"/>
      <c r="M18" s="104"/>
      <c r="N18" s="104"/>
      <c r="O18" s="104"/>
      <c r="P18" s="104"/>
      <c r="Q18" s="104"/>
    </row>
    <row r="19" spans="1:17" ht="22.5" customHeight="1">
      <c r="A19" s="2757"/>
      <c r="B19" s="2758"/>
      <c r="C19" s="2758"/>
      <c r="D19" s="2758"/>
      <c r="E19" s="2759"/>
      <c r="F19" s="2755"/>
      <c r="G19" s="2755"/>
      <c r="H19" s="2755"/>
      <c r="I19" s="2755"/>
      <c r="J19" s="2755"/>
      <c r="K19" s="2761"/>
      <c r="L19" s="104"/>
      <c r="M19" s="104"/>
      <c r="N19" s="104"/>
      <c r="O19" s="104"/>
      <c r="P19" s="104"/>
      <c r="Q19" s="104"/>
    </row>
    <row r="20" spans="1:17" ht="17.25" customHeight="1">
      <c r="A20" s="2757"/>
      <c r="B20" s="2758"/>
      <c r="C20" s="2758"/>
      <c r="D20" s="2758"/>
      <c r="E20" s="2759"/>
      <c r="F20" s="2755"/>
      <c r="G20" s="2755"/>
      <c r="H20" s="2755"/>
      <c r="I20" s="2755"/>
      <c r="J20" s="2755"/>
      <c r="K20" s="2761"/>
      <c r="L20" s="104"/>
      <c r="M20" s="104"/>
      <c r="N20" s="104"/>
      <c r="O20" s="104"/>
      <c r="P20" s="104"/>
      <c r="Q20" s="104"/>
    </row>
    <row r="21" spans="1:17" ht="12.75" customHeight="1">
      <c r="A21" s="2757"/>
      <c r="B21" s="2758"/>
      <c r="C21" s="2758"/>
      <c r="D21" s="2758"/>
      <c r="E21" s="2759"/>
      <c r="F21" s="2755"/>
      <c r="G21" s="2755"/>
      <c r="H21" s="2755"/>
      <c r="I21" s="2755"/>
      <c r="J21" s="2755"/>
      <c r="K21" s="2761"/>
      <c r="L21" s="104"/>
      <c r="M21" s="104"/>
      <c r="N21" s="104"/>
      <c r="O21" s="104"/>
      <c r="P21" s="104"/>
      <c r="Q21" s="104"/>
    </row>
    <row r="22" spans="1:17" ht="12.75" customHeight="1">
      <c r="A22" s="2757"/>
      <c r="B22" s="2758"/>
      <c r="C22" s="2758"/>
      <c r="D22" s="2758"/>
      <c r="E22" s="2759"/>
      <c r="F22" s="2755"/>
      <c r="G22" s="2755"/>
      <c r="H22" s="2755"/>
      <c r="I22" s="2755"/>
      <c r="J22" s="2755"/>
      <c r="K22" s="2761"/>
      <c r="L22" s="104"/>
      <c r="M22" s="104"/>
      <c r="N22" s="104"/>
      <c r="O22" s="104"/>
      <c r="P22" s="104"/>
      <c r="Q22" s="104"/>
    </row>
    <row r="23" spans="1:17" ht="12" customHeight="1">
      <c r="A23" s="2757"/>
      <c r="B23" s="2758"/>
      <c r="C23" s="2758"/>
      <c r="D23" s="2758"/>
      <c r="E23" s="2759"/>
      <c r="F23" s="2755"/>
      <c r="G23" s="2755"/>
      <c r="H23" s="2755"/>
      <c r="I23" s="2755"/>
      <c r="J23" s="2755"/>
      <c r="K23" s="2761"/>
      <c r="L23" s="104"/>
      <c r="M23" s="104"/>
      <c r="N23" s="104"/>
      <c r="O23" s="104"/>
      <c r="P23" s="104"/>
      <c r="Q23" s="104"/>
    </row>
    <row r="24" spans="1:17" ht="15" customHeight="1">
      <c r="A24" s="2757"/>
      <c r="B24" s="2758"/>
      <c r="C24" s="2758"/>
      <c r="D24" s="2758"/>
      <c r="E24" s="2759"/>
      <c r="F24" s="2756" t="str">
        <f>"签名："&amp;基本情况!B10&amp;"               日期:"&amp;基本情况!B20</f>
        <v>签名：               日期:2017年5月4日</v>
      </c>
      <c r="G24" s="2756"/>
      <c r="H24" s="2756"/>
      <c r="I24" s="2756"/>
      <c r="J24" s="2756"/>
      <c r="K24" s="2761"/>
      <c r="L24" s="104"/>
      <c r="M24" s="104"/>
      <c r="N24" s="104"/>
      <c r="O24" s="104"/>
      <c r="P24" s="104"/>
      <c r="Q24" s="104"/>
    </row>
    <row r="25" spans="1:17" ht="19.5" customHeight="1">
      <c r="A25" s="2757"/>
      <c r="B25" s="2758"/>
      <c r="C25" s="2758"/>
      <c r="D25" s="2758"/>
      <c r="E25" s="2759"/>
      <c r="F25" s="2756"/>
      <c r="G25" s="2756"/>
      <c r="H25" s="2756"/>
      <c r="I25" s="2756"/>
      <c r="J25" s="2756"/>
      <c r="K25" s="2761"/>
      <c r="L25" s="104"/>
      <c r="M25" s="104"/>
      <c r="N25" s="104"/>
      <c r="O25" s="104"/>
      <c r="P25" s="104"/>
      <c r="Q25" s="104"/>
    </row>
    <row r="26" spans="1:17" ht="22.5" customHeight="1">
      <c r="A26" s="2757" t="s">
        <v>1425</v>
      </c>
      <c r="B26" s="2758" t="s">
        <v>98</v>
      </c>
      <c r="C26" s="2758"/>
      <c r="D26" s="2758"/>
      <c r="E26" s="2759"/>
      <c r="F26" s="2760"/>
      <c r="G26" s="2760"/>
      <c r="H26" s="2760"/>
      <c r="I26" s="2760"/>
      <c r="J26" s="2760"/>
      <c r="K26" s="2761"/>
      <c r="L26" s="104"/>
      <c r="M26" s="104"/>
      <c r="N26" s="104"/>
      <c r="O26" s="104"/>
      <c r="P26" s="104"/>
      <c r="Q26" s="104"/>
    </row>
    <row r="27" spans="1:17" ht="19.5" customHeight="1">
      <c r="A27" s="2757"/>
      <c r="B27" s="2758"/>
      <c r="C27" s="2758"/>
      <c r="D27" s="2758"/>
      <c r="E27" s="2759"/>
      <c r="F27" s="2755"/>
      <c r="G27" s="2755"/>
      <c r="H27" s="2755"/>
      <c r="I27" s="2755"/>
      <c r="J27" s="2755"/>
      <c r="K27" s="2761"/>
      <c r="L27" s="104"/>
      <c r="M27" s="104"/>
      <c r="N27" s="104"/>
      <c r="O27" s="104"/>
      <c r="P27" s="104"/>
      <c r="Q27" s="104"/>
    </row>
    <row r="28" spans="1:17" ht="22.5" customHeight="1">
      <c r="A28" s="2757"/>
      <c r="B28" s="2758"/>
      <c r="C28" s="2758"/>
      <c r="D28" s="2758"/>
      <c r="E28" s="2759"/>
      <c r="F28" s="2755"/>
      <c r="G28" s="2755"/>
      <c r="H28" s="2755"/>
      <c r="I28" s="2755"/>
      <c r="J28" s="2755"/>
      <c r="K28" s="2761"/>
      <c r="L28" s="104"/>
      <c r="M28" s="104"/>
      <c r="N28" s="104"/>
      <c r="O28" s="104"/>
      <c r="P28" s="104"/>
      <c r="Q28" s="104"/>
    </row>
    <row r="29" spans="1:17" ht="22.5" customHeight="1">
      <c r="A29" s="2757"/>
      <c r="B29" s="2758"/>
      <c r="C29" s="2758"/>
      <c r="D29" s="2758"/>
      <c r="E29" s="2759"/>
      <c r="F29" s="2755"/>
      <c r="G29" s="2755"/>
      <c r="H29" s="2755"/>
      <c r="I29" s="2755"/>
      <c r="J29" s="2755"/>
      <c r="K29" s="2761"/>
      <c r="L29" s="104"/>
      <c r="M29" s="104"/>
      <c r="N29" s="104"/>
      <c r="O29" s="104"/>
      <c r="P29" s="104"/>
      <c r="Q29" s="104"/>
    </row>
    <row r="30" spans="1:17" ht="4.5" customHeight="1">
      <c r="A30" s="2757"/>
      <c r="B30" s="2758"/>
      <c r="C30" s="2758"/>
      <c r="D30" s="2758"/>
      <c r="E30" s="2759"/>
      <c r="F30" s="2755"/>
      <c r="G30" s="2755"/>
      <c r="H30" s="2755"/>
      <c r="I30" s="2755"/>
      <c r="J30" s="2755"/>
      <c r="K30" s="2761"/>
      <c r="L30" s="104"/>
      <c r="M30" s="104"/>
      <c r="N30" s="104"/>
      <c r="O30" s="104"/>
      <c r="P30" s="104"/>
      <c r="Q30" s="104"/>
    </row>
    <row r="31" spans="1:17" ht="6.75" customHeight="1">
      <c r="A31" s="2757"/>
      <c r="B31" s="2758"/>
      <c r="C31" s="2758"/>
      <c r="D31" s="2758"/>
      <c r="E31" s="2759"/>
      <c r="F31" s="2755"/>
      <c r="G31" s="2755"/>
      <c r="H31" s="2755"/>
      <c r="I31" s="2755"/>
      <c r="J31" s="2755"/>
      <c r="K31" s="2761"/>
      <c r="L31" s="104"/>
      <c r="M31" s="104"/>
      <c r="N31" s="104"/>
      <c r="O31" s="104"/>
      <c r="P31" s="104"/>
      <c r="Q31" s="104"/>
    </row>
    <row r="32" spans="1:17" ht="15.75" customHeight="1">
      <c r="A32" s="2757"/>
      <c r="B32" s="2758"/>
      <c r="C32" s="2758"/>
      <c r="D32" s="2758"/>
      <c r="E32" s="2759"/>
      <c r="F32" s="2756" t="str">
        <f>"签名："&amp;基本情况!B9&amp;"               日期："&amp;基本情况!B20</f>
        <v>签名：               日期：2017年5月4日</v>
      </c>
      <c r="G32" s="2756"/>
      <c r="H32" s="2756"/>
      <c r="I32" s="2756"/>
      <c r="J32" s="2756"/>
      <c r="K32" s="2761"/>
      <c r="L32" s="104"/>
      <c r="M32" s="104"/>
      <c r="N32" s="104"/>
      <c r="O32" s="104"/>
      <c r="P32" s="104"/>
      <c r="Q32" s="104"/>
    </row>
    <row r="33" spans="1:17" ht="12" customHeight="1">
      <c r="A33" s="2757"/>
      <c r="B33" s="2758"/>
      <c r="C33" s="2758"/>
      <c r="D33" s="2758"/>
      <c r="E33" s="2759"/>
      <c r="F33" s="2756"/>
      <c r="G33" s="2756"/>
      <c r="H33" s="2756"/>
      <c r="I33" s="2756"/>
      <c r="J33" s="2756"/>
      <c r="K33" s="2761"/>
      <c r="L33" s="104"/>
      <c r="M33" s="104"/>
      <c r="N33" s="104"/>
      <c r="O33" s="104"/>
      <c r="P33" s="104"/>
      <c r="Q33" s="104"/>
    </row>
    <row r="34" spans="1:17" ht="23.25" customHeight="1">
      <c r="A34" s="2764" t="s">
        <v>99</v>
      </c>
      <c r="B34" s="2764"/>
      <c r="C34" s="2764"/>
      <c r="D34" s="2764"/>
      <c r="E34" s="2764"/>
      <c r="F34" s="2764"/>
      <c r="G34" s="2764"/>
      <c r="H34" s="2764"/>
      <c r="I34" s="2764"/>
      <c r="J34" s="2764"/>
      <c r="K34" s="2764"/>
      <c r="L34" s="104"/>
      <c r="M34" s="104"/>
      <c r="N34" s="104"/>
      <c r="O34" s="104"/>
      <c r="P34" s="104"/>
      <c r="Q34" s="104"/>
    </row>
    <row r="35" spans="1:17">
      <c r="A35" s="2765" t="s">
        <v>100</v>
      </c>
      <c r="B35" s="2766"/>
      <c r="C35" s="2766"/>
      <c r="D35" s="2766"/>
      <c r="E35" s="2766"/>
      <c r="F35" s="2766"/>
      <c r="G35" s="2766"/>
      <c r="H35" s="2766"/>
      <c r="I35" s="2766"/>
      <c r="J35" s="2766"/>
      <c r="K35" s="2766"/>
      <c r="L35" s="104"/>
      <c r="M35" s="104"/>
      <c r="N35" s="104"/>
      <c r="O35" s="104"/>
      <c r="P35" s="104"/>
      <c r="Q35" s="104"/>
    </row>
    <row r="36" spans="1:17">
      <c r="A36" s="2765"/>
      <c r="B36" s="2766"/>
      <c r="C36" s="2766"/>
      <c r="D36" s="2766"/>
      <c r="E36" s="2766"/>
      <c r="F36" s="2766"/>
      <c r="G36" s="2766"/>
      <c r="H36" s="2766"/>
      <c r="I36" s="2766"/>
      <c r="J36" s="2766"/>
      <c r="K36" s="2766"/>
      <c r="L36" s="104"/>
      <c r="M36" s="104"/>
      <c r="N36" s="104"/>
      <c r="O36" s="104"/>
      <c r="P36" s="104"/>
      <c r="Q36" s="104"/>
    </row>
    <row r="37" spans="1:17">
      <c r="A37" s="2762" t="s">
        <v>101</v>
      </c>
      <c r="B37" s="2763"/>
      <c r="C37" s="2763"/>
      <c r="D37" s="2763"/>
      <c r="E37" s="2763"/>
      <c r="F37" s="2763"/>
      <c r="G37" s="2763"/>
      <c r="H37" s="2763"/>
      <c r="I37" s="2763"/>
      <c r="J37" s="2763"/>
      <c r="K37" s="2763"/>
      <c r="L37" s="104"/>
      <c r="M37" s="104"/>
      <c r="N37" s="104"/>
      <c r="O37" s="104"/>
      <c r="P37" s="104"/>
      <c r="Q37" s="104"/>
    </row>
    <row r="38" spans="1:17">
      <c r="A38" s="2762"/>
      <c r="B38" s="2763"/>
      <c r="C38" s="2763"/>
      <c r="D38" s="2763"/>
      <c r="E38" s="2763"/>
      <c r="F38" s="2763"/>
      <c r="G38" s="2763"/>
      <c r="H38" s="2763"/>
      <c r="I38" s="2763"/>
      <c r="J38" s="2763"/>
      <c r="K38" s="2763"/>
      <c r="L38" s="104"/>
      <c r="M38" s="104"/>
      <c r="N38" s="104"/>
      <c r="O38" s="104"/>
      <c r="P38" s="104"/>
      <c r="Q38" s="104"/>
    </row>
    <row r="39" spans="1:17">
      <c r="A39" s="2762" t="s">
        <v>102</v>
      </c>
      <c r="B39" s="2763"/>
      <c r="C39" s="2763"/>
      <c r="D39" s="2763"/>
      <c r="E39" s="2763"/>
      <c r="F39" s="2763"/>
      <c r="G39" s="2763"/>
      <c r="H39" s="2763"/>
      <c r="I39" s="2763"/>
      <c r="J39" s="2763"/>
      <c r="K39" s="2763"/>
      <c r="L39" s="104"/>
      <c r="M39" s="104"/>
      <c r="N39" s="104"/>
      <c r="O39" s="104"/>
      <c r="P39" s="104"/>
      <c r="Q39" s="104"/>
    </row>
    <row r="40" spans="1:17">
      <c r="A40" s="2762"/>
      <c r="B40" s="2763"/>
      <c r="C40" s="2763"/>
      <c r="D40" s="2763"/>
      <c r="E40" s="2763"/>
      <c r="F40" s="2763"/>
      <c r="G40" s="2763"/>
      <c r="H40" s="2763"/>
      <c r="I40" s="2763"/>
      <c r="J40" s="2763"/>
      <c r="K40" s="2763"/>
      <c r="L40" s="104"/>
      <c r="M40" s="104"/>
      <c r="N40" s="104"/>
      <c r="O40" s="104"/>
      <c r="P40" s="104"/>
      <c r="Q40" s="104"/>
    </row>
    <row r="41" spans="1:17">
      <c r="A41" s="2762" t="s">
        <v>103</v>
      </c>
      <c r="B41" s="2763"/>
      <c r="C41" s="2763"/>
      <c r="D41" s="2763"/>
      <c r="E41" s="2763"/>
      <c r="F41" s="2763"/>
      <c r="G41" s="2763"/>
      <c r="H41" s="2763"/>
      <c r="I41" s="2763"/>
      <c r="J41" s="2763"/>
      <c r="K41" s="2763"/>
      <c r="L41" s="104"/>
      <c r="M41" s="104"/>
      <c r="N41" s="104"/>
      <c r="O41" s="104"/>
      <c r="P41" s="104"/>
      <c r="Q41" s="104"/>
    </row>
    <row r="42" spans="1:17">
      <c r="A42" s="2762"/>
      <c r="B42" s="2763"/>
      <c r="C42" s="2763"/>
      <c r="D42" s="2763"/>
      <c r="E42" s="2763"/>
      <c r="F42" s="2763"/>
      <c r="G42" s="2763"/>
      <c r="H42" s="2763"/>
      <c r="I42" s="2763"/>
      <c r="J42" s="2763"/>
      <c r="K42" s="2763"/>
      <c r="L42" s="104"/>
      <c r="M42" s="104"/>
      <c r="N42" s="104"/>
      <c r="O42" s="104"/>
      <c r="P42" s="104"/>
      <c r="Q42" s="104"/>
    </row>
    <row r="43" spans="1:17">
      <c r="A43" s="2767" t="s">
        <v>104</v>
      </c>
      <c r="B43" s="2768"/>
      <c r="C43" s="2768"/>
      <c r="D43" s="2768"/>
      <c r="E43" s="2768"/>
      <c r="F43" s="2768"/>
      <c r="G43" s="2768"/>
      <c r="H43" s="2768"/>
      <c r="I43" s="2768"/>
      <c r="J43" s="2768"/>
      <c r="K43" s="2768"/>
      <c r="L43" s="104"/>
      <c r="M43" s="104"/>
      <c r="N43" s="104"/>
      <c r="O43" s="104"/>
      <c r="P43" s="104"/>
      <c r="Q43" s="104"/>
    </row>
    <row r="44" spans="1:17">
      <c r="A44" s="2767"/>
      <c r="B44" s="2768"/>
      <c r="C44" s="2768"/>
      <c r="D44" s="2768"/>
      <c r="E44" s="2768"/>
      <c r="F44" s="2768"/>
      <c r="G44" s="2768"/>
      <c r="H44" s="2768"/>
      <c r="I44" s="2768"/>
      <c r="J44" s="2768"/>
      <c r="K44" s="2768"/>
      <c r="L44" s="104"/>
      <c r="M44" s="104"/>
      <c r="N44" s="104"/>
      <c r="O44" s="104"/>
      <c r="P44" s="104"/>
      <c r="Q44" s="104"/>
    </row>
  </sheetData>
  <sheetProtection selectLockedCells="1" selectUnlockedCells="1"/>
  <mergeCells count="52">
    <mergeCell ref="A43:A44"/>
    <mergeCell ref="B43:K44"/>
    <mergeCell ref="A39:A40"/>
    <mergeCell ref="B39:K40"/>
    <mergeCell ref="A41:A42"/>
    <mergeCell ref="B41:K42"/>
    <mergeCell ref="A37:A38"/>
    <mergeCell ref="B37:K38"/>
    <mergeCell ref="A26:A33"/>
    <mergeCell ref="B26:D33"/>
    <mergeCell ref="E26:E33"/>
    <mergeCell ref="F26:J26"/>
    <mergeCell ref="K26:K33"/>
    <mergeCell ref="F31:J31"/>
    <mergeCell ref="F32:J33"/>
    <mergeCell ref="A34:K34"/>
    <mergeCell ref="A35:A36"/>
    <mergeCell ref="B35:K36"/>
    <mergeCell ref="F27:J27"/>
    <mergeCell ref="F28:J28"/>
    <mergeCell ref="F29:J29"/>
    <mergeCell ref="F30:J30"/>
    <mergeCell ref="A16:A25"/>
    <mergeCell ref="B16:D25"/>
    <mergeCell ref="E16:E25"/>
    <mergeCell ref="F16:J16"/>
    <mergeCell ref="K16:K25"/>
    <mergeCell ref="F17:J18"/>
    <mergeCell ref="F19:J19"/>
    <mergeCell ref="F20:J21"/>
    <mergeCell ref="F22:J23"/>
    <mergeCell ref="F24:J25"/>
    <mergeCell ref="A5:K5"/>
    <mergeCell ref="B6:D6"/>
    <mergeCell ref="F6:J6"/>
    <mergeCell ref="A7:A15"/>
    <mergeCell ref="B7:D15"/>
    <mergeCell ref="E7:E15"/>
    <mergeCell ref="F7:J7"/>
    <mergeCell ref="K7:K15"/>
    <mergeCell ref="F8:J8"/>
    <mergeCell ref="F9:J9"/>
    <mergeCell ref="F10:J10"/>
    <mergeCell ref="F11:J12"/>
    <mergeCell ref="F13:J13"/>
    <mergeCell ref="F14:J15"/>
    <mergeCell ref="A1:K1"/>
    <mergeCell ref="A2:J2"/>
    <mergeCell ref="A3:B3"/>
    <mergeCell ref="I3:J3"/>
    <mergeCell ref="K3:K4"/>
    <mergeCell ref="I4:J4"/>
  </mergeCells>
  <phoneticPr fontId="51" type="noConversion"/>
  <dataValidations count="1">
    <dataValidation type="list" allowBlank="1" showInputMessage="1" showErrorMessage="1" prompt="请选择执业人员" sqref="C3:H3">
      <formula1>工作人员列表</formula1>
      <formula2>0</formula2>
    </dataValidation>
  </dataValidations>
  <pageMargins left="0.78740157480314998" right="0.35433070866141703" top="0.511811023622047" bottom="0.11811023622047198" header="0.511811023622047" footer="0.511811023622047"/>
  <pageSetup paperSize="9" firstPageNumber="0" orientation="portrait" blackAndWhite="1" r:id="rId1"/>
  <headerFooter alignWithMargins="0"/>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76"/>
  <dimension ref="A1:H36"/>
  <sheetViews>
    <sheetView workbookViewId="0">
      <selection activeCell="A5" sqref="A5:H5"/>
    </sheetView>
  </sheetViews>
  <sheetFormatPr defaultColWidth="9" defaultRowHeight="18" customHeight="1"/>
  <cols>
    <col min="1" max="1" width="6.59765625" style="92" customWidth="1"/>
    <col min="2" max="2" width="8.3984375" style="92" customWidth="1"/>
    <col min="3" max="3" width="11.59765625" style="92" customWidth="1"/>
    <col min="4" max="5" width="11.09765625" style="92" customWidth="1"/>
    <col min="6" max="6" width="13.59765625" style="92" customWidth="1"/>
    <col min="7" max="7" width="13.8984375" style="92" customWidth="1"/>
    <col min="8" max="8" width="12" style="92" customWidth="1"/>
    <col min="9" max="16384" width="9" style="92"/>
  </cols>
  <sheetData>
    <row r="1" spans="1:8" ht="23.25" customHeight="1">
      <c r="A1" s="2769" t="s">
        <v>9973</v>
      </c>
      <c r="B1" s="2769"/>
      <c r="C1" s="2769"/>
      <c r="D1" s="2769"/>
      <c r="E1" s="2769"/>
      <c r="F1" s="2769"/>
      <c r="G1" s="2769"/>
      <c r="H1" s="2769"/>
    </row>
    <row r="2" spans="1:8" ht="18" customHeight="1">
      <c r="A2" s="2770" t="str">
        <f>"索引号："&amp;档案索引!A23</f>
        <v>索引号：2A-3</v>
      </c>
      <c r="B2" s="2770"/>
      <c r="C2" s="2770"/>
      <c r="D2" s="2770"/>
      <c r="E2" s="2770"/>
      <c r="F2" s="2770"/>
      <c r="G2" s="2770"/>
      <c r="H2" s="2770"/>
    </row>
    <row r="3" spans="1:8" ht="18" customHeight="1">
      <c r="A3" s="2771" t="s">
        <v>7703</v>
      </c>
      <c r="B3" s="2771"/>
      <c r="C3" s="2772">
        <f>基本情况!B2</f>
        <v>0</v>
      </c>
      <c r="D3" s="2772"/>
      <c r="E3" s="2772"/>
      <c r="F3" s="2772"/>
      <c r="G3" s="2573"/>
      <c r="H3" s="2573"/>
    </row>
    <row r="4" spans="1:8" ht="18" customHeight="1">
      <c r="A4" s="2773" t="s">
        <v>7705</v>
      </c>
      <c r="B4" s="2773"/>
      <c r="C4" s="2774" t="str">
        <f>基本情况!B48</f>
        <v>0</v>
      </c>
      <c r="D4" s="2774"/>
      <c r="E4" s="2774"/>
      <c r="F4" s="2774"/>
      <c r="G4" s="2573"/>
      <c r="H4" s="2573"/>
    </row>
    <row r="5" spans="1:8" ht="18" customHeight="1">
      <c r="A5" s="2775" t="str">
        <f>"受托方：  "&amp; 基本情况!B8 &amp;"   （以下简称乙方）"</f>
        <v>受托方：  中汇百邦（厦门）税务师事务所有限公司   （以下简称乙方）</v>
      </c>
      <c r="B5" s="2775"/>
      <c r="C5" s="2775"/>
      <c r="D5" s="2775"/>
      <c r="E5" s="2775"/>
      <c r="F5" s="2775"/>
      <c r="G5" s="2775"/>
      <c r="H5" s="2775"/>
    </row>
    <row r="6" spans="1:8" ht="18" customHeight="1">
      <c r="A6" s="2775" t="s">
        <v>105</v>
      </c>
      <c r="B6" s="2775"/>
      <c r="C6" s="2775"/>
      <c r="D6" s="2775"/>
      <c r="E6" s="2775"/>
      <c r="F6" s="2775"/>
      <c r="G6" s="2775"/>
      <c r="H6" s="2775"/>
    </row>
    <row r="7" spans="1:8" ht="18" customHeight="1">
      <c r="A7" s="2775" t="s">
        <v>106</v>
      </c>
      <c r="B7" s="2775"/>
      <c r="C7" s="2775"/>
      <c r="D7" s="2775"/>
      <c r="E7" s="2775"/>
      <c r="F7" s="2775"/>
      <c r="G7" s="2775"/>
      <c r="H7" s="2775"/>
    </row>
    <row r="8" spans="1:8" ht="18" customHeight="1">
      <c r="A8" s="116" t="s">
        <v>107</v>
      </c>
      <c r="B8" s="116"/>
      <c r="C8" s="2776" t="str">
        <f>"对"&amp;IF(OR(基本情况!B6&lt;&gt;"12月31日",基本情况!F5&lt;&gt;"01",基本情况!G5&lt;&gt;"01"),基本情况!B7,基本情况!B4&amp;"年度")&amp;LEFT(基本情况!B3,5)&amp;"进行"&amp;RIGHT(基本情况!B3,8)&amp;"。"</f>
        <v>对2016年度企业所得税进行年度纳税申报审核。</v>
      </c>
      <c r="D8" s="2776"/>
      <c r="E8" s="2776"/>
      <c r="F8" s="2776"/>
      <c r="G8" s="2776"/>
      <c r="H8" s="2776"/>
    </row>
    <row r="9" spans="1:8" ht="18" customHeight="1">
      <c r="A9" s="2775" t="s">
        <v>108</v>
      </c>
      <c r="B9" s="2775"/>
      <c r="C9" s="2775"/>
      <c r="D9" s="2775"/>
      <c r="E9" s="2775"/>
      <c r="F9" s="2775"/>
      <c r="G9" s="2775"/>
      <c r="H9" s="2775"/>
    </row>
    <row r="10" spans="1:8" ht="18" customHeight="1">
      <c r="A10" s="2777" t="s">
        <v>1652</v>
      </c>
      <c r="B10" s="2777"/>
      <c r="C10" s="2777"/>
      <c r="D10" s="2777"/>
      <c r="E10" s="2777"/>
      <c r="F10" s="2777"/>
      <c r="G10" s="2777"/>
      <c r="H10" s="2777"/>
    </row>
    <row r="11" spans="1:8" ht="22.95" customHeight="1">
      <c r="A11" s="2777"/>
      <c r="B11" s="2777"/>
      <c r="C11" s="2777"/>
      <c r="D11" s="2777"/>
      <c r="E11" s="2777"/>
      <c r="F11" s="2777"/>
      <c r="G11" s="2777"/>
      <c r="H11" s="2777"/>
    </row>
    <row r="12" spans="1:8" ht="30.75" customHeight="1">
      <c r="A12" s="2777"/>
      <c r="B12" s="2777"/>
      <c r="C12" s="2777"/>
      <c r="D12" s="2777"/>
      <c r="E12" s="2777"/>
      <c r="F12" s="2777"/>
      <c r="G12" s="2777"/>
      <c r="H12" s="2777"/>
    </row>
    <row r="13" spans="1:8" ht="27" customHeight="1">
      <c r="A13" s="2778" t="s">
        <v>1014</v>
      </c>
      <c r="B13" s="2778"/>
      <c r="C13" s="2778"/>
      <c r="D13" s="2778"/>
      <c r="E13" s="2778"/>
      <c r="F13" s="2778"/>
      <c r="G13" s="2778"/>
      <c r="H13" s="2778"/>
    </row>
    <row r="14" spans="1:8" ht="17.25" customHeight="1">
      <c r="A14" s="2775" t="s">
        <v>1015</v>
      </c>
      <c r="B14" s="2775"/>
      <c r="C14" s="2775"/>
      <c r="D14" s="2775"/>
      <c r="E14" s="2775"/>
      <c r="F14" s="2775"/>
      <c r="G14" s="2775"/>
      <c r="H14" s="2775"/>
    </row>
    <row r="15" spans="1:8" ht="30" customHeight="1">
      <c r="A15" s="2779" t="str">
        <f>"    1、根据国家有关收费规定和委托项目的工作量、难易度及风险程度确定业务费用总金额为 "&amp;IF(基本情况!B17=0,"       ",TEXT(基本情况!B17,"#,##0.00"))&amp;" 元人民币。"</f>
        <v xml:space="preserve">    1、根据国家有关收费规定和委托项目的工作量、难易度及风险程度确定业务费用总金额为 1,500.00 元人民币。</v>
      </c>
      <c r="B15" s="2779"/>
      <c r="C15" s="2779"/>
      <c r="D15" s="2779"/>
      <c r="E15" s="2779"/>
      <c r="F15" s="2779"/>
      <c r="G15" s="2779"/>
      <c r="H15" s="2779"/>
    </row>
    <row r="16" spans="1:8" ht="29.25" customHeight="1">
      <c r="A16" s="2777" t="s">
        <v>9977</v>
      </c>
      <c r="B16" s="2777"/>
      <c r="C16" s="2777"/>
      <c r="D16" s="2777"/>
      <c r="E16" s="2777"/>
      <c r="F16" s="2777"/>
      <c r="G16" s="2777"/>
      <c r="H16" s="2777"/>
    </row>
    <row r="17" spans="1:8" ht="18" customHeight="1">
      <c r="A17" s="2775" t="s">
        <v>1016</v>
      </c>
      <c r="B17" s="2775"/>
      <c r="C17" s="2775"/>
      <c r="D17" s="2775"/>
      <c r="E17" s="2775"/>
      <c r="F17" s="2775"/>
      <c r="G17" s="2775"/>
      <c r="H17" s="2775"/>
    </row>
    <row r="18" spans="1:8" ht="23.25" customHeight="1">
      <c r="A18" s="2775" t="s">
        <v>1017</v>
      </c>
      <c r="B18" s="2775"/>
      <c r="C18" s="2775"/>
      <c r="D18" s="2775"/>
      <c r="E18" s="2775"/>
      <c r="F18" s="2775"/>
      <c r="G18" s="2775"/>
      <c r="H18" s="2775"/>
    </row>
    <row r="19" spans="1:8" ht="34.200000000000003" customHeight="1">
      <c r="A19" s="2777" t="s">
        <v>1018</v>
      </c>
      <c r="B19" s="2777"/>
      <c r="C19" s="2777"/>
      <c r="D19" s="2777"/>
      <c r="E19" s="2777"/>
      <c r="F19" s="2777"/>
      <c r="G19" s="2777"/>
      <c r="H19" s="2777"/>
    </row>
    <row r="20" spans="1:8" ht="28.5" customHeight="1">
      <c r="A20" s="2777" t="s">
        <v>1019</v>
      </c>
      <c r="B20" s="2777"/>
      <c r="C20" s="2777"/>
      <c r="D20" s="2777"/>
      <c r="E20" s="2777"/>
      <c r="F20" s="2777"/>
      <c r="G20" s="2777"/>
      <c r="H20" s="2777"/>
    </row>
    <row r="21" spans="1:8" ht="23.25" customHeight="1">
      <c r="A21" s="2775" t="s">
        <v>1020</v>
      </c>
      <c r="B21" s="2775"/>
      <c r="C21" s="2775"/>
      <c r="D21" s="2775"/>
      <c r="E21" s="2775"/>
      <c r="F21" s="2775"/>
      <c r="G21" s="2775"/>
      <c r="H21" s="2775"/>
    </row>
    <row r="22" spans="1:8" ht="22.5" customHeight="1">
      <c r="A22" s="2775" t="s">
        <v>1021</v>
      </c>
      <c r="B22" s="2775"/>
      <c r="C22" s="2775"/>
      <c r="D22" s="2775"/>
      <c r="E22" s="2775"/>
      <c r="F22" s="2775"/>
      <c r="G22" s="2775"/>
      <c r="H22" s="2775"/>
    </row>
    <row r="23" spans="1:8" ht="18" customHeight="1">
      <c r="A23" s="2775" t="s">
        <v>1022</v>
      </c>
      <c r="B23" s="2775"/>
      <c r="C23" s="2775"/>
      <c r="D23" s="2775"/>
      <c r="E23" s="2775"/>
      <c r="F23" s="2775"/>
      <c r="G23" s="2775"/>
      <c r="H23" s="2775"/>
    </row>
    <row r="24" spans="1:8" ht="30" customHeight="1">
      <c r="A24" s="2777" t="s">
        <v>1023</v>
      </c>
      <c r="B24" s="2777"/>
      <c r="C24" s="2777"/>
      <c r="D24" s="2777"/>
      <c r="E24" s="2777"/>
      <c r="F24" s="2777"/>
      <c r="G24" s="2777"/>
      <c r="H24" s="2777"/>
    </row>
    <row r="25" spans="1:8" ht="31.5" customHeight="1">
      <c r="A25" s="2777" t="s">
        <v>1024</v>
      </c>
      <c r="B25" s="2777"/>
      <c r="C25" s="2777"/>
      <c r="D25" s="2777"/>
      <c r="E25" s="2777"/>
      <c r="F25" s="2777"/>
      <c r="G25" s="2777"/>
      <c r="H25" s="2777"/>
    </row>
    <row r="26" spans="1:8" ht="18" customHeight="1">
      <c r="A26" s="116" t="s">
        <v>1025</v>
      </c>
      <c r="B26" s="116"/>
      <c r="C26" s="116"/>
      <c r="D26" s="116"/>
      <c r="E26" s="116"/>
      <c r="F26" s="116"/>
      <c r="G26" s="116"/>
      <c r="H26" s="116"/>
    </row>
    <row r="27" spans="1:8" ht="27" customHeight="1">
      <c r="A27" s="117"/>
      <c r="B27" s="117"/>
      <c r="C27" s="117"/>
      <c r="D27" s="118"/>
      <c r="E27" s="118"/>
      <c r="F27" s="118"/>
      <c r="G27" s="118"/>
      <c r="H27" s="118"/>
    </row>
    <row r="28" spans="1:8" ht="18" customHeight="1">
      <c r="A28" s="98"/>
      <c r="B28" s="98"/>
      <c r="C28" s="98"/>
      <c r="D28" s="98"/>
      <c r="E28" s="98"/>
      <c r="F28" s="98"/>
      <c r="G28" s="98"/>
      <c r="H28" s="98"/>
    </row>
    <row r="29" spans="1:8" ht="18" customHeight="1">
      <c r="A29" s="2775" t="str">
        <f>"    甲方（签章）：                         乙方（签章）："&amp;基本情况!B8</f>
        <v xml:space="preserve">    甲方（签章）：                         乙方（签章）：中汇百邦（厦门）税务师事务所有限公司</v>
      </c>
      <c r="B29" s="2775"/>
      <c r="C29" s="2775"/>
      <c r="D29" s="2775"/>
      <c r="E29" s="2775"/>
      <c r="F29" s="2775"/>
      <c r="G29" s="2775"/>
      <c r="H29" s="2775"/>
    </row>
    <row r="30" spans="1:8" ht="18" customHeight="1">
      <c r="A30" s="119" t="s">
        <v>1026</v>
      </c>
      <c r="B30" s="98"/>
      <c r="C30" s="98"/>
      <c r="D30" s="98"/>
      <c r="E30" s="98"/>
      <c r="F30" s="98"/>
      <c r="G30" s="98"/>
      <c r="H30" s="98"/>
    </row>
    <row r="31" spans="1:8" ht="18" customHeight="1">
      <c r="A31" s="2775" t="s">
        <v>1027</v>
      </c>
      <c r="B31" s="2775"/>
      <c r="C31" s="2775"/>
      <c r="D31" s="2775"/>
      <c r="E31" s="2775"/>
      <c r="F31" s="2775"/>
      <c r="G31" s="2775"/>
      <c r="H31" s="2775"/>
    </row>
    <row r="32" spans="1:8" ht="18" customHeight="1">
      <c r="A32" s="119"/>
      <c r="B32" s="98"/>
      <c r="C32" s="98"/>
      <c r="D32" s="98"/>
      <c r="E32" s="98"/>
      <c r="F32" s="98"/>
      <c r="G32" s="98"/>
      <c r="H32" s="98"/>
    </row>
    <row r="33" spans="1:8" ht="18" customHeight="1">
      <c r="A33" s="2780" t="str">
        <f>"    签约时间："&amp;"                             签约时间："&amp;"   "</f>
        <v xml:space="preserve">    签约时间：                             签约时间：   </v>
      </c>
      <c r="B33" s="2780"/>
      <c r="C33" s="2780"/>
      <c r="D33" s="2780"/>
      <c r="E33" s="2780"/>
      <c r="F33" s="2780"/>
      <c r="G33" s="2780"/>
      <c r="H33" s="2780"/>
    </row>
    <row r="34" spans="1:8" ht="18" customHeight="1">
      <c r="A34" s="119" t="s">
        <v>1028</v>
      </c>
      <c r="B34" s="98"/>
      <c r="C34" s="98"/>
      <c r="D34" s="98"/>
      <c r="E34" s="98"/>
      <c r="F34" s="98"/>
      <c r="G34" s="98"/>
      <c r="H34" s="98"/>
    </row>
    <row r="35" spans="1:8" ht="18" customHeight="1">
      <c r="A35" s="98"/>
      <c r="B35" s="98"/>
      <c r="C35" s="98"/>
      <c r="D35" s="98"/>
      <c r="E35" s="98"/>
      <c r="F35" s="98"/>
      <c r="G35" s="98"/>
      <c r="H35" s="98"/>
    </row>
    <row r="36" spans="1:8" ht="18" customHeight="1">
      <c r="A36" s="98"/>
      <c r="B36" s="98"/>
      <c r="C36" s="98"/>
      <c r="D36" s="98"/>
      <c r="E36" s="98"/>
      <c r="F36" s="98"/>
      <c r="G36" s="98"/>
      <c r="H36" s="98"/>
    </row>
  </sheetData>
  <sheetProtection selectLockedCells="1" selectUnlockedCells="1"/>
  <mergeCells count="28">
    <mergeCell ref="A25:H25"/>
    <mergeCell ref="A29:H29"/>
    <mergeCell ref="A31:H31"/>
    <mergeCell ref="A33:H33"/>
    <mergeCell ref="A19:H19"/>
    <mergeCell ref="A20:H20"/>
    <mergeCell ref="A21:H21"/>
    <mergeCell ref="A22:H22"/>
    <mergeCell ref="A23:H23"/>
    <mergeCell ref="A24:H24"/>
    <mergeCell ref="A18:H18"/>
    <mergeCell ref="A5:H5"/>
    <mergeCell ref="A6:H6"/>
    <mergeCell ref="A7:H7"/>
    <mergeCell ref="C8:H8"/>
    <mergeCell ref="A9:H9"/>
    <mergeCell ref="A10:H12"/>
    <mergeCell ref="A13:H13"/>
    <mergeCell ref="A14:H14"/>
    <mergeCell ref="A15:H15"/>
    <mergeCell ref="A16:H16"/>
    <mergeCell ref="A17:H17"/>
    <mergeCell ref="A1:H1"/>
    <mergeCell ref="A2:H2"/>
    <mergeCell ref="A3:B3"/>
    <mergeCell ref="C3:F3"/>
    <mergeCell ref="A4:B4"/>
    <mergeCell ref="C4:F4"/>
  </mergeCells>
  <phoneticPr fontId="51" type="noConversion"/>
  <pageMargins left="0.54" right="0.35433070866141703" top="0.511811023622047" bottom="0.11811023622047198" header="0.511811023622047" footer="0.511811023622047"/>
  <pageSetup paperSize="9" firstPageNumber="0" orientation="portrait" blackAndWhite="1" r:id="rId1"/>
  <headerFooter alignWithMargins="0"/>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
    <tabColor rgb="FFFF0000"/>
  </sheetPr>
  <dimension ref="A1:H25"/>
  <sheetViews>
    <sheetView workbookViewId="0">
      <selection activeCell="B7" sqref="B7"/>
    </sheetView>
  </sheetViews>
  <sheetFormatPr defaultColWidth="9" defaultRowHeight="15.6"/>
  <cols>
    <col min="1" max="1" width="21.8984375" style="1316" customWidth="1"/>
    <col min="2" max="2" width="19.59765625" style="1316" customWidth="1"/>
    <col min="3" max="3" width="19.8984375" style="1316" customWidth="1"/>
    <col min="4" max="4" width="20" style="1316" customWidth="1"/>
    <col min="5" max="5" width="20.5" style="1316" customWidth="1"/>
    <col min="6" max="6" width="17.5" style="1316" customWidth="1"/>
    <col min="7" max="7" width="16.59765625" style="1316" customWidth="1"/>
    <col min="8" max="16384" width="9" style="1316"/>
  </cols>
  <sheetData>
    <row r="1" spans="1:8" ht="14.25" customHeight="1">
      <c r="A1" s="1317"/>
      <c r="B1" s="1318"/>
      <c r="E1" s="1317"/>
      <c r="F1" s="1318"/>
    </row>
    <row r="2" spans="1:8" ht="14.25" customHeight="1">
      <c r="A2" s="1317"/>
      <c r="E2" s="1317"/>
    </row>
    <row r="3" spans="1:8" ht="14.25" customHeight="1">
      <c r="A3" s="1317"/>
      <c r="E3" s="1317"/>
    </row>
    <row r="4" spans="1:8" ht="15.6" customHeight="1">
      <c r="A4" s="1317"/>
      <c r="E4" s="1317"/>
    </row>
    <row r="5" spans="1:8" ht="15.6" customHeight="1">
      <c r="A5" s="1317"/>
      <c r="E5" s="1317"/>
    </row>
    <row r="6" spans="1:8">
      <c r="A6" s="1317"/>
      <c r="C6" s="1317"/>
      <c r="E6" s="1317"/>
      <c r="G6" s="2229"/>
      <c r="H6" s="1318"/>
    </row>
    <row r="7" spans="1:8">
      <c r="A7" s="2229"/>
      <c r="C7" s="2229"/>
      <c r="E7" s="2229"/>
      <c r="F7" s="1318"/>
      <c r="G7" s="2229"/>
    </row>
    <row r="8" spans="1:8">
      <c r="A8" s="1317"/>
      <c r="C8" s="1317"/>
      <c r="E8" s="1317"/>
      <c r="G8" s="1317"/>
    </row>
    <row r="9" spans="1:8">
      <c r="A9" s="1317"/>
      <c r="C9" s="1317"/>
      <c r="E9" s="1317"/>
      <c r="G9" s="1317"/>
    </row>
    <row r="10" spans="1:8">
      <c r="A10" s="1317"/>
      <c r="C10" s="1317"/>
      <c r="E10" s="1317"/>
      <c r="G10" s="1317"/>
    </row>
    <row r="11" spans="1:8">
      <c r="A11" s="1317"/>
      <c r="C11" s="1317"/>
      <c r="E11" s="1317"/>
      <c r="G11" s="1317"/>
    </row>
    <row r="12" spans="1:8">
      <c r="A12" s="1317"/>
      <c r="C12" s="1317"/>
      <c r="E12" s="1317"/>
      <c r="G12" s="1317"/>
    </row>
    <row r="13" spans="1:8">
      <c r="A13" s="1317"/>
      <c r="B13" s="1318"/>
      <c r="C13" s="1317"/>
      <c r="E13" s="1317"/>
      <c r="G13" s="1317"/>
    </row>
    <row r="14" spans="1:8">
      <c r="A14" s="1317"/>
      <c r="C14" s="1317"/>
      <c r="E14" s="1317"/>
      <c r="G14" s="1317"/>
    </row>
    <row r="15" spans="1:8">
      <c r="A15" s="1317"/>
      <c r="C15" s="1317"/>
      <c r="E15" s="1317"/>
      <c r="G15" s="1317"/>
    </row>
    <row r="16" spans="1:8">
      <c r="A16" s="2291"/>
      <c r="B16" s="1318"/>
      <c r="C16" s="2292"/>
      <c r="D16" s="2292"/>
      <c r="E16" s="2292"/>
      <c r="F16" s="2292"/>
      <c r="G16" s="2292"/>
    </row>
    <row r="17" spans="1:1">
      <c r="A17" s="1317"/>
    </row>
    <row r="18" spans="1:1">
      <c r="A18" s="1317"/>
    </row>
    <row r="21" spans="1:1" ht="14.25" customHeight="1"/>
    <row r="22" spans="1:1" ht="14.25" customHeight="1"/>
    <row r="25" spans="1:1" ht="14.25" customHeight="1">
      <c r="A25" s="1318"/>
    </row>
  </sheetData>
  <phoneticPr fontId="51" type="noConversion"/>
  <pageMargins left="0.78740157480314998" right="0.35433070866141703" top="0.511811023622047" bottom="0.11811023622047198" header="0.511811023622047" footer="0.511811023622047"/>
  <pageSetup paperSize="9" orientation="portrait" r:id="rId1"/>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4"/>
  <dimension ref="A1:CT135"/>
  <sheetViews>
    <sheetView tabSelected="1" workbookViewId="0">
      <selection activeCell="B10" sqref="B10:E10"/>
    </sheetView>
  </sheetViews>
  <sheetFormatPr defaultColWidth="9" defaultRowHeight="15.6"/>
  <cols>
    <col min="1" max="1" width="29" style="45" customWidth="1"/>
    <col min="2" max="4" width="13.3984375" style="46" customWidth="1"/>
    <col min="5" max="5" width="13.3984375" style="47" customWidth="1"/>
    <col min="6" max="6" width="53.8984375" style="48" customWidth="1"/>
    <col min="7" max="98" width="9" style="46"/>
    <col min="99" max="16384" width="9" style="45"/>
  </cols>
  <sheetData>
    <row r="1" spans="1:8" ht="35.25" customHeight="1">
      <c r="A1" s="2784" t="s">
        <v>384</v>
      </c>
      <c r="B1" s="2784"/>
      <c r="C1" s="2784"/>
      <c r="D1" s="2784"/>
      <c r="E1" s="2784"/>
      <c r="F1" s="49"/>
      <c r="G1" s="50"/>
      <c r="H1" s="50"/>
    </row>
    <row r="2" spans="1:8" ht="18" customHeight="1">
      <c r="A2" s="51" t="s">
        <v>385</v>
      </c>
      <c r="B2" s="2785">
        <f>地税、基本情况!B2</f>
        <v>0</v>
      </c>
      <c r="C2" s="2786"/>
      <c r="D2" s="2786"/>
      <c r="E2" s="2787"/>
      <c r="F2" s="49" t="s">
        <v>386</v>
      </c>
      <c r="G2" s="50"/>
      <c r="H2" s="50"/>
    </row>
    <row r="3" spans="1:8" s="55" customFormat="1" ht="18" customHeight="1">
      <c r="A3" s="52" t="s">
        <v>387</v>
      </c>
      <c r="B3" s="2788" t="s">
        <v>9972</v>
      </c>
      <c r="C3" s="2788"/>
      <c r="D3" s="2788"/>
      <c r="E3" s="2788"/>
      <c r="F3" s="53"/>
      <c r="G3" s="54"/>
      <c r="H3" s="54"/>
    </row>
    <row r="4" spans="1:8" s="55" customFormat="1" ht="18" customHeight="1">
      <c r="A4" s="52" t="s">
        <v>388</v>
      </c>
      <c r="B4" s="2789">
        <v>2016</v>
      </c>
      <c r="C4" s="2789"/>
      <c r="D4" s="2789"/>
      <c r="E4" s="2789"/>
      <c r="F4" s="56" t="str">
        <f>TEXT(B5,"mm,dd")</f>
        <v>01,01</v>
      </c>
      <c r="G4" s="57" t="str">
        <f>TEXT(B6,"mm,dd")</f>
        <v>12,31</v>
      </c>
      <c r="H4" s="54"/>
    </row>
    <row r="5" spans="1:8" s="55" customFormat="1" ht="18" customHeight="1">
      <c r="A5" s="52" t="s">
        <v>389</v>
      </c>
      <c r="B5" s="2781" t="s">
        <v>390</v>
      </c>
      <c r="C5" s="2781"/>
      <c r="D5" s="2781"/>
      <c r="E5" s="2781"/>
      <c r="F5" s="57" t="str">
        <f>LEFT(F4,2)</f>
        <v>01</v>
      </c>
      <c r="G5" s="57" t="str">
        <f>RIGHT(F4,2)</f>
        <v>01</v>
      </c>
      <c r="H5" s="54"/>
    </row>
    <row r="6" spans="1:8" s="55" customFormat="1" ht="18" customHeight="1">
      <c r="A6" s="52" t="s">
        <v>391</v>
      </c>
      <c r="B6" s="2781" t="s">
        <v>392</v>
      </c>
      <c r="C6" s="2781"/>
      <c r="D6" s="2781"/>
      <c r="E6" s="2781"/>
      <c r="F6" s="56" t="str">
        <f>LEFT(G4,2)</f>
        <v>12</v>
      </c>
      <c r="G6" s="57" t="str">
        <f>RIGHT(G4,2)</f>
        <v>31</v>
      </c>
      <c r="H6" s="54"/>
    </row>
    <row r="7" spans="1:8" s="55" customFormat="1" ht="18" customHeight="1">
      <c r="A7" s="52" t="s">
        <v>393</v>
      </c>
      <c r="B7" s="2783" t="str">
        <f>B4&amp;"年"&amp;起始月&amp;"月"&amp;起始日&amp;"日"&amp;"至"&amp;本年度&amp;"年"&amp;截止月&amp;"月"&amp;截止日&amp;"日"</f>
        <v>2016年01月01日至2016年12月31日</v>
      </c>
      <c r="C7" s="2783"/>
      <c r="D7" s="2783"/>
      <c r="E7" s="2783"/>
      <c r="F7" s="53"/>
      <c r="G7" s="54"/>
      <c r="H7" s="54"/>
    </row>
    <row r="8" spans="1:8" s="55" customFormat="1" ht="18" customHeight="1">
      <c r="A8" s="52" t="s">
        <v>394</v>
      </c>
      <c r="B8" s="2783" t="s">
        <v>7706</v>
      </c>
      <c r="C8" s="2783"/>
      <c r="D8" s="2783"/>
      <c r="E8" s="2783"/>
      <c r="F8" s="53"/>
      <c r="G8" s="54"/>
      <c r="H8" s="54"/>
    </row>
    <row r="9" spans="1:8" s="55" customFormat="1" ht="18" customHeight="1">
      <c r="A9" s="52" t="s">
        <v>395</v>
      </c>
      <c r="B9" s="2782"/>
      <c r="C9" s="2782"/>
      <c r="D9" s="2782"/>
      <c r="E9" s="2782"/>
      <c r="F9" s="58" t="s">
        <v>396</v>
      </c>
      <c r="G9" s="54"/>
      <c r="H9" s="54"/>
    </row>
    <row r="10" spans="1:8" s="55" customFormat="1" ht="18" customHeight="1">
      <c r="A10" s="52" t="s">
        <v>397</v>
      </c>
      <c r="B10" s="2782"/>
      <c r="C10" s="2782"/>
      <c r="D10" s="2782"/>
      <c r="E10" s="2782"/>
      <c r="F10" s="59" t="s">
        <v>398</v>
      </c>
      <c r="G10" s="54"/>
      <c r="H10" s="54"/>
    </row>
    <row r="11" spans="1:8" s="55" customFormat="1" ht="18" customHeight="1">
      <c r="A11" s="52" t="s">
        <v>399</v>
      </c>
      <c r="B11" s="2782"/>
      <c r="C11" s="2782"/>
      <c r="D11" s="2782"/>
      <c r="E11" s="2782"/>
      <c r="F11" s="60" t="s">
        <v>400</v>
      </c>
      <c r="G11" s="54"/>
      <c r="H11" s="54"/>
    </row>
    <row r="12" spans="1:8" s="55" customFormat="1" ht="18" customHeight="1">
      <c r="A12" s="52" t="s">
        <v>401</v>
      </c>
      <c r="B12" s="2782"/>
      <c r="C12" s="2782"/>
      <c r="D12" s="2782"/>
      <c r="E12" s="2782"/>
      <c r="F12" s="61" t="s">
        <v>402</v>
      </c>
      <c r="G12" s="54"/>
      <c r="H12" s="54"/>
    </row>
    <row r="13" spans="1:8" s="55" customFormat="1" ht="18" customHeight="1">
      <c r="A13" s="52" t="s">
        <v>401</v>
      </c>
      <c r="B13" s="2782"/>
      <c r="C13" s="2782"/>
      <c r="D13" s="2782"/>
      <c r="E13" s="2782"/>
      <c r="F13" s="61"/>
      <c r="G13" s="54"/>
      <c r="H13" s="54"/>
    </row>
    <row r="14" spans="1:8" s="55" customFormat="1" ht="18" customHeight="1">
      <c r="A14" s="52" t="s">
        <v>401</v>
      </c>
      <c r="B14" s="2782"/>
      <c r="C14" s="2782"/>
      <c r="D14" s="2782"/>
      <c r="E14" s="2782"/>
      <c r="F14" s="62"/>
      <c r="G14" s="54"/>
      <c r="H14" s="54"/>
    </row>
    <row r="15" spans="1:8" s="55" customFormat="1" ht="18" customHeight="1">
      <c r="A15" s="52" t="s">
        <v>401</v>
      </c>
      <c r="B15" s="2782"/>
      <c r="C15" s="2782"/>
      <c r="D15" s="2782"/>
      <c r="E15" s="2782"/>
      <c r="F15" s="63"/>
      <c r="G15" s="54"/>
      <c r="H15" s="54"/>
    </row>
    <row r="16" spans="1:8" s="55" customFormat="1" ht="18" customHeight="1">
      <c r="A16" s="52" t="s">
        <v>401</v>
      </c>
      <c r="B16" s="2782"/>
      <c r="C16" s="2782"/>
      <c r="D16" s="2782"/>
      <c r="E16" s="2782"/>
      <c r="F16" s="61" t="s">
        <v>9976</v>
      </c>
      <c r="G16" s="54"/>
      <c r="H16" s="54"/>
    </row>
    <row r="17" spans="1:8" s="55" customFormat="1" ht="18" customHeight="1">
      <c r="A17" s="52" t="s">
        <v>715</v>
      </c>
      <c r="B17" s="2820">
        <f>ROUNDUP(税审收费标准!G3,0)</f>
        <v>1500</v>
      </c>
      <c r="C17" s="2820"/>
      <c r="D17" s="2820"/>
      <c r="E17" s="2820"/>
      <c r="F17" s="2576" t="s">
        <v>9975</v>
      </c>
      <c r="G17" s="54"/>
      <c r="H17" s="54"/>
    </row>
    <row r="18" spans="1:8" ht="18" customHeight="1">
      <c r="A18" s="64" t="s">
        <v>403</v>
      </c>
      <c r="B18" s="2795"/>
      <c r="C18" s="2795"/>
      <c r="D18" s="2795"/>
      <c r="E18" s="2795"/>
      <c r="F18" s="65"/>
      <c r="G18" s="50"/>
      <c r="H18" s="50"/>
    </row>
    <row r="19" spans="1:8" ht="18" customHeight="1">
      <c r="A19" s="64" t="s">
        <v>404</v>
      </c>
      <c r="B19" s="2796" t="str">
        <f>B21</f>
        <v>2017年3月16日</v>
      </c>
      <c r="C19" s="2797"/>
      <c r="D19" s="2797"/>
      <c r="E19" s="2797"/>
      <c r="F19" s="49" t="s">
        <v>1638</v>
      </c>
      <c r="G19" s="50"/>
      <c r="H19" s="50"/>
    </row>
    <row r="20" spans="1:8" s="55" customFormat="1" ht="18" customHeight="1">
      <c r="A20" s="52" t="s">
        <v>405</v>
      </c>
      <c r="B20" s="2798" t="s">
        <v>7702</v>
      </c>
      <c r="C20" s="2798"/>
      <c r="D20" s="2798"/>
      <c r="E20" s="2798"/>
      <c r="F20" s="49" t="str">
        <f>TEXT(B20,"yyyy-mm-dd")</f>
        <v>2017-05-04</v>
      </c>
      <c r="G20" s="54" t="s">
        <v>1268</v>
      </c>
      <c r="H20" s="54"/>
    </row>
    <row r="21" spans="1:8" ht="18" customHeight="1">
      <c r="A21" s="52" t="s">
        <v>406</v>
      </c>
      <c r="B21" s="2798" t="s">
        <v>7701</v>
      </c>
      <c r="C21" s="2798"/>
      <c r="D21" s="2798"/>
      <c r="E21" s="2798"/>
      <c r="F21" s="49" t="str">
        <f>TEXT(B21,"yyyy-mm-dd")</f>
        <v>2017-03-16</v>
      </c>
      <c r="G21" s="50" t="s">
        <v>1267</v>
      </c>
      <c r="H21" s="50"/>
    </row>
    <row r="22" spans="1:8" ht="18" customHeight="1">
      <c r="A22" s="52" t="s">
        <v>407</v>
      </c>
      <c r="B22" s="2796" t="str">
        <f>B20</f>
        <v>2017年5月4日</v>
      </c>
      <c r="C22" s="2797"/>
      <c r="D22" s="2797"/>
      <c r="E22" s="2797"/>
      <c r="F22" s="49"/>
      <c r="G22" s="50"/>
      <c r="H22" s="50"/>
    </row>
    <row r="23" spans="1:8" ht="18" customHeight="1">
      <c r="A23" s="52" t="s">
        <v>6430</v>
      </c>
      <c r="B23" s="2782"/>
      <c r="C23" s="2782"/>
      <c r="D23" s="2782"/>
      <c r="E23" s="2782"/>
      <c r="F23" s="49"/>
      <c r="G23" s="50"/>
      <c r="H23" s="50"/>
    </row>
    <row r="24" spans="1:8" ht="18" customHeight="1">
      <c r="A24" s="66" t="s">
        <v>408</v>
      </c>
      <c r="B24" s="2799">
        <v>361004</v>
      </c>
      <c r="C24" s="2799"/>
      <c r="D24" s="2799"/>
      <c r="E24" s="2799"/>
      <c r="F24" s="49"/>
      <c r="G24" s="50"/>
      <c r="H24" s="50"/>
    </row>
    <row r="25" spans="1:8" ht="18" customHeight="1">
      <c r="A25" s="66" t="s">
        <v>409</v>
      </c>
      <c r="B25" s="2799" t="str">
        <f>IF(B8="中汇百邦（厦门）税务师事务所有限公司","0592-5881030","0592-2988712")</f>
        <v>0592-5881030</v>
      </c>
      <c r="C25" s="2799"/>
      <c r="D25" s="2799"/>
      <c r="E25" s="2799"/>
      <c r="F25" s="49"/>
      <c r="G25" s="50"/>
      <c r="H25" s="50"/>
    </row>
    <row r="26" spans="1:8" ht="18" customHeight="1">
      <c r="A26" s="66" t="s">
        <v>410</v>
      </c>
      <c r="B26" s="2799" t="s">
        <v>411</v>
      </c>
      <c r="C26" s="2799"/>
      <c r="D26" s="2799"/>
      <c r="E26" s="2799"/>
      <c r="F26" s="49"/>
      <c r="G26" s="1313" t="s">
        <v>958</v>
      </c>
      <c r="H26" s="50"/>
    </row>
    <row r="27" spans="1:8" ht="18" customHeight="1">
      <c r="A27" s="66" t="s">
        <v>412</v>
      </c>
      <c r="B27" s="2822"/>
      <c r="C27" s="2822"/>
      <c r="D27" s="2822"/>
      <c r="E27" s="2822"/>
      <c r="F27" s="49"/>
      <c r="G27" s="1313" t="s">
        <v>959</v>
      </c>
      <c r="H27" s="50"/>
    </row>
    <row r="28" spans="1:8" ht="18" customHeight="1">
      <c r="A28" s="67" t="s">
        <v>413</v>
      </c>
      <c r="B28" s="2800" t="s">
        <v>1078</v>
      </c>
      <c r="C28" s="2800"/>
      <c r="D28" s="2800"/>
      <c r="E28" s="2800"/>
      <c r="F28" s="68" t="s">
        <v>415</v>
      </c>
      <c r="G28" s="1313" t="s">
        <v>960</v>
      </c>
      <c r="H28" s="50"/>
    </row>
    <row r="29" spans="1:8" ht="18" customHeight="1">
      <c r="A29" s="67" t="s">
        <v>416</v>
      </c>
      <c r="B29" s="2800" t="s">
        <v>414</v>
      </c>
      <c r="C29" s="2800"/>
      <c r="D29" s="2800"/>
      <c r="E29" s="2800"/>
      <c r="F29" s="68"/>
      <c r="G29" s="1313" t="s">
        <v>961</v>
      </c>
      <c r="H29" s="50"/>
    </row>
    <row r="30" spans="1:8" ht="18" customHeight="1">
      <c r="A30" s="67" t="s">
        <v>10085</v>
      </c>
      <c r="B30" s="2792">
        <v>3</v>
      </c>
      <c r="C30" s="2793"/>
      <c r="D30" s="2793"/>
      <c r="E30" s="2794"/>
      <c r="F30" s="68"/>
      <c r="G30" s="1313" t="s">
        <v>962</v>
      </c>
      <c r="H30" s="50"/>
    </row>
    <row r="31" spans="1:8" ht="18" customHeight="1">
      <c r="A31" s="67" t="s">
        <v>716</v>
      </c>
      <c r="B31" s="2790">
        <f>地税、基本情况!B3</f>
        <v>0</v>
      </c>
      <c r="C31" s="2791"/>
      <c r="D31" s="2791"/>
      <c r="E31" s="2791"/>
      <c r="F31" s="49" t="s">
        <v>386</v>
      </c>
      <c r="G31" s="1313" t="s">
        <v>963</v>
      </c>
      <c r="H31" s="50"/>
    </row>
    <row r="32" spans="1:8" ht="18" customHeight="1">
      <c r="A32" s="67" t="s">
        <v>717</v>
      </c>
      <c r="B32" s="2790">
        <f>地税、基本情况!B4</f>
        <v>0</v>
      </c>
      <c r="C32" s="2791"/>
      <c r="D32" s="2791"/>
      <c r="E32" s="2791"/>
      <c r="F32" s="49"/>
      <c r="G32" s="50"/>
      <c r="H32" s="50"/>
    </row>
    <row r="33" spans="1:8" ht="18" customHeight="1">
      <c r="A33" s="67" t="s">
        <v>408</v>
      </c>
      <c r="B33" s="2790">
        <f>地税、基本情况!D3</f>
        <v>0</v>
      </c>
      <c r="C33" s="2791"/>
      <c r="D33" s="2791"/>
      <c r="E33" s="2791"/>
      <c r="F33" s="49" t="s">
        <v>417</v>
      </c>
      <c r="G33" s="50"/>
      <c r="H33" s="50"/>
    </row>
    <row r="34" spans="1:8" ht="18" customHeight="1">
      <c r="A34" s="64" t="s">
        <v>409</v>
      </c>
      <c r="B34" s="2790">
        <f>地税、基本情况!D7</f>
        <v>0</v>
      </c>
      <c r="C34" s="2791"/>
      <c r="D34" s="2791"/>
      <c r="E34" s="2791"/>
      <c r="F34" s="49" t="s">
        <v>418</v>
      </c>
      <c r="G34" s="50"/>
      <c r="H34" s="50"/>
    </row>
    <row r="35" spans="1:8" ht="18" customHeight="1">
      <c r="A35" s="64" t="s">
        <v>419</v>
      </c>
      <c r="B35" s="2790">
        <f>地税、基本情况!B7</f>
        <v>0</v>
      </c>
      <c r="C35" s="2791"/>
      <c r="D35" s="2791"/>
      <c r="E35" s="2791"/>
      <c r="F35" s="49" t="s">
        <v>418</v>
      </c>
      <c r="G35" s="50"/>
      <c r="H35" s="50"/>
    </row>
    <row r="36" spans="1:8" ht="18" customHeight="1">
      <c r="A36" s="64" t="s">
        <v>420</v>
      </c>
      <c r="B36" s="2790">
        <f>地税、基本情况!B9</f>
        <v>0</v>
      </c>
      <c r="C36" s="2791"/>
      <c r="D36" s="2791"/>
      <c r="E36" s="2791"/>
      <c r="F36" s="49" t="s">
        <v>418</v>
      </c>
      <c r="G36" s="50"/>
      <c r="H36" s="50"/>
    </row>
    <row r="37" spans="1:8" ht="18" customHeight="1">
      <c r="A37" s="64" t="s">
        <v>421</v>
      </c>
      <c r="B37" s="2791">
        <f>B35</f>
        <v>0</v>
      </c>
      <c r="C37" s="2791"/>
      <c r="D37" s="2791"/>
      <c r="E37" s="2791"/>
      <c r="F37" s="49" t="s">
        <v>422</v>
      </c>
      <c r="G37" s="50"/>
      <c r="H37" s="50"/>
    </row>
    <row r="38" spans="1:8" ht="18" customHeight="1">
      <c r="A38" s="64" t="s">
        <v>423</v>
      </c>
      <c r="B38" s="2823" t="s">
        <v>2408</v>
      </c>
      <c r="C38" s="2823"/>
      <c r="D38" s="2823"/>
      <c r="E38" s="2823"/>
      <c r="F38" s="69" t="s">
        <v>424</v>
      </c>
      <c r="G38" s="50"/>
      <c r="H38" s="50"/>
    </row>
    <row r="39" spans="1:8" ht="18" customHeight="1">
      <c r="A39" s="64" t="s">
        <v>425</v>
      </c>
      <c r="B39" s="2791" t="e">
        <f>INDEX(地税、基本情况!A:A,MATCH("营业网点",地税、基本情况!A:A,0)+1)</f>
        <v>#N/A</v>
      </c>
      <c r="C39" s="2791"/>
      <c r="D39" s="2791"/>
      <c r="E39" s="2791"/>
      <c r="F39" s="49" t="s">
        <v>426</v>
      </c>
      <c r="G39" s="50"/>
      <c r="H39" s="50"/>
    </row>
    <row r="40" spans="1:8" ht="18" customHeight="1">
      <c r="A40" s="64" t="s">
        <v>427</v>
      </c>
      <c r="B40" s="2791" t="e">
        <f>INDEX(地税、基本情况!D:D,MATCH("营业网点",地税、基本情况!A:A,0)+1)</f>
        <v>#N/A</v>
      </c>
      <c r="C40" s="2791"/>
      <c r="D40" s="2791"/>
      <c r="E40" s="2791"/>
      <c r="F40" s="49" t="s">
        <v>426</v>
      </c>
      <c r="G40" s="50"/>
      <c r="H40" s="50"/>
    </row>
    <row r="41" spans="1:8" ht="18" customHeight="1">
      <c r="A41" s="70" t="s">
        <v>428</v>
      </c>
      <c r="B41" s="2826">
        <f>地税、基本情况!B6</f>
        <v>0</v>
      </c>
      <c r="C41" s="2827"/>
      <c r="D41" s="2827"/>
      <c r="E41" s="2827"/>
      <c r="F41" s="49"/>
      <c r="G41" s="50"/>
      <c r="H41" s="50"/>
    </row>
    <row r="42" spans="1:8" ht="18" customHeight="1">
      <c r="A42" s="70" t="s">
        <v>429</v>
      </c>
      <c r="B42" s="2828">
        <f>地税、基本情况!D5</f>
        <v>0</v>
      </c>
      <c r="C42" s="2829"/>
      <c r="D42" s="2829"/>
      <c r="E42" s="2829"/>
      <c r="F42" s="49"/>
      <c r="G42" s="50"/>
      <c r="H42" s="50"/>
    </row>
    <row r="43" spans="1:8" ht="18" customHeight="1">
      <c r="A43" s="71" t="s">
        <v>430</v>
      </c>
      <c r="B43" s="2824">
        <f>地税、基本情况!B10</f>
        <v>0</v>
      </c>
      <c r="C43" s="2825"/>
      <c r="D43" s="2825"/>
      <c r="E43" s="2825"/>
      <c r="F43" s="49"/>
      <c r="G43" s="50"/>
      <c r="H43" s="50"/>
    </row>
    <row r="44" spans="1:8" ht="18" customHeight="1">
      <c r="A44" s="71" t="s">
        <v>7704</v>
      </c>
      <c r="B44" s="2790">
        <f>地税、基本情况!H6</f>
        <v>0</v>
      </c>
      <c r="C44" s="2791"/>
      <c r="D44" s="2791"/>
      <c r="E44" s="2791"/>
      <c r="F44" s="49" t="s">
        <v>386</v>
      </c>
      <c r="G44" s="50"/>
      <c r="H44" s="50"/>
    </row>
    <row r="45" spans="1:8" ht="18" customHeight="1">
      <c r="A45" s="71" t="s">
        <v>431</v>
      </c>
      <c r="B45" s="2803">
        <f>地税、基本情况!D10</f>
        <v>0</v>
      </c>
      <c r="C45" s="2804"/>
      <c r="D45" s="2804"/>
      <c r="E45" s="2804"/>
      <c r="F45" s="49" t="s">
        <v>386</v>
      </c>
      <c r="G45" s="50"/>
      <c r="H45" s="50"/>
    </row>
    <row r="46" spans="1:8" ht="65.25" customHeight="1">
      <c r="A46" s="72" t="s">
        <v>432</v>
      </c>
      <c r="B46" s="2805">
        <f>地税、基本情况!X9</f>
        <v>0</v>
      </c>
      <c r="C46" s="2806"/>
      <c r="D46" s="2806"/>
      <c r="E46" s="2806"/>
      <c r="F46" s="49" t="s">
        <v>386</v>
      </c>
      <c r="G46" s="50"/>
      <c r="H46" s="50"/>
    </row>
    <row r="47" spans="1:8" ht="19.5" customHeight="1">
      <c r="A47" s="72" t="s">
        <v>433</v>
      </c>
      <c r="B47" s="2807">
        <f>YEAR(地税、基本情况!X18)-YEAR(地税、基本情况!X17)</f>
        <v>0</v>
      </c>
      <c r="C47" s="2808"/>
      <c r="D47" s="2808"/>
      <c r="E47" s="2809"/>
      <c r="F47" s="49" t="s">
        <v>386</v>
      </c>
      <c r="G47" s="50"/>
      <c r="H47" s="50"/>
    </row>
    <row r="48" spans="1:8" ht="19.5" customHeight="1">
      <c r="A48" s="2574" t="s">
        <v>434</v>
      </c>
      <c r="B48" s="2817" t="str">
        <f>TRIM(B44)</f>
        <v>0</v>
      </c>
      <c r="C48" s="2818"/>
      <c r="D48" s="2818"/>
      <c r="E48" s="2819"/>
      <c r="F48" s="49" t="s">
        <v>435</v>
      </c>
      <c r="G48" s="50"/>
      <c r="H48" s="50"/>
    </row>
    <row r="49" spans="1:8" ht="21" customHeight="1">
      <c r="A49" s="71" t="s">
        <v>10061</v>
      </c>
      <c r="B49" s="2812" t="s">
        <v>10114</v>
      </c>
      <c r="C49" s="2813"/>
      <c r="D49" s="2814" t="s">
        <v>10116</v>
      </c>
      <c r="E49" s="2815"/>
      <c r="F49" s="49" t="s">
        <v>436</v>
      </c>
      <c r="G49" s="50"/>
      <c r="H49" s="50"/>
    </row>
    <row r="50" spans="1:8" ht="21" customHeight="1">
      <c r="A50" s="71" t="s">
        <v>10062</v>
      </c>
      <c r="B50" s="2812" t="s">
        <v>10115</v>
      </c>
      <c r="C50" s="2813"/>
      <c r="D50" s="2814" t="s">
        <v>10117</v>
      </c>
      <c r="E50" s="2816"/>
      <c r="F50" s="49" t="s">
        <v>436</v>
      </c>
      <c r="G50" s="50"/>
      <c r="H50" s="50"/>
    </row>
    <row r="51" spans="1:8" s="78" customFormat="1" ht="21" customHeight="1">
      <c r="A51" s="73" t="s">
        <v>437</v>
      </c>
      <c r="B51" s="74" t="s">
        <v>438</v>
      </c>
      <c r="C51" s="74" t="s">
        <v>439</v>
      </c>
      <c r="D51" s="74" t="s">
        <v>440</v>
      </c>
      <c r="E51" s="75" t="s">
        <v>441</v>
      </c>
      <c r="F51" s="76"/>
      <c r="G51" s="77"/>
      <c r="H51" s="77"/>
    </row>
    <row r="52" spans="1:8">
      <c r="A52" s="1458" t="str">
        <f>IF(实收公积!B7="","",实收公积!B7)</f>
        <v/>
      </c>
      <c r="B52" s="1459" t="str">
        <f>IF(实收公积!H7=0,"",实收公积!H7)</f>
        <v/>
      </c>
      <c r="C52" s="79" t="str">
        <f>IF(ISERROR(B52/$B$57),"",B52/$B$57)</f>
        <v/>
      </c>
      <c r="D52" s="1460" t="str">
        <f>B52</f>
        <v/>
      </c>
      <c r="E52" s="80" t="str">
        <f>IF(ISERROR(D52/$B$57),"",D52/$B$57)</f>
        <v/>
      </c>
      <c r="F52" s="49" t="s">
        <v>442</v>
      </c>
      <c r="G52" s="50"/>
      <c r="H52" s="50"/>
    </row>
    <row r="53" spans="1:8">
      <c r="A53" s="1458" t="str">
        <f>IF(实收公积!B8="","",实收公积!B8)</f>
        <v/>
      </c>
      <c r="B53" s="1459" t="str">
        <f>IF(实收公积!H8=0,"",实收公积!H8)</f>
        <v/>
      </c>
      <c r="C53" s="79" t="str">
        <f>IF(ISERROR(B53/$B$57),"",B53/$B$57)</f>
        <v/>
      </c>
      <c r="D53" s="1460" t="str">
        <f>B53</f>
        <v/>
      </c>
      <c r="E53" s="80" t="str">
        <f>IF(ISERROR(D53/$B$57),"",D53/$B$57)</f>
        <v/>
      </c>
      <c r="F53" s="49"/>
      <c r="G53" s="50"/>
      <c r="H53" s="50"/>
    </row>
    <row r="54" spans="1:8">
      <c r="A54" s="1458" t="str">
        <f>IF(实收公积!B9="","",实收公积!B9)</f>
        <v/>
      </c>
      <c r="B54" s="1459" t="str">
        <f>IF(实收公积!H9=0,"",实收公积!H9)</f>
        <v/>
      </c>
      <c r="C54" s="79" t="str">
        <f>IF(ISERROR(B54/$B$57),"",B54/$B$57)</f>
        <v/>
      </c>
      <c r="D54" s="1460" t="str">
        <f>B54</f>
        <v/>
      </c>
      <c r="E54" s="80" t="str">
        <f>IF(ISERROR(D54/$B$57),"",D54/$B$57)</f>
        <v/>
      </c>
      <c r="F54" s="49"/>
      <c r="G54" s="50"/>
      <c r="H54" s="50"/>
    </row>
    <row r="55" spans="1:8">
      <c r="A55" s="1458" t="str">
        <f>IF(实收公积!B10="","",实收公积!B10)</f>
        <v/>
      </c>
      <c r="B55" s="1459" t="str">
        <f>IF(实收公积!H10=0,"",实收公积!H10)</f>
        <v/>
      </c>
      <c r="C55" s="79" t="str">
        <f>IF(ISERROR(B55/$B$57),"",B55/$B$57)</f>
        <v/>
      </c>
      <c r="D55" s="1460" t="str">
        <f>B55</f>
        <v/>
      </c>
      <c r="E55" s="80" t="str">
        <f>IF(ISERROR(D55/$B$57),"",D55/$B$57)</f>
        <v/>
      </c>
      <c r="F55" s="49"/>
      <c r="G55" s="50"/>
      <c r="H55" s="50"/>
    </row>
    <row r="56" spans="1:8">
      <c r="A56" s="1458" t="str">
        <f>IF(实收公积!B11="","",实收公积!B11)</f>
        <v/>
      </c>
      <c r="B56" s="1459" t="str">
        <f>IF(实收公积!H11=0,"",实收公积!H11)</f>
        <v/>
      </c>
      <c r="C56" s="79" t="str">
        <f>IF(ISERROR(B56/$B$57),"",B56/$B$57)</f>
        <v/>
      </c>
      <c r="D56" s="1460" t="str">
        <f>B56</f>
        <v/>
      </c>
      <c r="E56" s="80" t="str">
        <f>IF(ISERROR(D56/$B$57),"",D56/$B$57)</f>
        <v/>
      </c>
      <c r="F56" s="49"/>
      <c r="G56" s="50"/>
      <c r="H56" s="50"/>
    </row>
    <row r="57" spans="1:8">
      <c r="A57" s="81" t="s">
        <v>443</v>
      </c>
      <c r="B57" s="1319">
        <f>SUM(B52:B56)</f>
        <v>0</v>
      </c>
      <c r="C57" s="79">
        <f>SUM(C52:C56)</f>
        <v>0</v>
      </c>
      <c r="D57" s="1319">
        <f>SUM(D52:D56)</f>
        <v>0</v>
      </c>
      <c r="E57" s="80">
        <f>SUM(E52:E56)</f>
        <v>0</v>
      </c>
      <c r="F57" s="49"/>
      <c r="G57" s="50"/>
      <c r="H57" s="50"/>
    </row>
    <row r="58" spans="1:8">
      <c r="A58" s="81" t="s">
        <v>718</v>
      </c>
      <c r="B58" s="2821">
        <f>B57</f>
        <v>0</v>
      </c>
      <c r="C58" s="2821"/>
      <c r="D58" s="2821"/>
      <c r="E58" s="2821"/>
      <c r="F58" s="49"/>
      <c r="G58" s="50"/>
      <c r="H58" s="50"/>
    </row>
    <row r="59" spans="1:8" ht="24">
      <c r="A59" s="1308" t="s">
        <v>829</v>
      </c>
      <c r="B59" s="1309" t="s">
        <v>830</v>
      </c>
      <c r="C59" s="1309" t="s">
        <v>831</v>
      </c>
      <c r="D59" s="1309" t="s">
        <v>832</v>
      </c>
      <c r="E59" s="1307" t="s">
        <v>833</v>
      </c>
      <c r="F59" s="49"/>
      <c r="G59" s="50"/>
      <c r="H59" s="50"/>
    </row>
    <row r="60" spans="1:8" ht="60">
      <c r="A60" s="1312" t="s">
        <v>820</v>
      </c>
      <c r="B60" s="1310" t="s">
        <v>1364</v>
      </c>
      <c r="C60" s="1302" t="s">
        <v>1365</v>
      </c>
      <c r="D60" s="1311">
        <v>0</v>
      </c>
      <c r="E60" s="1307" t="s">
        <v>821</v>
      </c>
      <c r="F60" s="49"/>
      <c r="G60" s="50"/>
      <c r="H60" s="50"/>
    </row>
    <row r="61" spans="1:8" ht="60">
      <c r="A61" s="1312" t="s">
        <v>822</v>
      </c>
      <c r="B61" s="1310" t="s">
        <v>1364</v>
      </c>
      <c r="C61" s="1302" t="s">
        <v>1365</v>
      </c>
      <c r="D61" s="1311">
        <v>0</v>
      </c>
      <c r="E61" s="1307" t="s">
        <v>823</v>
      </c>
      <c r="F61" s="49"/>
      <c r="G61" s="50"/>
      <c r="H61" s="50"/>
    </row>
    <row r="62" spans="1:8" ht="48">
      <c r="A62" s="1312" t="s">
        <v>824</v>
      </c>
      <c r="B62" s="1310" t="s">
        <v>1364</v>
      </c>
      <c r="C62" s="1302" t="s">
        <v>1365</v>
      </c>
      <c r="D62" s="1311">
        <v>0</v>
      </c>
      <c r="E62" s="1307" t="s">
        <v>825</v>
      </c>
      <c r="F62" s="49"/>
      <c r="G62" s="50"/>
      <c r="H62" s="50"/>
    </row>
    <row r="63" spans="1:8" ht="48">
      <c r="A63" s="1312" t="s">
        <v>826</v>
      </c>
      <c r="B63" s="1310" t="s">
        <v>1364</v>
      </c>
      <c r="C63" s="1302" t="s">
        <v>1365</v>
      </c>
      <c r="D63" s="1311">
        <v>0</v>
      </c>
      <c r="E63" s="1307" t="s">
        <v>827</v>
      </c>
      <c r="F63" s="49"/>
      <c r="G63" s="50"/>
      <c r="H63" s="50"/>
    </row>
    <row r="64" spans="1:8" ht="48">
      <c r="A64" s="1312" t="s">
        <v>83</v>
      </c>
      <c r="B64" s="1310" t="s">
        <v>2475</v>
      </c>
      <c r="C64" s="2802" t="s">
        <v>10086</v>
      </c>
      <c r="D64" s="2802"/>
      <c r="E64" s="1307" t="s">
        <v>828</v>
      </c>
      <c r="F64" s="49"/>
      <c r="G64" s="50"/>
      <c r="H64" s="50"/>
    </row>
    <row r="65" spans="1:8" s="78" customFormat="1" ht="21" customHeight="1">
      <c r="A65" s="82" t="s">
        <v>444</v>
      </c>
      <c r="B65" s="2810"/>
      <c r="C65" s="2810"/>
      <c r="D65" s="2810"/>
      <c r="E65" s="2810"/>
      <c r="F65" s="76" t="s">
        <v>445</v>
      </c>
      <c r="G65" s="77"/>
      <c r="H65" s="77"/>
    </row>
    <row r="66" spans="1:8" s="78" customFormat="1" ht="21" customHeight="1">
      <c r="A66" s="83" t="s">
        <v>446</v>
      </c>
      <c r="B66" s="2811"/>
      <c r="C66" s="2811"/>
      <c r="D66" s="2811"/>
      <c r="E66" s="2811"/>
      <c r="F66" s="76" t="s">
        <v>445</v>
      </c>
      <c r="G66" s="77"/>
      <c r="H66" s="77"/>
    </row>
    <row r="67" spans="1:8">
      <c r="A67" s="46"/>
    </row>
    <row r="68" spans="1:8">
      <c r="A68" s="46"/>
    </row>
    <row r="69" spans="1:8">
      <c r="A69" s="46"/>
    </row>
    <row r="70" spans="1:8">
      <c r="A70" s="2801" t="s">
        <v>719</v>
      </c>
      <c r="B70" s="2801"/>
      <c r="C70" s="1303"/>
      <c r="D70" s="2801" t="s">
        <v>720</v>
      </c>
      <c r="E70" s="2801"/>
    </row>
    <row r="71" spans="1:8">
      <c r="A71" s="1304">
        <v>100</v>
      </c>
      <c r="B71" s="1305" t="s">
        <v>735</v>
      </c>
      <c r="C71" s="1303"/>
      <c r="D71" s="1304" t="s">
        <v>721</v>
      </c>
      <c r="E71" s="1305" t="s">
        <v>800</v>
      </c>
      <c r="F71" s="1303"/>
    </row>
    <row r="72" spans="1:8">
      <c r="A72" s="1304">
        <v>110</v>
      </c>
      <c r="B72" s="1305" t="s">
        <v>736</v>
      </c>
      <c r="C72" s="1303"/>
      <c r="D72" s="1304" t="s">
        <v>1601</v>
      </c>
      <c r="E72" s="1305" t="s">
        <v>801</v>
      </c>
      <c r="F72" s="1303"/>
    </row>
    <row r="73" spans="1:8">
      <c r="A73" s="1304">
        <v>120</v>
      </c>
      <c r="B73" s="1305" t="s">
        <v>737</v>
      </c>
      <c r="C73" s="1303"/>
      <c r="D73" s="1304" t="s">
        <v>1617</v>
      </c>
      <c r="E73" s="1305" t="s">
        <v>802</v>
      </c>
      <c r="F73" s="1303"/>
    </row>
    <row r="74" spans="1:8">
      <c r="A74" s="1304">
        <v>130</v>
      </c>
      <c r="B74" s="1305" t="s">
        <v>738</v>
      </c>
      <c r="C74" s="1303"/>
      <c r="D74" s="1304" t="s">
        <v>722</v>
      </c>
      <c r="E74" s="1305" t="s">
        <v>803</v>
      </c>
      <c r="F74" s="1303"/>
    </row>
    <row r="75" spans="1:8">
      <c r="A75" s="1304">
        <v>140</v>
      </c>
      <c r="B75" s="1305" t="s">
        <v>739</v>
      </c>
      <c r="C75" s="1303"/>
      <c r="D75" s="1304" t="s">
        <v>506</v>
      </c>
      <c r="E75" s="1305" t="s">
        <v>804</v>
      </c>
      <c r="F75" s="1303"/>
    </row>
    <row r="76" spans="1:8">
      <c r="A76" s="1304">
        <v>141</v>
      </c>
      <c r="B76" s="1305" t="s">
        <v>740</v>
      </c>
      <c r="C76" s="1303"/>
      <c r="D76" s="1304" t="s">
        <v>723</v>
      </c>
      <c r="E76" s="1305" t="s">
        <v>805</v>
      </c>
      <c r="F76" s="1303"/>
    </row>
    <row r="77" spans="1:8">
      <c r="A77" s="1304">
        <v>142</v>
      </c>
      <c r="B77" s="1305" t="s">
        <v>741</v>
      </c>
      <c r="C77" s="1303"/>
      <c r="D77" s="1304" t="s">
        <v>1609</v>
      </c>
      <c r="E77" s="1305" t="s">
        <v>806</v>
      </c>
      <c r="F77" s="1303"/>
    </row>
    <row r="78" spans="1:8">
      <c r="A78" s="1304">
        <v>143</v>
      </c>
      <c r="B78" s="1305" t="s">
        <v>742</v>
      </c>
      <c r="C78" s="1303"/>
      <c r="D78" s="1304" t="s">
        <v>724</v>
      </c>
      <c r="E78" s="1305" t="s">
        <v>807</v>
      </c>
      <c r="F78" s="1303"/>
    </row>
    <row r="79" spans="1:8">
      <c r="A79" s="1304">
        <v>149</v>
      </c>
      <c r="B79" s="1305" t="s">
        <v>743</v>
      </c>
      <c r="C79" s="1303"/>
      <c r="D79" s="1304" t="s">
        <v>725</v>
      </c>
      <c r="E79" s="1305" t="s">
        <v>808</v>
      </c>
      <c r="F79" s="1303"/>
    </row>
    <row r="80" spans="1:8">
      <c r="A80" s="1304">
        <v>150</v>
      </c>
      <c r="B80" s="1305" t="s">
        <v>744</v>
      </c>
      <c r="C80" s="1303"/>
      <c r="D80" s="1304" t="s">
        <v>726</v>
      </c>
      <c r="E80" s="1305" t="s">
        <v>809</v>
      </c>
      <c r="F80" s="1303"/>
    </row>
    <row r="81" spans="1:6">
      <c r="A81" s="1304">
        <v>151</v>
      </c>
      <c r="B81" s="1305" t="s">
        <v>745</v>
      </c>
      <c r="C81" s="1303"/>
      <c r="D81" s="1304" t="s">
        <v>727</v>
      </c>
      <c r="E81" s="1305" t="s">
        <v>810</v>
      </c>
      <c r="F81" s="1303"/>
    </row>
    <row r="82" spans="1:6">
      <c r="A82" s="1304">
        <v>159</v>
      </c>
      <c r="B82" s="1305" t="s">
        <v>746</v>
      </c>
      <c r="C82" s="1303"/>
      <c r="D82" s="1304" t="s">
        <v>728</v>
      </c>
      <c r="E82" s="1305" t="s">
        <v>811</v>
      </c>
      <c r="F82" s="1303"/>
    </row>
    <row r="83" spans="1:6">
      <c r="A83" s="1304">
        <v>160</v>
      </c>
      <c r="B83" s="1305" t="s">
        <v>747</v>
      </c>
      <c r="C83" s="1303"/>
      <c r="D83" s="1304" t="s">
        <v>729</v>
      </c>
      <c r="E83" s="1305" t="s">
        <v>812</v>
      </c>
      <c r="F83" s="1303"/>
    </row>
    <row r="84" spans="1:6">
      <c r="A84" s="1304">
        <v>170</v>
      </c>
      <c r="B84" s="1305" t="s">
        <v>748</v>
      </c>
      <c r="C84" s="1303"/>
      <c r="D84" s="1304" t="s">
        <v>730</v>
      </c>
      <c r="E84" s="1305" t="s">
        <v>813</v>
      </c>
      <c r="F84" s="1303"/>
    </row>
    <row r="85" spans="1:6">
      <c r="A85" s="1304">
        <v>171</v>
      </c>
      <c r="B85" s="1305" t="s">
        <v>749</v>
      </c>
      <c r="C85" s="1303"/>
      <c r="D85" s="1304" t="s">
        <v>731</v>
      </c>
      <c r="E85" s="1305" t="s">
        <v>814</v>
      </c>
      <c r="F85" s="1303"/>
    </row>
    <row r="86" spans="1:6">
      <c r="A86" s="1304">
        <v>172</v>
      </c>
      <c r="B86" s="1305" t="s">
        <v>750</v>
      </c>
      <c r="C86" s="1303"/>
      <c r="D86" s="1304" t="s">
        <v>732</v>
      </c>
      <c r="E86" s="1305" t="s">
        <v>815</v>
      </c>
      <c r="F86" s="1303"/>
    </row>
    <row r="87" spans="1:6">
      <c r="A87" s="1304">
        <v>173</v>
      </c>
      <c r="B87" s="1305" t="s">
        <v>751</v>
      </c>
      <c r="C87" s="1303"/>
      <c r="D87" s="1304" t="s">
        <v>733</v>
      </c>
      <c r="E87" s="1305" t="s">
        <v>816</v>
      </c>
      <c r="F87" s="1303"/>
    </row>
    <row r="88" spans="1:6">
      <c r="A88" s="1304">
        <v>174</v>
      </c>
      <c r="B88" s="1305" t="s">
        <v>752</v>
      </c>
      <c r="C88" s="1303"/>
      <c r="D88" s="1304" t="s">
        <v>734</v>
      </c>
      <c r="E88" s="1305" t="s">
        <v>817</v>
      </c>
      <c r="F88" s="1303"/>
    </row>
    <row r="89" spans="1:6">
      <c r="A89" s="1304">
        <v>175</v>
      </c>
      <c r="B89" s="1305" t="s">
        <v>753</v>
      </c>
      <c r="C89" s="1303"/>
      <c r="D89" s="1304" t="s">
        <v>1613</v>
      </c>
      <c r="E89" s="1305" t="s">
        <v>818</v>
      </c>
      <c r="F89" s="1303"/>
    </row>
    <row r="90" spans="1:6">
      <c r="A90" s="1304">
        <v>190</v>
      </c>
      <c r="B90" s="1305" t="s">
        <v>754</v>
      </c>
      <c r="C90" s="1303"/>
      <c r="D90" s="1304" t="s">
        <v>1605</v>
      </c>
      <c r="E90" s="1305" t="s">
        <v>819</v>
      </c>
      <c r="F90" s="1303"/>
    </row>
    <row r="91" spans="1:6">
      <c r="A91" s="1304">
        <v>200</v>
      </c>
      <c r="B91" s="1305" t="s">
        <v>755</v>
      </c>
      <c r="C91" s="1303"/>
      <c r="D91" s="1303"/>
      <c r="E91" s="1306"/>
    </row>
    <row r="92" spans="1:6">
      <c r="A92" s="1304">
        <v>210</v>
      </c>
      <c r="B92" s="1305" t="s">
        <v>756</v>
      </c>
      <c r="C92" s="1303"/>
      <c r="D92" s="1303"/>
      <c r="E92" s="1306"/>
    </row>
    <row r="93" spans="1:6">
      <c r="A93" s="1304">
        <v>220</v>
      </c>
      <c r="B93" s="1305" t="s">
        <v>757</v>
      </c>
      <c r="C93" s="1303"/>
      <c r="D93" s="1303"/>
      <c r="E93" s="1306"/>
    </row>
    <row r="94" spans="1:6">
      <c r="A94" s="1304">
        <v>230</v>
      </c>
      <c r="B94" s="1305" t="s">
        <v>758</v>
      </c>
      <c r="C94" s="1303"/>
      <c r="D94" s="1303"/>
      <c r="E94" s="1306"/>
    </row>
    <row r="95" spans="1:6">
      <c r="A95" s="1304">
        <v>240</v>
      </c>
      <c r="B95" s="1305" t="s">
        <v>759</v>
      </c>
      <c r="C95" s="1303"/>
      <c r="D95" s="1303"/>
      <c r="E95" s="1306"/>
    </row>
    <row r="96" spans="1:6">
      <c r="A96" s="1304">
        <v>250</v>
      </c>
      <c r="B96" s="1305" t="s">
        <v>760</v>
      </c>
      <c r="C96" s="1303"/>
      <c r="D96" s="1303"/>
      <c r="E96" s="1306"/>
    </row>
    <row r="97" spans="1:5">
      <c r="A97" s="1304">
        <v>251</v>
      </c>
      <c r="B97" s="1305" t="s">
        <v>761</v>
      </c>
      <c r="C97" s="1303"/>
      <c r="D97" s="1303"/>
      <c r="E97" s="1306"/>
    </row>
    <row r="98" spans="1:5">
      <c r="A98" s="1304">
        <v>252</v>
      </c>
      <c r="B98" s="1305" t="s">
        <v>762</v>
      </c>
      <c r="C98" s="1303"/>
      <c r="D98" s="1303"/>
      <c r="E98" s="1306"/>
    </row>
    <row r="99" spans="1:5">
      <c r="A99" s="1304">
        <v>253</v>
      </c>
      <c r="B99" s="1305" t="s">
        <v>763</v>
      </c>
      <c r="C99" s="1303"/>
      <c r="D99" s="1303"/>
      <c r="E99" s="1306"/>
    </row>
    <row r="100" spans="1:5">
      <c r="A100" s="1304">
        <v>254</v>
      </c>
      <c r="B100" s="1305" t="s">
        <v>764</v>
      </c>
      <c r="C100" s="1303"/>
      <c r="D100" s="1303"/>
      <c r="E100" s="1306"/>
    </row>
    <row r="101" spans="1:5">
      <c r="A101" s="1304">
        <v>259</v>
      </c>
      <c r="B101" s="1305" t="s">
        <v>765</v>
      </c>
      <c r="C101" s="1303"/>
      <c r="D101" s="1303"/>
      <c r="E101" s="1306"/>
    </row>
    <row r="102" spans="1:5">
      <c r="A102" s="1304">
        <v>300</v>
      </c>
      <c r="B102" s="1305" t="s">
        <v>766</v>
      </c>
      <c r="C102" s="1303"/>
      <c r="D102" s="1303"/>
      <c r="E102" s="1306"/>
    </row>
    <row r="103" spans="1:5">
      <c r="A103" s="1304">
        <v>310</v>
      </c>
      <c r="B103" s="1305" t="s">
        <v>767</v>
      </c>
      <c r="C103" s="1303"/>
      <c r="D103" s="1303"/>
      <c r="E103" s="1306"/>
    </row>
    <row r="104" spans="1:5">
      <c r="A104" s="1304">
        <v>320</v>
      </c>
      <c r="B104" s="1305" t="s">
        <v>768</v>
      </c>
      <c r="C104" s="1303"/>
      <c r="D104" s="1303"/>
      <c r="E104" s="1306"/>
    </row>
    <row r="105" spans="1:5">
      <c r="A105" s="1304">
        <v>330</v>
      </c>
      <c r="B105" s="1305" t="s">
        <v>769</v>
      </c>
      <c r="C105" s="1303"/>
      <c r="D105" s="1303"/>
      <c r="E105" s="1306"/>
    </row>
    <row r="106" spans="1:5">
      <c r="A106" s="1304">
        <v>340</v>
      </c>
      <c r="B106" s="1305" t="s">
        <v>770</v>
      </c>
      <c r="C106" s="1303"/>
      <c r="D106" s="1303"/>
      <c r="E106" s="1306"/>
    </row>
    <row r="107" spans="1:5">
      <c r="A107" s="1304">
        <v>350</v>
      </c>
      <c r="B107" s="1305" t="s">
        <v>771</v>
      </c>
      <c r="C107" s="1303"/>
      <c r="D107" s="1303"/>
      <c r="E107" s="1306"/>
    </row>
    <row r="108" spans="1:5">
      <c r="A108" s="1304">
        <v>351</v>
      </c>
      <c r="B108" s="1305" t="s">
        <v>772</v>
      </c>
      <c r="C108" s="1303"/>
      <c r="D108" s="1303"/>
      <c r="E108" s="1306"/>
    </row>
    <row r="109" spans="1:5">
      <c r="A109" s="1304">
        <v>352</v>
      </c>
      <c r="B109" s="1305" t="s">
        <v>773</v>
      </c>
      <c r="C109" s="1303"/>
      <c r="D109" s="1303"/>
      <c r="E109" s="1306"/>
    </row>
    <row r="110" spans="1:5">
      <c r="A110" s="1304">
        <v>353</v>
      </c>
      <c r="B110" s="1305" t="s">
        <v>774</v>
      </c>
      <c r="C110" s="1303"/>
      <c r="D110" s="1303"/>
      <c r="E110" s="1306"/>
    </row>
    <row r="111" spans="1:5">
      <c r="A111" s="1304">
        <v>354</v>
      </c>
      <c r="B111" s="1305" t="s">
        <v>775</v>
      </c>
      <c r="C111" s="1303"/>
      <c r="D111" s="1303"/>
      <c r="E111" s="1306"/>
    </row>
    <row r="112" spans="1:5">
      <c r="A112" s="1304">
        <v>359</v>
      </c>
      <c r="B112" s="1305" t="s">
        <v>776</v>
      </c>
      <c r="C112" s="1303"/>
      <c r="D112" s="1303"/>
      <c r="E112" s="1306"/>
    </row>
    <row r="113" spans="1:5">
      <c r="A113" s="1304">
        <v>400</v>
      </c>
      <c r="B113" s="1305" t="s">
        <v>777</v>
      </c>
      <c r="C113" s="1303"/>
      <c r="D113" s="1303"/>
      <c r="E113" s="1306"/>
    </row>
    <row r="114" spans="1:5">
      <c r="A114" s="1304">
        <v>410</v>
      </c>
      <c r="B114" s="1305" t="s">
        <v>778</v>
      </c>
      <c r="C114" s="1303"/>
      <c r="D114" s="1303"/>
      <c r="E114" s="1306"/>
    </row>
    <row r="115" spans="1:5">
      <c r="A115" s="1304">
        <v>411</v>
      </c>
      <c r="B115" s="1305" t="s">
        <v>779</v>
      </c>
      <c r="C115" s="1303"/>
      <c r="D115" s="1303"/>
      <c r="E115" s="1306"/>
    </row>
    <row r="116" spans="1:5">
      <c r="A116" s="1304">
        <v>412</v>
      </c>
      <c r="B116" s="1305" t="s">
        <v>780</v>
      </c>
      <c r="C116" s="1303"/>
      <c r="D116" s="1303"/>
      <c r="E116" s="1306"/>
    </row>
    <row r="117" spans="1:5">
      <c r="A117" s="1304">
        <v>413</v>
      </c>
      <c r="B117" s="1305" t="s">
        <v>781</v>
      </c>
      <c r="C117" s="1303"/>
      <c r="D117" s="1303"/>
      <c r="E117" s="1306"/>
    </row>
    <row r="118" spans="1:5">
      <c r="A118" s="1304">
        <v>420</v>
      </c>
      <c r="B118" s="1305" t="s">
        <v>782</v>
      </c>
      <c r="C118" s="1303"/>
      <c r="D118" s="1303"/>
      <c r="E118" s="1306"/>
    </row>
    <row r="119" spans="1:5">
      <c r="A119" s="1304">
        <v>421</v>
      </c>
      <c r="B119" s="1305" t="s">
        <v>783</v>
      </c>
      <c r="C119" s="1303"/>
      <c r="D119" s="1303"/>
      <c r="E119" s="1306"/>
    </row>
    <row r="120" spans="1:5">
      <c r="A120" s="1304">
        <v>422</v>
      </c>
      <c r="B120" s="1305" t="s">
        <v>784</v>
      </c>
      <c r="C120" s="1303"/>
      <c r="D120" s="1303"/>
      <c r="E120" s="1306"/>
    </row>
    <row r="121" spans="1:5">
      <c r="A121" s="1304">
        <v>423</v>
      </c>
      <c r="B121" s="1305" t="s">
        <v>785</v>
      </c>
      <c r="C121" s="1303"/>
      <c r="D121" s="1303"/>
      <c r="E121" s="1306"/>
    </row>
    <row r="122" spans="1:5">
      <c r="A122" s="1304">
        <v>430</v>
      </c>
      <c r="B122" s="1305" t="s">
        <v>786</v>
      </c>
      <c r="C122" s="1303"/>
      <c r="D122" s="1303"/>
      <c r="E122" s="1306"/>
    </row>
    <row r="123" spans="1:5">
      <c r="A123" s="1304">
        <v>431</v>
      </c>
      <c r="B123" s="1305" t="s">
        <v>787</v>
      </c>
      <c r="C123" s="1303"/>
      <c r="D123" s="1303"/>
      <c r="E123" s="1306"/>
    </row>
    <row r="124" spans="1:5">
      <c r="A124" s="1304">
        <v>432</v>
      </c>
      <c r="B124" s="1305" t="s">
        <v>788</v>
      </c>
      <c r="C124" s="1303"/>
      <c r="D124" s="1303"/>
      <c r="E124" s="1306"/>
    </row>
    <row r="125" spans="1:5">
      <c r="A125" s="1304">
        <v>433</v>
      </c>
      <c r="B125" s="1305" t="s">
        <v>789</v>
      </c>
      <c r="C125" s="1303"/>
      <c r="D125" s="1303"/>
      <c r="E125" s="1306"/>
    </row>
    <row r="126" spans="1:5">
      <c r="A126" s="1304">
        <v>500</v>
      </c>
      <c r="B126" s="1305" t="s">
        <v>790</v>
      </c>
      <c r="C126" s="1303"/>
      <c r="D126" s="1303"/>
      <c r="E126" s="1306"/>
    </row>
    <row r="127" spans="1:5">
      <c r="A127" s="1304">
        <v>510</v>
      </c>
      <c r="B127" s="1305" t="s">
        <v>791</v>
      </c>
      <c r="C127" s="1303"/>
      <c r="D127" s="1303"/>
      <c r="E127" s="1306"/>
    </row>
    <row r="128" spans="1:5">
      <c r="A128" s="1304">
        <v>520</v>
      </c>
      <c r="B128" s="1305" t="s">
        <v>792</v>
      </c>
      <c r="C128" s="1303"/>
      <c r="D128" s="1303"/>
      <c r="E128" s="1306"/>
    </row>
    <row r="129" spans="1:5">
      <c r="A129" s="1304">
        <v>521</v>
      </c>
      <c r="B129" s="1305" t="s">
        <v>793</v>
      </c>
      <c r="C129" s="1303"/>
      <c r="D129" s="1303"/>
      <c r="E129" s="1306"/>
    </row>
    <row r="130" spans="1:5">
      <c r="A130" s="1304">
        <v>522</v>
      </c>
      <c r="B130" s="1305" t="s">
        <v>794</v>
      </c>
      <c r="C130" s="1303"/>
      <c r="D130" s="1303"/>
      <c r="E130" s="1306"/>
    </row>
    <row r="131" spans="1:5">
      <c r="A131" s="1304">
        <v>523</v>
      </c>
      <c r="B131" s="1305" t="s">
        <v>795</v>
      </c>
      <c r="C131" s="1303"/>
      <c r="D131" s="1303"/>
      <c r="E131" s="1306"/>
    </row>
    <row r="132" spans="1:5">
      <c r="A132" s="1304">
        <v>530</v>
      </c>
      <c r="B132" s="1305" t="s">
        <v>796</v>
      </c>
      <c r="C132" s="1303"/>
      <c r="D132" s="1303"/>
      <c r="E132" s="1306"/>
    </row>
    <row r="133" spans="1:5">
      <c r="A133" s="1304">
        <v>540</v>
      </c>
      <c r="B133" s="1305" t="s">
        <v>797</v>
      </c>
      <c r="C133" s="1303"/>
      <c r="D133" s="1303"/>
      <c r="E133" s="1306"/>
    </row>
    <row r="134" spans="1:5">
      <c r="A134" s="1304">
        <v>550</v>
      </c>
      <c r="B134" s="1305" t="s">
        <v>798</v>
      </c>
      <c r="C134" s="1303"/>
      <c r="D134" s="1303"/>
      <c r="E134" s="1306"/>
    </row>
    <row r="135" spans="1:5">
      <c r="A135" s="1304">
        <v>560</v>
      </c>
      <c r="B135" s="1305" t="s">
        <v>799</v>
      </c>
      <c r="C135" s="1303"/>
      <c r="D135" s="1303"/>
      <c r="E135" s="1306"/>
    </row>
  </sheetData>
  <sheetProtection selectLockedCells="1" selectUnlockedCells="1"/>
  <mergeCells count="58">
    <mergeCell ref="B17:E17"/>
    <mergeCell ref="B32:E32"/>
    <mergeCell ref="B58:E58"/>
    <mergeCell ref="B27:E27"/>
    <mergeCell ref="B28:E28"/>
    <mergeCell ref="B35:E35"/>
    <mergeCell ref="B36:E36"/>
    <mergeCell ref="B37:E37"/>
    <mergeCell ref="B38:E38"/>
    <mergeCell ref="B31:E31"/>
    <mergeCell ref="B43:E43"/>
    <mergeCell ref="B44:E44"/>
    <mergeCell ref="B39:E39"/>
    <mergeCell ref="B40:E40"/>
    <mergeCell ref="B41:E41"/>
    <mergeCell ref="B42:E42"/>
    <mergeCell ref="A70:B70"/>
    <mergeCell ref="D70:E70"/>
    <mergeCell ref="C64:D64"/>
    <mergeCell ref="B45:E45"/>
    <mergeCell ref="B46:E46"/>
    <mergeCell ref="B47:E47"/>
    <mergeCell ref="B65:E65"/>
    <mergeCell ref="B66:E66"/>
    <mergeCell ref="B49:C49"/>
    <mergeCell ref="B50:C50"/>
    <mergeCell ref="D49:E49"/>
    <mergeCell ref="D50:E50"/>
    <mergeCell ref="B48:E48"/>
    <mergeCell ref="B33:E33"/>
    <mergeCell ref="B34:E34"/>
    <mergeCell ref="B30:E30"/>
    <mergeCell ref="B18:E18"/>
    <mergeCell ref="B19:E19"/>
    <mergeCell ref="B20:E20"/>
    <mergeCell ref="B21:E21"/>
    <mergeCell ref="B25:E25"/>
    <mergeCell ref="B26:E26"/>
    <mergeCell ref="B22:E22"/>
    <mergeCell ref="B24:E24"/>
    <mergeCell ref="B29:E29"/>
    <mergeCell ref="B23:E23"/>
    <mergeCell ref="A1:E1"/>
    <mergeCell ref="B2:E2"/>
    <mergeCell ref="B3:E3"/>
    <mergeCell ref="B4:E4"/>
    <mergeCell ref="B5:E5"/>
    <mergeCell ref="B6:E6"/>
    <mergeCell ref="B15:E15"/>
    <mergeCell ref="B16:E16"/>
    <mergeCell ref="B7:E7"/>
    <mergeCell ref="B14:E14"/>
    <mergeCell ref="B9:E9"/>
    <mergeCell ref="B10:E10"/>
    <mergeCell ref="B8:E8"/>
    <mergeCell ref="B11:E11"/>
    <mergeCell ref="B12:E12"/>
    <mergeCell ref="B13:E13"/>
  </mergeCells>
  <phoneticPr fontId="51" type="noConversion"/>
  <dataValidations count="8">
    <dataValidation allowBlank="1" showErrorMessage="1" sqref="B42:E42"/>
    <dataValidation allowBlank="1" showErrorMessage="1" sqref="B41:E41"/>
    <dataValidation type="list" allowBlank="1" showErrorMessage="1" sqref="B4:E4">
      <formula1>"2009,2010,2011,2012,2013,2014,2015,2016"</formula1>
    </dataValidation>
    <dataValidation type="list" allowBlank="1" showErrorMessage="1" sqref="B28:E29">
      <formula1>"是,否"</formula1>
      <formula2>0</formula2>
    </dataValidation>
    <dataValidation allowBlank="1" showErrorMessage="1" sqref="B5:E5">
      <formula1>0</formula1>
      <formula2>0</formula2>
    </dataValidation>
    <dataValidation type="list" allowBlank="1" showErrorMessage="1" sqref="B38:E38">
      <formula1>"企业会计准则_一般企业,企业会计准则_银行,企业会计准则_证券,企业会计准则_保险,企业会计准则_担保,小企业会计准则,企业会计制度,事业单位会计准则_事业单位会计制度,事业单位会计准则_科学事业单位会计制度,事业单位会计准则_医院会计制度,事业单位会计准则_高等学校会计制度,事业单位会计准则_中小学校会计制度,事业单位会计准则_彩票机构会计制度,民间非营利组织会计制度,村集体经济组织会计制度,农民专业合作社财务会计制度（试行）,其他"</formula1>
    </dataValidation>
    <dataValidation type="list" allowBlank="1" showErrorMessage="1" sqref="B30:E30">
      <formula1>"1,2,3,4"</formula1>
    </dataValidation>
    <dataValidation type="list" allowBlank="1" showInputMessage="1" showErrorMessage="1" sqref="B8:E8">
      <formula1>"中汇百邦（厦门）税务师事务所有限公司,厦门明正税务师事务所有限公司"</formula1>
    </dataValidation>
  </dataValidations>
  <hyperlinks>
    <hyperlink ref="F10" location="资产负债!A1" display="资产负债!A1"/>
    <hyperlink ref="F11" location="企业情况表!A1" display="企业情况表"/>
  </hyperlinks>
  <pageMargins left="0.78740157480314998" right="0.35433070866141703" top="0.511811023622047" bottom="0.11811023622047198" header="0.511811023622047" footer="0.511811023622047"/>
  <pageSetup paperSize="9" firstPageNumber="0" orientation="portrait" blackAndWhite="1" r:id="rId1"/>
  <headerFooter alignWithMargins="0"/>
  <ignoredErrors>
    <ignoredError sqref="A52 A53:A56 D57 B57:B58 C33:E33 C32:E32 C31:E31 C35:E35 C36:E36 C37:E37 C34:E34 C39:E39 C40:E40 C47:E47 C46:E46 C45:E45 C44:E44" unlockedFormula="1"/>
  </ignoredErrors>
  <legacyDrawing r:id="rId2"/>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86"/>
  <dimension ref="A1:S75"/>
  <sheetViews>
    <sheetView workbookViewId="0">
      <selection activeCell="B1" sqref="B1:H1"/>
    </sheetView>
  </sheetViews>
  <sheetFormatPr defaultRowHeight="15.6"/>
  <cols>
    <col min="1" max="1" width="5.8984375" customWidth="1"/>
    <col min="2" max="2" width="4.69921875" customWidth="1"/>
    <col min="3" max="3" width="30.8984375" customWidth="1"/>
    <col min="4" max="4" width="22.8984375" customWidth="1"/>
    <col min="5" max="5" width="20.3984375" customWidth="1"/>
    <col min="6" max="6" width="16.5" customWidth="1"/>
    <col min="7" max="7" width="21.19921875" customWidth="1"/>
    <col min="8" max="8" width="15" customWidth="1"/>
    <col min="9" max="9" width="2.59765625" customWidth="1"/>
  </cols>
  <sheetData>
    <row r="1" spans="1:19" ht="32.25" customHeight="1">
      <c r="A1" s="2180"/>
      <c r="B1" s="2831" t="s">
        <v>6716</v>
      </c>
      <c r="C1" s="2831"/>
      <c r="D1" s="2831"/>
      <c r="E1" s="2831"/>
      <c r="F1" s="2831"/>
      <c r="G1" s="2831"/>
      <c r="H1" s="2831"/>
      <c r="I1" s="2202"/>
      <c r="J1" s="2180"/>
      <c r="K1" s="2180"/>
      <c r="L1" s="2180"/>
      <c r="M1" s="2180"/>
      <c r="N1" s="2180"/>
      <c r="O1" s="2180"/>
      <c r="P1" s="2180"/>
      <c r="Q1" s="2180"/>
      <c r="R1" s="2180"/>
      <c r="S1" s="2180"/>
    </row>
    <row r="2" spans="1:19" ht="30.75" customHeight="1">
      <c r="A2" s="2180"/>
      <c r="B2" s="2196" t="s">
        <v>6717</v>
      </c>
      <c r="C2" s="2197" t="s">
        <v>6718</v>
      </c>
      <c r="D2" s="2198" t="str">
        <f>IF(OR(C3="企业所得税汇算清缴纳税申报鉴证",C3="企业所得税税前弥补亏损鉴证"),"按资产总额或营业收入(元）",IF(OR(C3="土地增值税清算鉴证",C3="房地产开发企业完工产品结算鉴证"),"按项目销售收入(元）",IF(C3="企业资产损失所得税前扣除鉴证","按企业委托报损金额(元）",IF(C3="增值税纳税审核鉴证","按销售收入(元）",IF(C3="研究开发费所得税前加计扣除鉴证","按企业委托研究开发费发生额(元）","输入有误,请重输!")))))</f>
        <v>按资产总额或营业收入(元）</v>
      </c>
      <c r="E2" s="2198" t="s">
        <v>6719</v>
      </c>
      <c r="F2" s="2198" t="s">
        <v>6720</v>
      </c>
      <c r="G2" s="2198" t="s">
        <v>6721</v>
      </c>
      <c r="H2" s="2198" t="str">
        <f>IF(D4="否"," ","下浮50%")</f>
        <v>下浮50%</v>
      </c>
      <c r="I2" s="2202"/>
      <c r="J2" s="2180"/>
      <c r="K2" s="2180"/>
      <c r="L2" s="2180"/>
      <c r="M2" s="2180"/>
      <c r="N2" s="2180"/>
      <c r="O2" s="2180"/>
      <c r="P2" s="2180"/>
      <c r="Q2" s="2180"/>
      <c r="R2" s="2180"/>
      <c r="S2" s="2180"/>
    </row>
    <row r="3" spans="1:19" ht="36.75" customHeight="1">
      <c r="A3" s="2180"/>
      <c r="B3" s="2200"/>
      <c r="C3" s="2199" t="s">
        <v>6790</v>
      </c>
      <c r="D3" s="2194">
        <f>MIN(A000000企业基础信息表!B9*10000,'A100000中华人民共和国企业所得税年度纳税申报表（A类）'!D4)</f>
        <v>0</v>
      </c>
      <c r="E3" s="2195">
        <f>IF(OR(C3="企业所得税汇算清缴纳税申报鉴证",C3="企业所得税税前弥补亏损鉴证"),IF(D3&lt;=500000,1500,IF(D3&lt;=1000000,D3*3/1000,IF(D3&lt;5000000,3000+(D3-1000000)*0.07/100,IF(D3&lt;10000000,3000+2800+(D3-5000000)*0.5/1000,IF(D3&lt;50000000,3000+2800+2500+(D3-10000000)*0.4/1000,IF(D3&lt;100000000,3000+2800+2500+16000+(D3-50000000)*0.3/1000,IF(D3&gt;=100000000,3000+2800+2500+16000+15000+(D3-100000000)*0.3/1000,"输入有误,请重输!"))))))),IF(C3="企业资产损失所得税前扣除鉴证",IF(D3&lt;=125000,1500,IF(D3&lt;=1000000,D3*1.2/100,IF(D3&lt;5000000,12000+(D3-1000000)*0.5/100,IF(D3&lt;10000000,12000+20000+(D3-5000000)*0.4/100,12000+20000+20000+(D3-10000000)*0.2/100)))),IF(C3="土地增值税清算鉴证",IF(D3&lt;=1500000,1500,IF(D3&lt;=50000000,D3*1/1000,IF(D3&lt;100000000,50000+(D3-50000000)*0.7/1000,IF(D3&gt;=100000000,50000+35000+(D3-100000000)*0.3/1000,"输入有误,请重新输入!")))),IF(C3="增值税纳税审核鉴证",IF(D3&lt;=500000,1500,IF(D3&lt;=1000000,D3*3/1000,IF(D3&lt;5000000,3000+(D3-1000000)*0.7/1000,IF(D3&lt;10000000,3000+2800+(D3-5000000)*0.5/1000,IF(D3&lt;50000000,3000+2800+2500+(D3-10000000)*0.4/1000,3000+2800+2500+16000+(D3-50000000)*0.3/1000))))),IF(C3="房地产开发企业完工产品结算鉴证",IF(D3&lt;=1500000,1500,IF(D3&lt;=50000000,D3*1/1000,IF(D3&lt;100000000,50000+(D3-5000*10000)*0.7/1000,IF(D3&gt;=100000000,50000+35000+(D3-100000000)*0.3/1000,"输入有误,请重新输入!")))),IF(C3="研究开发费所得税前加计扣除鉴证",IF(D3&lt;=83333.33,1500,IF(D3&lt;=1000000,D3*18/1000,IF(D3&lt;5000000,18000+(D3-1000000)*3/1000,IF(D3&lt;10000000,18000+12000+(D3-5000000)*2/1000,IF(D3&gt;=10000000,18000+12000+10000+(D3-10000000)*1/1000))))),"输入有误,请重新输入!"))))))</f>
        <v>1500</v>
      </c>
      <c r="F3" s="2195">
        <f>E3*1.3</f>
        <v>1950</v>
      </c>
      <c r="G3" s="2195">
        <f>ROUND(IF(E3*0.7&lt;1500,1500,E3*0.7),2)</f>
        <v>1500</v>
      </c>
      <c r="H3" s="2195">
        <f>IF(D4="否"," ",IF(E3*0.5&lt;1500,1500,E3*0.5))</f>
        <v>1500</v>
      </c>
      <c r="I3" s="2202"/>
      <c r="J3" s="2180"/>
      <c r="K3" s="2180"/>
      <c r="L3" s="2180"/>
      <c r="M3" s="2180"/>
      <c r="N3" s="2180"/>
      <c r="O3" s="2180"/>
      <c r="P3" s="2180"/>
      <c r="Q3" s="2180"/>
      <c r="R3" s="2180"/>
      <c r="S3" s="2180"/>
    </row>
    <row r="4" spans="1:19" ht="71.25" customHeight="1">
      <c r="A4" s="2180"/>
      <c r="B4" s="2200"/>
      <c r="C4" s="2201" t="s">
        <v>6722</v>
      </c>
      <c r="D4" s="2226" t="s">
        <v>1078</v>
      </c>
      <c r="E4" s="2832" t="str">
        <f>IF(D4="是","小微企业——（选择后，系统自动校验判断是否符合小微企业的条件）
1.工业企业条件：年度应纳税所得额不超过30万元，从业人数不超过100人，资产总额不超过3000万元；
2. 其他企业条件：年度应纳税所得额不超过30万元，从业人数不超过80人，资产总额不超过1000万元。"," ")</f>
        <v>小微企业——（选择后，系统自动校验判断是否符合小微企业的条件）
1.工业企业条件：年度应纳税所得额不超过30万元，从业人数不超过100人，资产总额不超过3000万元；
2. 其他企业条件：年度应纳税所得额不超过30万元，从业人数不超过80人，资产总额不超过1000万元。</v>
      </c>
      <c r="F4" s="2833"/>
      <c r="G4" s="2833"/>
      <c r="H4" s="2833"/>
      <c r="I4" s="2202"/>
      <c r="J4" s="2180"/>
      <c r="K4" s="2180"/>
      <c r="L4" s="2180"/>
      <c r="M4" s="2180"/>
      <c r="N4" s="2180"/>
      <c r="O4" s="2180"/>
      <c r="P4" s="2180"/>
      <c r="Q4" s="2180"/>
      <c r="R4" s="2180"/>
      <c r="S4" s="2180"/>
    </row>
    <row r="5" spans="1:19" ht="35.25" customHeight="1">
      <c r="A5" s="2180"/>
      <c r="B5" s="2202"/>
      <c r="C5" s="2834"/>
      <c r="D5" s="2834"/>
      <c r="E5" s="2834"/>
      <c r="F5" s="2834"/>
      <c r="G5" s="2834"/>
      <c r="H5" s="2834"/>
      <c r="I5" s="2202"/>
      <c r="J5" s="2180"/>
      <c r="K5" s="2180"/>
      <c r="L5" s="2180"/>
      <c r="M5" s="2180"/>
      <c r="N5" s="2180"/>
      <c r="O5" s="2180"/>
      <c r="P5" s="2180"/>
      <c r="Q5" s="2180"/>
      <c r="R5" s="2180"/>
      <c r="S5" s="2180"/>
    </row>
    <row r="6" spans="1:19" ht="22.2">
      <c r="A6" s="2180"/>
      <c r="B6" s="2835" t="s">
        <v>6723</v>
      </c>
      <c r="C6" s="2835"/>
      <c r="D6" s="2835"/>
      <c r="E6" s="2835"/>
      <c r="F6" s="2835"/>
      <c r="G6" s="2835"/>
      <c r="H6" s="2835"/>
      <c r="I6" s="2835"/>
      <c r="J6" s="2180"/>
      <c r="K6" s="2180"/>
      <c r="L6" s="2180"/>
      <c r="M6" s="2180"/>
      <c r="N6" s="2180"/>
      <c r="O6" s="2180"/>
      <c r="P6" s="2180"/>
      <c r="Q6" s="2180"/>
      <c r="R6" s="2180"/>
      <c r="S6" s="2180"/>
    </row>
    <row r="7" spans="1:19" ht="6.75" customHeight="1" thickBot="1">
      <c r="A7" s="2180"/>
      <c r="B7" s="2836"/>
      <c r="C7" s="2836"/>
      <c r="D7" s="2836"/>
      <c r="E7" s="2836"/>
      <c r="F7" s="2836"/>
      <c r="G7" s="2836"/>
      <c r="H7" s="2836"/>
      <c r="I7" s="2837"/>
      <c r="J7" s="2180"/>
      <c r="K7" s="2180"/>
      <c r="L7" s="2180"/>
      <c r="M7" s="2180"/>
      <c r="N7" s="2180"/>
      <c r="O7" s="2180"/>
      <c r="P7" s="2180"/>
      <c r="Q7" s="2180"/>
      <c r="R7" s="2180"/>
      <c r="S7" s="2180"/>
    </row>
    <row r="8" spans="1:19" ht="13.5" customHeight="1">
      <c r="A8" s="2180"/>
      <c r="B8" s="2838" t="s">
        <v>454</v>
      </c>
      <c r="C8" s="2838" t="s">
        <v>6724</v>
      </c>
      <c r="D8" s="2203" t="s">
        <v>6725</v>
      </c>
      <c r="E8" s="2838" t="s">
        <v>6726</v>
      </c>
      <c r="F8" s="2840" t="s">
        <v>6727</v>
      </c>
      <c r="G8" s="2841"/>
      <c r="H8" s="2838" t="s">
        <v>6728</v>
      </c>
      <c r="I8" s="2204"/>
      <c r="J8" s="2180"/>
      <c r="K8" s="2180"/>
      <c r="L8" s="2180"/>
      <c r="M8" s="2180"/>
      <c r="N8" s="2180"/>
      <c r="O8" s="2180"/>
      <c r="P8" s="2180"/>
      <c r="Q8" s="2180"/>
      <c r="R8" s="2180"/>
      <c r="S8" s="2180"/>
    </row>
    <row r="9" spans="1:19" ht="16.2" thickBot="1">
      <c r="A9" s="2180"/>
      <c r="B9" s="2839"/>
      <c r="C9" s="2839"/>
      <c r="D9" s="2205" t="s">
        <v>6729</v>
      </c>
      <c r="E9" s="2839"/>
      <c r="F9" s="2842"/>
      <c r="G9" s="2843"/>
      <c r="H9" s="2839"/>
      <c r="I9" s="2206"/>
      <c r="J9" s="2180"/>
      <c r="K9" s="2180"/>
      <c r="L9" s="2180"/>
      <c r="M9" s="2180"/>
      <c r="N9" s="2180"/>
      <c r="O9" s="2180"/>
      <c r="P9" s="2180"/>
      <c r="Q9" s="2180"/>
      <c r="R9" s="2180"/>
      <c r="S9" s="2180"/>
    </row>
    <row r="10" spans="1:19" ht="24.75" customHeight="1" thickBot="1">
      <c r="A10" s="2180"/>
      <c r="B10" s="2844"/>
      <c r="C10" s="2847" t="str">
        <f>C3</f>
        <v>企业所得税汇算清缴纳税申报鉴证</v>
      </c>
      <c r="D10" s="2848" t="str">
        <f>IF(C3="企业所得税汇算清缴纳税申报鉴证","对委托人进行企业所得税汇算结缴审核并出具鉴证报告",IF(C3="企业资产损失所得税前扣除鉴证","对委托人税前资产损失额进行审核并出具鉴证报告",IF(C3="企业所得税税前弥补亏损鉴证","对委托人前年度的亏损结转弥补进行鉴证并出具鉴证报告",IF(C3="土地增值税清算鉴证","对委托人房地产开发项目的土地增值税清算进行审核并出具鉴证报告",IF(C3="增值税纳税审核鉴证","对委托人增值税进行纳税审核并出具鉴证报告",IF(C3="房地产开发企业完工产品结算鉴证","对委托人房地产开发项目的完工产品结算进行审核并出具鉴证报告",IF(C3="研究开发费所得税前加计扣除鉴证","对委托人按规定归集的科技开发费进行审核并出具鉴证报告","输入错误,请你重新输入!")))))))</f>
        <v>对委托人进行企业所得税汇算结缴审核并出具鉴证报告</v>
      </c>
      <c r="E10" s="2847" t="str">
        <f>IF(OR(C3="企业所得税汇算清缴纳税申报鉴证",C3="增值税纳税审核鉴证",C3="企业所得税税前弥补亏损鉴证"),"元/年",IF(C3="企业财产损失所得税前扣除鉴证","元/次","元/项目"))</f>
        <v>元/年</v>
      </c>
      <c r="F10" s="2849" t="str">
        <f>IF(OR(C3="企业所得税汇算清缴纳税申报鉴证",C3="企业所得税税前弥补亏损鉴证"),"按资产总额或营业收入",IF(OR(C3="土地增值税清算鉴证",C3="房地产开发企业完工产品结算鉴证"),"按项目销售收入",IF(C3="企业资产损失所得税前扣除鉴证","按企业委托报损金额",IF(C3="增值税纳税审核鉴证","按销售收入",IF(C3="研究开发费所得税前加计扣除鉴证","按企业委托研究开发费发生额","输入有误,请重输!")))))</f>
        <v>按资产总额或营业收入</v>
      </c>
      <c r="G10" s="2207" t="str">
        <f>IF(OR(C3="企业所得税汇算清缴纳税申报鉴证",C3="企业资产损失所得税前扣除鉴证",C3="企业所得税税前弥补亏损鉴证",C3="增值税纳税审核鉴证",C3="研究开发费所得税前加计扣除鉴证"),"100万元及以下",IF(OR(C3="土地增值税清算鉴证",C3="房地产开发企业完工产品结算鉴证"),"5000万元及以下","输入有误,请重新输入!"))</f>
        <v>100万元及以下</v>
      </c>
      <c r="H10" s="2208" t="str">
        <f>IF(OR(C3="企业所得税汇算清缴纳税申报鉴证",C3="企业所得税税前弥补亏损鉴证",C3="增值税纳税审核鉴证"),"3‰",IF(C3="企业资产损失所得税前扣除鉴证","1.2%",IF(OR(C3="土地增值税清算鉴证",C3="房地产开发企业完工产品结算鉴证"),"1‰",IF(C3="研究开发费所得税前加计扣除鉴证","18‰","输入有误,请重新输入!"))))</f>
        <v>3‰</v>
      </c>
      <c r="I10" s="2206"/>
      <c r="J10" s="2180"/>
      <c r="K10" s="2180"/>
      <c r="L10" s="2180"/>
      <c r="M10" s="2180"/>
      <c r="N10" s="2180"/>
      <c r="O10" s="2180"/>
      <c r="P10" s="2180"/>
      <c r="Q10" s="2180"/>
      <c r="R10" s="2180"/>
      <c r="S10" s="2180"/>
    </row>
    <row r="11" spans="1:19" ht="24.75" customHeight="1" thickBot="1">
      <c r="A11" s="2180"/>
      <c r="B11" s="2845"/>
      <c r="C11" s="2847"/>
      <c r="D11" s="2848"/>
      <c r="E11" s="2847"/>
      <c r="F11" s="2850"/>
      <c r="G11" s="2207" t="str">
        <f>IF(OR(C3="企业所得税汇算清缴纳税申报鉴证",C3="企业资产损失所得税前扣除鉴证",C3="企业所得税税前弥补亏损鉴证",C3="增值税纳税审核鉴证",C3="研究开发费所得税前加计扣除鉴证"),"100万元-500万元",IF(OR(C3="土地增值税清算鉴证",C3="房地产开发企业完工产品结算鉴证"),"5000万元及以上-1亿元","输入有误,请重新输入!"))</f>
        <v>100万元-500万元</v>
      </c>
      <c r="H11" s="2208" t="str">
        <f>IF(OR(C3="企业所得税汇算清缴纳税申报鉴证",C3="企业所得税税前弥补亏损鉴证",C3="增值税纳税审核鉴证"),"0.7‰",IF(C3="企业资产损失所得税前扣除鉴证","0.5%",IF(OR(C3="土地增值税清算鉴证",C3="房地产开发企业完工产品结算鉴证"),"0.7‰",IF(C3="研究开发费所得税前加计扣除鉴证","3‰","输入有误,请重新输入!"))))</f>
        <v>0.7‰</v>
      </c>
      <c r="I11" s="2206"/>
      <c r="J11" s="2180"/>
      <c r="K11" s="2180"/>
      <c r="L11" s="2180"/>
      <c r="M11" s="2180"/>
      <c r="N11" s="2180"/>
      <c r="O11" s="2180"/>
      <c r="P11" s="2180"/>
      <c r="Q11" s="2180"/>
      <c r="R11" s="2180"/>
      <c r="S11" s="2180"/>
    </row>
    <row r="12" spans="1:19" ht="33" customHeight="1" thickBot="1">
      <c r="A12" s="2180"/>
      <c r="B12" s="2845"/>
      <c r="C12" s="2847"/>
      <c r="D12" s="2848"/>
      <c r="E12" s="2847"/>
      <c r="F12" s="2850"/>
      <c r="G12" s="2207" t="str">
        <f>IF(OR(C3="企业所得税汇算清缴纳税申报鉴证",C3="企业资产损失所得税前扣除鉴证",C3="企业所得税税前弥补亏损鉴证",C3="增值税纳税审核鉴证",C3="研究开发费所得税前加计扣除鉴证"),"500万元及以上-1000万元",IF(OR(C3="土地增值税清算鉴证",C3="房地产开发企业完工产品结算鉴证"),"1亿元及以上-5亿元","输入有误,请重新输入!"))</f>
        <v>500万元及以上-1000万元</v>
      </c>
      <c r="H12" s="2208" t="str">
        <f>IF(OR(C3="企业所得税汇算清缴纳税申报鉴证",C3="企业所得税税前弥补亏损鉴证",C3="增值税纳税审核鉴证"),"0.5‰",IF(C3="企业资产损失所得税前扣除鉴证","0.4%",IF(OR(C3="土地增值税清算鉴证",C3="房地产开发企业完工产品结算鉴证"),"0.3‰",IF(C3="研究开发费所得税前加计扣除鉴证","2‰","输入有误,请重新输入!"))))</f>
        <v>0.5‰</v>
      </c>
      <c r="I12" s="2206"/>
      <c r="J12" s="2180"/>
      <c r="K12" s="2180"/>
      <c r="L12" s="2180"/>
      <c r="M12" s="2180"/>
      <c r="N12" s="2180"/>
      <c r="O12" s="2180"/>
      <c r="P12" s="2180"/>
      <c r="Q12" s="2180"/>
      <c r="R12" s="2180"/>
      <c r="S12" s="2180"/>
    </row>
    <row r="13" spans="1:19" ht="30.75" customHeight="1" thickBot="1">
      <c r="A13" s="2180"/>
      <c r="B13" s="2845"/>
      <c r="C13" s="2847"/>
      <c r="D13" s="2848"/>
      <c r="E13" s="2847"/>
      <c r="F13" s="2850"/>
      <c r="G13" s="2207" t="str">
        <f>IF(OR(C3="企业所得税汇算清缴纳税申报鉴证",C3="企业所得税税前弥补亏损鉴证",C3="增值税纳税审核鉴证",C3="研究开发费所得税前加计扣除鉴证"),"1000万元及以上-5000万元",IF(OR(C3="土地增值税清算鉴证",C3="房地产开发企业完工产品结算鉴证"),"5亿元及以上",IF(C3="企业资产损失所得税前扣除鉴证","1000万元及以上","输入有误,请重新输入!")))</f>
        <v>1000万元及以上-5000万元</v>
      </c>
      <c r="H13" s="2208" t="str">
        <f>IF(OR(C3="企业所得税汇算清缴纳税申报鉴证",C3="企业所得税税前弥补亏损鉴证",C3="增值税纳税审核鉴证"),"0.4‰",IF(C3="企业资产损失所得税前扣除鉴证","0.2%",IF(OR(C3="土地增值税清算鉴证",C3="房地产开发企业完工产品结算鉴证"),"双方协商确定",IF(C3="研究开发费所得税前加计扣除鉴证","1‰","输入有误,请重新输入!"))))</f>
        <v>0.4‰</v>
      </c>
      <c r="I13" s="2206"/>
      <c r="J13" s="2180"/>
      <c r="K13" s="2180"/>
      <c r="L13" s="2180"/>
      <c r="M13" s="2180"/>
      <c r="N13" s="2180"/>
      <c r="O13" s="2180"/>
      <c r="P13" s="2180"/>
      <c r="Q13" s="2180"/>
      <c r="R13" s="2180"/>
      <c r="S13" s="2180"/>
    </row>
    <row r="14" spans="1:19" ht="24.75" customHeight="1" thickBot="1">
      <c r="A14" s="2180"/>
      <c r="B14" s="2845"/>
      <c r="C14" s="2847"/>
      <c r="D14" s="2848"/>
      <c r="E14" s="2847"/>
      <c r="F14" s="2850"/>
      <c r="G14" s="2207" t="str">
        <f>IF(OR(C3="企业所得税汇算清缴纳税申报鉴证",C3="企业所得税税前弥补亏损鉴证"),"5000万元及以上-1亿元",IF(OR(C3="增值税纳税审核鉴证",C3="研究开发费所得税前加计扣除鉴证"),"5000万元及以上",IF(OR(C3="土地增值税清算鉴证",C3="房地产开发企业完工产品结算鉴证",C3="企业资产损失所得税前扣除鉴证"),"  ","输入有误,请重新输入!")))</f>
        <v>5000万元及以上-1亿元</v>
      </c>
      <c r="H14" s="2208" t="str">
        <f>IF(OR(C3="企业所得税汇算清缴纳税申报鉴证",C3="企业所得税税前弥补亏损鉴证",C3="增值税纳税审核鉴证"),"0.3‰",IF(C3="企业资产损失所得税前扣除鉴证"," ",IF(OR(C3="土地增值税清算鉴证",C3="房地产开发企业完工产品结算鉴证")," ",IF(C3="研究开发费所得税前加计扣除鉴证","0.8‰","输入有误,请重新输入!"))))</f>
        <v>0.3‰</v>
      </c>
      <c r="I14" s="2206"/>
      <c r="J14" s="2180"/>
      <c r="K14" s="2180"/>
      <c r="L14" s="2180"/>
      <c r="M14" s="2180"/>
      <c r="N14" s="2180"/>
      <c r="O14" s="2180"/>
      <c r="P14" s="2180"/>
      <c r="Q14" s="2180"/>
      <c r="R14" s="2180"/>
      <c r="S14" s="2180"/>
    </row>
    <row r="15" spans="1:19" ht="24.75" customHeight="1" thickBot="1">
      <c r="A15" s="2180"/>
      <c r="B15" s="2846"/>
      <c r="C15" s="2847"/>
      <c r="D15" s="2848"/>
      <c r="E15" s="2847"/>
      <c r="F15" s="2851"/>
      <c r="G15" s="2207" t="str">
        <f>IF(OR(C3="企业所得税汇算清缴纳税申报鉴证",C3="企业所得税税前弥补亏损鉴证"),"1亿元及以上",IF(OR(C3="增值税纳税审核鉴证",C3="研究开发费所得税前加计扣除鉴证",C3="土地增值税清算鉴证",C3="房地产开发企业完工产品结算鉴证",C3="企业资产损失所得税前扣除鉴证"),"  ","输入有误,请重新输入!"))</f>
        <v>1亿元及以上</v>
      </c>
      <c r="H15" s="2208" t="str">
        <f>IF(OR(C3="企业所得税汇算清缴纳税申报鉴证",C3="企业所得税税前弥补亏损鉴证"),"双方协商确定",IF(C3="企业资产损失所得税前扣除鉴证"," ",IF(OR(C3="土地增值税清算鉴证",C3="房地产开发企业完工产品结算鉴证",C3="增值税纳税审核鉴证",C3="研究开发费所得税前加计扣除鉴证")," ","输入有误,请重新输入!")))</f>
        <v>双方协商确定</v>
      </c>
      <c r="I15" s="2206"/>
      <c r="J15" s="2180"/>
      <c r="K15" s="2180"/>
      <c r="L15" s="2180"/>
      <c r="M15" s="2180"/>
      <c r="N15" s="2180"/>
      <c r="O15" s="2180"/>
      <c r="P15" s="2180"/>
      <c r="Q15" s="2180"/>
      <c r="R15" s="2180"/>
      <c r="S15" s="2180"/>
    </row>
    <row r="16" spans="1:19" s="2192" customFormat="1">
      <c r="A16" s="2206"/>
      <c r="B16" s="2206"/>
      <c r="C16" s="2206"/>
      <c r="D16" s="2206"/>
      <c r="E16" s="2206"/>
      <c r="F16" s="2206"/>
      <c r="G16" s="2206"/>
      <c r="H16" s="2206"/>
      <c r="I16" s="2206"/>
      <c r="J16" s="2206"/>
      <c r="K16" s="2206"/>
      <c r="L16" s="2206"/>
      <c r="M16" s="2206"/>
      <c r="N16" s="2206"/>
      <c r="O16" s="2206"/>
      <c r="P16" s="2206"/>
      <c r="Q16" s="2206"/>
      <c r="R16" s="2206"/>
      <c r="S16" s="2206"/>
    </row>
    <row r="17" spans="1:19" hidden="1">
      <c r="A17" s="2180"/>
      <c r="B17" s="2202"/>
      <c r="C17" s="2202"/>
      <c r="D17" s="2202"/>
      <c r="E17" s="2202"/>
      <c r="F17" s="2202"/>
      <c r="G17" s="2202"/>
      <c r="H17" s="2202"/>
      <c r="I17" s="2202"/>
      <c r="J17" s="2202"/>
      <c r="K17" s="2180"/>
      <c r="L17" s="2180"/>
      <c r="M17" s="2180"/>
      <c r="N17" s="2180"/>
      <c r="O17" s="2180"/>
      <c r="P17" s="2180"/>
      <c r="Q17" s="2180"/>
      <c r="R17" s="2180"/>
      <c r="S17" s="2180"/>
    </row>
    <row r="18" spans="1:19" ht="24" hidden="1" customHeight="1">
      <c r="A18" s="2180"/>
      <c r="B18" s="2202">
        <v>1</v>
      </c>
      <c r="C18" s="2209" t="s">
        <v>6730</v>
      </c>
      <c r="D18" s="2210" t="s">
        <v>6731</v>
      </c>
      <c r="E18" s="2202"/>
      <c r="F18" s="2202"/>
      <c r="G18" s="2202"/>
      <c r="H18" s="2202"/>
      <c r="I18" s="2202"/>
      <c r="J18" s="2202"/>
      <c r="K18" s="2180"/>
      <c r="L18" s="2180"/>
      <c r="M18" s="2180"/>
      <c r="N18" s="2180"/>
      <c r="O18" s="2180"/>
      <c r="P18" s="2180"/>
      <c r="Q18" s="2180"/>
      <c r="R18" s="2180"/>
      <c r="S18" s="2180"/>
    </row>
    <row r="19" spans="1:19" ht="24" hidden="1" customHeight="1">
      <c r="A19" s="2180"/>
      <c r="B19" s="2202">
        <v>2</v>
      </c>
      <c r="C19" s="2209" t="s">
        <v>6732</v>
      </c>
      <c r="D19" s="2210" t="s">
        <v>6733</v>
      </c>
      <c r="E19" s="2202"/>
      <c r="F19" s="2202"/>
      <c r="G19" s="2202"/>
      <c r="H19" s="2202"/>
      <c r="I19" s="2202"/>
      <c r="J19" s="2202"/>
      <c r="K19" s="2180"/>
      <c r="L19" s="2180"/>
      <c r="M19" s="2180"/>
      <c r="N19" s="2180"/>
      <c r="O19" s="2180"/>
      <c r="P19" s="2180"/>
      <c r="Q19" s="2180"/>
      <c r="R19" s="2180"/>
      <c r="S19" s="2180"/>
    </row>
    <row r="20" spans="1:19" ht="31.5" hidden="1" customHeight="1">
      <c r="A20" s="2180"/>
      <c r="B20" s="2202">
        <v>3</v>
      </c>
      <c r="C20" s="2209" t="s">
        <v>6734</v>
      </c>
      <c r="D20" s="2202"/>
      <c r="E20" s="2202"/>
      <c r="F20" s="2202"/>
      <c r="G20" s="2202"/>
      <c r="H20" s="2202"/>
      <c r="I20" s="2202"/>
      <c r="J20" s="2202"/>
      <c r="K20" s="2180"/>
      <c r="L20" s="2180"/>
      <c r="M20" s="2180"/>
      <c r="N20" s="2180"/>
      <c r="O20" s="2180"/>
      <c r="P20" s="2180"/>
      <c r="Q20" s="2180"/>
      <c r="R20" s="2180"/>
      <c r="S20" s="2180"/>
    </row>
    <row r="21" spans="1:19" ht="31.5" hidden="1" customHeight="1">
      <c r="A21" s="2180"/>
      <c r="B21" s="2202">
        <v>4</v>
      </c>
      <c r="C21" s="2209" t="s">
        <v>6735</v>
      </c>
      <c r="D21" s="2202"/>
      <c r="E21" s="2202"/>
      <c r="F21" s="2202"/>
      <c r="G21" s="2202"/>
      <c r="H21" s="2202"/>
      <c r="I21" s="2202"/>
      <c r="J21" s="2202"/>
      <c r="K21" s="2180"/>
      <c r="L21" s="2180"/>
      <c r="M21" s="2180"/>
      <c r="N21" s="2180"/>
      <c r="O21" s="2180"/>
      <c r="P21" s="2180"/>
      <c r="Q21" s="2180"/>
      <c r="R21" s="2180"/>
      <c r="S21" s="2180"/>
    </row>
    <row r="22" spans="1:19" ht="31.5" hidden="1" customHeight="1">
      <c r="A22" s="2180"/>
      <c r="B22" s="2202">
        <v>5</v>
      </c>
      <c r="C22" s="2209" t="s">
        <v>6736</v>
      </c>
      <c r="D22" s="2202"/>
      <c r="E22" s="2202"/>
      <c r="F22" s="2202"/>
      <c r="G22" s="2202"/>
      <c r="H22" s="2202"/>
      <c r="I22" s="2202"/>
      <c r="J22" s="2202"/>
      <c r="K22" s="2180"/>
      <c r="L22" s="2180"/>
      <c r="M22" s="2180"/>
      <c r="N22" s="2180"/>
      <c r="O22" s="2180"/>
      <c r="P22" s="2180"/>
      <c r="Q22" s="2180"/>
      <c r="R22" s="2180"/>
      <c r="S22" s="2180"/>
    </row>
    <row r="23" spans="1:19" ht="31.5" hidden="1" customHeight="1">
      <c r="A23" s="2180"/>
      <c r="B23" s="2202">
        <v>6</v>
      </c>
      <c r="C23" s="2209" t="s">
        <v>6737</v>
      </c>
      <c r="D23" s="2202"/>
      <c r="E23" s="2202"/>
      <c r="F23" s="2202"/>
      <c r="G23" s="2202"/>
      <c r="H23" s="2202"/>
      <c r="I23" s="2202"/>
      <c r="J23" s="2202"/>
      <c r="K23" s="2180"/>
      <c r="L23" s="2180"/>
      <c r="M23" s="2180"/>
      <c r="N23" s="2180"/>
      <c r="O23" s="2180"/>
      <c r="P23" s="2180"/>
      <c r="Q23" s="2180"/>
      <c r="R23" s="2180"/>
      <c r="S23" s="2180"/>
    </row>
    <row r="24" spans="1:19" ht="31.5" hidden="1" customHeight="1">
      <c r="A24" s="2180"/>
      <c r="B24" s="2202">
        <v>7</v>
      </c>
      <c r="C24" s="2209" t="s">
        <v>6738</v>
      </c>
      <c r="D24" s="2202"/>
      <c r="E24" s="2202"/>
      <c r="F24" s="2202"/>
      <c r="G24" s="2202"/>
      <c r="H24" s="2202"/>
      <c r="I24" s="2202"/>
      <c r="J24" s="2202"/>
      <c r="K24" s="2180"/>
      <c r="L24" s="2180"/>
      <c r="M24" s="2180"/>
      <c r="N24" s="2180"/>
      <c r="O24" s="2180"/>
      <c r="P24" s="2180"/>
      <c r="Q24" s="2180"/>
      <c r="R24" s="2180"/>
      <c r="S24" s="2180"/>
    </row>
    <row r="25" spans="1:19" ht="31.5" hidden="1" customHeight="1">
      <c r="A25" s="2180"/>
      <c r="B25" s="2202"/>
      <c r="C25" s="2211"/>
      <c r="D25" s="2202"/>
      <c r="E25" s="2202"/>
      <c r="F25" s="2202"/>
      <c r="G25" s="2202"/>
      <c r="H25" s="2202"/>
      <c r="I25" s="2202"/>
      <c r="J25" s="2202"/>
      <c r="K25" s="2180"/>
      <c r="L25" s="2180"/>
      <c r="M25" s="2180"/>
      <c r="N25" s="2180"/>
      <c r="O25" s="2180"/>
      <c r="P25" s="2180"/>
      <c r="Q25" s="2180"/>
      <c r="R25" s="2180"/>
      <c r="S25" s="2180"/>
    </row>
    <row r="26" spans="1:19" hidden="1">
      <c r="A26" s="2180"/>
      <c r="B26" s="2202"/>
      <c r="C26" s="2202"/>
      <c r="D26" s="2202"/>
      <c r="E26" s="2202"/>
      <c r="F26" s="2202"/>
      <c r="G26" s="2202"/>
      <c r="H26" s="2202"/>
      <c r="I26" s="2202"/>
      <c r="J26" s="2202"/>
      <c r="K26" s="2180"/>
      <c r="L26" s="2180"/>
      <c r="M26" s="2180"/>
      <c r="N26" s="2180"/>
      <c r="O26" s="2180"/>
      <c r="P26" s="2180"/>
      <c r="Q26" s="2180"/>
      <c r="R26" s="2180"/>
      <c r="S26" s="2180"/>
    </row>
    <row r="27" spans="1:19" s="2193" customFormat="1" ht="22.2" hidden="1">
      <c r="A27" s="2212"/>
      <c r="B27" s="2212"/>
      <c r="C27" s="2830" t="s">
        <v>6739</v>
      </c>
      <c r="D27" s="2830"/>
      <c r="E27" s="2830"/>
      <c r="F27" s="2830"/>
      <c r="G27" s="2830"/>
      <c r="H27" s="2830"/>
      <c r="I27" s="2830"/>
      <c r="J27" s="2830"/>
      <c r="K27" s="2212"/>
      <c r="L27" s="2212"/>
      <c r="M27" s="2212"/>
      <c r="N27" s="2212"/>
      <c r="O27" s="2212"/>
      <c r="P27" s="2212"/>
      <c r="Q27" s="2212"/>
      <c r="R27" s="2212"/>
      <c r="S27" s="2212"/>
    </row>
    <row r="28" spans="1:19" s="2193" customFormat="1" ht="22.8" hidden="1" thickBot="1">
      <c r="A28" s="2212"/>
      <c r="B28" s="2212"/>
      <c r="C28" s="2852"/>
      <c r="D28" s="2852"/>
      <c r="E28" s="2852"/>
      <c r="F28" s="2852"/>
      <c r="G28" s="2852"/>
      <c r="H28" s="2852"/>
      <c r="I28" s="2852"/>
      <c r="J28" s="2852"/>
      <c r="K28" s="2212"/>
      <c r="L28" s="2212"/>
      <c r="M28" s="2212"/>
      <c r="N28" s="2212"/>
      <c r="O28" s="2212"/>
      <c r="P28" s="2212"/>
      <c r="Q28" s="2212"/>
      <c r="R28" s="2212"/>
      <c r="S28" s="2212"/>
    </row>
    <row r="29" spans="1:19" s="2193" customFormat="1" hidden="1">
      <c r="A29" s="2212"/>
      <c r="B29" s="2212"/>
      <c r="C29" s="2853" t="s">
        <v>454</v>
      </c>
      <c r="D29" s="2853" t="s">
        <v>6724</v>
      </c>
      <c r="E29" s="2213" t="s">
        <v>6725</v>
      </c>
      <c r="F29" s="2853" t="s">
        <v>6726</v>
      </c>
      <c r="G29" s="2855" t="s">
        <v>6727</v>
      </c>
      <c r="H29" s="2856"/>
      <c r="I29" s="2857"/>
      <c r="J29" s="2853" t="s">
        <v>6728</v>
      </c>
      <c r="K29" s="2212"/>
      <c r="L29" s="2212"/>
      <c r="M29" s="2212"/>
      <c r="N29" s="2212"/>
      <c r="O29" s="2212"/>
      <c r="P29" s="2212"/>
      <c r="Q29" s="2212"/>
      <c r="R29" s="2212"/>
      <c r="S29" s="2212"/>
    </row>
    <row r="30" spans="1:19" s="2193" customFormat="1" ht="16.2" hidden="1" thickBot="1">
      <c r="A30" s="2212"/>
      <c r="B30" s="2212"/>
      <c r="C30" s="2854"/>
      <c r="D30" s="2854"/>
      <c r="E30" s="2214" t="s">
        <v>6729</v>
      </c>
      <c r="F30" s="2854"/>
      <c r="G30" s="2858"/>
      <c r="H30" s="2859"/>
      <c r="I30" s="2860"/>
      <c r="J30" s="2854"/>
      <c r="K30" s="2212"/>
      <c r="L30" s="2212"/>
      <c r="M30" s="2212"/>
      <c r="N30" s="2212"/>
      <c r="O30" s="2212"/>
      <c r="P30" s="2212"/>
      <c r="Q30" s="2212"/>
      <c r="R30" s="2212"/>
      <c r="S30" s="2212"/>
    </row>
    <row r="31" spans="1:19" s="2193" customFormat="1" ht="16.2" hidden="1" thickBot="1">
      <c r="A31" s="2212"/>
      <c r="B31" s="2212"/>
      <c r="C31" s="2861">
        <v>1</v>
      </c>
      <c r="D31" s="2861" t="s">
        <v>6740</v>
      </c>
      <c r="E31" s="2861" t="s">
        <v>6741</v>
      </c>
      <c r="F31" s="2215" t="s">
        <v>6742</v>
      </c>
      <c r="G31" s="2861" t="s">
        <v>6743</v>
      </c>
      <c r="H31" s="2864" t="s">
        <v>6744</v>
      </c>
      <c r="I31" s="2865"/>
      <c r="J31" s="2216" t="s">
        <v>6745</v>
      </c>
      <c r="K31" s="2212"/>
      <c r="L31" s="2212"/>
      <c r="M31" s="2212"/>
      <c r="N31" s="2212"/>
      <c r="O31" s="2212"/>
      <c r="P31" s="2212"/>
      <c r="Q31" s="2212"/>
      <c r="R31" s="2212"/>
      <c r="S31" s="2212"/>
    </row>
    <row r="32" spans="1:19" s="2193" customFormat="1" ht="16.2" hidden="1" thickBot="1">
      <c r="A32" s="2212"/>
      <c r="B32" s="2212"/>
      <c r="C32" s="2862"/>
      <c r="D32" s="2862"/>
      <c r="E32" s="2862"/>
      <c r="F32" s="2217"/>
      <c r="G32" s="2862"/>
      <c r="H32" s="2864" t="s">
        <v>6746</v>
      </c>
      <c r="I32" s="2865"/>
      <c r="J32" s="2216">
        <f>0.7/1000</f>
        <v>6.9999999999999999E-4</v>
      </c>
      <c r="K32" s="2212"/>
      <c r="L32" s="2212"/>
      <c r="M32" s="2212"/>
      <c r="N32" s="2212"/>
      <c r="O32" s="2212"/>
      <c r="P32" s="2212"/>
      <c r="Q32" s="2212"/>
      <c r="R32" s="2212"/>
      <c r="S32" s="2212"/>
    </row>
    <row r="33" spans="1:19" s="2193" customFormat="1" ht="16.2" hidden="1" thickBot="1">
      <c r="A33" s="2212"/>
      <c r="B33" s="2212"/>
      <c r="C33" s="2862"/>
      <c r="D33" s="2862"/>
      <c r="E33" s="2862"/>
      <c r="F33" s="2217"/>
      <c r="G33" s="2862"/>
      <c r="H33" s="2864" t="s">
        <v>6747</v>
      </c>
      <c r="I33" s="2865"/>
      <c r="J33" s="2216" t="s">
        <v>199</v>
      </c>
      <c r="K33" s="2212"/>
      <c r="L33" s="2212"/>
      <c r="M33" s="2212"/>
      <c r="N33" s="2212"/>
      <c r="O33" s="2212"/>
      <c r="P33" s="2212"/>
      <c r="Q33" s="2212"/>
      <c r="R33" s="2212"/>
      <c r="S33" s="2212"/>
    </row>
    <row r="34" spans="1:19" s="2193" customFormat="1" ht="16.2" hidden="1" thickBot="1">
      <c r="A34" s="2212"/>
      <c r="B34" s="2212"/>
      <c r="C34" s="2862"/>
      <c r="D34" s="2862"/>
      <c r="E34" s="2862"/>
      <c r="F34" s="2217"/>
      <c r="G34" s="2862"/>
      <c r="H34" s="2864" t="s">
        <v>6748</v>
      </c>
      <c r="I34" s="2865"/>
      <c r="J34" s="2218">
        <f>0.4/1000</f>
        <v>4.0000000000000002E-4</v>
      </c>
      <c r="K34" s="2212"/>
      <c r="L34" s="2212"/>
      <c r="M34" s="2212"/>
      <c r="N34" s="2212"/>
      <c r="O34" s="2212"/>
      <c r="P34" s="2212"/>
      <c r="Q34" s="2212"/>
      <c r="R34" s="2212"/>
      <c r="S34" s="2212"/>
    </row>
    <row r="35" spans="1:19" s="2193" customFormat="1" ht="16.2" hidden="1" thickBot="1">
      <c r="A35" s="2212"/>
      <c r="B35" s="2212"/>
      <c r="C35" s="2862"/>
      <c r="D35" s="2862"/>
      <c r="E35" s="2862"/>
      <c r="F35" s="2219"/>
      <c r="G35" s="2863"/>
      <c r="H35" s="2864" t="s">
        <v>6749</v>
      </c>
      <c r="I35" s="2865"/>
      <c r="J35" s="2218" t="s">
        <v>191</v>
      </c>
      <c r="K35" s="2212"/>
      <c r="L35" s="2212"/>
      <c r="M35" s="2212"/>
      <c r="N35" s="2212"/>
      <c r="O35" s="2212"/>
      <c r="P35" s="2212"/>
      <c r="Q35" s="2212"/>
      <c r="R35" s="2212"/>
      <c r="S35" s="2212"/>
    </row>
    <row r="36" spans="1:19" s="2193" customFormat="1" ht="29.4" hidden="1" thickBot="1">
      <c r="A36" s="2212"/>
      <c r="B36" s="2212"/>
      <c r="C36" s="2863"/>
      <c r="D36" s="2863"/>
      <c r="E36" s="2863"/>
      <c r="F36" s="2220"/>
      <c r="G36" s="2220"/>
      <c r="H36" s="2221" t="s">
        <v>6750</v>
      </c>
      <c r="I36" s="2222"/>
      <c r="J36" s="2218" t="s">
        <v>6751</v>
      </c>
      <c r="K36" s="2212"/>
      <c r="L36" s="2212"/>
      <c r="M36" s="2212"/>
      <c r="N36" s="2212"/>
      <c r="O36" s="2212"/>
      <c r="P36" s="2212"/>
      <c r="Q36" s="2212"/>
      <c r="R36" s="2212"/>
      <c r="S36" s="2212"/>
    </row>
    <row r="37" spans="1:19" s="2193" customFormat="1" ht="16.2" hidden="1" thickBot="1">
      <c r="A37" s="2212"/>
      <c r="B37" s="2212"/>
      <c r="C37" s="2861">
        <v>2</v>
      </c>
      <c r="D37" s="2861" t="s">
        <v>6732</v>
      </c>
      <c r="E37" s="2861" t="s">
        <v>6752</v>
      </c>
      <c r="F37" s="2861" t="s">
        <v>6753</v>
      </c>
      <c r="G37" s="2861" t="s">
        <v>6754</v>
      </c>
      <c r="H37" s="2864" t="s">
        <v>6744</v>
      </c>
      <c r="I37" s="2865"/>
      <c r="J37" s="2218">
        <v>1.2E-2</v>
      </c>
      <c r="K37" s="2212"/>
      <c r="L37" s="2212"/>
      <c r="M37" s="2212"/>
      <c r="N37" s="2212"/>
      <c r="O37" s="2212"/>
      <c r="P37" s="2212"/>
      <c r="Q37" s="2212"/>
      <c r="R37" s="2212"/>
      <c r="S37" s="2212"/>
    </row>
    <row r="38" spans="1:19" s="2193" customFormat="1" ht="16.2" hidden="1" thickBot="1">
      <c r="A38" s="2212"/>
      <c r="B38" s="2212"/>
      <c r="C38" s="2862"/>
      <c r="D38" s="2862"/>
      <c r="E38" s="2862"/>
      <c r="F38" s="2862"/>
      <c r="G38" s="2862"/>
      <c r="H38" s="2874" t="s">
        <v>6746</v>
      </c>
      <c r="I38" s="2875"/>
      <c r="J38" s="2218">
        <v>5.0000000000000001E-3</v>
      </c>
      <c r="K38" s="2212"/>
      <c r="L38" s="2212"/>
      <c r="M38" s="2212"/>
      <c r="N38" s="2212"/>
      <c r="O38" s="2212"/>
      <c r="P38" s="2212"/>
      <c r="Q38" s="2212"/>
      <c r="R38" s="2212"/>
      <c r="S38" s="2212"/>
    </row>
    <row r="39" spans="1:19" s="2193" customFormat="1" ht="16.2" hidden="1" thickBot="1">
      <c r="A39" s="2212"/>
      <c r="B39" s="2212"/>
      <c r="C39" s="2862"/>
      <c r="D39" s="2862"/>
      <c r="E39" s="2862"/>
      <c r="F39" s="2862"/>
      <c r="G39" s="2862"/>
      <c r="H39" s="2864" t="s">
        <v>6747</v>
      </c>
      <c r="I39" s="2865"/>
      <c r="J39" s="2216">
        <v>4.0000000000000001E-3</v>
      </c>
      <c r="K39" s="2212"/>
      <c r="L39" s="2212"/>
      <c r="M39" s="2212"/>
      <c r="N39" s="2212"/>
      <c r="O39" s="2212"/>
      <c r="P39" s="2212"/>
      <c r="Q39" s="2212"/>
      <c r="R39" s="2212"/>
      <c r="S39" s="2212"/>
    </row>
    <row r="40" spans="1:19" s="2193" customFormat="1" ht="16.2" hidden="1" thickBot="1">
      <c r="A40" s="2212"/>
      <c r="B40" s="2212"/>
      <c r="C40" s="2863"/>
      <c r="D40" s="2863"/>
      <c r="E40" s="2863"/>
      <c r="F40" s="2863"/>
      <c r="G40" s="2863"/>
      <c r="H40" s="2864" t="s">
        <v>6755</v>
      </c>
      <c r="I40" s="2865"/>
      <c r="J40" s="2216">
        <v>2E-3</v>
      </c>
      <c r="K40" s="2212"/>
      <c r="L40" s="2212"/>
      <c r="M40" s="2212"/>
      <c r="N40" s="2212"/>
      <c r="O40" s="2212"/>
      <c r="P40" s="2212"/>
      <c r="Q40" s="2212"/>
      <c r="R40" s="2212"/>
      <c r="S40" s="2212"/>
    </row>
    <row r="41" spans="1:19" s="2193" customFormat="1" ht="14.25" hidden="1" customHeight="1">
      <c r="A41" s="2212"/>
      <c r="B41" s="2212"/>
      <c r="C41" s="2861">
        <v>3</v>
      </c>
      <c r="D41" s="2866" t="s">
        <v>6756</v>
      </c>
      <c r="E41" s="2868" t="s">
        <v>6757</v>
      </c>
      <c r="F41" s="2869"/>
      <c r="G41" s="2869"/>
      <c r="H41" s="2869"/>
      <c r="I41" s="2870"/>
      <c r="J41" s="2861" t="s">
        <v>6758</v>
      </c>
      <c r="K41" s="2212"/>
      <c r="L41" s="2212"/>
      <c r="M41" s="2212"/>
      <c r="N41" s="2212"/>
      <c r="O41" s="2212"/>
      <c r="P41" s="2212"/>
      <c r="Q41" s="2212"/>
      <c r="R41" s="2212"/>
      <c r="S41" s="2212"/>
    </row>
    <row r="42" spans="1:19" s="2193" customFormat="1" ht="16.2" hidden="1" thickBot="1">
      <c r="A42" s="2212"/>
      <c r="B42" s="2212"/>
      <c r="C42" s="2863"/>
      <c r="D42" s="2867"/>
      <c r="E42" s="2871"/>
      <c r="F42" s="2872"/>
      <c r="G42" s="2872"/>
      <c r="H42" s="2872"/>
      <c r="I42" s="2873"/>
      <c r="J42" s="2863"/>
      <c r="K42" s="2212"/>
      <c r="L42" s="2212"/>
      <c r="M42" s="2212"/>
      <c r="N42" s="2212"/>
      <c r="O42" s="2212"/>
      <c r="P42" s="2212"/>
      <c r="Q42" s="2212"/>
      <c r="R42" s="2212"/>
      <c r="S42" s="2212"/>
    </row>
    <row r="43" spans="1:19" s="2193" customFormat="1" ht="16.2" hidden="1" thickBot="1">
      <c r="A43" s="2212"/>
      <c r="B43" s="2212"/>
      <c r="C43" s="2861">
        <v>4</v>
      </c>
      <c r="D43" s="2861" t="s">
        <v>6735</v>
      </c>
      <c r="E43" s="2861" t="s">
        <v>6759</v>
      </c>
      <c r="F43" s="2861" t="s">
        <v>6760</v>
      </c>
      <c r="G43" s="2861" t="s">
        <v>6761</v>
      </c>
      <c r="H43" s="2864" t="s">
        <v>6762</v>
      </c>
      <c r="I43" s="2865"/>
      <c r="J43" s="2223" t="s">
        <v>195</v>
      </c>
      <c r="K43" s="2212"/>
      <c r="L43" s="2212"/>
      <c r="M43" s="2212"/>
      <c r="N43" s="2212"/>
      <c r="O43" s="2212"/>
      <c r="P43" s="2212"/>
      <c r="Q43" s="2212"/>
      <c r="R43" s="2212"/>
      <c r="S43" s="2212"/>
    </row>
    <row r="44" spans="1:19" s="2193" customFormat="1" ht="16.2" hidden="1" thickBot="1">
      <c r="A44" s="2212"/>
      <c r="B44" s="2212"/>
      <c r="C44" s="2862"/>
      <c r="D44" s="2862"/>
      <c r="E44" s="2862"/>
      <c r="F44" s="2862"/>
      <c r="G44" s="2862"/>
      <c r="H44" s="2864" t="s">
        <v>6763</v>
      </c>
      <c r="I44" s="2865"/>
      <c r="J44" s="2223" t="s">
        <v>6764</v>
      </c>
      <c r="K44" s="2212"/>
      <c r="L44" s="2212"/>
      <c r="M44" s="2212"/>
      <c r="N44" s="2212"/>
      <c r="O44" s="2212"/>
      <c r="P44" s="2212"/>
      <c r="Q44" s="2212"/>
      <c r="R44" s="2212"/>
      <c r="S44" s="2212"/>
    </row>
    <row r="45" spans="1:19" s="2193" customFormat="1" ht="16.2" hidden="1" thickBot="1">
      <c r="A45" s="2212"/>
      <c r="B45" s="2212"/>
      <c r="C45" s="2862"/>
      <c r="D45" s="2862"/>
      <c r="E45" s="2862"/>
      <c r="F45" s="2862"/>
      <c r="G45" s="2862"/>
      <c r="H45" s="2864" t="s">
        <v>6765</v>
      </c>
      <c r="I45" s="2865"/>
      <c r="J45" s="2223" t="s">
        <v>6766</v>
      </c>
      <c r="K45" s="2212"/>
      <c r="L45" s="2212"/>
      <c r="M45" s="2212"/>
      <c r="N45" s="2212"/>
      <c r="O45" s="2212"/>
      <c r="P45" s="2212"/>
      <c r="Q45" s="2212"/>
      <c r="R45" s="2212"/>
      <c r="S45" s="2212"/>
    </row>
    <row r="46" spans="1:19" s="2193" customFormat="1" ht="29.4" hidden="1" thickBot="1">
      <c r="A46" s="2212"/>
      <c r="B46" s="2212"/>
      <c r="C46" s="2863"/>
      <c r="D46" s="2863"/>
      <c r="E46" s="2863"/>
      <c r="F46" s="2863"/>
      <c r="G46" s="2863"/>
      <c r="H46" s="2864" t="s">
        <v>6767</v>
      </c>
      <c r="I46" s="2865"/>
      <c r="J46" s="2223" t="s">
        <v>6751</v>
      </c>
      <c r="K46" s="2212"/>
      <c r="L46" s="2212"/>
      <c r="M46" s="2212"/>
      <c r="N46" s="2212"/>
      <c r="O46" s="2212"/>
      <c r="P46" s="2212"/>
      <c r="Q46" s="2212"/>
      <c r="R46" s="2212"/>
      <c r="S46" s="2212"/>
    </row>
    <row r="47" spans="1:19" s="2193" customFormat="1" ht="16.2" hidden="1" thickBot="1">
      <c r="A47" s="2212"/>
      <c r="B47" s="2212"/>
      <c r="C47" s="2220"/>
      <c r="D47" s="2861" t="s">
        <v>6736</v>
      </c>
      <c r="E47" s="2861" t="s">
        <v>6768</v>
      </c>
      <c r="F47" s="2861" t="s">
        <v>6769</v>
      </c>
      <c r="G47" s="2861" t="s">
        <v>6770</v>
      </c>
      <c r="H47" s="2864" t="s">
        <v>6744</v>
      </c>
      <c r="I47" s="2865"/>
      <c r="J47" s="2223" t="s">
        <v>6745</v>
      </c>
      <c r="K47" s="2212"/>
      <c r="L47" s="2212"/>
      <c r="M47" s="2212"/>
      <c r="N47" s="2212"/>
      <c r="O47" s="2212"/>
      <c r="P47" s="2212"/>
      <c r="Q47" s="2212"/>
      <c r="R47" s="2212"/>
      <c r="S47" s="2212"/>
    </row>
    <row r="48" spans="1:19" s="2193" customFormat="1" ht="16.2" hidden="1" thickBot="1">
      <c r="A48" s="2212"/>
      <c r="B48" s="2212"/>
      <c r="C48" s="2220"/>
      <c r="D48" s="2862"/>
      <c r="E48" s="2862"/>
      <c r="F48" s="2862"/>
      <c r="G48" s="2862"/>
      <c r="H48" s="2864" t="s">
        <v>6746</v>
      </c>
      <c r="I48" s="2865"/>
      <c r="J48" s="2223" t="s">
        <v>6764</v>
      </c>
      <c r="K48" s="2212"/>
      <c r="L48" s="2212"/>
      <c r="M48" s="2212"/>
      <c r="N48" s="2212"/>
      <c r="O48" s="2212"/>
      <c r="P48" s="2212"/>
      <c r="Q48" s="2212"/>
      <c r="R48" s="2212"/>
      <c r="S48" s="2212"/>
    </row>
    <row r="49" spans="1:19" s="2193" customFormat="1" ht="16.2" hidden="1" thickBot="1">
      <c r="A49" s="2212"/>
      <c r="B49" s="2212"/>
      <c r="C49" s="2220"/>
      <c r="D49" s="2862"/>
      <c r="E49" s="2862"/>
      <c r="F49" s="2862"/>
      <c r="G49" s="2862"/>
      <c r="H49" s="2864" t="s">
        <v>6747</v>
      </c>
      <c r="I49" s="2865"/>
      <c r="J49" s="2223" t="s">
        <v>199</v>
      </c>
      <c r="K49" s="2212"/>
      <c r="L49" s="2212"/>
      <c r="M49" s="2212"/>
      <c r="N49" s="2212"/>
      <c r="O49" s="2212"/>
      <c r="P49" s="2212"/>
      <c r="Q49" s="2212"/>
      <c r="R49" s="2212"/>
      <c r="S49" s="2212"/>
    </row>
    <row r="50" spans="1:19" s="2193" customFormat="1" ht="16.2" hidden="1" thickBot="1">
      <c r="A50" s="2212"/>
      <c r="B50" s="2212"/>
      <c r="C50" s="2220"/>
      <c r="D50" s="2862"/>
      <c r="E50" s="2862"/>
      <c r="F50" s="2862"/>
      <c r="G50" s="2862"/>
      <c r="H50" s="2868" t="s">
        <v>6748</v>
      </c>
      <c r="I50" s="2876"/>
      <c r="J50" s="2223" t="s">
        <v>6771</v>
      </c>
      <c r="K50" s="2212"/>
      <c r="L50" s="2212"/>
      <c r="M50" s="2212"/>
      <c r="N50" s="2212"/>
      <c r="O50" s="2212"/>
      <c r="P50" s="2212"/>
      <c r="Q50" s="2212"/>
      <c r="R50" s="2212"/>
      <c r="S50" s="2212"/>
    </row>
    <row r="51" spans="1:19" s="2193" customFormat="1" ht="16.2" hidden="1" thickBot="1">
      <c r="A51" s="2212"/>
      <c r="B51" s="2212"/>
      <c r="C51" s="2220">
        <v>5</v>
      </c>
      <c r="D51" s="2862"/>
      <c r="E51" s="2862"/>
      <c r="F51" s="2862"/>
      <c r="G51" s="2879"/>
      <c r="H51" s="2877" t="s">
        <v>6772</v>
      </c>
      <c r="I51" s="2878"/>
      <c r="J51" s="2224" t="s">
        <v>191</v>
      </c>
      <c r="K51" s="2212"/>
      <c r="L51" s="2212"/>
      <c r="M51" s="2212"/>
      <c r="N51" s="2212"/>
      <c r="O51" s="2212"/>
      <c r="P51" s="2212"/>
      <c r="Q51" s="2212"/>
      <c r="R51" s="2212"/>
      <c r="S51" s="2212"/>
    </row>
    <row r="52" spans="1:19" s="2193" customFormat="1" ht="16.2" hidden="1" thickBot="1">
      <c r="A52" s="2212"/>
      <c r="B52" s="2212"/>
      <c r="C52" s="2861">
        <v>6</v>
      </c>
      <c r="D52" s="2881" t="s">
        <v>6773</v>
      </c>
      <c r="E52" s="2884" t="s">
        <v>6774</v>
      </c>
      <c r="F52" s="2861" t="s">
        <v>6775</v>
      </c>
      <c r="G52" s="2861" t="s">
        <v>6761</v>
      </c>
      <c r="H52" s="2223" t="s">
        <v>6762</v>
      </c>
      <c r="I52" s="2880" t="s">
        <v>195</v>
      </c>
      <c r="J52" s="2865"/>
      <c r="K52" s="2212"/>
      <c r="L52" s="2212"/>
      <c r="M52" s="2212"/>
      <c r="N52" s="2212"/>
      <c r="O52" s="2212"/>
      <c r="P52" s="2212"/>
      <c r="Q52" s="2212"/>
      <c r="R52" s="2212"/>
      <c r="S52" s="2212"/>
    </row>
    <row r="53" spans="1:19" s="2193" customFormat="1" ht="16.2" hidden="1" thickBot="1">
      <c r="A53" s="2212"/>
      <c r="B53" s="2212"/>
      <c r="C53" s="2862"/>
      <c r="D53" s="2882"/>
      <c r="E53" s="2885"/>
      <c r="F53" s="2862"/>
      <c r="G53" s="2862"/>
      <c r="H53" s="2223" t="s">
        <v>6763</v>
      </c>
      <c r="I53" s="2864" t="s">
        <v>6764</v>
      </c>
      <c r="J53" s="2865"/>
      <c r="K53" s="2212"/>
      <c r="L53" s="2212"/>
      <c r="M53" s="2212"/>
      <c r="N53" s="2212"/>
      <c r="O53" s="2212"/>
      <c r="P53" s="2212"/>
      <c r="Q53" s="2212"/>
      <c r="R53" s="2212"/>
      <c r="S53" s="2212"/>
    </row>
    <row r="54" spans="1:19" s="2193" customFormat="1" ht="16.2" hidden="1" thickBot="1">
      <c r="A54" s="2212"/>
      <c r="B54" s="2212"/>
      <c r="C54" s="2862"/>
      <c r="D54" s="2882"/>
      <c r="E54" s="2885"/>
      <c r="F54" s="2862"/>
      <c r="G54" s="2862"/>
      <c r="H54" s="2223" t="s">
        <v>6765</v>
      </c>
      <c r="I54" s="2864" t="s">
        <v>6776</v>
      </c>
      <c r="J54" s="2865"/>
      <c r="K54" s="2212"/>
      <c r="L54" s="2212"/>
      <c r="M54" s="2212"/>
      <c r="N54" s="2212"/>
      <c r="O54" s="2212"/>
      <c r="P54" s="2212"/>
      <c r="Q54" s="2212"/>
      <c r="R54" s="2212"/>
      <c r="S54" s="2212"/>
    </row>
    <row r="55" spans="1:19" s="2193" customFormat="1" ht="16.2" hidden="1" thickBot="1">
      <c r="A55" s="2212"/>
      <c r="B55" s="2212"/>
      <c r="C55" s="2863"/>
      <c r="D55" s="2883"/>
      <c r="E55" s="2886"/>
      <c r="F55" s="2863"/>
      <c r="G55" s="2863"/>
      <c r="H55" s="2223" t="s">
        <v>6767</v>
      </c>
      <c r="I55" s="2864" t="s">
        <v>6777</v>
      </c>
      <c r="J55" s="2865"/>
      <c r="K55" s="2212"/>
      <c r="L55" s="2212"/>
      <c r="M55" s="2212"/>
      <c r="N55" s="2212"/>
      <c r="O55" s="2212"/>
      <c r="P55" s="2212"/>
      <c r="Q55" s="2212"/>
      <c r="R55" s="2212"/>
      <c r="S55" s="2212"/>
    </row>
    <row r="56" spans="1:19" s="2193" customFormat="1" ht="16.2" hidden="1" thickBot="1">
      <c r="A56" s="2212"/>
      <c r="B56" s="2212"/>
      <c r="C56" s="2861">
        <v>7</v>
      </c>
      <c r="D56" s="2861" t="s">
        <v>6778</v>
      </c>
      <c r="E56" s="2861" t="s">
        <v>6779</v>
      </c>
      <c r="F56" s="2861" t="s">
        <v>6775</v>
      </c>
      <c r="G56" s="2861" t="s">
        <v>6780</v>
      </c>
      <c r="H56" s="2223" t="s">
        <v>6744</v>
      </c>
      <c r="I56" s="2864" t="s">
        <v>6781</v>
      </c>
      <c r="J56" s="2865"/>
      <c r="K56" s="2212"/>
      <c r="L56" s="2212"/>
      <c r="M56" s="2212"/>
      <c r="N56" s="2212"/>
      <c r="O56" s="2212"/>
      <c r="P56" s="2212"/>
      <c r="Q56" s="2212"/>
      <c r="R56" s="2212"/>
      <c r="S56" s="2212"/>
    </row>
    <row r="57" spans="1:19" s="2193" customFormat="1" ht="29.4" hidden="1" thickBot="1">
      <c r="A57" s="2212"/>
      <c r="B57" s="2212"/>
      <c r="C57" s="2862"/>
      <c r="D57" s="2862"/>
      <c r="E57" s="2862"/>
      <c r="F57" s="2862"/>
      <c r="G57" s="2862"/>
      <c r="H57" s="2223" t="s">
        <v>6746</v>
      </c>
      <c r="I57" s="2864" t="s">
        <v>6745</v>
      </c>
      <c r="J57" s="2865"/>
      <c r="K57" s="2212"/>
      <c r="L57" s="2212"/>
      <c r="M57" s="2212"/>
      <c r="N57" s="2212"/>
      <c r="O57" s="2212"/>
      <c r="P57" s="2212"/>
      <c r="Q57" s="2212"/>
      <c r="R57" s="2212"/>
      <c r="S57" s="2212"/>
    </row>
    <row r="58" spans="1:19" s="2193" customFormat="1" ht="29.4" hidden="1" thickBot="1">
      <c r="A58" s="2212"/>
      <c r="B58" s="2212"/>
      <c r="C58" s="2862"/>
      <c r="D58" s="2862"/>
      <c r="E58" s="2862"/>
      <c r="F58" s="2862"/>
      <c r="G58" s="2862"/>
      <c r="H58" s="2223" t="s">
        <v>6747</v>
      </c>
      <c r="I58" s="2864" t="s">
        <v>6782</v>
      </c>
      <c r="J58" s="2865"/>
      <c r="K58" s="2212"/>
      <c r="L58" s="2212"/>
      <c r="M58" s="2212"/>
      <c r="N58" s="2212"/>
      <c r="O58" s="2212"/>
      <c r="P58" s="2212"/>
      <c r="Q58" s="2212"/>
      <c r="R58" s="2212"/>
      <c r="S58" s="2212"/>
    </row>
    <row r="59" spans="1:19" s="2193" customFormat="1" ht="29.4" hidden="1" thickBot="1">
      <c r="A59" s="2212"/>
      <c r="B59" s="2212"/>
      <c r="C59" s="2862"/>
      <c r="D59" s="2862"/>
      <c r="E59" s="2862"/>
      <c r="F59" s="2862"/>
      <c r="G59" s="2862"/>
      <c r="H59" s="2223" t="s">
        <v>6748</v>
      </c>
      <c r="I59" s="2864" t="s">
        <v>195</v>
      </c>
      <c r="J59" s="2865"/>
      <c r="K59" s="2212"/>
      <c r="L59" s="2212"/>
      <c r="M59" s="2212"/>
      <c r="N59" s="2212"/>
      <c r="O59" s="2212"/>
      <c r="P59" s="2212"/>
      <c r="Q59" s="2212"/>
      <c r="R59" s="2212"/>
      <c r="S59" s="2212"/>
    </row>
    <row r="60" spans="1:19" s="2193" customFormat="1" ht="16.2" hidden="1" thickBot="1">
      <c r="A60" s="2212"/>
      <c r="B60" s="2212"/>
      <c r="C60" s="2863"/>
      <c r="D60" s="2863"/>
      <c r="E60" s="2863"/>
      <c r="F60" s="2863"/>
      <c r="G60" s="2863"/>
      <c r="H60" s="2223" t="s">
        <v>6772</v>
      </c>
      <c r="I60" s="2864" t="s">
        <v>6783</v>
      </c>
      <c r="J60" s="2865"/>
      <c r="K60" s="2212"/>
      <c r="L60" s="2212"/>
      <c r="M60" s="2212"/>
      <c r="N60" s="2212"/>
      <c r="O60" s="2212"/>
      <c r="P60" s="2212"/>
      <c r="Q60" s="2212"/>
      <c r="R60" s="2212"/>
      <c r="S60" s="2212"/>
    </row>
    <row r="61" spans="1:19" s="2193" customFormat="1" hidden="1">
      <c r="A61" s="2212"/>
      <c r="B61" s="2212"/>
      <c r="C61" s="2212"/>
      <c r="D61" s="2212"/>
      <c r="E61" s="2212"/>
      <c r="F61" s="2212"/>
      <c r="G61" s="2212"/>
      <c r="H61" s="2212"/>
      <c r="I61" s="2212"/>
      <c r="J61" s="2212"/>
      <c r="K61" s="2212"/>
      <c r="L61" s="2212"/>
      <c r="M61" s="2212"/>
      <c r="N61" s="2212"/>
      <c r="O61" s="2212"/>
      <c r="P61" s="2212"/>
      <c r="Q61" s="2212"/>
      <c r="R61" s="2212"/>
      <c r="S61" s="2212"/>
    </row>
    <row r="62" spans="1:19" s="2193" customFormat="1" hidden="1">
      <c r="A62" s="2212"/>
      <c r="B62" s="2888" t="s">
        <v>6784</v>
      </c>
      <c r="C62" s="2888"/>
      <c r="D62" s="2888"/>
      <c r="E62" s="2888"/>
      <c r="F62" s="2888"/>
      <c r="G62" s="2888"/>
      <c r="H62" s="2888"/>
      <c r="I62" s="2888"/>
      <c r="J62" s="2888"/>
      <c r="K62" s="2212"/>
      <c r="L62" s="2212"/>
      <c r="M62" s="2212"/>
      <c r="N62" s="2212"/>
      <c r="O62" s="2212"/>
      <c r="P62" s="2212"/>
      <c r="Q62" s="2212"/>
      <c r="R62" s="2212"/>
      <c r="S62" s="2212"/>
    </row>
    <row r="63" spans="1:19" s="2193" customFormat="1" hidden="1">
      <c r="A63" s="2212"/>
      <c r="B63" s="2889" t="s">
        <v>6785</v>
      </c>
      <c r="C63" s="2889"/>
      <c r="D63" s="2889"/>
      <c r="E63" s="2889"/>
      <c r="F63" s="2889"/>
      <c r="G63" s="2889"/>
      <c r="H63" s="2889"/>
      <c r="I63" s="2889"/>
      <c r="J63" s="2889"/>
      <c r="K63" s="2212"/>
      <c r="L63" s="2212"/>
      <c r="M63" s="2212"/>
      <c r="N63" s="2212"/>
      <c r="O63" s="2212"/>
      <c r="P63" s="2212"/>
      <c r="Q63" s="2212"/>
      <c r="R63" s="2212"/>
      <c r="S63" s="2212"/>
    </row>
    <row r="64" spans="1:19" s="2193" customFormat="1" ht="17.399999999999999" hidden="1">
      <c r="A64" s="2212"/>
      <c r="B64" s="2225"/>
      <c r="C64" s="2212"/>
      <c r="D64" s="2212"/>
      <c r="E64" s="2212"/>
      <c r="F64" s="2212"/>
      <c r="G64" s="2212"/>
      <c r="H64" s="2212"/>
      <c r="I64" s="2212"/>
      <c r="J64" s="2212"/>
      <c r="K64" s="2212"/>
      <c r="L64" s="2212"/>
      <c r="M64" s="2212"/>
      <c r="N64" s="2212"/>
      <c r="O64" s="2212"/>
      <c r="P64" s="2212"/>
      <c r="Q64" s="2212"/>
      <c r="R64" s="2212"/>
      <c r="S64" s="2212"/>
    </row>
    <row r="65" spans="1:19" s="2193" customFormat="1" ht="17.399999999999999" hidden="1">
      <c r="A65" s="2212"/>
      <c r="B65" s="2890" t="s">
        <v>6786</v>
      </c>
      <c r="C65" s="2890"/>
      <c r="D65" s="2890"/>
      <c r="E65" s="2890"/>
      <c r="F65" s="2890"/>
      <c r="G65" s="2890"/>
      <c r="H65" s="2890"/>
      <c r="I65" s="2890"/>
      <c r="J65" s="2890"/>
      <c r="K65" s="2212"/>
      <c r="L65" s="2212"/>
      <c r="M65" s="2212"/>
      <c r="N65" s="2212"/>
      <c r="O65" s="2212"/>
      <c r="P65" s="2212"/>
      <c r="Q65" s="2212"/>
      <c r="R65" s="2212"/>
      <c r="S65" s="2212"/>
    </row>
    <row r="66" spans="1:19" s="2193" customFormat="1" ht="18" hidden="1">
      <c r="A66" s="2212"/>
      <c r="B66" s="2891" t="s">
        <v>6787</v>
      </c>
      <c r="C66" s="2891"/>
      <c r="D66" s="2891"/>
      <c r="E66" s="2891"/>
      <c r="F66" s="2891"/>
      <c r="G66" s="2891"/>
      <c r="H66" s="2891"/>
      <c r="I66" s="2891"/>
      <c r="J66" s="2891"/>
      <c r="K66" s="2212"/>
      <c r="L66" s="2212"/>
      <c r="M66" s="2212"/>
      <c r="N66" s="2212"/>
      <c r="O66" s="2212"/>
      <c r="P66" s="2212"/>
      <c r="Q66" s="2212"/>
      <c r="R66" s="2212"/>
      <c r="S66" s="2212"/>
    </row>
    <row r="67" spans="1:19" s="2193" customFormat="1" ht="18" hidden="1">
      <c r="A67" s="2212"/>
      <c r="B67" s="2891" t="s">
        <v>6788</v>
      </c>
      <c r="C67" s="2891"/>
      <c r="D67" s="2891"/>
      <c r="E67" s="2891"/>
      <c r="F67" s="2891"/>
      <c r="G67" s="2891"/>
      <c r="H67" s="2891"/>
      <c r="I67" s="2891"/>
      <c r="J67" s="2891"/>
      <c r="K67" s="2212"/>
      <c r="L67" s="2212"/>
      <c r="M67" s="2212"/>
      <c r="N67" s="2212"/>
      <c r="O67" s="2212"/>
      <c r="P67" s="2212"/>
      <c r="Q67" s="2212"/>
      <c r="R67" s="2212"/>
      <c r="S67" s="2212"/>
    </row>
    <row r="68" spans="1:19" s="2193" customFormat="1" ht="18" hidden="1">
      <c r="A68" s="2212"/>
      <c r="B68" s="2887" t="s">
        <v>6789</v>
      </c>
      <c r="C68" s="2887"/>
      <c r="D68" s="2887"/>
      <c r="E68" s="2887"/>
      <c r="F68" s="2887"/>
      <c r="G68" s="2887"/>
      <c r="H68" s="2887"/>
      <c r="I68" s="2887"/>
      <c r="J68" s="2887"/>
      <c r="K68" s="2212"/>
      <c r="L68" s="2212"/>
      <c r="M68" s="2212"/>
      <c r="N68" s="2212"/>
      <c r="O68" s="2212"/>
      <c r="P68" s="2212"/>
      <c r="Q68" s="2212"/>
      <c r="R68" s="2212"/>
      <c r="S68" s="2212"/>
    </row>
    <row r="69" spans="1:19" s="2192" customFormat="1">
      <c r="A69" s="2206"/>
      <c r="B69" s="2206"/>
      <c r="C69" s="2206"/>
      <c r="D69" s="2206"/>
      <c r="E69" s="2206"/>
      <c r="F69" s="2206"/>
      <c r="G69" s="2206"/>
      <c r="H69" s="2206"/>
      <c r="I69" s="2206"/>
      <c r="J69" s="2206"/>
      <c r="K69" s="2206"/>
      <c r="L69" s="2206"/>
      <c r="M69" s="2206"/>
      <c r="N69" s="2206"/>
      <c r="O69" s="2206"/>
      <c r="P69" s="2206"/>
      <c r="Q69" s="2206"/>
      <c r="R69" s="2206"/>
      <c r="S69" s="2206"/>
    </row>
    <row r="70" spans="1:19">
      <c r="A70" s="2180"/>
      <c r="B70" s="2202"/>
      <c r="C70" s="2202"/>
      <c r="D70" s="2202"/>
      <c r="E70" s="2202"/>
      <c r="F70" s="2202"/>
      <c r="G70" s="2202"/>
      <c r="H70" s="2202"/>
      <c r="I70" s="2202"/>
      <c r="J70" s="2202"/>
      <c r="K70" s="2180"/>
      <c r="L70" s="2180"/>
      <c r="M70" s="2180"/>
      <c r="N70" s="2180"/>
      <c r="O70" s="2180"/>
      <c r="P70" s="2180"/>
      <c r="Q70" s="2180"/>
      <c r="R70" s="2180"/>
      <c r="S70" s="2180"/>
    </row>
    <row r="71" spans="1:19">
      <c r="A71" s="2180"/>
      <c r="B71" s="2180"/>
      <c r="C71" s="2180"/>
      <c r="D71" s="2180"/>
      <c r="E71" s="2180"/>
      <c r="F71" s="2180"/>
      <c r="G71" s="2180"/>
      <c r="H71" s="2180"/>
      <c r="I71" s="2180"/>
      <c r="J71" s="2180"/>
      <c r="K71" s="2180"/>
      <c r="L71" s="2180"/>
      <c r="M71" s="2180"/>
      <c r="N71" s="2180"/>
      <c r="O71" s="2180"/>
      <c r="P71" s="2180"/>
      <c r="Q71" s="2180"/>
      <c r="R71" s="2180"/>
      <c r="S71" s="2180"/>
    </row>
    <row r="72" spans="1:19">
      <c r="A72" s="2180"/>
      <c r="B72" s="2180"/>
      <c r="C72" s="2180"/>
      <c r="D72" s="2180"/>
      <c r="E72" s="2180"/>
      <c r="F72" s="2180"/>
      <c r="G72" s="2180"/>
      <c r="H72" s="2180"/>
      <c r="I72" s="2180"/>
      <c r="J72" s="2180"/>
      <c r="K72" s="2180"/>
      <c r="L72" s="2180"/>
      <c r="M72" s="2180"/>
      <c r="N72" s="2180"/>
      <c r="O72" s="2180"/>
      <c r="P72" s="2180"/>
      <c r="Q72" s="2180"/>
      <c r="R72" s="2180"/>
      <c r="S72" s="2180"/>
    </row>
    <row r="73" spans="1:19">
      <c r="A73" s="2180"/>
      <c r="B73" s="2180"/>
      <c r="C73" s="2180"/>
      <c r="D73" s="2180"/>
      <c r="E73" s="2180"/>
      <c r="F73" s="2180"/>
      <c r="G73" s="2180"/>
      <c r="H73" s="2180"/>
      <c r="I73" s="2180"/>
      <c r="J73" s="2180"/>
      <c r="K73" s="2180"/>
      <c r="L73" s="2180"/>
      <c r="M73" s="2180"/>
      <c r="N73" s="2180"/>
      <c r="O73" s="2180"/>
      <c r="P73" s="2180"/>
      <c r="Q73" s="2180"/>
      <c r="R73" s="2180"/>
      <c r="S73" s="2180"/>
    </row>
    <row r="74" spans="1:19">
      <c r="A74" s="2180"/>
      <c r="B74" s="2180"/>
      <c r="C74" s="2180"/>
      <c r="D74" s="2180"/>
      <c r="E74" s="2180"/>
      <c r="F74" s="2180"/>
      <c r="G74" s="2180"/>
      <c r="H74" s="2180"/>
      <c r="I74" s="2180"/>
      <c r="J74" s="2180"/>
      <c r="K74" s="2180"/>
      <c r="L74" s="2180"/>
      <c r="M74" s="2180"/>
      <c r="N74" s="2180"/>
      <c r="O74" s="2180"/>
      <c r="P74" s="2180"/>
      <c r="Q74" s="2180"/>
      <c r="R74" s="2180"/>
      <c r="S74" s="2180"/>
    </row>
    <row r="75" spans="1:19">
      <c r="A75" s="2180"/>
      <c r="B75" s="2180"/>
      <c r="C75" s="2180"/>
      <c r="D75" s="2180"/>
      <c r="E75" s="2180"/>
      <c r="F75" s="2180"/>
      <c r="G75" s="2180"/>
      <c r="H75" s="2180"/>
      <c r="I75" s="2180"/>
      <c r="J75" s="2180"/>
      <c r="K75" s="2180"/>
      <c r="L75" s="2180"/>
      <c r="M75" s="2180"/>
      <c r="N75" s="2180"/>
      <c r="O75" s="2180"/>
      <c r="P75" s="2180"/>
      <c r="Q75" s="2180"/>
      <c r="R75" s="2180"/>
      <c r="S75" s="2180"/>
    </row>
  </sheetData>
  <sheetProtection selectLockedCells="1"/>
  <mergeCells count="87">
    <mergeCell ref="B68:J68"/>
    <mergeCell ref="I60:J60"/>
    <mergeCell ref="B62:J62"/>
    <mergeCell ref="B63:J63"/>
    <mergeCell ref="B65:J65"/>
    <mergeCell ref="B66:J66"/>
    <mergeCell ref="B67:J67"/>
    <mergeCell ref="I52:J52"/>
    <mergeCell ref="I53:J53"/>
    <mergeCell ref="I54:J54"/>
    <mergeCell ref="I55:J55"/>
    <mergeCell ref="C56:C60"/>
    <mergeCell ref="D56:D60"/>
    <mergeCell ref="E56:E60"/>
    <mergeCell ref="F56:F60"/>
    <mergeCell ref="G56:G60"/>
    <mergeCell ref="I56:J56"/>
    <mergeCell ref="I57:J57"/>
    <mergeCell ref="I58:J58"/>
    <mergeCell ref="I59:J59"/>
    <mergeCell ref="C52:C55"/>
    <mergeCell ref="D52:D55"/>
    <mergeCell ref="E52:E55"/>
    <mergeCell ref="F52:F55"/>
    <mergeCell ref="G52:G55"/>
    <mergeCell ref="D47:D51"/>
    <mergeCell ref="E47:E51"/>
    <mergeCell ref="F47:F51"/>
    <mergeCell ref="G47:G51"/>
    <mergeCell ref="H47:I47"/>
    <mergeCell ref="H48:I48"/>
    <mergeCell ref="H49:I49"/>
    <mergeCell ref="H50:I50"/>
    <mergeCell ref="H51:I51"/>
    <mergeCell ref="J41:J42"/>
    <mergeCell ref="C43:C46"/>
    <mergeCell ref="D43:D46"/>
    <mergeCell ref="E43:E46"/>
    <mergeCell ref="F43:F46"/>
    <mergeCell ref="G43:G46"/>
    <mergeCell ref="H43:I43"/>
    <mergeCell ref="H44:I44"/>
    <mergeCell ref="H45:I45"/>
    <mergeCell ref="H46:I46"/>
    <mergeCell ref="F37:F40"/>
    <mergeCell ref="G37:G40"/>
    <mergeCell ref="C41:C42"/>
    <mergeCell ref="D41:D42"/>
    <mergeCell ref="E41:I42"/>
    <mergeCell ref="H37:I37"/>
    <mergeCell ref="H38:I38"/>
    <mergeCell ref="H39:I39"/>
    <mergeCell ref="H40:I40"/>
    <mergeCell ref="C37:C40"/>
    <mergeCell ref="D37:D40"/>
    <mergeCell ref="E37:E40"/>
    <mergeCell ref="C31:C36"/>
    <mergeCell ref="D31:D36"/>
    <mergeCell ref="E31:E36"/>
    <mergeCell ref="G31:G35"/>
    <mergeCell ref="H31:I31"/>
    <mergeCell ref="H32:I32"/>
    <mergeCell ref="H33:I33"/>
    <mergeCell ref="H34:I34"/>
    <mergeCell ref="H35:I35"/>
    <mergeCell ref="C28:J28"/>
    <mergeCell ref="C29:C30"/>
    <mergeCell ref="D29:D30"/>
    <mergeCell ref="F29:F30"/>
    <mergeCell ref="G29:I30"/>
    <mergeCell ref="J29:J30"/>
    <mergeCell ref="C27:J27"/>
    <mergeCell ref="B1:H1"/>
    <mergeCell ref="E4:H4"/>
    <mergeCell ref="C5:H5"/>
    <mergeCell ref="B6:I6"/>
    <mergeCell ref="B7:I7"/>
    <mergeCell ref="B8:B9"/>
    <mergeCell ref="C8:C9"/>
    <mergeCell ref="E8:E9"/>
    <mergeCell ref="F8:G9"/>
    <mergeCell ref="H8:H9"/>
    <mergeCell ref="B10:B15"/>
    <mergeCell ref="C10:C15"/>
    <mergeCell ref="D10:D15"/>
    <mergeCell ref="E10:E15"/>
    <mergeCell ref="F10:F15"/>
  </mergeCells>
  <phoneticPr fontId="51" type="noConversion"/>
  <dataValidations count="2">
    <dataValidation type="list" allowBlank="1" showInputMessage="1" showErrorMessage="1" sqref="D4">
      <formula1>$D$18:$D$19</formula1>
    </dataValidation>
    <dataValidation type="list" allowBlank="1" showInputMessage="1" showErrorMessage="1" sqref="C3">
      <formula1>$C$18:$C$24</formula1>
    </dataValidation>
  </dataValidations>
  <pageMargins left="0.78740157480314998" right="0.35433070866141703" top="0.511811023622047" bottom="0.11811023622047198" header="0.511811023622047" footer="0.511811023622047"/>
  <pageSetup paperSize="9" orientation="landscape" blackAndWhite="1"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9"/>
  <dimension ref="A1:H26"/>
  <sheetViews>
    <sheetView workbookViewId="0">
      <selection activeCell="D4" sqref="D4:G4"/>
    </sheetView>
  </sheetViews>
  <sheetFormatPr defaultColWidth="9" defaultRowHeight="24" customHeight="1"/>
  <cols>
    <col min="1" max="1" width="8.09765625" style="120" customWidth="1"/>
    <col min="2" max="2" width="9" style="120"/>
    <col min="3" max="3" width="4.09765625" style="120" customWidth="1"/>
    <col min="4" max="4" width="14.59765625" style="120" customWidth="1"/>
    <col min="5" max="5" width="16.69921875" style="120" customWidth="1"/>
    <col min="6" max="6" width="9" style="120"/>
    <col min="7" max="7" width="18.3984375" style="120" customWidth="1"/>
    <col min="8" max="8" width="9.09765625" style="120" customWidth="1"/>
    <col min="9" max="16384" width="9" style="120"/>
  </cols>
  <sheetData>
    <row r="1" spans="1:8" ht="24" customHeight="1">
      <c r="A1" s="2784" t="s">
        <v>306</v>
      </c>
      <c r="B1" s="2784"/>
      <c r="C1" s="2784"/>
      <c r="D1" s="2784"/>
      <c r="E1" s="2784"/>
      <c r="F1" s="2784"/>
      <c r="G1" s="2784"/>
      <c r="H1" s="121"/>
    </row>
    <row r="2" spans="1:8" ht="50.25" customHeight="1">
      <c r="A2" s="122"/>
      <c r="B2" s="122"/>
      <c r="C2" s="122"/>
      <c r="D2" s="122"/>
      <c r="E2" s="122"/>
      <c r="F2" s="123" t="s">
        <v>1029</v>
      </c>
      <c r="G2" s="124" t="str">
        <f>档案索引!A25</f>
        <v>2A-5</v>
      </c>
      <c r="H2" s="125"/>
    </row>
    <row r="3" spans="1:8" ht="29.25" customHeight="1">
      <c r="A3" s="126" t="str">
        <f>基本情况!B8&amp;"："</f>
        <v>中汇百邦（厦门）税务师事务所有限公司：</v>
      </c>
      <c r="B3" s="122"/>
      <c r="C3" s="122"/>
      <c r="D3" s="122"/>
      <c r="E3" s="122"/>
      <c r="F3" s="122"/>
      <c r="G3" s="122"/>
    </row>
    <row r="4" spans="1:8" ht="24" customHeight="1">
      <c r="A4" s="122" t="s">
        <v>1030</v>
      </c>
      <c r="B4" s="122" t="s">
        <v>1031</v>
      </c>
      <c r="C4" s="122"/>
      <c r="D4" s="2892" t="str">
        <f>IF(OR(基本情况!B6&lt;&gt;"12月31日",基本情况!F5&lt;&gt;"01",基本情况!G5&lt;&gt;"01"),基本情况!B7,基本情况!B4&amp;"年度")&amp;基本情况!B3&amp;"，"</f>
        <v>2016年度企业所得税年度纳税申报审核，</v>
      </c>
      <c r="E4" s="2892"/>
      <c r="F4" s="2892"/>
      <c r="G4" s="2892"/>
    </row>
    <row r="5" spans="1:8" ht="24" customHeight="1">
      <c r="A5" s="122" t="s">
        <v>1032</v>
      </c>
      <c r="B5" s="122"/>
      <c r="C5" s="122"/>
      <c r="D5" s="122"/>
      <c r="E5" s="122"/>
      <c r="F5" s="122"/>
      <c r="G5" s="122"/>
    </row>
    <row r="6" spans="1:8" ht="24" customHeight="1">
      <c r="A6" s="122" t="s">
        <v>1033</v>
      </c>
      <c r="B6" s="122"/>
      <c r="C6" s="122"/>
      <c r="D6" s="122"/>
      <c r="E6" s="122"/>
      <c r="F6" s="122"/>
      <c r="G6" s="122"/>
    </row>
    <row r="7" spans="1:8" ht="24" customHeight="1">
      <c r="A7" s="122" t="s">
        <v>1034</v>
      </c>
      <c r="B7" s="122"/>
      <c r="C7" s="122"/>
      <c r="D7" s="122"/>
      <c r="E7" s="122"/>
      <c r="F7" s="122"/>
      <c r="G7" s="122"/>
    </row>
    <row r="8" spans="1:8" ht="24" customHeight="1">
      <c r="A8" s="122" t="s">
        <v>1035</v>
      </c>
      <c r="B8" s="122"/>
      <c r="C8" s="122"/>
      <c r="D8" s="122"/>
      <c r="E8" s="122"/>
      <c r="F8" s="122"/>
      <c r="G8" s="122"/>
    </row>
    <row r="9" spans="1:8" ht="24" customHeight="1">
      <c r="A9" s="122" t="s">
        <v>1036</v>
      </c>
      <c r="B9" s="122"/>
      <c r="C9" s="122"/>
      <c r="D9" s="122"/>
      <c r="E9" s="122"/>
      <c r="F9" s="122"/>
      <c r="G9" s="122"/>
    </row>
    <row r="10" spans="1:8" ht="24" customHeight="1">
      <c r="A10" s="122" t="s">
        <v>1037</v>
      </c>
      <c r="B10" s="122"/>
      <c r="C10" s="122"/>
      <c r="D10" s="122"/>
      <c r="E10" s="122"/>
      <c r="F10" s="122"/>
      <c r="G10" s="122"/>
    </row>
    <row r="11" spans="1:8" ht="24" customHeight="1">
      <c r="A11" s="122" t="s">
        <v>1038</v>
      </c>
      <c r="B11" s="122"/>
      <c r="C11" s="122"/>
      <c r="D11" s="122"/>
      <c r="E11" s="122"/>
      <c r="F11" s="122"/>
      <c r="G11" s="122"/>
    </row>
    <row r="12" spans="1:8" ht="24" customHeight="1">
      <c r="A12" s="122" t="s">
        <v>1039</v>
      </c>
      <c r="B12" s="122"/>
      <c r="C12" s="122"/>
      <c r="D12" s="122"/>
      <c r="E12" s="122"/>
      <c r="F12" s="122"/>
      <c r="G12" s="122"/>
    </row>
    <row r="13" spans="1:8" ht="24" customHeight="1">
      <c r="A13" s="122" t="s">
        <v>1040</v>
      </c>
      <c r="B13" s="122"/>
      <c r="C13" s="122"/>
      <c r="D13" s="122"/>
      <c r="E13" s="122"/>
      <c r="F13" s="122"/>
      <c r="G13" s="122"/>
    </row>
    <row r="14" spans="1:8" ht="24" customHeight="1">
      <c r="A14" s="122" t="s">
        <v>1041</v>
      </c>
      <c r="B14" s="122"/>
      <c r="C14" s="122"/>
      <c r="D14" s="122"/>
      <c r="E14" s="122"/>
      <c r="F14" s="122"/>
      <c r="G14" s="122"/>
    </row>
    <row r="15" spans="1:8" ht="24" customHeight="1">
      <c r="A15" s="122" t="s">
        <v>1042</v>
      </c>
      <c r="B15" s="122"/>
      <c r="C15" s="122"/>
      <c r="D15" s="122"/>
      <c r="E15" s="122"/>
      <c r="F15" s="122"/>
      <c r="G15" s="122"/>
    </row>
    <row r="16" spans="1:8" ht="24" customHeight="1">
      <c r="A16" s="122" t="s">
        <v>1043</v>
      </c>
      <c r="B16" s="122" t="s">
        <v>1044</v>
      </c>
      <c r="C16" s="122"/>
      <c r="D16" s="122"/>
      <c r="E16" s="122"/>
      <c r="F16" s="122"/>
      <c r="G16" s="122"/>
    </row>
    <row r="17" spans="1:8" ht="24" customHeight="1">
      <c r="A17" s="122" t="s">
        <v>1045</v>
      </c>
      <c r="B17" s="122"/>
      <c r="C17" s="122"/>
      <c r="D17" s="122"/>
      <c r="E17" s="122"/>
      <c r="F17" s="122"/>
      <c r="G17" s="122"/>
    </row>
    <row r="18" spans="1:8" ht="24" customHeight="1">
      <c r="A18" s="122" t="s">
        <v>1046</v>
      </c>
      <c r="B18" s="122"/>
      <c r="C18" s="122"/>
      <c r="D18" s="122"/>
      <c r="E18" s="122"/>
      <c r="F18" s="122"/>
      <c r="G18" s="122"/>
    </row>
    <row r="19" spans="1:8" ht="24" customHeight="1">
      <c r="A19" s="122" t="s">
        <v>1047</v>
      </c>
      <c r="B19" s="122"/>
      <c r="C19" s="122"/>
      <c r="D19" s="122"/>
      <c r="E19" s="122"/>
      <c r="F19" s="122"/>
      <c r="G19" s="122"/>
    </row>
    <row r="20" spans="1:8" ht="24" customHeight="1">
      <c r="A20" s="122" t="s">
        <v>1048</v>
      </c>
      <c r="B20" s="122"/>
      <c r="C20" s="122"/>
      <c r="D20" s="122"/>
      <c r="E20" s="122"/>
      <c r="F20" s="122"/>
      <c r="G20" s="122"/>
    </row>
    <row r="21" spans="1:8" ht="24" customHeight="1">
      <c r="A21" s="2893" t="s">
        <v>1049</v>
      </c>
      <c r="B21" s="2893"/>
      <c r="C21" s="2893"/>
      <c r="D21" s="2893"/>
      <c r="E21" s="2893"/>
      <c r="F21" s="2893"/>
      <c r="G21" s="2893"/>
      <c r="H21" s="127"/>
    </row>
    <row r="22" spans="1:8" ht="24" customHeight="1">
      <c r="A22" s="122"/>
      <c r="B22" s="122"/>
      <c r="C22" s="122"/>
      <c r="D22" s="122"/>
      <c r="E22" s="122"/>
      <c r="F22" s="122"/>
      <c r="G22" s="122"/>
    </row>
    <row r="23" spans="1:8" ht="24" customHeight="1">
      <c r="A23" s="122"/>
      <c r="B23" s="122"/>
      <c r="C23" s="122"/>
      <c r="D23" s="122"/>
      <c r="E23" s="122"/>
      <c r="F23" s="122"/>
      <c r="G23" s="122"/>
    </row>
    <row r="24" spans="1:8" ht="24" customHeight="1">
      <c r="A24" s="122" t="s">
        <v>1050</v>
      </c>
      <c r="B24" s="122"/>
      <c r="C24" s="122"/>
      <c r="D24" s="128"/>
      <c r="E24" s="122"/>
      <c r="F24" s="122" t="s">
        <v>1051</v>
      </c>
      <c r="G24" s="122"/>
    </row>
    <row r="25" spans="1:8" ht="24" customHeight="1">
      <c r="A25" s="122"/>
      <c r="B25" s="122"/>
      <c r="C25" s="122"/>
      <c r="D25" s="128"/>
      <c r="E25" s="122"/>
      <c r="F25" s="122"/>
      <c r="G25" s="122"/>
    </row>
    <row r="26" spans="1:8" ht="24" customHeight="1">
      <c r="A26" s="122" t="s">
        <v>1052</v>
      </c>
      <c r="B26" s="122"/>
      <c r="C26" s="122"/>
      <c r="D26" s="128"/>
      <c r="E26" s="122"/>
      <c r="F26" s="122"/>
      <c r="G26" s="129"/>
    </row>
  </sheetData>
  <sheetProtection selectLockedCells="1" selectUnlockedCells="1"/>
  <mergeCells count="3">
    <mergeCell ref="A1:G1"/>
    <mergeCell ref="D4:G4"/>
    <mergeCell ref="A21:G21"/>
  </mergeCells>
  <phoneticPr fontId="51" type="noConversion"/>
  <pageMargins left="0.78740157480314998" right="0.35433070866141703" top="0.511811023622047" bottom="0.11811023622047198" header="0.511811023622047" footer="0.511811023622047"/>
  <pageSetup paperSize="9" firstPageNumber="0" orientation="portrait" blackAndWhite="1" r:id="rId1"/>
  <headerFooter alignWithMargins="0"/>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0"/>
  <dimension ref="A1:Q33"/>
  <sheetViews>
    <sheetView workbookViewId="0">
      <selection activeCell="B9" sqref="B9:K10"/>
    </sheetView>
  </sheetViews>
  <sheetFormatPr defaultRowHeight="15.6"/>
  <cols>
    <col min="1" max="1" width="1.09765625" customWidth="1"/>
    <col min="2" max="2" width="10.8984375" style="130" customWidth="1"/>
    <col min="3" max="3" width="14.3984375" style="130" customWidth="1"/>
    <col min="4" max="4" width="12.3984375" style="130" customWidth="1"/>
    <col min="5" max="5" width="4.69921875" style="130" customWidth="1"/>
    <col min="6" max="6" width="12.3984375" style="130" customWidth="1"/>
    <col min="7" max="7" width="4.09765625" style="130" customWidth="1"/>
    <col min="8" max="8" width="3.59765625" style="130" customWidth="1"/>
    <col min="9" max="9" width="3.5" style="130" customWidth="1"/>
    <col min="10" max="10" width="4.19921875" style="130" customWidth="1"/>
    <col min="11" max="11" width="12.69921875" style="130" customWidth="1"/>
    <col min="12" max="12" width="13.09765625" customWidth="1"/>
  </cols>
  <sheetData>
    <row r="1" spans="1:17" ht="29.25" customHeight="1">
      <c r="A1" s="131"/>
      <c r="B1" s="2742" t="s">
        <v>310</v>
      </c>
      <c r="C1" s="2742"/>
      <c r="D1" s="2742"/>
      <c r="E1" s="2742"/>
      <c r="F1" s="2742"/>
      <c r="G1" s="2742"/>
      <c r="H1" s="2742"/>
      <c r="I1" s="2742"/>
      <c r="J1" s="2742"/>
      <c r="K1" s="2742"/>
      <c r="L1" s="84"/>
      <c r="M1" s="84"/>
      <c r="N1" s="84"/>
      <c r="O1" s="84"/>
      <c r="P1" s="84"/>
      <c r="Q1" s="84"/>
    </row>
    <row r="2" spans="1:17" ht="15.75" customHeight="1">
      <c r="A2" s="131"/>
      <c r="B2" s="132"/>
      <c r="C2" s="132"/>
      <c r="D2" s="132"/>
      <c r="E2" s="132"/>
      <c r="F2" s="132"/>
      <c r="G2" s="133" t="s">
        <v>1053</v>
      </c>
      <c r="H2" s="133"/>
      <c r="I2" s="133"/>
      <c r="J2" s="133"/>
      <c r="K2" s="134" t="str">
        <f>档案索引!A26</f>
        <v>2A-6</v>
      </c>
      <c r="L2" s="84"/>
      <c r="M2" s="84"/>
      <c r="N2" s="84"/>
      <c r="O2" s="84"/>
      <c r="P2" s="84"/>
      <c r="Q2" s="84"/>
    </row>
    <row r="3" spans="1:17" ht="22.5" customHeight="1">
      <c r="B3" s="135" t="s">
        <v>448</v>
      </c>
      <c r="C3" s="2897">
        <f>基本情况!B2</f>
        <v>0</v>
      </c>
      <c r="D3" s="2897"/>
      <c r="E3" s="2897"/>
      <c r="F3" s="2897"/>
      <c r="G3" s="2898" t="s">
        <v>451</v>
      </c>
      <c r="H3" s="2898"/>
      <c r="I3" s="2898"/>
      <c r="J3" s="2898"/>
      <c r="K3" s="137">
        <f>基本情况!B11</f>
        <v>0</v>
      </c>
      <c r="L3" s="84"/>
      <c r="M3" s="84"/>
      <c r="N3" s="84"/>
      <c r="O3" s="84"/>
      <c r="P3" s="84"/>
      <c r="Q3" s="84"/>
    </row>
    <row r="4" spans="1:17" ht="22.5" customHeight="1">
      <c r="B4" s="138" t="s">
        <v>452</v>
      </c>
      <c r="C4" s="2899" t="str">
        <f>基本情况!B7</f>
        <v>2016年01月01日至2016年12月31日</v>
      </c>
      <c r="D4" s="2899"/>
      <c r="E4" s="2899"/>
      <c r="F4" s="2899"/>
      <c r="G4" s="2900" t="s">
        <v>1054</v>
      </c>
      <c r="H4" s="2900"/>
      <c r="I4" s="2900"/>
      <c r="J4" s="2900"/>
      <c r="K4" s="141">
        <f>基本情况!B19+1</f>
        <v>42811</v>
      </c>
      <c r="L4" s="84"/>
      <c r="M4" s="84"/>
      <c r="N4" s="84"/>
      <c r="O4" s="84"/>
      <c r="P4" s="84"/>
      <c r="Q4" s="84"/>
    </row>
    <row r="5" spans="1:17" ht="7.5" customHeight="1">
      <c r="B5" s="2894"/>
      <c r="C5" s="2894"/>
      <c r="D5" s="2894"/>
      <c r="E5" s="2894"/>
      <c r="F5" s="2894"/>
      <c r="G5" s="2894"/>
      <c r="H5" s="2894"/>
      <c r="I5" s="2894"/>
      <c r="J5" s="2894"/>
      <c r="K5" s="2894"/>
      <c r="L5" s="84"/>
      <c r="M5" s="84"/>
      <c r="N5" s="84"/>
      <c r="O5" s="84"/>
      <c r="P5" s="84"/>
      <c r="Q5" s="84"/>
    </row>
    <row r="6" spans="1:17" ht="22.5" customHeight="1">
      <c r="B6" s="2895" t="s">
        <v>1055</v>
      </c>
      <c r="C6" s="2895"/>
      <c r="D6" s="2895"/>
      <c r="E6" s="2895"/>
      <c r="F6" s="2895"/>
      <c r="G6" s="2895"/>
      <c r="H6" s="2895"/>
      <c r="I6" s="2895"/>
      <c r="J6" s="2895"/>
      <c r="K6" s="2895"/>
      <c r="L6" s="84"/>
      <c r="M6" s="84"/>
      <c r="N6" s="84"/>
      <c r="O6" s="84"/>
      <c r="P6" s="84"/>
      <c r="Q6" s="84"/>
    </row>
    <row r="7" spans="1:17" ht="44.25" customHeight="1">
      <c r="B7" s="2896" t="str">
        <f>IF(OR(基本情况!B6&lt;&gt;"12月31日",基本情况!F5&lt;&gt;"01",基本情况!G5&lt;&gt;"01"),基本情况!B7,基本情况!B4&amp;"年")&amp;"企业所得税年度纳税申报审核"</f>
        <v>2016年企业所得税年度纳税申报审核</v>
      </c>
      <c r="C7" s="2896"/>
      <c r="D7" s="2896"/>
      <c r="E7" s="2896"/>
      <c r="F7" s="2896"/>
      <c r="G7" s="2896"/>
      <c r="H7" s="2896"/>
      <c r="I7" s="2896"/>
      <c r="J7" s="2896"/>
      <c r="K7" s="2896"/>
      <c r="L7" s="84"/>
      <c r="M7" s="84"/>
      <c r="N7" s="84"/>
      <c r="O7" s="84"/>
      <c r="P7" s="84"/>
      <c r="Q7" s="84"/>
    </row>
    <row r="8" spans="1:17" ht="22.5" customHeight="1">
      <c r="B8" s="2895" t="s">
        <v>1056</v>
      </c>
      <c r="C8" s="2895"/>
      <c r="D8" s="2895"/>
      <c r="E8" s="2895"/>
      <c r="F8" s="2895"/>
      <c r="G8" s="2895"/>
      <c r="H8" s="2895"/>
      <c r="I8" s="2895"/>
      <c r="J8" s="2895"/>
      <c r="K8" s="2895"/>
      <c r="L8" s="84"/>
      <c r="M8" s="84"/>
      <c r="N8" s="84"/>
      <c r="O8" s="84"/>
      <c r="P8" s="84"/>
      <c r="Q8" s="84"/>
    </row>
    <row r="9" spans="1:17" ht="22.5" customHeight="1">
      <c r="B9" s="2901" t="str">
        <f>"根据《中华人民共和国企业所得税法》、《中华人民共和国企业所得税法实施条例》以及其他税收法律、法规的规定，按照《注册税务师涉税审核业务基本准则》、《企业所得税汇算清缴纳税申报审核业务准则（试行）》的要求，对该单位"&amp;IF(OR(基本情况!B6&lt;&gt;"12月31日",基本情况!F5&lt;&gt;"01",基本情况!G5&lt;&gt;"01"),基本情况!B7,基本情况!B4&amp;"年")&amp;"企业所得税年度纳税申报进行审核。"</f>
        <v>根据《中华人民共和国企业所得税法》、《中华人民共和国企业所得税法实施条例》以及其他税收法律、法规的规定，按照《注册税务师涉税审核业务基本准则》、《企业所得税汇算清缴纳税申报审核业务准则（试行）》的要求，对该单位2016年企业所得税年度纳税申报进行审核。</v>
      </c>
      <c r="C9" s="2901"/>
      <c r="D9" s="2901"/>
      <c r="E9" s="2901"/>
      <c r="F9" s="2901"/>
      <c r="G9" s="2901"/>
      <c r="H9" s="2901"/>
      <c r="I9" s="2901"/>
      <c r="J9" s="2901"/>
      <c r="K9" s="2901"/>
      <c r="L9" s="84"/>
      <c r="M9" s="84"/>
      <c r="N9" s="84"/>
      <c r="O9" s="84"/>
      <c r="P9" s="84"/>
      <c r="Q9" s="84"/>
    </row>
    <row r="10" spans="1:17" ht="22.5" customHeight="1">
      <c r="B10" s="2901"/>
      <c r="C10" s="2901"/>
      <c r="D10" s="2901"/>
      <c r="E10" s="2901"/>
      <c r="F10" s="2901"/>
      <c r="G10" s="2901"/>
      <c r="H10" s="2901"/>
      <c r="I10" s="2901"/>
      <c r="J10" s="2901"/>
      <c r="K10" s="2901"/>
      <c r="L10" s="84"/>
      <c r="M10" s="84"/>
      <c r="N10" s="84"/>
      <c r="O10" s="84"/>
      <c r="P10" s="84"/>
      <c r="Q10" s="84"/>
    </row>
    <row r="11" spans="1:17" ht="22.5" customHeight="1">
      <c r="A11" s="142"/>
      <c r="B11" s="2895" t="s">
        <v>1057</v>
      </c>
      <c r="C11" s="2895"/>
      <c r="D11" s="2895"/>
      <c r="E11" s="2895"/>
      <c r="F11" s="2895"/>
      <c r="G11" s="2895"/>
      <c r="H11" s="2895"/>
      <c r="I11" s="2895"/>
      <c r="J11" s="2895"/>
      <c r="K11" s="2895"/>
      <c r="L11" s="84"/>
    </row>
    <row r="12" spans="1:17" ht="22.5" customHeight="1">
      <c r="B12" s="2903" t="s">
        <v>1058</v>
      </c>
      <c r="C12" s="2903"/>
      <c r="D12" s="2907">
        <f>基本情况!B19+1</f>
        <v>42811</v>
      </c>
      <c r="E12" s="2907"/>
      <c r="F12" s="2907"/>
      <c r="G12" s="2907"/>
      <c r="H12" s="2907"/>
      <c r="I12" s="2907"/>
      <c r="J12" s="2907"/>
      <c r="K12" s="2907"/>
      <c r="L12" s="144"/>
    </row>
    <row r="13" spans="1:17" ht="22.5" customHeight="1">
      <c r="B13" s="2903" t="s">
        <v>1059</v>
      </c>
      <c r="C13" s="2903"/>
      <c r="D13" s="145">
        <f>基本情况!B19+1</f>
        <v>42811</v>
      </c>
      <c r="E13" s="146" t="s">
        <v>1060</v>
      </c>
      <c r="F13" s="147">
        <f>D13+H13</f>
        <v>42814</v>
      </c>
      <c r="G13" s="148" t="s">
        <v>1061</v>
      </c>
      <c r="H13" s="149">
        <v>3</v>
      </c>
      <c r="I13" s="150" t="s">
        <v>1062</v>
      </c>
      <c r="J13" s="151">
        <f>COUNTA(B18:B25)*H13</f>
        <v>0</v>
      </c>
      <c r="K13" s="152" t="s">
        <v>1063</v>
      </c>
      <c r="L13" s="84"/>
    </row>
    <row r="14" spans="1:17" ht="22.5" customHeight="1">
      <c r="B14" s="2903" t="s">
        <v>1064</v>
      </c>
      <c r="C14" s="2903"/>
      <c r="D14" s="145">
        <f>F13+1</f>
        <v>42815</v>
      </c>
      <c r="E14" s="146" t="s">
        <v>1060</v>
      </c>
      <c r="F14" s="153" t="str">
        <f>基本情况!B20</f>
        <v>2017年5月4日</v>
      </c>
      <c r="G14" s="154"/>
      <c r="H14" s="155"/>
      <c r="I14" s="155"/>
      <c r="J14" s="155"/>
      <c r="K14" s="156"/>
      <c r="L14" s="84"/>
    </row>
    <row r="15" spans="1:17" ht="22.5" customHeight="1">
      <c r="B15" s="2904" t="s">
        <v>1065</v>
      </c>
      <c r="C15" s="2904"/>
      <c r="D15" s="2905" t="str">
        <f>基本情况!B20</f>
        <v>2017年5月4日</v>
      </c>
      <c r="E15" s="2905"/>
      <c r="F15" s="2905"/>
      <c r="G15" s="2905"/>
      <c r="H15" s="2905"/>
      <c r="I15" s="2905"/>
      <c r="J15" s="2905"/>
      <c r="K15" s="2905"/>
      <c r="L15" s="84"/>
      <c r="M15" s="84"/>
      <c r="N15" s="84"/>
      <c r="O15" s="84"/>
      <c r="P15" s="84"/>
      <c r="Q15" s="84"/>
    </row>
    <row r="16" spans="1:17" ht="22.5" customHeight="1">
      <c r="B16" s="2895" t="s">
        <v>1066</v>
      </c>
      <c r="C16" s="2895"/>
      <c r="D16" s="2895"/>
      <c r="E16" s="2895"/>
      <c r="F16" s="2895"/>
      <c r="G16" s="2895"/>
      <c r="H16" s="2895"/>
      <c r="I16" s="2895"/>
      <c r="J16" s="2895"/>
      <c r="K16" s="2895"/>
      <c r="L16" s="84"/>
      <c r="M16" s="84"/>
      <c r="N16" s="84"/>
      <c r="O16" s="84"/>
      <c r="P16" s="84"/>
      <c r="Q16" s="84"/>
    </row>
    <row r="17" spans="2:17" s="157" customFormat="1" ht="22.5" customHeight="1">
      <c r="B17" s="143" t="s">
        <v>1067</v>
      </c>
      <c r="C17" s="158" t="s">
        <v>1068</v>
      </c>
      <c r="D17" s="2906" t="s">
        <v>1069</v>
      </c>
      <c r="E17" s="2906"/>
      <c r="F17" s="2906"/>
      <c r="G17" s="2906"/>
      <c r="H17" s="2906"/>
      <c r="I17" s="2906"/>
      <c r="J17" s="2906"/>
      <c r="K17" s="159" t="s">
        <v>1070</v>
      </c>
      <c r="L17" s="160"/>
      <c r="M17" s="160"/>
      <c r="N17" s="160"/>
      <c r="O17" s="160"/>
      <c r="P17" s="160"/>
      <c r="Q17" s="160"/>
    </row>
    <row r="18" spans="2:17" ht="22.5" customHeight="1">
      <c r="B18" s="161"/>
      <c r="C18" s="162" t="s">
        <v>397</v>
      </c>
      <c r="D18" s="2902" t="s">
        <v>1072</v>
      </c>
      <c r="E18" s="2902"/>
      <c r="F18" s="2902"/>
      <c r="G18" s="2902"/>
      <c r="H18" s="2902"/>
      <c r="I18" s="2902"/>
      <c r="J18" s="2902"/>
      <c r="K18" s="164"/>
      <c r="L18" s="84"/>
      <c r="M18" s="84"/>
      <c r="N18" s="84"/>
      <c r="O18" s="84"/>
      <c r="P18" s="84"/>
      <c r="Q18" s="84"/>
    </row>
    <row r="19" spans="2:17" ht="22.5" customHeight="1">
      <c r="B19" s="161"/>
      <c r="C19" s="162" t="s">
        <v>1071</v>
      </c>
      <c r="D19" s="2902" t="s">
        <v>1072</v>
      </c>
      <c r="E19" s="2902"/>
      <c r="F19" s="2902"/>
      <c r="G19" s="2902"/>
      <c r="H19" s="2902"/>
      <c r="I19" s="2902"/>
      <c r="J19" s="2902"/>
      <c r="K19" s="164"/>
      <c r="L19" s="84"/>
      <c r="M19" s="84"/>
      <c r="N19" s="84"/>
      <c r="O19" s="84"/>
      <c r="P19" s="84"/>
      <c r="Q19" s="84"/>
    </row>
    <row r="20" spans="2:17" ht="22.5" customHeight="1">
      <c r="B20" s="161"/>
      <c r="C20" s="162" t="s">
        <v>1073</v>
      </c>
      <c r="D20" s="2902" t="s">
        <v>401</v>
      </c>
      <c r="E20" s="2902"/>
      <c r="F20" s="2902"/>
      <c r="G20" s="2902"/>
      <c r="H20" s="2902"/>
      <c r="I20" s="2902"/>
      <c r="J20" s="2902"/>
      <c r="K20" s="164"/>
      <c r="L20" s="84"/>
      <c r="M20" s="84"/>
      <c r="N20" s="84"/>
      <c r="O20" s="84"/>
      <c r="P20" s="84"/>
      <c r="Q20" s="84"/>
    </row>
    <row r="21" spans="2:17" ht="22.5" customHeight="1">
      <c r="B21" s="161"/>
      <c r="C21" s="162"/>
      <c r="D21" s="2902"/>
      <c r="E21" s="2902"/>
      <c r="F21" s="2902"/>
      <c r="G21" s="2902"/>
      <c r="H21" s="2902"/>
      <c r="I21" s="2902"/>
      <c r="J21" s="2902"/>
      <c r="K21" s="164"/>
      <c r="L21" s="84"/>
      <c r="M21" s="84"/>
      <c r="N21" s="84"/>
      <c r="O21" s="84"/>
      <c r="P21" s="84"/>
      <c r="Q21" s="84"/>
    </row>
    <row r="22" spans="2:17" ht="22.5" customHeight="1">
      <c r="B22" s="161"/>
      <c r="C22" s="162"/>
      <c r="D22" s="2902"/>
      <c r="E22" s="2902"/>
      <c r="F22" s="2902"/>
      <c r="G22" s="2902"/>
      <c r="H22" s="2902"/>
      <c r="I22" s="2902"/>
      <c r="J22" s="2902"/>
      <c r="K22" s="164"/>
      <c r="L22" s="84"/>
      <c r="M22" s="84"/>
      <c r="N22" s="84"/>
      <c r="O22" s="84"/>
      <c r="P22" s="84"/>
      <c r="Q22" s="84"/>
    </row>
    <row r="23" spans="2:17" ht="22.5" customHeight="1">
      <c r="B23" s="161"/>
      <c r="C23" s="162"/>
      <c r="D23" s="2902"/>
      <c r="E23" s="2902"/>
      <c r="F23" s="2902"/>
      <c r="G23" s="2902"/>
      <c r="H23" s="2902"/>
      <c r="I23" s="2902"/>
      <c r="J23" s="2902"/>
      <c r="K23" s="164"/>
      <c r="L23" s="84"/>
      <c r="M23" s="84"/>
      <c r="N23" s="84"/>
      <c r="O23" s="84"/>
      <c r="P23" s="84"/>
      <c r="Q23" s="84"/>
    </row>
    <row r="24" spans="2:17" ht="22.5" customHeight="1">
      <c r="B24" s="161"/>
      <c r="C24" s="162"/>
      <c r="D24" s="2902"/>
      <c r="E24" s="2902"/>
      <c r="F24" s="2902"/>
      <c r="G24" s="2902"/>
      <c r="H24" s="2902"/>
      <c r="I24" s="2902"/>
      <c r="J24" s="2902"/>
      <c r="K24" s="164"/>
      <c r="L24" s="84"/>
      <c r="M24" s="84"/>
      <c r="N24" s="84"/>
      <c r="O24" s="84"/>
      <c r="P24" s="84"/>
      <c r="Q24" s="84"/>
    </row>
    <row r="25" spans="2:17" ht="22.5" customHeight="1">
      <c r="B25" s="165"/>
      <c r="C25" s="166"/>
      <c r="D25" s="2902"/>
      <c r="E25" s="2902"/>
      <c r="F25" s="2902"/>
      <c r="G25" s="2902"/>
      <c r="H25" s="2902"/>
      <c r="I25" s="2902"/>
      <c r="J25" s="2902"/>
      <c r="K25" s="167"/>
      <c r="L25" s="84"/>
      <c r="M25" s="84"/>
      <c r="N25" s="84"/>
      <c r="O25" s="84"/>
      <c r="P25" s="84"/>
      <c r="Q25" s="84"/>
    </row>
    <row r="26" spans="2:17" ht="22.5" customHeight="1">
      <c r="B26" s="2895" t="s">
        <v>1074</v>
      </c>
      <c r="C26" s="2895"/>
      <c r="D26" s="2895"/>
      <c r="E26" s="2895"/>
      <c r="F26" s="2895"/>
      <c r="G26" s="2895"/>
      <c r="H26" s="2895"/>
      <c r="I26" s="2895"/>
      <c r="J26" s="2895"/>
      <c r="K26" s="2895"/>
      <c r="L26" s="84"/>
      <c r="M26" s="84"/>
      <c r="N26" s="84"/>
      <c r="O26" s="84"/>
      <c r="P26" s="84"/>
      <c r="Q26" s="84"/>
    </row>
    <row r="27" spans="2:17" ht="18" customHeight="1">
      <c r="B27" s="2909"/>
      <c r="C27" s="2909"/>
      <c r="D27" s="2909"/>
      <c r="E27" s="2909"/>
      <c r="F27" s="2909"/>
      <c r="G27" s="2909"/>
      <c r="H27" s="2909"/>
      <c r="I27" s="2909"/>
      <c r="J27" s="2909"/>
      <c r="K27" s="2909"/>
      <c r="L27" s="84"/>
      <c r="M27" s="84"/>
      <c r="N27" s="84"/>
      <c r="O27" s="84"/>
      <c r="P27" s="84"/>
      <c r="Q27" s="84"/>
    </row>
    <row r="28" spans="2:17" ht="32.25" customHeight="1">
      <c r="B28" s="2909"/>
      <c r="C28" s="2909"/>
      <c r="D28" s="2909"/>
      <c r="E28" s="2909"/>
      <c r="F28" s="2909"/>
      <c r="G28" s="2909"/>
      <c r="H28" s="2909"/>
      <c r="I28" s="2909"/>
      <c r="J28" s="2909"/>
      <c r="K28" s="2909"/>
      <c r="L28" s="84"/>
      <c r="M28" s="84"/>
      <c r="N28" s="84"/>
      <c r="O28" s="84"/>
      <c r="P28" s="84"/>
      <c r="Q28" s="84"/>
    </row>
    <row r="29" spans="2:17" ht="27.75" customHeight="1">
      <c r="B29" s="2909"/>
      <c r="C29" s="2909"/>
      <c r="D29" s="2909"/>
      <c r="E29" s="2909"/>
      <c r="F29" s="2909"/>
      <c r="G29" s="2909"/>
      <c r="H29" s="2909"/>
      <c r="I29" s="2909"/>
      <c r="J29" s="2909"/>
      <c r="K29" s="2909"/>
      <c r="L29" s="84"/>
      <c r="M29" s="84"/>
      <c r="N29" s="84"/>
      <c r="O29" s="84"/>
      <c r="P29" s="84"/>
      <c r="Q29" s="84"/>
    </row>
    <row r="30" spans="2:17" ht="26.25" customHeight="1">
      <c r="B30" s="2909"/>
      <c r="C30" s="2909"/>
      <c r="D30" s="2909"/>
      <c r="E30" s="2909"/>
      <c r="F30" s="2909"/>
      <c r="G30" s="2909"/>
      <c r="H30" s="2909"/>
      <c r="I30" s="2909"/>
      <c r="J30" s="2909"/>
      <c r="K30" s="2909"/>
      <c r="L30" s="84"/>
      <c r="M30" s="84"/>
      <c r="N30" s="84"/>
      <c r="O30" s="84"/>
      <c r="P30" s="84"/>
      <c r="Q30" s="84"/>
    </row>
    <row r="31" spans="2:17" ht="22.5" customHeight="1">
      <c r="B31" s="2909"/>
      <c r="C31" s="2909"/>
      <c r="D31" s="2909"/>
      <c r="E31" s="2909"/>
      <c r="F31" s="2909"/>
      <c r="G31" s="2909"/>
      <c r="H31" s="2909"/>
      <c r="I31" s="2909"/>
      <c r="J31" s="2909"/>
      <c r="K31" s="2909"/>
      <c r="L31" s="84"/>
      <c r="M31" s="84"/>
      <c r="N31" s="84"/>
      <c r="O31" s="84"/>
      <c r="P31" s="84"/>
      <c r="Q31" s="84"/>
    </row>
    <row r="32" spans="2:17" ht="18.75" customHeight="1"/>
    <row r="33" spans="2:11">
      <c r="B33" s="2908"/>
      <c r="C33" s="2908"/>
      <c r="D33" s="2908"/>
      <c r="E33" s="2908"/>
      <c r="F33" s="2908"/>
      <c r="G33" s="2908"/>
      <c r="H33" s="2908"/>
      <c r="I33" s="2908"/>
      <c r="J33" s="2908"/>
      <c r="K33" s="2908"/>
    </row>
  </sheetData>
  <sheetProtection selectLockedCells="1" selectUnlockedCells="1"/>
  <mergeCells count="30">
    <mergeCell ref="B33:K33"/>
    <mergeCell ref="D18:J18"/>
    <mergeCell ref="D19:J19"/>
    <mergeCell ref="D20:J20"/>
    <mergeCell ref="D21:J21"/>
    <mergeCell ref="D22:J22"/>
    <mergeCell ref="D24:J24"/>
    <mergeCell ref="D25:J25"/>
    <mergeCell ref="B26:K26"/>
    <mergeCell ref="B27:K31"/>
    <mergeCell ref="B8:K8"/>
    <mergeCell ref="B9:K10"/>
    <mergeCell ref="B11:K11"/>
    <mergeCell ref="D23:J23"/>
    <mergeCell ref="B13:C13"/>
    <mergeCell ref="B14:C14"/>
    <mergeCell ref="B15:C15"/>
    <mergeCell ref="D15:K15"/>
    <mergeCell ref="B16:K16"/>
    <mergeCell ref="D17:J17"/>
    <mergeCell ref="B12:C12"/>
    <mergeCell ref="D12:K12"/>
    <mergeCell ref="B5:K5"/>
    <mergeCell ref="B6:K6"/>
    <mergeCell ref="B7:K7"/>
    <mergeCell ref="B1:K1"/>
    <mergeCell ref="C3:F3"/>
    <mergeCell ref="G3:J3"/>
    <mergeCell ref="C4:F4"/>
    <mergeCell ref="G4:J4"/>
  </mergeCells>
  <phoneticPr fontId="51" type="noConversion"/>
  <dataValidations count="3">
    <dataValidation allowBlank="1" showErrorMessage="1" sqref="K3">
      <formula1>0</formula1>
      <formula2>0</formula2>
    </dataValidation>
    <dataValidation type="list" allowBlank="1" showErrorMessage="1" sqref="C18:C25">
      <formula1>"审核助理,项目经理,总审师,主任税务师"</formula1>
      <formula2>0</formula2>
    </dataValidation>
    <dataValidation type="list" allowBlank="1" showErrorMessage="1" sqref="B18:B25">
      <formula1>工作人员列表</formula1>
      <formula2>0</formula2>
    </dataValidation>
  </dataValidations>
  <pageMargins left="0.78740157480314998" right="0.35433070866141703" top="0.511811023622047" bottom="0.11811023622047198" header="0.511811023622047" footer="0.511811023622047"/>
  <pageSetup paperSize="9" firstPageNumber="0" orientation="portrait" blackAndWhite="1" r:id="rId1"/>
  <headerFooter alignWithMargins="0"/>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11"/>
  <dimension ref="A1:R34"/>
  <sheetViews>
    <sheetView workbookViewId="0">
      <selection sqref="A1:K1"/>
    </sheetView>
  </sheetViews>
  <sheetFormatPr defaultColWidth="9" defaultRowHeight="15.6"/>
  <cols>
    <col min="1" max="1" width="10.19921875" style="168" customWidth="1"/>
    <col min="2" max="2" width="30.3984375" style="168" customWidth="1"/>
    <col min="3" max="3" width="6.5" style="168" customWidth="1"/>
    <col min="4" max="4" width="0.59765625" style="168" customWidth="1"/>
    <col min="5" max="5" width="7.09765625" style="168" customWidth="1"/>
    <col min="6" max="6" width="0" style="168" hidden="1" customWidth="1"/>
    <col min="7" max="8" width="7.09765625" style="168" customWidth="1"/>
    <col min="9" max="9" width="4.09765625" style="168" customWidth="1"/>
    <col min="10" max="10" width="3" style="168" customWidth="1"/>
    <col min="11" max="11" width="7.09765625" style="168" customWidth="1"/>
    <col min="12" max="16384" width="9" style="168"/>
  </cols>
  <sheetData>
    <row r="1" spans="1:18" ht="22.2">
      <c r="A1" s="2684" t="s">
        <v>314</v>
      </c>
      <c r="B1" s="2684"/>
      <c r="C1" s="2684"/>
      <c r="D1" s="2684"/>
      <c r="E1" s="2684"/>
      <c r="F1" s="2684"/>
      <c r="G1" s="2684"/>
      <c r="H1" s="2684"/>
      <c r="I1" s="2684"/>
      <c r="J1" s="2684"/>
      <c r="K1" s="2684"/>
      <c r="L1" s="169"/>
      <c r="M1" s="169"/>
      <c r="N1" s="169"/>
      <c r="O1" s="169"/>
      <c r="P1" s="169"/>
      <c r="Q1" s="169"/>
      <c r="R1" s="169"/>
    </row>
    <row r="2" spans="1:18" ht="7.5" customHeight="1">
      <c r="A2" s="170"/>
      <c r="B2" s="170"/>
      <c r="C2" s="170"/>
      <c r="D2" s="170"/>
      <c r="E2" s="170"/>
      <c r="F2" s="170"/>
      <c r="G2" s="170"/>
      <c r="H2" s="170"/>
      <c r="I2" s="170"/>
      <c r="J2" s="170"/>
      <c r="K2" s="170"/>
      <c r="L2" s="169"/>
      <c r="M2" s="169"/>
      <c r="N2" s="169"/>
      <c r="O2" s="169"/>
      <c r="P2" s="169"/>
      <c r="Q2" s="169"/>
      <c r="R2" s="169"/>
    </row>
    <row r="3" spans="1:18" s="172" customFormat="1" ht="22.5" customHeight="1">
      <c r="A3" s="2685" t="s">
        <v>448</v>
      </c>
      <c r="B3" s="2911">
        <f>基本情况!B2</f>
        <v>0</v>
      </c>
      <c r="C3" s="2912"/>
      <c r="D3" s="2912"/>
      <c r="E3" s="2687" t="s">
        <v>449</v>
      </c>
      <c r="F3" s="2687"/>
      <c r="G3" s="2687"/>
      <c r="H3" s="2687" t="s">
        <v>450</v>
      </c>
      <c r="I3" s="2687"/>
      <c r="J3" s="2687"/>
      <c r="K3" s="86" t="s">
        <v>283</v>
      </c>
      <c r="L3" s="171"/>
      <c r="M3" s="171"/>
      <c r="N3" s="171"/>
      <c r="O3" s="171"/>
      <c r="P3" s="171"/>
      <c r="Q3" s="171"/>
      <c r="R3" s="171"/>
    </row>
    <row r="4" spans="1:18" s="172" customFormat="1" ht="22.5" customHeight="1">
      <c r="A4" s="2685"/>
      <c r="B4" s="2911"/>
      <c r="C4" s="2688" t="s">
        <v>451</v>
      </c>
      <c r="D4" s="2688"/>
      <c r="E4" s="2913">
        <f>基本情况!B12</f>
        <v>0</v>
      </c>
      <c r="F4" s="2913"/>
      <c r="G4" s="2913"/>
      <c r="H4" s="2914" t="str">
        <f>基本情况!B21</f>
        <v>2017年3月16日</v>
      </c>
      <c r="I4" s="2914"/>
      <c r="J4" s="2914"/>
      <c r="K4" s="2915" t="str">
        <f>档案索引!A27</f>
        <v>2A-7</v>
      </c>
      <c r="L4" s="171"/>
      <c r="M4" s="171"/>
      <c r="N4" s="171"/>
      <c r="O4" s="171"/>
      <c r="P4" s="171"/>
      <c r="Q4" s="171"/>
      <c r="R4" s="171"/>
    </row>
    <row r="5" spans="1:18" s="172" customFormat="1" ht="22.5" customHeight="1">
      <c r="A5" s="87" t="s">
        <v>452</v>
      </c>
      <c r="B5" s="88" t="str">
        <f>基本情况!B7</f>
        <v>2016年01月01日至2016年12月31日</v>
      </c>
      <c r="C5" s="2693" t="s">
        <v>453</v>
      </c>
      <c r="D5" s="2693"/>
      <c r="E5" s="2916">
        <f>基本情况!B11</f>
        <v>0</v>
      </c>
      <c r="F5" s="2916"/>
      <c r="G5" s="2916"/>
      <c r="H5" s="2917" t="str">
        <f>基本情况!B22</f>
        <v>2017年5月4日</v>
      </c>
      <c r="I5" s="2917"/>
      <c r="J5" s="2917"/>
      <c r="K5" s="2915"/>
      <c r="L5" s="171"/>
      <c r="M5" s="171"/>
      <c r="N5" s="171"/>
      <c r="O5" s="171"/>
      <c r="P5" s="171"/>
      <c r="Q5" s="171"/>
      <c r="R5" s="171"/>
    </row>
    <row r="6" spans="1:18" s="172" customFormat="1" ht="7.5" customHeight="1">
      <c r="A6" s="2910"/>
      <c r="B6" s="2910"/>
      <c r="C6" s="2910"/>
      <c r="D6" s="2910"/>
      <c r="E6" s="2910"/>
      <c r="F6" s="2910"/>
      <c r="G6" s="2910"/>
      <c r="H6" s="2910"/>
      <c r="I6" s="2910"/>
      <c r="J6" s="2910"/>
      <c r="K6" s="2910"/>
      <c r="L6" s="171"/>
      <c r="M6" s="171"/>
      <c r="N6" s="171"/>
      <c r="O6" s="171"/>
      <c r="P6" s="171"/>
      <c r="Q6" s="171"/>
      <c r="R6" s="171"/>
    </row>
    <row r="7" spans="1:18" s="172" customFormat="1" ht="22.5" customHeight="1">
      <c r="A7" s="2920" t="s">
        <v>1075</v>
      </c>
      <c r="B7" s="2920"/>
      <c r="C7" s="2687" t="s">
        <v>1076</v>
      </c>
      <c r="D7" s="2687"/>
      <c r="E7" s="2687"/>
      <c r="F7" s="2687"/>
      <c r="G7" s="2687"/>
      <c r="H7" s="2921" t="s">
        <v>1077</v>
      </c>
      <c r="I7" s="2921"/>
      <c r="J7" s="2921"/>
      <c r="K7" s="2921"/>
      <c r="L7" s="171"/>
      <c r="M7" s="171"/>
      <c r="N7" s="171"/>
      <c r="O7" s="171"/>
      <c r="P7" s="171"/>
      <c r="Q7" s="171"/>
      <c r="R7" s="171"/>
    </row>
    <row r="8" spans="1:18" s="172" customFormat="1" ht="22.5" customHeight="1">
      <c r="A8" s="2920"/>
      <c r="B8" s="2920"/>
      <c r="C8" s="2693" t="s">
        <v>1078</v>
      </c>
      <c r="D8" s="2693"/>
      <c r="E8" s="2693" t="s">
        <v>414</v>
      </c>
      <c r="F8" s="2693"/>
      <c r="G8" s="89" t="s">
        <v>1079</v>
      </c>
      <c r="H8" s="89" t="s">
        <v>1080</v>
      </c>
      <c r="I8" s="2693" t="s">
        <v>1081</v>
      </c>
      <c r="J8" s="2693"/>
      <c r="K8" s="173" t="s">
        <v>1082</v>
      </c>
      <c r="L8" s="171"/>
      <c r="M8" s="171"/>
      <c r="N8" s="171"/>
      <c r="O8" s="171"/>
      <c r="P8" s="171"/>
      <c r="Q8" s="171"/>
      <c r="R8" s="171"/>
    </row>
    <row r="9" spans="1:18" s="172" customFormat="1" ht="22.5" customHeight="1">
      <c r="A9" s="2918" t="s">
        <v>1083</v>
      </c>
      <c r="B9" s="2918"/>
      <c r="C9" s="2919"/>
      <c r="D9" s="2919"/>
      <c r="E9" s="2919"/>
      <c r="F9" s="2919"/>
      <c r="G9" s="174"/>
      <c r="H9" s="174"/>
      <c r="I9" s="2919"/>
      <c r="J9" s="2919"/>
      <c r="K9" s="175"/>
      <c r="L9" s="171"/>
      <c r="M9" s="171"/>
      <c r="N9" s="171"/>
      <c r="O9" s="171"/>
      <c r="P9" s="171"/>
      <c r="Q9" s="171"/>
      <c r="R9" s="171"/>
    </row>
    <row r="10" spans="1:18" s="172" customFormat="1" ht="22.5" customHeight="1">
      <c r="A10" s="2922" t="s">
        <v>1084</v>
      </c>
      <c r="B10" s="2922"/>
      <c r="C10" s="2923"/>
      <c r="D10" s="2923"/>
      <c r="E10" s="2923"/>
      <c r="F10" s="2923"/>
      <c r="G10" s="176"/>
      <c r="H10" s="176"/>
      <c r="I10" s="2923"/>
      <c r="J10" s="2923"/>
      <c r="K10" s="177"/>
      <c r="L10" s="171"/>
      <c r="M10" s="171"/>
      <c r="N10" s="178"/>
      <c r="O10" s="171"/>
      <c r="P10" s="171"/>
      <c r="Q10" s="171"/>
      <c r="R10" s="171"/>
    </row>
    <row r="11" spans="1:18" s="172" customFormat="1" ht="22.5" customHeight="1">
      <c r="A11" s="2922" t="s">
        <v>1085</v>
      </c>
      <c r="B11" s="2922"/>
      <c r="C11" s="2923"/>
      <c r="D11" s="2923"/>
      <c r="E11" s="2923"/>
      <c r="F11" s="2923"/>
      <c r="G11" s="176"/>
      <c r="H11" s="176"/>
      <c r="I11" s="2923"/>
      <c r="J11" s="2923"/>
      <c r="K11" s="177"/>
      <c r="L11" s="171"/>
      <c r="M11" s="171"/>
      <c r="N11" s="178"/>
      <c r="O11" s="171"/>
      <c r="P11" s="171"/>
      <c r="Q11" s="171"/>
      <c r="R11" s="171"/>
    </row>
    <row r="12" spans="1:18" s="172" customFormat="1" ht="22.5" customHeight="1">
      <c r="A12" s="2922" t="s">
        <v>1086</v>
      </c>
      <c r="B12" s="2922"/>
      <c r="C12" s="2923"/>
      <c r="D12" s="2923"/>
      <c r="E12" s="2923"/>
      <c r="F12" s="2923"/>
      <c r="G12" s="176"/>
      <c r="H12" s="176"/>
      <c r="I12" s="2923"/>
      <c r="J12" s="2923"/>
      <c r="K12" s="177"/>
      <c r="L12" s="171"/>
      <c r="M12" s="171"/>
      <c r="N12" s="178"/>
      <c r="O12" s="171"/>
      <c r="P12" s="171"/>
      <c r="Q12" s="171"/>
      <c r="R12" s="171"/>
    </row>
    <row r="13" spans="1:18" s="172" customFormat="1" ht="22.5" customHeight="1">
      <c r="A13" s="2922" t="s">
        <v>1087</v>
      </c>
      <c r="B13" s="2922"/>
      <c r="C13" s="2923"/>
      <c r="D13" s="2923"/>
      <c r="E13" s="2923"/>
      <c r="F13" s="2923"/>
      <c r="G13" s="176"/>
      <c r="H13" s="176"/>
      <c r="I13" s="2923"/>
      <c r="J13" s="2923"/>
      <c r="K13" s="177"/>
      <c r="L13" s="171"/>
      <c r="M13" s="171"/>
      <c r="N13" s="178"/>
      <c r="O13" s="171"/>
      <c r="P13" s="171"/>
      <c r="Q13" s="171"/>
      <c r="R13" s="171"/>
    </row>
    <row r="14" spans="1:18" s="172" customFormat="1" ht="22.5" customHeight="1">
      <c r="A14" s="2922" t="s">
        <v>1088</v>
      </c>
      <c r="B14" s="2922"/>
      <c r="C14" s="2923"/>
      <c r="D14" s="2923"/>
      <c r="E14" s="2923"/>
      <c r="F14" s="2923"/>
      <c r="G14" s="176"/>
      <c r="H14" s="176"/>
      <c r="I14" s="2923"/>
      <c r="J14" s="2923"/>
      <c r="K14" s="177"/>
      <c r="L14" s="171"/>
      <c r="M14" s="171"/>
      <c r="N14" s="178"/>
      <c r="O14" s="171"/>
      <c r="P14" s="171"/>
      <c r="Q14" s="171"/>
      <c r="R14" s="171"/>
    </row>
    <row r="15" spans="1:18" s="172" customFormat="1" ht="22.5" customHeight="1">
      <c r="A15" s="2922" t="s">
        <v>1089</v>
      </c>
      <c r="B15" s="2922"/>
      <c r="C15" s="2923"/>
      <c r="D15" s="2923"/>
      <c r="E15" s="2923"/>
      <c r="F15" s="2923"/>
      <c r="G15" s="176"/>
      <c r="H15" s="176"/>
      <c r="I15" s="2923"/>
      <c r="J15" s="2923"/>
      <c r="K15" s="177"/>
      <c r="L15" s="171"/>
      <c r="M15" s="171"/>
      <c r="N15" s="178"/>
      <c r="O15" s="171"/>
      <c r="P15" s="171"/>
      <c r="Q15" s="171"/>
      <c r="R15" s="171"/>
    </row>
    <row r="16" spans="1:18" s="172" customFormat="1" ht="22.5" customHeight="1">
      <c r="A16" s="2922" t="s">
        <v>1090</v>
      </c>
      <c r="B16" s="2922"/>
      <c r="C16" s="2923"/>
      <c r="D16" s="2923"/>
      <c r="E16" s="2923"/>
      <c r="F16" s="2923"/>
      <c r="G16" s="176"/>
      <c r="H16" s="176"/>
      <c r="I16" s="2923"/>
      <c r="J16" s="2923"/>
      <c r="K16" s="177"/>
      <c r="L16" s="171"/>
      <c r="M16" s="171"/>
      <c r="N16" s="178"/>
      <c r="O16" s="171"/>
      <c r="P16" s="171"/>
      <c r="Q16" s="171"/>
      <c r="R16" s="171"/>
    </row>
    <row r="17" spans="1:18" s="172" customFormat="1" ht="22.5" customHeight="1">
      <c r="A17" s="2922" t="s">
        <v>1091</v>
      </c>
      <c r="B17" s="2922"/>
      <c r="C17" s="2923"/>
      <c r="D17" s="2923"/>
      <c r="E17" s="2923"/>
      <c r="F17" s="2923"/>
      <c r="G17" s="176"/>
      <c r="H17" s="176"/>
      <c r="I17" s="2923"/>
      <c r="J17" s="2923"/>
      <c r="K17" s="177"/>
      <c r="L17" s="171"/>
      <c r="M17" s="171"/>
      <c r="N17" s="171"/>
      <c r="O17" s="171"/>
      <c r="P17" s="171"/>
      <c r="Q17" s="171"/>
      <c r="R17" s="171"/>
    </row>
    <row r="18" spans="1:18" s="172" customFormat="1" ht="22.5" customHeight="1">
      <c r="A18" s="2922" t="s">
        <v>1092</v>
      </c>
      <c r="B18" s="2922"/>
      <c r="C18" s="2923"/>
      <c r="D18" s="2923"/>
      <c r="E18" s="2923"/>
      <c r="F18" s="2923"/>
      <c r="G18" s="176"/>
      <c r="H18" s="176"/>
      <c r="I18" s="2923"/>
      <c r="J18" s="2923"/>
      <c r="K18" s="177"/>
      <c r="L18" s="171"/>
      <c r="M18" s="171"/>
      <c r="N18" s="171"/>
      <c r="O18" s="171"/>
      <c r="P18" s="171"/>
      <c r="Q18" s="171"/>
      <c r="R18" s="171"/>
    </row>
    <row r="19" spans="1:18" s="172" customFormat="1" ht="22.5" customHeight="1">
      <c r="A19" s="2922" t="s">
        <v>1093</v>
      </c>
      <c r="B19" s="2922"/>
      <c r="C19" s="2923"/>
      <c r="D19" s="2923"/>
      <c r="E19" s="2923"/>
      <c r="F19" s="2923"/>
      <c r="G19" s="176"/>
      <c r="H19" s="176"/>
      <c r="I19" s="2923"/>
      <c r="J19" s="2923"/>
      <c r="K19" s="177"/>
      <c r="L19" s="171"/>
      <c r="M19" s="171"/>
      <c r="N19" s="171"/>
      <c r="O19" s="171"/>
      <c r="P19" s="171"/>
      <c r="Q19" s="171"/>
      <c r="R19" s="171"/>
    </row>
    <row r="20" spans="1:18" s="172" customFormat="1" ht="22.5" customHeight="1">
      <c r="A20" s="2922" t="s">
        <v>1094</v>
      </c>
      <c r="B20" s="2922"/>
      <c r="C20" s="2923"/>
      <c r="D20" s="2923"/>
      <c r="E20" s="2923"/>
      <c r="F20" s="2923"/>
      <c r="G20" s="176"/>
      <c r="H20" s="176"/>
      <c r="I20" s="2923"/>
      <c r="J20" s="2923"/>
      <c r="K20" s="177"/>
      <c r="L20" s="171"/>
      <c r="M20" s="171"/>
      <c r="N20" s="171"/>
      <c r="O20" s="171"/>
      <c r="P20" s="171"/>
      <c r="Q20" s="171"/>
      <c r="R20" s="171"/>
    </row>
    <row r="21" spans="1:18" s="172" customFormat="1" ht="22.5" customHeight="1">
      <c r="A21" s="2922" t="s">
        <v>1095</v>
      </c>
      <c r="B21" s="2922"/>
      <c r="C21" s="2923"/>
      <c r="D21" s="2923"/>
      <c r="E21" s="2923"/>
      <c r="F21" s="2923"/>
      <c r="G21" s="176"/>
      <c r="H21" s="176"/>
      <c r="I21" s="2923"/>
      <c r="J21" s="2923"/>
      <c r="K21" s="177"/>
      <c r="L21" s="171"/>
      <c r="M21" s="171"/>
      <c r="N21" s="171"/>
      <c r="O21" s="171"/>
      <c r="P21" s="171"/>
      <c r="Q21" s="171"/>
      <c r="R21" s="171"/>
    </row>
    <row r="22" spans="1:18" s="172" customFormat="1" ht="22.5" customHeight="1">
      <c r="A22" s="2924" t="s">
        <v>1096</v>
      </c>
      <c r="B22" s="2924"/>
      <c r="C22" s="2925"/>
      <c r="D22" s="2925"/>
      <c r="E22" s="2925"/>
      <c r="F22" s="2925"/>
      <c r="G22" s="179"/>
      <c r="H22" s="179"/>
      <c r="I22" s="2925"/>
      <c r="J22" s="2925"/>
      <c r="K22" s="180"/>
      <c r="L22" s="171"/>
      <c r="M22" s="171"/>
      <c r="N22" s="171"/>
      <c r="O22" s="171"/>
      <c r="P22" s="171"/>
      <c r="Q22" s="171"/>
      <c r="R22" s="171"/>
    </row>
    <row r="23" spans="1:18" s="172" customFormat="1" ht="22.5" customHeight="1">
      <c r="A23" s="2928" t="s">
        <v>1097</v>
      </c>
      <c r="B23" s="2928"/>
      <c r="C23" s="2929" t="s">
        <v>1098</v>
      </c>
      <c r="D23" s="2929"/>
      <c r="E23" s="2929"/>
      <c r="F23" s="2929"/>
      <c r="G23" s="2929"/>
      <c r="H23" s="2929"/>
      <c r="I23" s="2929"/>
      <c r="J23" s="2929"/>
      <c r="K23" s="2929"/>
      <c r="L23" s="171"/>
      <c r="M23" s="171"/>
      <c r="N23" s="171"/>
      <c r="O23" s="171"/>
      <c r="P23" s="171"/>
      <c r="Q23" s="171"/>
      <c r="R23" s="171"/>
    </row>
    <row r="24" spans="1:18" s="172" customFormat="1" ht="22.5" customHeight="1">
      <c r="A24" s="2918" t="s">
        <v>1099</v>
      </c>
      <c r="B24" s="2918"/>
      <c r="C24" s="2930"/>
      <c r="D24" s="2930"/>
      <c r="E24" s="2930"/>
      <c r="F24" s="2930"/>
      <c r="G24" s="2930"/>
      <c r="H24" s="2930"/>
      <c r="I24" s="2930"/>
      <c r="J24" s="2930"/>
      <c r="K24" s="2930"/>
      <c r="L24" s="171"/>
      <c r="M24" s="171"/>
      <c r="N24" s="171"/>
      <c r="O24" s="171"/>
      <c r="P24" s="171"/>
      <c r="Q24" s="171"/>
      <c r="R24" s="171"/>
    </row>
    <row r="25" spans="1:18" s="172" customFormat="1" ht="22.5" customHeight="1">
      <c r="A25" s="2926" t="s">
        <v>1100</v>
      </c>
      <c r="B25" s="2926"/>
      <c r="C25" s="2927"/>
      <c r="D25" s="2927"/>
      <c r="E25" s="2927"/>
      <c r="F25" s="2927"/>
      <c r="G25" s="2927"/>
      <c r="H25" s="2927"/>
      <c r="I25" s="2927"/>
      <c r="J25" s="2927"/>
      <c r="K25" s="2927"/>
      <c r="L25" s="171"/>
      <c r="M25" s="171"/>
      <c r="N25" s="171"/>
      <c r="O25" s="171"/>
      <c r="P25" s="171"/>
      <c r="Q25" s="171"/>
      <c r="R25" s="171"/>
    </row>
    <row r="26" spans="1:18" s="172" customFormat="1" ht="22.5" customHeight="1">
      <c r="A26" s="2922" t="s">
        <v>1101</v>
      </c>
      <c r="B26" s="2922"/>
      <c r="C26" s="2927"/>
      <c r="D26" s="2927"/>
      <c r="E26" s="2927"/>
      <c r="F26" s="2927"/>
      <c r="G26" s="2927"/>
      <c r="H26" s="2927"/>
      <c r="I26" s="2927"/>
      <c r="J26" s="2927"/>
      <c r="K26" s="2927"/>
      <c r="L26" s="171"/>
      <c r="M26" s="171"/>
      <c r="N26" s="171"/>
      <c r="O26" s="171"/>
      <c r="P26" s="171"/>
      <c r="Q26" s="171"/>
      <c r="R26" s="171"/>
    </row>
    <row r="27" spans="1:18" s="172" customFormat="1" ht="22.5" customHeight="1">
      <c r="A27" s="2926" t="s">
        <v>1102</v>
      </c>
      <c r="B27" s="2926"/>
      <c r="C27" s="2927"/>
      <c r="D27" s="2927"/>
      <c r="E27" s="2927"/>
      <c r="F27" s="2927"/>
      <c r="G27" s="2927"/>
      <c r="H27" s="2927"/>
      <c r="I27" s="2927"/>
      <c r="J27" s="2927"/>
      <c r="K27" s="2927"/>
      <c r="L27" s="171"/>
      <c r="M27" s="171"/>
      <c r="N27" s="171"/>
      <c r="O27" s="171"/>
      <c r="P27" s="171"/>
      <c r="Q27" s="171"/>
      <c r="R27" s="171"/>
    </row>
    <row r="28" spans="1:18" s="172" customFormat="1" ht="22.5" customHeight="1">
      <c r="A28" s="2926" t="s">
        <v>1103</v>
      </c>
      <c r="B28" s="2926"/>
      <c r="C28" s="2927"/>
      <c r="D28" s="2927"/>
      <c r="E28" s="2927"/>
      <c r="F28" s="2927"/>
      <c r="G28" s="2927"/>
      <c r="H28" s="2927"/>
      <c r="I28" s="2927"/>
      <c r="J28" s="2927"/>
      <c r="K28" s="2927"/>
      <c r="L28" s="171"/>
      <c r="M28" s="171"/>
      <c r="N28" s="171"/>
      <c r="O28" s="171"/>
      <c r="P28" s="171"/>
      <c r="Q28" s="171"/>
      <c r="R28" s="171"/>
    </row>
    <row r="29" spans="1:18" s="172" customFormat="1" ht="22.5" customHeight="1">
      <c r="A29" s="2926" t="s">
        <v>1104</v>
      </c>
      <c r="B29" s="2926"/>
      <c r="C29" s="2927"/>
      <c r="D29" s="2927"/>
      <c r="E29" s="2927"/>
      <c r="F29" s="2927"/>
      <c r="G29" s="2927"/>
      <c r="H29" s="2927"/>
      <c r="I29" s="2927"/>
      <c r="J29" s="2927"/>
      <c r="K29" s="2927"/>
      <c r="L29" s="171"/>
      <c r="M29" s="171"/>
      <c r="N29" s="171"/>
      <c r="O29" s="171"/>
      <c r="P29" s="171"/>
      <c r="Q29" s="171"/>
      <c r="R29" s="171"/>
    </row>
    <row r="30" spans="1:18" s="172" customFormat="1" ht="22.5" customHeight="1">
      <c r="A30" s="2926"/>
      <c r="B30" s="2926"/>
      <c r="C30" s="2927"/>
      <c r="D30" s="2927"/>
      <c r="E30" s="2927"/>
      <c r="F30" s="2927"/>
      <c r="G30" s="2927"/>
      <c r="H30" s="2927"/>
      <c r="I30" s="2927"/>
      <c r="J30" s="2927"/>
      <c r="K30" s="2927"/>
      <c r="L30" s="171"/>
      <c r="M30" s="171"/>
      <c r="N30" s="171"/>
      <c r="O30" s="171"/>
      <c r="P30" s="171"/>
      <c r="Q30" s="171"/>
      <c r="R30" s="171"/>
    </row>
    <row r="31" spans="1:18" s="172" customFormat="1" ht="22.5" customHeight="1">
      <c r="A31" s="2926"/>
      <c r="B31" s="2926"/>
      <c r="C31" s="2927"/>
      <c r="D31" s="2927"/>
      <c r="E31" s="2927"/>
      <c r="F31" s="2927"/>
      <c r="G31" s="2927"/>
      <c r="H31" s="2927"/>
      <c r="I31" s="2927"/>
      <c r="J31" s="2927"/>
      <c r="K31" s="2927"/>
      <c r="L31" s="171"/>
      <c r="M31" s="171"/>
      <c r="N31" s="171"/>
      <c r="O31" s="171"/>
      <c r="P31" s="171"/>
      <c r="Q31" s="171"/>
      <c r="R31" s="171"/>
    </row>
    <row r="32" spans="1:18" s="172" customFormat="1" ht="22.5" customHeight="1">
      <c r="A32" s="2926"/>
      <c r="B32" s="2926"/>
      <c r="C32" s="2927"/>
      <c r="D32" s="2927"/>
      <c r="E32" s="2927"/>
      <c r="F32" s="2927"/>
      <c r="G32" s="2927"/>
      <c r="H32" s="2927"/>
      <c r="I32" s="2927"/>
      <c r="J32" s="2927"/>
      <c r="K32" s="2927"/>
      <c r="L32" s="171"/>
      <c r="M32" s="171"/>
      <c r="N32" s="171"/>
      <c r="O32" s="171"/>
      <c r="P32" s="171"/>
      <c r="Q32" s="171"/>
      <c r="R32" s="171"/>
    </row>
    <row r="33" spans="1:18" s="172" customFormat="1" ht="22.5" customHeight="1">
      <c r="A33" s="2926"/>
      <c r="B33" s="2926"/>
      <c r="C33" s="2703"/>
      <c r="D33" s="2703"/>
      <c r="E33" s="2703"/>
      <c r="F33" s="2703"/>
      <c r="G33" s="2703"/>
      <c r="H33" s="2703"/>
      <c r="I33" s="2703"/>
      <c r="J33" s="2703"/>
      <c r="K33" s="2703"/>
      <c r="L33" s="171"/>
      <c r="M33" s="171"/>
      <c r="N33" s="171"/>
      <c r="O33" s="171"/>
      <c r="P33" s="171"/>
      <c r="Q33" s="171"/>
      <c r="R33" s="171"/>
    </row>
    <row r="34" spans="1:18" ht="22.5" customHeight="1">
      <c r="A34" s="169" t="s">
        <v>1105</v>
      </c>
      <c r="B34" s="169"/>
      <c r="C34" s="169"/>
      <c r="D34" s="169"/>
      <c r="E34" s="169"/>
      <c r="F34" s="169"/>
      <c r="G34" s="169"/>
      <c r="H34" s="169"/>
      <c r="I34" s="169"/>
      <c r="J34" s="169"/>
      <c r="K34" s="169"/>
    </row>
  </sheetData>
  <sheetProtection selectLockedCells="1" selectUnlockedCells="1"/>
  <mergeCells count="98">
    <mergeCell ref="A33:B33"/>
    <mergeCell ref="C33:K33"/>
    <mergeCell ref="A30:B30"/>
    <mergeCell ref="C30:K30"/>
    <mergeCell ref="A32:B32"/>
    <mergeCell ref="C32:K32"/>
    <mergeCell ref="A31:B31"/>
    <mergeCell ref="C31:K31"/>
    <mergeCell ref="A29:B29"/>
    <mergeCell ref="C29:K29"/>
    <mergeCell ref="A23:B23"/>
    <mergeCell ref="C23:K23"/>
    <mergeCell ref="A24:B24"/>
    <mergeCell ref="C24:K24"/>
    <mergeCell ref="A26:B26"/>
    <mergeCell ref="C26:K26"/>
    <mergeCell ref="A25:B25"/>
    <mergeCell ref="C25:K25"/>
    <mergeCell ref="A27:B27"/>
    <mergeCell ref="C27:K27"/>
    <mergeCell ref="A28:B28"/>
    <mergeCell ref="C28:K28"/>
    <mergeCell ref="A20:B20"/>
    <mergeCell ref="C20:D20"/>
    <mergeCell ref="E20:F20"/>
    <mergeCell ref="I20:J20"/>
    <mergeCell ref="A22:B22"/>
    <mergeCell ref="C22:D22"/>
    <mergeCell ref="E22:F22"/>
    <mergeCell ref="I22:J22"/>
    <mergeCell ref="A21:B21"/>
    <mergeCell ref="C21:D21"/>
    <mergeCell ref="E21:F21"/>
    <mergeCell ref="I21:J21"/>
    <mergeCell ref="A18:B18"/>
    <mergeCell ref="C18:D18"/>
    <mergeCell ref="E18:F18"/>
    <mergeCell ref="I18:J18"/>
    <mergeCell ref="A19:B19"/>
    <mergeCell ref="C19:D19"/>
    <mergeCell ref="E19:F19"/>
    <mergeCell ref="I19:J19"/>
    <mergeCell ref="A16:B16"/>
    <mergeCell ref="C16:D16"/>
    <mergeCell ref="E16:F16"/>
    <mergeCell ref="I16:J16"/>
    <mergeCell ref="A17:B17"/>
    <mergeCell ref="C17:D17"/>
    <mergeCell ref="E17:F17"/>
    <mergeCell ref="I17:J17"/>
    <mergeCell ref="A14:B14"/>
    <mergeCell ref="C14:D14"/>
    <mergeCell ref="E14:F14"/>
    <mergeCell ref="I14:J14"/>
    <mergeCell ref="A15:B15"/>
    <mergeCell ref="C15:D15"/>
    <mergeCell ref="E15:F15"/>
    <mergeCell ref="I15:J15"/>
    <mergeCell ref="A12:B12"/>
    <mergeCell ref="C12:D12"/>
    <mergeCell ref="E12:F12"/>
    <mergeCell ref="I12:J12"/>
    <mergeCell ref="A13:B13"/>
    <mergeCell ref="C13:D13"/>
    <mergeCell ref="E13:F13"/>
    <mergeCell ref="I13:J13"/>
    <mergeCell ref="A10:B10"/>
    <mergeCell ref="C10:D10"/>
    <mergeCell ref="E10:F10"/>
    <mergeCell ref="I10:J10"/>
    <mergeCell ref="A11:B11"/>
    <mergeCell ref="C11:D11"/>
    <mergeCell ref="E11:F11"/>
    <mergeCell ref="I11:J11"/>
    <mergeCell ref="A9:B9"/>
    <mergeCell ref="C9:D9"/>
    <mergeCell ref="E9:F9"/>
    <mergeCell ref="I9:J9"/>
    <mergeCell ref="A7:B8"/>
    <mergeCell ref="C7:G7"/>
    <mergeCell ref="H7:K7"/>
    <mergeCell ref="C8:D8"/>
    <mergeCell ref="E8:F8"/>
    <mergeCell ref="I8:J8"/>
    <mergeCell ref="A6:K6"/>
    <mergeCell ref="A1:K1"/>
    <mergeCell ref="A3:A4"/>
    <mergeCell ref="B3:B4"/>
    <mergeCell ref="C3:D3"/>
    <mergeCell ref="E3:G3"/>
    <mergeCell ref="H3:J3"/>
    <mergeCell ref="C4:D4"/>
    <mergeCell ref="E4:G4"/>
    <mergeCell ref="H4:J4"/>
    <mergeCell ref="K4:K5"/>
    <mergeCell ref="C5:D5"/>
    <mergeCell ref="E5:G5"/>
    <mergeCell ref="H5:J5"/>
  </mergeCells>
  <phoneticPr fontId="51" type="noConversion"/>
  <dataValidations count="3">
    <dataValidation allowBlank="1" showErrorMessage="1" sqref="E4:G4">
      <formula1>0</formula1>
      <formula2>0</formula2>
    </dataValidation>
    <dataValidation type="list" allowBlank="1" showErrorMessage="1" sqref="C9:K22">
      <formula1>"√,×"</formula1>
      <formula2>0</formula2>
    </dataValidation>
    <dataValidation type="list" allowBlank="1" showErrorMessage="1" sqref="C24:K32">
      <formula1>"是,否"</formula1>
      <formula2>0</formula2>
    </dataValidation>
  </dataValidations>
  <pageMargins left="0.78740157480314998" right="0.35433070866141703" top="0.511811023622047" bottom="0.11811023622047198" header="0.511811023622047" footer="0.511811023622047"/>
  <pageSetup paperSize="9" firstPageNumber="0" orientation="portrait" blackAndWhite="1" r:id="rId1"/>
  <headerFooter alignWithMargins="0"/>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2"/>
  <dimension ref="A1:U47"/>
  <sheetViews>
    <sheetView topLeftCell="A37" workbookViewId="0">
      <selection sqref="A1:N2"/>
    </sheetView>
  </sheetViews>
  <sheetFormatPr defaultRowHeight="15.6"/>
  <cols>
    <col min="1" max="1" width="4.8984375" customWidth="1"/>
    <col min="2" max="2" width="7.69921875" customWidth="1"/>
    <col min="6" max="6" width="9.5" customWidth="1"/>
    <col min="7" max="7" width="9.19921875" customWidth="1"/>
    <col min="8" max="8" width="3.5" customWidth="1"/>
    <col min="9" max="9" width="4.09765625" customWidth="1"/>
    <col min="10" max="10" width="3.8984375" customWidth="1"/>
    <col min="11" max="11" width="6.09765625" customWidth="1"/>
    <col min="12" max="12" width="3.5" customWidth="1"/>
    <col min="13" max="13" width="2.19921875" customWidth="1"/>
    <col min="14" max="14" width="4.8984375" customWidth="1"/>
  </cols>
  <sheetData>
    <row r="1" spans="1:21" ht="14.25" customHeight="1">
      <c r="A1" s="2931" t="s">
        <v>1106</v>
      </c>
      <c r="B1" s="2931"/>
      <c r="C1" s="2931"/>
      <c r="D1" s="2931"/>
      <c r="E1" s="2931"/>
      <c r="F1" s="2931"/>
      <c r="G1" s="2931"/>
      <c r="H1" s="2931"/>
      <c r="I1" s="2931"/>
      <c r="J1" s="2931"/>
      <c r="K1" s="2931"/>
      <c r="L1" s="2931"/>
      <c r="M1" s="2931"/>
      <c r="N1" s="2931"/>
      <c r="O1" s="84"/>
      <c r="P1" s="84"/>
      <c r="Q1" s="84"/>
      <c r="R1" s="84"/>
      <c r="S1" s="84"/>
      <c r="T1" s="84"/>
      <c r="U1" s="84"/>
    </row>
    <row r="2" spans="1:21" ht="14.25" customHeight="1">
      <c r="A2" s="2931"/>
      <c r="B2" s="2931"/>
      <c r="C2" s="2931"/>
      <c r="D2" s="2931"/>
      <c r="E2" s="2931"/>
      <c r="F2" s="2931"/>
      <c r="G2" s="2931"/>
      <c r="H2" s="2931"/>
      <c r="I2" s="2931"/>
      <c r="J2" s="2931"/>
      <c r="K2" s="2931"/>
      <c r="L2" s="2931"/>
      <c r="M2" s="2931"/>
      <c r="N2" s="2931"/>
      <c r="O2" s="84"/>
      <c r="P2" s="84"/>
      <c r="Q2" s="84"/>
      <c r="R2" s="84"/>
      <c r="S2" s="84"/>
      <c r="T2" s="84"/>
      <c r="U2" s="84"/>
    </row>
    <row r="3" spans="1:21">
      <c r="A3" s="2932"/>
      <c r="B3" s="2932"/>
      <c r="C3" s="2932"/>
      <c r="D3" s="2932"/>
      <c r="E3" s="2932"/>
      <c r="F3" s="2932"/>
      <c r="G3" s="2932"/>
      <c r="H3" s="181"/>
      <c r="I3" s="181"/>
      <c r="J3" s="181"/>
      <c r="K3" s="2933" t="s">
        <v>283</v>
      </c>
      <c r="L3" s="2933"/>
      <c r="M3" s="2934" t="str">
        <f>档案索引!A28</f>
        <v>2A-8</v>
      </c>
      <c r="N3" s="2934"/>
      <c r="O3" s="84"/>
      <c r="P3" s="84"/>
      <c r="Q3" s="84"/>
      <c r="R3" s="84"/>
      <c r="S3" s="84"/>
      <c r="T3" s="84"/>
      <c r="U3" s="84"/>
    </row>
    <row r="4" spans="1:21">
      <c r="A4" s="2948" t="str">
        <f>"委托单位名称："&amp;基本情况!B2</f>
        <v>委托单位名称：0</v>
      </c>
      <c r="B4" s="2948"/>
      <c r="C4" s="2948"/>
      <c r="D4" s="2948"/>
      <c r="E4" s="2948"/>
      <c r="F4" s="2944" t="str">
        <f>"会计期间："&amp;IF(OR(基本情况!B6&lt;&gt;"12月31日",基本情况!F5&lt;&gt;"01",基本情况!G5&lt;&gt;"01"),基本情况!B7,基本情况!B4&amp;"年度")</f>
        <v>会计期间：2016年度</v>
      </c>
      <c r="G4" s="2944"/>
      <c r="H4" s="2944"/>
      <c r="I4" s="2944"/>
      <c r="J4" s="2944"/>
      <c r="K4" s="2944"/>
      <c r="L4" s="2944"/>
      <c r="M4" s="2944"/>
      <c r="N4" s="2945" t="s">
        <v>456</v>
      </c>
      <c r="O4" s="84"/>
      <c r="P4" s="84"/>
      <c r="Q4" s="84"/>
      <c r="R4" s="84"/>
      <c r="S4" s="84"/>
      <c r="T4" s="84"/>
      <c r="U4" s="84"/>
    </row>
    <row r="5" spans="1:21">
      <c r="A5" s="2936" t="s">
        <v>1107</v>
      </c>
      <c r="B5" s="2936"/>
      <c r="C5" s="2936"/>
      <c r="D5" s="2936"/>
      <c r="E5" s="2936"/>
      <c r="F5" s="2936"/>
      <c r="G5" s="2938" t="s">
        <v>1108</v>
      </c>
      <c r="H5" s="2938"/>
      <c r="I5" s="2938"/>
      <c r="J5" s="2938"/>
      <c r="K5" s="2938"/>
      <c r="L5" s="2938"/>
      <c r="M5" s="2938"/>
      <c r="N5" s="2945"/>
      <c r="O5" s="84"/>
      <c r="P5" s="84"/>
      <c r="Q5" s="84"/>
      <c r="R5" s="84"/>
      <c r="S5" s="84"/>
      <c r="T5" s="84"/>
      <c r="U5" s="84"/>
    </row>
    <row r="6" spans="1:21" ht="14.25" customHeight="1">
      <c r="A6" s="2949" t="s">
        <v>1109</v>
      </c>
      <c r="B6" s="2946" t="s">
        <v>1110</v>
      </c>
      <c r="C6" s="2946"/>
      <c r="D6" s="2946"/>
      <c r="E6" s="2946"/>
      <c r="F6" s="2946"/>
      <c r="G6" s="182" t="s">
        <v>1111</v>
      </c>
      <c r="H6" s="183"/>
      <c r="I6" s="2943" t="s">
        <v>1112</v>
      </c>
      <c r="J6" s="2943"/>
      <c r="K6" s="2943"/>
      <c r="L6" s="2943"/>
      <c r="M6" s="2943"/>
      <c r="N6" s="185"/>
      <c r="O6" s="84"/>
      <c r="P6" s="84"/>
      <c r="Q6" s="84"/>
      <c r="R6" s="84"/>
      <c r="S6" s="84"/>
      <c r="T6" s="84"/>
      <c r="U6" s="84"/>
    </row>
    <row r="7" spans="1:21" ht="14.25" customHeight="1">
      <c r="A7" s="2949"/>
      <c r="B7" s="2946"/>
      <c r="C7" s="2946"/>
      <c r="D7" s="2946"/>
      <c r="E7" s="2946"/>
      <c r="F7" s="2946"/>
      <c r="G7" s="186" t="s">
        <v>1113</v>
      </c>
      <c r="H7" s="187"/>
      <c r="I7" s="188"/>
      <c r="J7" s="2947" t="s">
        <v>1112</v>
      </c>
      <c r="K7" s="2947"/>
      <c r="L7" s="2947"/>
      <c r="M7" s="2947"/>
      <c r="N7" s="185"/>
      <c r="O7" s="84"/>
      <c r="P7" s="84"/>
      <c r="Q7" s="84"/>
      <c r="R7" s="84"/>
      <c r="S7" s="84"/>
      <c r="T7" s="84"/>
      <c r="U7" s="84"/>
    </row>
    <row r="8" spans="1:21">
      <c r="A8" s="2949"/>
      <c r="B8" s="2952" t="s">
        <v>1114</v>
      </c>
      <c r="C8" s="2952"/>
      <c r="D8" s="2952"/>
      <c r="E8" s="2952"/>
      <c r="F8" s="2952"/>
      <c r="G8" s="189" t="s">
        <v>1115</v>
      </c>
      <c r="H8" s="190"/>
      <c r="I8" s="2940" t="s">
        <v>1112</v>
      </c>
      <c r="J8" s="2940"/>
      <c r="K8" s="191" t="s">
        <v>1116</v>
      </c>
      <c r="L8" s="190"/>
      <c r="M8" s="191" t="s">
        <v>1112</v>
      </c>
      <c r="N8" s="185"/>
      <c r="O8" s="84"/>
      <c r="P8" s="84"/>
      <c r="Q8" s="84"/>
      <c r="R8" s="84"/>
      <c r="S8" s="84"/>
      <c r="T8" s="84"/>
      <c r="U8" s="84"/>
    </row>
    <row r="9" spans="1:21">
      <c r="A9" s="2949"/>
      <c r="B9" s="2939" t="s">
        <v>1117</v>
      </c>
      <c r="C9" s="2939"/>
      <c r="D9" s="2939"/>
      <c r="E9" s="2939"/>
      <c r="F9" s="2939"/>
      <c r="G9" s="189" t="s">
        <v>1118</v>
      </c>
      <c r="H9" s="190"/>
      <c r="I9" s="2940" t="s">
        <v>1112</v>
      </c>
      <c r="J9" s="2940"/>
      <c r="K9" s="191" t="s">
        <v>1119</v>
      </c>
      <c r="L9" s="190"/>
      <c r="M9" s="191" t="s">
        <v>1112</v>
      </c>
      <c r="N9" s="185"/>
      <c r="O9" s="84"/>
      <c r="P9" s="178"/>
      <c r="Q9" s="84"/>
      <c r="R9" s="84"/>
      <c r="S9" s="84"/>
      <c r="T9" s="84"/>
      <c r="U9" s="84"/>
    </row>
    <row r="10" spans="1:21" ht="15.15" customHeight="1">
      <c r="A10" s="2949"/>
      <c r="B10" s="2942" t="s">
        <v>1120</v>
      </c>
      <c r="C10" s="2942"/>
      <c r="D10" s="2942"/>
      <c r="E10" s="2942"/>
      <c r="F10" s="2942"/>
      <c r="G10" s="192" t="s">
        <v>1121</v>
      </c>
      <c r="H10" s="193"/>
      <c r="I10" s="2941" t="s">
        <v>1112</v>
      </c>
      <c r="J10" s="2941"/>
      <c r="K10" s="194" t="s">
        <v>1122</v>
      </c>
      <c r="L10" s="183"/>
      <c r="M10" s="184" t="s">
        <v>1112</v>
      </c>
      <c r="N10" s="185"/>
      <c r="O10" s="84"/>
      <c r="P10" s="178"/>
      <c r="Q10" s="84"/>
      <c r="R10" s="84"/>
      <c r="S10" s="84"/>
      <c r="T10" s="84"/>
      <c r="U10" s="84"/>
    </row>
    <row r="11" spans="1:21">
      <c r="A11" s="2949"/>
      <c r="B11" s="2942"/>
      <c r="C11" s="2942"/>
      <c r="D11" s="2942"/>
      <c r="E11" s="2942"/>
      <c r="F11" s="2942"/>
      <c r="G11" s="192" t="s">
        <v>1123</v>
      </c>
      <c r="H11" s="195"/>
      <c r="I11" s="195"/>
      <c r="J11" s="195"/>
      <c r="K11" s="193"/>
      <c r="L11" s="2937" t="s">
        <v>1112</v>
      </c>
      <c r="M11" s="2937"/>
      <c r="N11" s="185"/>
      <c r="O11" s="84"/>
      <c r="P11" s="178"/>
      <c r="Q11" s="84"/>
      <c r="R11" s="84"/>
      <c r="S11" s="84"/>
      <c r="T11" s="84"/>
      <c r="U11" s="84"/>
    </row>
    <row r="12" spans="1:21">
      <c r="A12" s="2949"/>
      <c r="B12" s="2942"/>
      <c r="C12" s="2942"/>
      <c r="D12" s="2942"/>
      <c r="E12" s="2942"/>
      <c r="F12" s="2942"/>
      <c r="G12" s="186" t="s">
        <v>1124</v>
      </c>
      <c r="H12" s="187"/>
      <c r="I12" s="187"/>
      <c r="J12" s="187"/>
      <c r="K12" s="188"/>
      <c r="L12" s="2947" t="s">
        <v>1112</v>
      </c>
      <c r="M12" s="2947"/>
      <c r="N12" s="185"/>
      <c r="O12" s="84"/>
      <c r="P12" s="178"/>
      <c r="Q12" s="84"/>
      <c r="R12" s="84"/>
      <c r="S12" s="84"/>
      <c r="T12" s="84"/>
      <c r="U12" s="84"/>
    </row>
    <row r="13" spans="1:21" ht="23.85" customHeight="1">
      <c r="A13" s="2949"/>
      <c r="B13" s="2951" t="s">
        <v>1125</v>
      </c>
      <c r="C13" s="2951"/>
      <c r="D13" s="2951"/>
      <c r="E13" s="2951"/>
      <c r="F13" s="2951"/>
      <c r="G13" s="189" t="s">
        <v>1115</v>
      </c>
      <c r="H13" s="190"/>
      <c r="I13" s="2940" t="s">
        <v>1112</v>
      </c>
      <c r="J13" s="2940"/>
      <c r="K13" s="191" t="s">
        <v>1116</v>
      </c>
      <c r="L13" s="190"/>
      <c r="M13" s="191" t="s">
        <v>1112</v>
      </c>
      <c r="N13" s="185"/>
      <c r="O13" s="84"/>
      <c r="P13" s="178"/>
      <c r="Q13" s="84"/>
      <c r="R13" s="84"/>
      <c r="S13" s="84"/>
      <c r="T13" s="84"/>
      <c r="U13" s="84"/>
    </row>
    <row r="14" spans="1:21" ht="14.25" customHeight="1">
      <c r="A14" s="2949"/>
      <c r="B14" s="2942" t="s">
        <v>1126</v>
      </c>
      <c r="C14" s="2942"/>
      <c r="D14" s="2942"/>
      <c r="E14" s="2942"/>
      <c r="F14" s="2942"/>
      <c r="G14" s="182" t="s">
        <v>1118</v>
      </c>
      <c r="H14" s="183"/>
      <c r="I14" s="2943" t="s">
        <v>1112</v>
      </c>
      <c r="J14" s="2943"/>
      <c r="K14" s="2943"/>
      <c r="L14" s="2943"/>
      <c r="M14" s="2943"/>
      <c r="N14" s="185"/>
      <c r="O14" s="84"/>
      <c r="P14" s="178"/>
      <c r="Q14" s="84"/>
      <c r="R14" s="84"/>
      <c r="S14" s="84"/>
      <c r="T14" s="84"/>
      <c r="U14" s="84"/>
    </row>
    <row r="15" spans="1:21" ht="14.25" customHeight="1">
      <c r="A15" s="2949"/>
      <c r="B15" s="2942"/>
      <c r="C15" s="2942"/>
      <c r="D15" s="2942"/>
      <c r="E15" s="2942"/>
      <c r="F15" s="2942"/>
      <c r="G15" s="2954"/>
      <c r="H15" s="2954"/>
      <c r="I15" s="2954"/>
      <c r="J15" s="2954"/>
      <c r="K15" s="2954"/>
      <c r="L15" s="2954"/>
      <c r="M15" s="2954"/>
      <c r="N15" s="185"/>
      <c r="O15" s="84"/>
      <c r="P15" s="178"/>
      <c r="Q15" s="84"/>
      <c r="R15" s="84"/>
      <c r="S15" s="84"/>
      <c r="T15" s="84"/>
      <c r="U15" s="84"/>
    </row>
    <row r="16" spans="1:21">
      <c r="A16" s="2949"/>
      <c r="B16" s="2942"/>
      <c r="C16" s="2942"/>
      <c r="D16" s="2942"/>
      <c r="E16" s="2942"/>
      <c r="F16" s="2942"/>
      <c r="G16" s="192" t="s">
        <v>1116</v>
      </c>
      <c r="H16" s="193"/>
      <c r="I16" s="2937" t="s">
        <v>1112</v>
      </c>
      <c r="J16" s="2937"/>
      <c r="K16" s="2937"/>
      <c r="L16" s="2937"/>
      <c r="M16" s="2937"/>
      <c r="N16" s="185"/>
      <c r="O16" s="84"/>
      <c r="P16" s="84"/>
      <c r="Q16" s="84"/>
      <c r="R16" s="84"/>
      <c r="S16" s="84"/>
      <c r="T16" s="84"/>
      <c r="U16" s="84"/>
    </row>
    <row r="17" spans="1:21" ht="14.25" customHeight="1">
      <c r="A17" s="2949"/>
      <c r="B17" s="2942"/>
      <c r="C17" s="2942"/>
      <c r="D17" s="2942"/>
      <c r="E17" s="2942"/>
      <c r="F17" s="2942"/>
      <c r="G17" s="2955"/>
      <c r="H17" s="2955"/>
      <c r="I17" s="2955"/>
      <c r="J17" s="2955"/>
      <c r="K17" s="2955"/>
      <c r="L17" s="2955"/>
      <c r="M17" s="2955"/>
      <c r="N17" s="185"/>
      <c r="O17" s="84"/>
      <c r="P17" s="84"/>
      <c r="Q17" s="84"/>
      <c r="R17" s="84"/>
      <c r="S17" s="84"/>
      <c r="T17" s="84"/>
      <c r="U17" s="84"/>
    </row>
    <row r="18" spans="1:21" ht="15.15" customHeight="1">
      <c r="A18" s="2949"/>
      <c r="B18" s="2942" t="s">
        <v>1127</v>
      </c>
      <c r="C18" s="2942"/>
      <c r="D18" s="2942"/>
      <c r="E18" s="2942"/>
      <c r="F18" s="2942"/>
      <c r="G18" s="197" t="s">
        <v>1128</v>
      </c>
      <c r="H18" s="198"/>
      <c r="I18" s="199"/>
      <c r="J18" s="198" t="s">
        <v>1129</v>
      </c>
      <c r="K18" s="198"/>
      <c r="L18" s="199"/>
      <c r="M18" s="200" t="s">
        <v>1112</v>
      </c>
      <c r="N18" s="201"/>
      <c r="O18" s="84"/>
      <c r="P18" s="84"/>
      <c r="Q18" s="84"/>
      <c r="R18" s="84"/>
      <c r="S18" s="84"/>
      <c r="T18" s="84"/>
      <c r="U18" s="84"/>
    </row>
    <row r="19" spans="1:21">
      <c r="A19" s="2949"/>
      <c r="B19" s="2942"/>
      <c r="C19" s="2942"/>
      <c r="D19" s="2942"/>
      <c r="E19" s="2942"/>
      <c r="F19" s="2942"/>
      <c r="G19" s="2953"/>
      <c r="H19" s="2953"/>
      <c r="I19" s="2953"/>
      <c r="J19" s="203" t="s">
        <v>1130</v>
      </c>
      <c r="K19" s="203"/>
      <c r="L19" s="204"/>
      <c r="M19" s="200" t="s">
        <v>1112</v>
      </c>
      <c r="N19" s="201"/>
      <c r="O19" s="84"/>
      <c r="P19" s="84"/>
      <c r="Q19" s="84"/>
      <c r="R19" s="84"/>
      <c r="S19" s="84"/>
      <c r="T19" s="84"/>
      <c r="U19" s="84"/>
    </row>
    <row r="20" spans="1:21">
      <c r="A20" s="2949"/>
      <c r="B20" s="2942"/>
      <c r="C20" s="2942"/>
      <c r="D20" s="2942"/>
      <c r="E20" s="2942"/>
      <c r="F20" s="2942"/>
      <c r="G20" s="186" t="s">
        <v>1131</v>
      </c>
      <c r="H20" s="187"/>
      <c r="I20" s="204"/>
      <c r="J20" s="2947" t="s">
        <v>1112</v>
      </c>
      <c r="K20" s="2947"/>
      <c r="L20" s="2947"/>
      <c r="M20" s="2947"/>
      <c r="N20" s="185"/>
      <c r="O20" s="84"/>
      <c r="P20" s="84"/>
      <c r="Q20" s="84"/>
      <c r="R20" s="84"/>
      <c r="S20" s="84"/>
      <c r="T20" s="84"/>
      <c r="U20" s="84"/>
    </row>
    <row r="21" spans="1:21" ht="27.75" customHeight="1">
      <c r="A21" s="2949"/>
      <c r="B21" s="2950" t="s">
        <v>125</v>
      </c>
      <c r="C21" s="2950"/>
      <c r="D21" s="2950"/>
      <c r="E21" s="2950"/>
      <c r="F21" s="2950"/>
      <c r="G21" s="205" t="s">
        <v>126</v>
      </c>
      <c r="H21" s="206"/>
      <c r="I21" s="2935" t="s">
        <v>1112</v>
      </c>
      <c r="J21" s="2935"/>
      <c r="K21" s="207" t="s">
        <v>1119</v>
      </c>
      <c r="L21" s="206"/>
      <c r="M21" s="208" t="s">
        <v>1112</v>
      </c>
      <c r="N21" s="185"/>
      <c r="O21" s="84"/>
      <c r="P21" s="84"/>
      <c r="Q21" s="84"/>
      <c r="R21" s="84"/>
      <c r="S21" s="84"/>
      <c r="T21" s="84"/>
      <c r="U21" s="84"/>
    </row>
    <row r="22" spans="1:21" ht="15.15" customHeight="1">
      <c r="A22" s="2959" t="s">
        <v>127</v>
      </c>
      <c r="B22" s="2960" t="s">
        <v>128</v>
      </c>
      <c r="C22" s="2960"/>
      <c r="D22" s="2960"/>
      <c r="E22" s="2960"/>
      <c r="F22" s="2960"/>
      <c r="G22" s="189" t="s">
        <v>126</v>
      </c>
      <c r="H22" s="190"/>
      <c r="I22" s="2940" t="s">
        <v>1112</v>
      </c>
      <c r="J22" s="2940"/>
      <c r="K22" s="191" t="s">
        <v>1119</v>
      </c>
      <c r="L22" s="190"/>
      <c r="M22" s="184" t="s">
        <v>1112</v>
      </c>
      <c r="N22" s="185"/>
      <c r="O22" s="84"/>
      <c r="P22" s="84"/>
      <c r="Q22" s="84"/>
      <c r="R22" s="84"/>
      <c r="S22" s="84"/>
      <c r="T22" s="84"/>
      <c r="U22" s="84"/>
    </row>
    <row r="23" spans="1:21">
      <c r="A23" s="2959"/>
      <c r="B23" s="2961" t="s">
        <v>129</v>
      </c>
      <c r="C23" s="2961"/>
      <c r="D23" s="2961"/>
      <c r="E23" s="2961"/>
      <c r="F23" s="2961"/>
      <c r="G23" s="189" t="s">
        <v>126</v>
      </c>
      <c r="H23" s="190"/>
      <c r="I23" s="2940" t="s">
        <v>1112</v>
      </c>
      <c r="J23" s="2940"/>
      <c r="K23" s="191" t="s">
        <v>1119</v>
      </c>
      <c r="L23" s="190"/>
      <c r="M23" s="184" t="s">
        <v>1112</v>
      </c>
      <c r="N23" s="185"/>
      <c r="O23" s="84"/>
      <c r="P23" s="84"/>
      <c r="Q23" s="84"/>
      <c r="R23" s="84"/>
      <c r="S23" s="84"/>
      <c r="T23" s="84"/>
      <c r="U23" s="84"/>
    </row>
    <row r="24" spans="1:21">
      <c r="A24" s="2959"/>
      <c r="B24" s="2952" t="s">
        <v>130</v>
      </c>
      <c r="C24" s="2952"/>
      <c r="D24" s="2952"/>
      <c r="E24" s="2952"/>
      <c r="F24" s="2952"/>
      <c r="G24" s="189" t="s">
        <v>126</v>
      </c>
      <c r="H24" s="190"/>
      <c r="I24" s="2940" t="s">
        <v>1112</v>
      </c>
      <c r="J24" s="2940"/>
      <c r="K24" s="191" t="s">
        <v>1119</v>
      </c>
      <c r="L24" s="190"/>
      <c r="M24" s="184" t="s">
        <v>1112</v>
      </c>
      <c r="N24" s="185"/>
      <c r="O24" s="84"/>
      <c r="P24" s="84"/>
      <c r="Q24" s="84"/>
      <c r="R24" s="84"/>
      <c r="S24" s="84"/>
      <c r="T24" s="84"/>
      <c r="U24" s="84"/>
    </row>
    <row r="25" spans="1:21" ht="15.15" customHeight="1">
      <c r="A25" s="2949" t="s">
        <v>131</v>
      </c>
      <c r="B25" s="2950" t="s">
        <v>132</v>
      </c>
      <c r="C25" s="2950"/>
      <c r="D25" s="2950"/>
      <c r="E25" s="2950"/>
      <c r="F25" s="2950"/>
      <c r="G25" s="209" t="s">
        <v>133</v>
      </c>
      <c r="H25" s="190"/>
      <c r="I25" s="210" t="s">
        <v>1112</v>
      </c>
      <c r="J25" s="210" t="s">
        <v>134</v>
      </c>
      <c r="K25" s="210"/>
      <c r="L25" s="190"/>
      <c r="M25" s="184" t="s">
        <v>1112</v>
      </c>
      <c r="N25" s="201"/>
      <c r="O25" s="84"/>
      <c r="P25" s="84"/>
      <c r="Q25" s="84"/>
      <c r="R25" s="84"/>
      <c r="S25" s="84"/>
      <c r="T25" s="84"/>
      <c r="U25" s="84"/>
    </row>
    <row r="26" spans="1:21">
      <c r="A26" s="2949"/>
      <c r="B26" s="2939" t="s">
        <v>135</v>
      </c>
      <c r="C26" s="2939"/>
      <c r="D26" s="2939"/>
      <c r="E26" s="2939"/>
      <c r="F26" s="2939"/>
      <c r="G26" s="209" t="s">
        <v>133</v>
      </c>
      <c r="H26" s="190"/>
      <c r="I26" s="210" t="s">
        <v>1112</v>
      </c>
      <c r="J26" s="210" t="s">
        <v>134</v>
      </c>
      <c r="K26" s="191"/>
      <c r="L26" s="190"/>
      <c r="M26" s="184" t="s">
        <v>1112</v>
      </c>
      <c r="N26" s="185"/>
      <c r="O26" s="84"/>
      <c r="P26" s="84"/>
      <c r="Q26" s="84"/>
      <c r="R26" s="84"/>
      <c r="S26" s="84"/>
      <c r="T26" s="84"/>
      <c r="U26" s="84"/>
    </row>
    <row r="27" spans="1:21">
      <c r="A27" s="2949"/>
      <c r="B27" s="2952" t="s">
        <v>136</v>
      </c>
      <c r="C27" s="2952"/>
      <c r="D27" s="2952"/>
      <c r="E27" s="2952"/>
      <c r="F27" s="2952"/>
      <c r="G27" s="189" t="s">
        <v>126</v>
      </c>
      <c r="H27" s="190"/>
      <c r="I27" s="2940" t="s">
        <v>1112</v>
      </c>
      <c r="J27" s="2940"/>
      <c r="K27" s="191" t="s">
        <v>1119</v>
      </c>
      <c r="L27" s="190"/>
      <c r="M27" s="184" t="s">
        <v>1112</v>
      </c>
      <c r="N27" s="185"/>
      <c r="O27" s="84"/>
      <c r="P27" s="84"/>
      <c r="Q27" s="84"/>
      <c r="R27" s="84"/>
      <c r="S27" s="84"/>
      <c r="T27" s="84"/>
      <c r="U27" s="84"/>
    </row>
    <row r="28" spans="1:21" ht="15.15" customHeight="1">
      <c r="A28" s="2949"/>
      <c r="B28" s="2946" t="s">
        <v>137</v>
      </c>
      <c r="C28" s="2946"/>
      <c r="D28" s="2946"/>
      <c r="E28" s="2946"/>
      <c r="F28" s="2946"/>
      <c r="G28" s="182" t="s">
        <v>138</v>
      </c>
      <c r="H28" s="194"/>
      <c r="I28" s="194"/>
      <c r="J28" s="183"/>
      <c r="K28" s="2943" t="s">
        <v>1112</v>
      </c>
      <c r="L28" s="2943"/>
      <c r="M28" s="2943"/>
      <c r="N28" s="185"/>
      <c r="O28" s="84"/>
      <c r="P28" s="84"/>
      <c r="Q28" s="84"/>
      <c r="R28" s="84"/>
      <c r="S28" s="84"/>
      <c r="T28" s="84"/>
      <c r="U28" s="84"/>
    </row>
    <row r="29" spans="1:21">
      <c r="A29" s="2949"/>
      <c r="B29" s="2946"/>
      <c r="C29" s="2946"/>
      <c r="D29" s="2946"/>
      <c r="E29" s="2946"/>
      <c r="F29" s="2946"/>
      <c r="G29" s="186" t="s">
        <v>139</v>
      </c>
      <c r="H29" s="187"/>
      <c r="I29" s="187"/>
      <c r="J29" s="188"/>
      <c r="K29" s="2947" t="s">
        <v>1112</v>
      </c>
      <c r="L29" s="2947"/>
      <c r="M29" s="2947"/>
      <c r="N29" s="185"/>
      <c r="O29" s="84"/>
      <c r="P29" s="84"/>
      <c r="Q29" s="84"/>
      <c r="R29" s="84"/>
      <c r="S29" s="84"/>
      <c r="T29" s="84"/>
      <c r="U29" s="84"/>
    </row>
    <row r="30" spans="1:21" ht="15.15" customHeight="1">
      <c r="A30" s="2949"/>
      <c r="B30" s="2946" t="s">
        <v>140</v>
      </c>
      <c r="C30" s="2946"/>
      <c r="D30" s="2946"/>
      <c r="E30" s="2946"/>
      <c r="F30" s="2946"/>
      <c r="G30" s="197" t="s">
        <v>141</v>
      </c>
      <c r="H30" s="198"/>
      <c r="I30" s="198"/>
      <c r="J30" s="183"/>
      <c r="K30" s="2957" t="s">
        <v>1112</v>
      </c>
      <c r="L30" s="2957"/>
      <c r="M30" s="2957"/>
      <c r="N30" s="201"/>
      <c r="O30" s="84"/>
      <c r="P30" s="84"/>
      <c r="Q30" s="84"/>
      <c r="R30" s="84"/>
      <c r="S30" s="84"/>
      <c r="T30" s="84"/>
      <c r="U30" s="84"/>
    </row>
    <row r="31" spans="1:21">
      <c r="A31" s="2949"/>
      <c r="B31" s="2946"/>
      <c r="C31" s="2946"/>
      <c r="D31" s="2946"/>
      <c r="E31" s="2946"/>
      <c r="F31" s="2946"/>
      <c r="G31" s="202" t="s">
        <v>142</v>
      </c>
      <c r="H31" s="193"/>
      <c r="I31" s="195" t="s">
        <v>143</v>
      </c>
      <c r="J31" s="203"/>
      <c r="K31" s="204"/>
      <c r="L31" s="2958" t="s">
        <v>1112</v>
      </c>
      <c r="M31" s="2958"/>
      <c r="N31" s="201"/>
      <c r="O31" s="84"/>
      <c r="P31" s="84"/>
      <c r="Q31" s="84"/>
      <c r="R31" s="84"/>
      <c r="S31" s="84"/>
      <c r="T31" s="84"/>
      <c r="U31" s="84"/>
    </row>
    <row r="32" spans="1:21">
      <c r="A32" s="2949"/>
      <c r="B32" s="2946"/>
      <c r="C32" s="2946"/>
      <c r="D32" s="2946"/>
      <c r="E32" s="2946"/>
      <c r="F32" s="2946"/>
      <c r="G32" s="186" t="s">
        <v>144</v>
      </c>
      <c r="H32" s="188"/>
      <c r="I32" s="2947" t="s">
        <v>1112</v>
      </c>
      <c r="J32" s="2947"/>
      <c r="K32" s="2947"/>
      <c r="L32" s="2947"/>
      <c r="M32" s="2947"/>
      <c r="N32" s="185"/>
      <c r="O32" s="84"/>
      <c r="P32" s="84"/>
      <c r="Q32" s="84"/>
      <c r="R32" s="84"/>
      <c r="S32" s="84"/>
      <c r="T32" s="84"/>
      <c r="U32" s="84"/>
    </row>
    <row r="33" spans="1:21" ht="26.25" customHeight="1">
      <c r="A33" s="2959" t="s">
        <v>145</v>
      </c>
      <c r="B33" s="2968" t="s">
        <v>146</v>
      </c>
      <c r="C33" s="2968"/>
      <c r="D33" s="2968"/>
      <c r="E33" s="2968"/>
      <c r="F33" s="2968"/>
      <c r="G33" s="205" t="s">
        <v>147</v>
      </c>
      <c r="H33" s="211"/>
      <c r="I33" s="207" t="s">
        <v>148</v>
      </c>
      <c r="J33" s="207"/>
      <c r="K33" s="211"/>
      <c r="L33" s="2969" t="s">
        <v>1112</v>
      </c>
      <c r="M33" s="2969"/>
      <c r="N33" s="185"/>
      <c r="O33" s="84"/>
      <c r="P33" s="84"/>
      <c r="Q33" s="84"/>
      <c r="R33" s="84"/>
      <c r="S33" s="84"/>
      <c r="T33" s="84"/>
      <c r="U33" s="84"/>
    </row>
    <row r="34" spans="1:21" ht="12.75" customHeight="1">
      <c r="A34" s="2959"/>
      <c r="B34" s="2942" t="s">
        <v>149</v>
      </c>
      <c r="C34" s="2942"/>
      <c r="D34" s="2942"/>
      <c r="E34" s="2942"/>
      <c r="F34" s="2942"/>
      <c r="G34" s="212" t="s">
        <v>150</v>
      </c>
      <c r="H34" s="213"/>
      <c r="I34" s="183"/>
      <c r="J34" s="2963" t="s">
        <v>1112</v>
      </c>
      <c r="K34" s="2963"/>
      <c r="L34" s="2963"/>
      <c r="M34" s="2963"/>
      <c r="N34" s="214"/>
      <c r="O34" s="84"/>
      <c r="P34" s="84"/>
      <c r="Q34" s="84"/>
      <c r="R34" s="84"/>
      <c r="S34" s="84"/>
      <c r="T34" s="84"/>
      <c r="U34" s="84"/>
    </row>
    <row r="35" spans="1:21" ht="12.75" customHeight="1">
      <c r="A35" s="2959"/>
      <c r="B35" s="2942"/>
      <c r="C35" s="2942"/>
      <c r="D35" s="2942"/>
      <c r="E35" s="2942"/>
      <c r="F35" s="2942"/>
      <c r="G35" s="212"/>
      <c r="H35" s="215" t="s">
        <v>151</v>
      </c>
      <c r="I35" s="215"/>
      <c r="J35" s="215"/>
      <c r="K35" s="193"/>
      <c r="L35" s="2964" t="s">
        <v>1112</v>
      </c>
      <c r="M35" s="2964"/>
      <c r="N35" s="214"/>
      <c r="O35" s="84"/>
      <c r="P35" s="84"/>
      <c r="Q35" s="84"/>
      <c r="R35" s="84"/>
      <c r="S35" s="84"/>
      <c r="T35" s="84"/>
      <c r="U35" s="84"/>
    </row>
    <row r="36" spans="1:21">
      <c r="A36" s="2959"/>
      <c r="B36" s="2942"/>
      <c r="C36" s="2942"/>
      <c r="D36" s="2942"/>
      <c r="E36" s="2942"/>
      <c r="F36" s="2942"/>
      <c r="G36" s="212" t="s">
        <v>152</v>
      </c>
      <c r="H36" s="193"/>
      <c r="I36" s="215" t="s">
        <v>153</v>
      </c>
      <c r="J36" s="215"/>
      <c r="K36" s="193"/>
      <c r="L36" s="2964" t="s">
        <v>1112</v>
      </c>
      <c r="M36" s="2964"/>
      <c r="N36" s="217"/>
      <c r="O36" s="84"/>
      <c r="P36" s="84"/>
      <c r="Q36" s="84"/>
      <c r="R36" s="84"/>
      <c r="S36" s="84"/>
      <c r="T36" s="84"/>
      <c r="U36" s="84"/>
    </row>
    <row r="37" spans="1:21" ht="19.5" customHeight="1">
      <c r="A37" s="2959"/>
      <c r="B37" s="2942"/>
      <c r="C37" s="2942"/>
      <c r="D37" s="2942"/>
      <c r="E37" s="2942"/>
      <c r="F37" s="2942"/>
      <c r="G37" s="212"/>
      <c r="H37" s="215" t="s">
        <v>154</v>
      </c>
      <c r="I37" s="215"/>
      <c r="J37" s="215"/>
      <c r="K37" s="193"/>
      <c r="L37" s="2964" t="s">
        <v>1112</v>
      </c>
      <c r="M37" s="2964"/>
      <c r="N37" s="217"/>
      <c r="O37" s="84"/>
      <c r="P37" s="84"/>
      <c r="Q37" s="84"/>
      <c r="R37" s="84"/>
      <c r="S37" s="84"/>
      <c r="T37" s="84"/>
      <c r="U37" s="84"/>
    </row>
    <row r="38" spans="1:21">
      <c r="A38" s="2959"/>
      <c r="B38" s="2942"/>
      <c r="C38" s="2942"/>
      <c r="D38" s="2942"/>
      <c r="E38" s="2942"/>
      <c r="F38" s="2942"/>
      <c r="G38" s="218" t="s">
        <v>155</v>
      </c>
      <c r="H38" s="219"/>
      <c r="I38" s="188"/>
      <c r="J38" s="2956" t="s">
        <v>1112</v>
      </c>
      <c r="K38" s="2956"/>
      <c r="L38" s="2956"/>
      <c r="M38" s="2956"/>
      <c r="N38" s="217"/>
      <c r="O38" s="84"/>
      <c r="P38" s="84"/>
      <c r="Q38" s="84"/>
      <c r="R38" s="84"/>
      <c r="S38" s="84"/>
      <c r="T38" s="84"/>
      <c r="U38" s="84"/>
    </row>
    <row r="39" spans="1:21" ht="15.15" customHeight="1">
      <c r="A39" s="2959"/>
      <c r="B39" s="2968" t="s">
        <v>1524</v>
      </c>
      <c r="C39" s="2965" t="s">
        <v>1525</v>
      </c>
      <c r="D39" s="2965"/>
      <c r="E39" s="2965"/>
      <c r="F39" s="2965"/>
      <c r="G39" s="182" t="s">
        <v>1526</v>
      </c>
      <c r="H39" s="193"/>
      <c r="I39" s="194" t="s">
        <v>1527</v>
      </c>
      <c r="J39" s="194"/>
      <c r="K39" s="194"/>
      <c r="L39" s="193"/>
      <c r="M39" s="215" t="s">
        <v>1112</v>
      </c>
      <c r="N39" s="185"/>
      <c r="O39" s="84"/>
      <c r="P39" s="84"/>
      <c r="Q39" s="84"/>
      <c r="R39" s="84"/>
      <c r="S39" s="84"/>
      <c r="T39" s="84"/>
      <c r="U39" s="84"/>
    </row>
    <row r="40" spans="1:21">
      <c r="A40" s="2959"/>
      <c r="B40" s="2968"/>
      <c r="C40" s="2973" t="s">
        <v>1528</v>
      </c>
      <c r="D40" s="2973"/>
      <c r="E40" s="2973"/>
      <c r="F40" s="2973"/>
      <c r="G40" s="192" t="s">
        <v>1121</v>
      </c>
      <c r="H40" s="193"/>
      <c r="I40" s="2970" t="s">
        <v>1112</v>
      </c>
      <c r="J40" s="2970"/>
      <c r="K40" s="195" t="s">
        <v>1122</v>
      </c>
      <c r="L40" s="193"/>
      <c r="M40" s="196" t="s">
        <v>1112</v>
      </c>
      <c r="N40" s="220"/>
      <c r="O40" s="84"/>
      <c r="P40" s="84"/>
      <c r="Q40" s="84"/>
      <c r="R40" s="84"/>
      <c r="S40" s="84"/>
      <c r="T40" s="84"/>
      <c r="U40" s="84"/>
    </row>
    <row r="41" spans="1:21" ht="14.25" customHeight="1">
      <c r="A41" s="2959"/>
      <c r="B41" s="2968"/>
      <c r="C41" s="2962" t="s">
        <v>1529</v>
      </c>
      <c r="D41" s="2962"/>
      <c r="E41" s="2962"/>
      <c r="F41" s="2962"/>
      <c r="G41" s="192" t="s">
        <v>1121</v>
      </c>
      <c r="H41" s="193"/>
      <c r="I41" s="2970" t="s">
        <v>1112</v>
      </c>
      <c r="J41" s="2970"/>
      <c r="K41" s="195" t="s">
        <v>1122</v>
      </c>
      <c r="L41" s="193"/>
      <c r="M41" s="196" t="s">
        <v>1112</v>
      </c>
      <c r="N41" s="220"/>
      <c r="O41" s="84"/>
      <c r="P41" s="84"/>
      <c r="Q41" s="84"/>
      <c r="R41" s="84"/>
      <c r="S41" s="84"/>
      <c r="T41" s="84"/>
      <c r="U41" s="84"/>
    </row>
    <row r="42" spans="1:21" ht="26.25" customHeight="1">
      <c r="A42" s="2959"/>
      <c r="B42" s="2968" t="s">
        <v>1530</v>
      </c>
      <c r="C42" s="2968"/>
      <c r="D42" s="2968"/>
      <c r="E42" s="2968"/>
      <c r="F42" s="2968"/>
      <c r="G42" s="212" t="s">
        <v>1121</v>
      </c>
      <c r="H42" s="211"/>
      <c r="I42" s="2971" t="s">
        <v>1112</v>
      </c>
      <c r="J42" s="2971"/>
      <c r="K42" s="219" t="s">
        <v>1122</v>
      </c>
      <c r="L42" s="211"/>
      <c r="M42" s="216" t="s">
        <v>1112</v>
      </c>
      <c r="N42" s="185"/>
      <c r="O42" s="84"/>
      <c r="P42" s="84"/>
      <c r="Q42" s="84"/>
      <c r="R42" s="84"/>
      <c r="S42" s="84"/>
      <c r="T42" s="84"/>
      <c r="U42" s="84"/>
    </row>
    <row r="43" spans="1:21">
      <c r="A43" s="2959"/>
      <c r="B43" s="2972" t="s">
        <v>1531</v>
      </c>
      <c r="C43" s="2972"/>
      <c r="D43" s="2972"/>
      <c r="E43" s="2972"/>
      <c r="F43" s="2972"/>
      <c r="G43" s="182" t="s">
        <v>1118</v>
      </c>
      <c r="H43" s="193"/>
      <c r="I43" s="2943" t="s">
        <v>1112</v>
      </c>
      <c r="J43" s="2943"/>
      <c r="K43" s="2943"/>
      <c r="L43" s="2943"/>
      <c r="M43" s="2943"/>
      <c r="N43" s="220"/>
      <c r="O43" s="84"/>
      <c r="P43" s="84"/>
      <c r="Q43" s="84"/>
      <c r="R43" s="84"/>
      <c r="S43" s="84"/>
      <c r="T43" s="84"/>
      <c r="U43" s="84"/>
    </row>
    <row r="44" spans="1:21">
      <c r="A44" s="2959"/>
      <c r="B44" s="2972"/>
      <c r="C44" s="2972"/>
      <c r="D44" s="2972"/>
      <c r="E44" s="2972"/>
      <c r="F44" s="2972"/>
      <c r="G44" s="212" t="s">
        <v>152</v>
      </c>
      <c r="H44" s="193"/>
      <c r="I44" s="215" t="s">
        <v>153</v>
      </c>
      <c r="J44" s="215"/>
      <c r="K44" s="193"/>
      <c r="L44" s="2964" t="s">
        <v>1112</v>
      </c>
      <c r="M44" s="2964"/>
      <c r="N44" s="220"/>
      <c r="O44" s="84"/>
      <c r="P44" s="84"/>
      <c r="Q44" s="84"/>
      <c r="R44" s="84"/>
      <c r="S44" s="84"/>
      <c r="T44" s="84"/>
      <c r="U44" s="84"/>
    </row>
    <row r="45" spans="1:21">
      <c r="A45" s="2959"/>
      <c r="B45" s="2972"/>
      <c r="C45" s="2972"/>
      <c r="D45" s="2972"/>
      <c r="E45" s="2972"/>
      <c r="F45" s="2972"/>
      <c r="G45" s="186" t="s">
        <v>1532</v>
      </c>
      <c r="H45" s="188"/>
      <c r="I45" s="2947" t="s">
        <v>1112</v>
      </c>
      <c r="J45" s="2947"/>
      <c r="K45" s="2947"/>
      <c r="L45" s="2947"/>
      <c r="M45" s="2947"/>
      <c r="N45" s="220"/>
      <c r="O45" s="84"/>
      <c r="P45" s="84"/>
      <c r="Q45" s="84"/>
      <c r="R45" s="84"/>
      <c r="S45" s="84"/>
      <c r="T45" s="84"/>
      <c r="U45" s="84"/>
    </row>
    <row r="46" spans="1:21">
      <c r="A46" s="221"/>
      <c r="B46" s="2966"/>
      <c r="C46" s="2966"/>
      <c r="D46" s="2966"/>
      <c r="E46" s="2966"/>
      <c r="F46" s="2966"/>
      <c r="G46" s="221"/>
      <c r="H46" s="221"/>
      <c r="I46" s="221"/>
      <c r="J46" s="221"/>
      <c r="K46" s="221"/>
      <c r="L46" s="221"/>
      <c r="M46" s="221"/>
      <c r="N46" s="221"/>
      <c r="O46" s="84"/>
      <c r="P46" s="84"/>
      <c r="Q46" s="84"/>
      <c r="R46" s="84"/>
      <c r="S46" s="84"/>
      <c r="T46" s="84"/>
      <c r="U46" s="84"/>
    </row>
    <row r="47" spans="1:21">
      <c r="A47" s="2967" t="str">
        <f>"委托单位财务负责人："&amp;基本情况!B36&amp;"                              询问人："&amp;基本情况!B12&amp;"                        "&amp;基本情况!B21</f>
        <v>委托单位财务负责人：0                              询问人：                        2017年3月16日</v>
      </c>
      <c r="B47" s="2967"/>
      <c r="C47" s="2967"/>
      <c r="D47" s="2967"/>
      <c r="E47" s="2967"/>
      <c r="F47" s="2967"/>
      <c r="G47" s="2967"/>
      <c r="H47" s="2967"/>
      <c r="I47" s="2967"/>
      <c r="J47" s="2967"/>
      <c r="K47" s="2967"/>
      <c r="L47" s="2967"/>
      <c r="M47" s="2967"/>
      <c r="N47" s="2967"/>
      <c r="O47" s="84"/>
      <c r="P47" s="84"/>
      <c r="Q47" s="84"/>
      <c r="R47" s="84"/>
      <c r="S47" s="84"/>
      <c r="T47" s="84"/>
      <c r="U47" s="84"/>
    </row>
  </sheetData>
  <sheetProtection selectLockedCells="1" selectUnlockedCells="1"/>
  <mergeCells count="75">
    <mergeCell ref="B46:F46"/>
    <mergeCell ref="A47:N47"/>
    <mergeCell ref="A33:A45"/>
    <mergeCell ref="B33:F33"/>
    <mergeCell ref="L33:M33"/>
    <mergeCell ref="B34:F38"/>
    <mergeCell ref="I41:J41"/>
    <mergeCell ref="B42:F42"/>
    <mergeCell ref="I42:J42"/>
    <mergeCell ref="I43:M43"/>
    <mergeCell ref="L44:M44"/>
    <mergeCell ref="I45:M45"/>
    <mergeCell ref="B43:F45"/>
    <mergeCell ref="B39:B41"/>
    <mergeCell ref="C40:F40"/>
    <mergeCell ref="I40:J40"/>
    <mergeCell ref="C41:F41"/>
    <mergeCell ref="J34:M34"/>
    <mergeCell ref="L35:M35"/>
    <mergeCell ref="L36:M36"/>
    <mergeCell ref="L37:M37"/>
    <mergeCell ref="C39:F39"/>
    <mergeCell ref="A22:A24"/>
    <mergeCell ref="B22:F22"/>
    <mergeCell ref="I22:J22"/>
    <mergeCell ref="B23:F23"/>
    <mergeCell ref="I23:J23"/>
    <mergeCell ref="A25:A32"/>
    <mergeCell ref="B26:F26"/>
    <mergeCell ref="I32:M32"/>
    <mergeCell ref="B28:F29"/>
    <mergeCell ref="B30:F32"/>
    <mergeCell ref="K29:M29"/>
    <mergeCell ref="K28:M28"/>
    <mergeCell ref="L31:M31"/>
    <mergeCell ref="G17:M17"/>
    <mergeCell ref="B25:F25"/>
    <mergeCell ref="J38:M38"/>
    <mergeCell ref="B24:F24"/>
    <mergeCell ref="I24:J24"/>
    <mergeCell ref="B27:F27"/>
    <mergeCell ref="I27:J27"/>
    <mergeCell ref="K30:M30"/>
    <mergeCell ref="I6:M6"/>
    <mergeCell ref="J7:M7"/>
    <mergeCell ref="A4:E4"/>
    <mergeCell ref="A6:A21"/>
    <mergeCell ref="B21:F21"/>
    <mergeCell ref="L12:M12"/>
    <mergeCell ref="B10:F12"/>
    <mergeCell ref="B13:F13"/>
    <mergeCell ref="I9:J9"/>
    <mergeCell ref="B8:F8"/>
    <mergeCell ref="I8:J8"/>
    <mergeCell ref="J20:M20"/>
    <mergeCell ref="B18:F20"/>
    <mergeCell ref="G19:I19"/>
    <mergeCell ref="G15:M15"/>
    <mergeCell ref="I16:M16"/>
    <mergeCell ref="A1:N2"/>
    <mergeCell ref="A3:G3"/>
    <mergeCell ref="K3:L3"/>
    <mergeCell ref="M3:N3"/>
    <mergeCell ref="I21:J21"/>
    <mergeCell ref="A5:F5"/>
    <mergeCell ref="L11:M11"/>
    <mergeCell ref="G5:M5"/>
    <mergeCell ref="B9:F9"/>
    <mergeCell ref="I13:J13"/>
    <mergeCell ref="I10:J10"/>
    <mergeCell ref="B14:F17"/>
    <mergeCell ref="I14:M14"/>
    <mergeCell ref="F4:M4"/>
    <mergeCell ref="N4:N5"/>
    <mergeCell ref="B6:F7"/>
  </mergeCells>
  <phoneticPr fontId="51" type="noConversion"/>
  <dataValidations count="1">
    <dataValidation type="list" allowBlank="1" showErrorMessage="1" sqref="H6 I7 H8:H10 L8:L10 K11:K12 H13:H14 L13 H16 I18 L18:L19 I20 H21:H27 L21:L27 J28:J30 H31:H33 K31 K33 I34 K35:K37 H36 I38 H39:H45 L39:L42 K44">
      <formula1>"√,×"</formula1>
      <formula2>0</formula2>
    </dataValidation>
  </dataValidations>
  <pageMargins left="0.78740157480314998" right="0.35433070866141703" top="0.511811023622047" bottom="0.11811023622047198" header="0.511811023622047" footer="0.511811023622047"/>
  <pageSetup paperSize="9" firstPageNumber="0" orientation="portrait" blackAndWhite="1" r:id="rId1"/>
  <headerFooter alignWithMargins="0"/>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3"/>
  <dimension ref="A1:O17"/>
  <sheetViews>
    <sheetView workbookViewId="0">
      <selection sqref="A1:G1"/>
    </sheetView>
  </sheetViews>
  <sheetFormatPr defaultColWidth="9" defaultRowHeight="15.6"/>
  <cols>
    <col min="1" max="1" width="16.09765625" style="222" customWidth="1"/>
    <col min="2" max="2" width="14.09765625" style="222" customWidth="1"/>
    <col min="3" max="3" width="14" style="222" customWidth="1"/>
    <col min="4" max="4" width="0" style="222" hidden="1" customWidth="1"/>
    <col min="5" max="5" width="10.69921875" style="222" customWidth="1"/>
    <col min="6" max="6" width="9.59765625" style="222" customWidth="1"/>
    <col min="7" max="7" width="18.69921875" style="222" customWidth="1"/>
    <col min="8" max="16384" width="9" style="222"/>
  </cols>
  <sheetData>
    <row r="1" spans="1:15" ht="22.2">
      <c r="A1" s="2684" t="s">
        <v>1533</v>
      </c>
      <c r="B1" s="2684"/>
      <c r="C1" s="2684"/>
      <c r="D1" s="2684"/>
      <c r="E1" s="2684"/>
      <c r="F1" s="2684"/>
      <c r="G1" s="2684"/>
      <c r="H1" s="223"/>
      <c r="I1" s="223"/>
      <c r="J1" s="223"/>
      <c r="K1" s="223"/>
      <c r="L1" s="223"/>
      <c r="M1" s="223"/>
      <c r="N1" s="223"/>
      <c r="O1" s="223"/>
    </row>
    <row r="2" spans="1:15" ht="7.5" customHeight="1">
      <c r="A2" s="224"/>
      <c r="B2" s="224"/>
      <c r="C2" s="224"/>
      <c r="D2" s="224"/>
      <c r="E2" s="224"/>
      <c r="F2" s="224"/>
      <c r="G2" s="224"/>
      <c r="H2" s="223"/>
      <c r="I2" s="223"/>
      <c r="J2" s="223"/>
      <c r="K2" s="223"/>
      <c r="L2" s="223"/>
      <c r="M2" s="223"/>
      <c r="N2" s="223"/>
      <c r="O2" s="223"/>
    </row>
    <row r="3" spans="1:15" ht="36" customHeight="1">
      <c r="A3" s="225" t="s">
        <v>1534</v>
      </c>
      <c r="B3" s="2977">
        <f>基本情况!B2</f>
        <v>0</v>
      </c>
      <c r="C3" s="2977"/>
      <c r="D3" s="2977"/>
      <c r="E3" s="2977"/>
      <c r="F3" s="225" t="s">
        <v>283</v>
      </c>
      <c r="G3" s="226" t="str">
        <f>档案索引!A29</f>
        <v>2A-9</v>
      </c>
      <c r="H3" s="223"/>
      <c r="I3" s="223"/>
      <c r="J3" s="223"/>
      <c r="K3" s="223"/>
      <c r="L3" s="223"/>
      <c r="M3" s="223"/>
      <c r="N3" s="223"/>
      <c r="O3" s="223"/>
    </row>
    <row r="4" spans="1:15" ht="36" customHeight="1">
      <c r="A4" s="225" t="s">
        <v>1535</v>
      </c>
      <c r="B4" s="2978" t="str">
        <f>基本情况!B38</f>
        <v>小企业会计准则</v>
      </c>
      <c r="C4" s="2978"/>
      <c r="D4" s="2978"/>
      <c r="E4" s="2978"/>
      <c r="F4" s="225" t="s">
        <v>452</v>
      </c>
      <c r="G4" s="227" t="str">
        <f>IF(OR(基本情况!B6&lt;&gt;"12月31日",基本情况!F5&lt;&gt;"01",基本情况!G5&lt;&gt;"01"),基本情况!B7,基本情况!B4&amp;"年度")</f>
        <v>2016年度</v>
      </c>
      <c r="H4" s="223"/>
      <c r="I4" s="223"/>
      <c r="J4" s="223"/>
      <c r="K4" s="223"/>
      <c r="L4" s="223"/>
      <c r="M4" s="223"/>
      <c r="N4" s="223"/>
      <c r="O4" s="223"/>
    </row>
    <row r="5" spans="1:15" ht="36" customHeight="1">
      <c r="A5" s="225" t="s">
        <v>1536</v>
      </c>
      <c r="B5" s="228"/>
      <c r="C5" s="2748" t="s">
        <v>399</v>
      </c>
      <c r="D5" s="2748"/>
      <c r="E5" s="229">
        <f>基本情况!B11</f>
        <v>0</v>
      </c>
      <c r="F5" s="230" t="s">
        <v>461</v>
      </c>
      <c r="G5" s="231" t="str">
        <f>基本情况!B3</f>
        <v>企业所得税年度纳税申报审核</v>
      </c>
      <c r="H5" s="2683" t="s">
        <v>396</v>
      </c>
      <c r="I5" s="2683"/>
      <c r="J5" s="2683"/>
      <c r="K5" s="223"/>
      <c r="L5" s="223"/>
      <c r="M5" s="223"/>
      <c r="N5" s="223"/>
      <c r="O5" s="223"/>
    </row>
    <row r="6" spans="1:15" ht="24" customHeight="1">
      <c r="A6" s="2974" t="s">
        <v>1537</v>
      </c>
      <c r="B6" s="2974"/>
      <c r="C6" s="2974"/>
      <c r="D6" s="2975" t="s">
        <v>1538</v>
      </c>
      <c r="E6" s="2975"/>
      <c r="F6" s="2975"/>
      <c r="G6" s="2975"/>
      <c r="H6" s="232" t="s">
        <v>1539</v>
      </c>
      <c r="I6" s="223"/>
      <c r="J6" s="223"/>
      <c r="K6" s="223"/>
      <c r="L6" s="223"/>
      <c r="M6" s="223"/>
      <c r="N6" s="223"/>
      <c r="O6" s="223"/>
    </row>
    <row r="7" spans="1:15" ht="45" customHeight="1">
      <c r="A7" s="2976"/>
      <c r="B7" s="2976"/>
      <c r="C7" s="2976"/>
      <c r="D7" s="2975"/>
      <c r="E7" s="2975"/>
      <c r="F7" s="2975"/>
      <c r="G7" s="2975"/>
      <c r="H7" s="233"/>
      <c r="I7" s="223"/>
      <c r="J7" s="223"/>
      <c r="K7" s="223"/>
      <c r="L7" s="223"/>
      <c r="M7" s="223"/>
      <c r="N7" s="223"/>
      <c r="O7" s="223"/>
    </row>
    <row r="8" spans="1:15" ht="45" customHeight="1">
      <c r="A8" s="2976"/>
      <c r="B8" s="2976"/>
      <c r="C8" s="2976"/>
      <c r="D8" s="2975"/>
      <c r="E8" s="2975"/>
      <c r="F8" s="2975"/>
      <c r="G8" s="2975"/>
      <c r="H8" s="234" t="s">
        <v>1540</v>
      </c>
      <c r="I8" s="223"/>
      <c r="J8" s="223"/>
      <c r="K8" s="223"/>
      <c r="L8" s="223"/>
      <c r="M8" s="223"/>
      <c r="N8" s="223"/>
      <c r="O8" s="223"/>
    </row>
    <row r="9" spans="1:15" ht="45" customHeight="1">
      <c r="A9" s="2976"/>
      <c r="B9" s="2976"/>
      <c r="C9" s="2976"/>
      <c r="D9" s="2975"/>
      <c r="E9" s="2975"/>
      <c r="F9" s="2975"/>
      <c r="G9" s="2975"/>
      <c r="H9" s="233"/>
      <c r="I9" s="223"/>
      <c r="J9" s="223"/>
      <c r="K9" s="223"/>
      <c r="L9" s="223"/>
      <c r="M9" s="223"/>
      <c r="N9" s="223"/>
      <c r="O9" s="223"/>
    </row>
    <row r="10" spans="1:15" ht="45" customHeight="1">
      <c r="A10" s="2976"/>
      <c r="B10" s="2976"/>
      <c r="C10" s="2976"/>
      <c r="D10" s="2975"/>
      <c r="E10" s="2975"/>
      <c r="F10" s="2975"/>
      <c r="G10" s="2975"/>
      <c r="H10" s="233"/>
      <c r="I10" s="223"/>
      <c r="J10" s="223"/>
      <c r="K10" s="223"/>
      <c r="L10" s="223"/>
      <c r="M10" s="223"/>
      <c r="N10" s="223"/>
      <c r="O10" s="223"/>
    </row>
    <row r="11" spans="1:15" ht="45" customHeight="1">
      <c r="A11" s="2976"/>
      <c r="B11" s="2976"/>
      <c r="C11" s="2976"/>
      <c r="D11" s="2975"/>
      <c r="E11" s="2975"/>
      <c r="F11" s="2975"/>
      <c r="G11" s="2975"/>
      <c r="H11" s="233"/>
      <c r="I11" s="223"/>
      <c r="J11" s="223"/>
      <c r="K11" s="223"/>
      <c r="L11" s="223"/>
      <c r="M11" s="223"/>
      <c r="N11" s="223"/>
      <c r="O11" s="223"/>
    </row>
    <row r="12" spans="1:15" ht="24" customHeight="1">
      <c r="A12" s="2976"/>
      <c r="B12" s="2976"/>
      <c r="C12" s="2976"/>
      <c r="D12" s="2975" t="s">
        <v>1541</v>
      </c>
      <c r="E12" s="2975"/>
      <c r="F12" s="2975"/>
      <c r="G12" s="2975"/>
      <c r="H12" s="233"/>
      <c r="I12" s="223"/>
      <c r="J12" s="223"/>
      <c r="K12" s="223"/>
      <c r="L12" s="223"/>
      <c r="M12" s="223"/>
      <c r="N12" s="223"/>
      <c r="O12" s="223"/>
    </row>
    <row r="13" spans="1:15" ht="45" customHeight="1">
      <c r="A13" s="2976"/>
      <c r="B13" s="2976"/>
      <c r="C13" s="2976"/>
      <c r="D13" s="2975"/>
      <c r="E13" s="2975"/>
      <c r="F13" s="2975"/>
      <c r="G13" s="2975"/>
      <c r="H13" s="223"/>
      <c r="I13" s="223"/>
      <c r="J13" s="223"/>
      <c r="K13" s="223"/>
      <c r="L13" s="223"/>
      <c r="M13" s="223"/>
      <c r="N13" s="223"/>
      <c r="O13" s="223"/>
    </row>
    <row r="14" spans="1:15" ht="45" customHeight="1">
      <c r="A14" s="2976"/>
      <c r="B14" s="2976"/>
      <c r="C14" s="2976"/>
      <c r="D14" s="2975"/>
      <c r="E14" s="2975"/>
      <c r="F14" s="2975"/>
      <c r="G14" s="2975"/>
      <c r="H14" s="223"/>
      <c r="I14" s="223"/>
      <c r="J14" s="223"/>
      <c r="K14" s="223"/>
      <c r="L14" s="223"/>
      <c r="M14" s="223"/>
      <c r="N14" s="223"/>
      <c r="O14" s="223"/>
    </row>
    <row r="15" spans="1:15" ht="45" customHeight="1">
      <c r="A15" s="2976"/>
      <c r="B15" s="2976"/>
      <c r="C15" s="2976"/>
      <c r="D15" s="2975"/>
      <c r="E15" s="2975"/>
      <c r="F15" s="2975"/>
      <c r="G15" s="2975"/>
      <c r="H15" s="223"/>
      <c r="I15" s="223"/>
      <c r="J15" s="223"/>
      <c r="K15" s="223"/>
      <c r="L15" s="223"/>
      <c r="M15" s="223"/>
      <c r="N15" s="223"/>
      <c r="O15" s="223"/>
    </row>
    <row r="16" spans="1:15" ht="45" customHeight="1">
      <c r="A16" s="2976"/>
      <c r="B16" s="2976"/>
      <c r="C16" s="2976"/>
      <c r="D16" s="2975"/>
      <c r="E16" s="2975"/>
      <c r="F16" s="2975"/>
      <c r="G16" s="2975"/>
      <c r="H16" s="223"/>
      <c r="I16" s="223"/>
      <c r="J16" s="223"/>
      <c r="K16" s="223"/>
      <c r="L16" s="223"/>
      <c r="M16" s="223"/>
      <c r="N16" s="223"/>
      <c r="O16" s="223"/>
    </row>
    <row r="17" spans="1:15" ht="45" customHeight="1">
      <c r="A17" s="2976"/>
      <c r="B17" s="2976"/>
      <c r="C17" s="2976"/>
      <c r="D17" s="2975"/>
      <c r="E17" s="2975"/>
      <c r="F17" s="2975"/>
      <c r="G17" s="2975"/>
      <c r="H17" s="223"/>
      <c r="I17" s="223"/>
      <c r="J17" s="223"/>
      <c r="K17" s="223"/>
      <c r="L17" s="223"/>
      <c r="M17" s="223"/>
      <c r="N17" s="223"/>
      <c r="O17" s="223"/>
    </row>
  </sheetData>
  <sheetProtection selectLockedCells="1" selectUnlockedCells="1"/>
  <mergeCells count="9">
    <mergeCell ref="H5:J5"/>
    <mergeCell ref="A6:C6"/>
    <mergeCell ref="D6:G11"/>
    <mergeCell ref="A7:C17"/>
    <mergeCell ref="D12:G17"/>
    <mergeCell ref="A1:G1"/>
    <mergeCell ref="B3:E3"/>
    <mergeCell ref="B4:E4"/>
    <mergeCell ref="C5:D5"/>
  </mergeCells>
  <phoneticPr fontId="51" type="noConversion"/>
  <hyperlinks>
    <hyperlink ref="H6" location="事项说明!A1" display="事项说明"/>
  </hyperlinks>
  <pageMargins left="0.78740157480314998" right="0.35433070866141703" top="0.511811023622047" bottom="0.11811023622047198" header="0.511811023622047" footer="0.511811023622047"/>
  <pageSetup paperSize="9" firstPageNumber="0" orientation="portrait" blackAndWhite="1" r:id="rId1"/>
  <headerFooter alignWithMargins="0"/>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4"/>
  <dimension ref="A1:O31"/>
  <sheetViews>
    <sheetView workbookViewId="0">
      <selection activeCell="D5" sqref="D5:E5"/>
    </sheetView>
  </sheetViews>
  <sheetFormatPr defaultColWidth="8" defaultRowHeight="12"/>
  <cols>
    <col min="1" max="1" width="13.59765625" style="235" customWidth="1"/>
    <col min="2" max="2" width="9.69921875" style="235" customWidth="1"/>
    <col min="3" max="3" width="13.59765625" style="235" customWidth="1"/>
    <col min="4" max="4" width="8.19921875" style="235" customWidth="1"/>
    <col min="5" max="5" width="14.59765625" style="235" customWidth="1"/>
    <col min="6" max="6" width="12.69921875" style="235" customWidth="1"/>
    <col min="7" max="9" width="8" style="235"/>
    <col min="10" max="10" width="8.5" style="235" customWidth="1"/>
    <col min="11" max="16384" width="8" style="235"/>
  </cols>
  <sheetData>
    <row r="1" spans="1:15" s="238" customFormat="1" ht="46.5" customHeight="1">
      <c r="A1" s="2742" t="s">
        <v>326</v>
      </c>
      <c r="B1" s="2742"/>
      <c r="C1" s="2742"/>
      <c r="D1" s="2742"/>
      <c r="E1" s="2742"/>
      <c r="F1" s="2742"/>
      <c r="G1" s="2742"/>
      <c r="H1" s="236"/>
      <c r="I1" s="237"/>
      <c r="J1" s="236"/>
      <c r="K1" s="236"/>
      <c r="L1" s="236"/>
      <c r="M1" s="236"/>
      <c r="N1" s="236"/>
      <c r="O1" s="236"/>
    </row>
    <row r="2" spans="1:15" s="244" customFormat="1" ht="23.25" customHeight="1">
      <c r="A2" s="239" t="s">
        <v>448</v>
      </c>
      <c r="B2" s="2988">
        <f>基本情况!B2</f>
        <v>0</v>
      </c>
      <c r="C2" s="2988"/>
      <c r="D2" s="2988"/>
      <c r="E2" s="2988"/>
      <c r="F2" s="240" t="s">
        <v>283</v>
      </c>
      <c r="G2" s="241" t="str">
        <f>档案索引!A30</f>
        <v>2A-10</v>
      </c>
      <c r="H2" s="242"/>
      <c r="I2" s="242"/>
      <c r="J2" s="243"/>
      <c r="K2" s="243"/>
      <c r="L2" s="243"/>
      <c r="M2" s="243"/>
      <c r="N2" s="243"/>
      <c r="O2" s="243"/>
    </row>
    <row r="3" spans="1:15" s="246" customFormat="1" ht="23.25" customHeight="1">
      <c r="A3" s="2989" t="s">
        <v>1542</v>
      </c>
      <c r="B3" s="2989"/>
      <c r="C3" s="2989"/>
      <c r="D3" s="2990" t="s">
        <v>1543</v>
      </c>
      <c r="E3" s="2990"/>
      <c r="F3" s="2990"/>
      <c r="G3" s="2990"/>
      <c r="H3" s="245"/>
      <c r="I3" s="245"/>
      <c r="J3" s="245"/>
      <c r="K3" s="245"/>
      <c r="L3" s="245"/>
      <c r="M3" s="245"/>
      <c r="N3" s="245"/>
      <c r="O3" s="245"/>
    </row>
    <row r="4" spans="1:15" s="246" customFormat="1" ht="23.25" customHeight="1">
      <c r="A4" s="247" t="s">
        <v>1544</v>
      </c>
      <c r="B4" s="2987">
        <f>基本情况!B11</f>
        <v>0</v>
      </c>
      <c r="C4" s="2987"/>
      <c r="D4" s="2992" t="str">
        <f>"姓名："&amp;基本情况!B35</f>
        <v>姓名：0</v>
      </c>
      <c r="E4" s="2992"/>
      <c r="F4" s="2983" t="str">
        <f>"职务："&amp;基本情况!A35</f>
        <v>职务：企业负责人</v>
      </c>
      <c r="G4" s="2983"/>
      <c r="H4" s="2683" t="s">
        <v>396</v>
      </c>
      <c r="I4" s="2683"/>
      <c r="J4" s="2683"/>
      <c r="K4" s="245"/>
      <c r="L4" s="245"/>
      <c r="M4" s="245"/>
      <c r="N4" s="245"/>
      <c r="O4" s="245"/>
    </row>
    <row r="5" spans="1:15" s="246" customFormat="1" ht="23.25" customHeight="1">
      <c r="A5" s="247" t="s">
        <v>1545</v>
      </c>
      <c r="B5" s="2991">
        <f>基本情况!B12</f>
        <v>0</v>
      </c>
      <c r="C5" s="2991"/>
      <c r="D5" s="2992" t="str">
        <f>"姓名："&amp;基本情况!B36</f>
        <v>姓名：0</v>
      </c>
      <c r="E5" s="2992"/>
      <c r="F5" s="2983" t="str">
        <f>"职务："&amp;基本情况!A36</f>
        <v>职务：财务负责人</v>
      </c>
      <c r="G5" s="2983"/>
      <c r="H5" s="245"/>
      <c r="I5" s="245"/>
      <c r="J5" s="245"/>
      <c r="K5" s="245"/>
      <c r="L5" s="245"/>
      <c r="M5" s="245"/>
      <c r="N5" s="245"/>
      <c r="O5" s="245"/>
    </row>
    <row r="6" spans="1:15" s="246" customFormat="1" ht="23.25" customHeight="1">
      <c r="A6" s="2984"/>
      <c r="B6" s="2984"/>
      <c r="C6" s="2984"/>
      <c r="D6" s="2985" t="s">
        <v>1546</v>
      </c>
      <c r="E6" s="2985"/>
      <c r="F6" s="2986" t="s">
        <v>1547</v>
      </c>
      <c r="G6" s="2986"/>
      <c r="H6" s="245"/>
      <c r="I6" s="245"/>
      <c r="J6" s="245"/>
      <c r="K6" s="245"/>
      <c r="L6" s="245"/>
      <c r="M6" s="245"/>
      <c r="N6" s="245"/>
      <c r="O6" s="245"/>
    </row>
    <row r="7" spans="1:15" s="246" customFormat="1" ht="22.5" customHeight="1">
      <c r="A7" s="2981" t="s">
        <v>1548</v>
      </c>
      <c r="B7" s="2981"/>
      <c r="C7" s="2981"/>
      <c r="D7" s="2982" t="s">
        <v>1549</v>
      </c>
      <c r="E7" s="2982"/>
      <c r="F7" s="2982"/>
      <c r="G7" s="2982"/>
      <c r="H7" s="232" t="s">
        <v>1550</v>
      </c>
      <c r="I7" s="232"/>
      <c r="J7" s="232"/>
      <c r="K7" s="232"/>
      <c r="L7" s="245"/>
      <c r="M7" s="245"/>
      <c r="N7" s="245"/>
      <c r="O7" s="245"/>
    </row>
    <row r="8" spans="1:15" s="246" customFormat="1" ht="12.75" hidden="1" customHeight="1">
      <c r="A8" s="248"/>
      <c r="B8" s="243"/>
      <c r="C8" s="249"/>
      <c r="D8" s="243"/>
      <c r="E8" s="243"/>
      <c r="F8" s="243"/>
      <c r="G8" s="249"/>
      <c r="H8" s="245"/>
      <c r="I8" s="245"/>
      <c r="J8" s="245"/>
      <c r="K8" s="245"/>
      <c r="L8" s="245"/>
      <c r="M8" s="245"/>
      <c r="N8" s="245"/>
      <c r="O8" s="245"/>
    </row>
    <row r="9" spans="1:15" s="246" customFormat="1" ht="14.4">
      <c r="A9" s="2980"/>
      <c r="B9" s="2980"/>
      <c r="C9" s="2980"/>
      <c r="D9" s="2980"/>
      <c r="E9" s="2980"/>
      <c r="F9" s="2980"/>
      <c r="G9" s="2980"/>
      <c r="H9" s="245"/>
      <c r="I9" s="245"/>
      <c r="J9" s="245"/>
      <c r="K9" s="245"/>
      <c r="L9" s="245"/>
      <c r="M9" s="245"/>
      <c r="N9" s="245"/>
      <c r="O9" s="245"/>
    </row>
    <row r="10" spans="1:15" s="246" customFormat="1" ht="24.75" customHeight="1">
      <c r="A10" s="2979"/>
      <c r="B10" s="2979"/>
      <c r="C10" s="2979"/>
      <c r="D10" s="2979"/>
      <c r="E10" s="2979"/>
      <c r="F10" s="2979"/>
      <c r="G10" s="2979"/>
      <c r="H10" s="245"/>
      <c r="I10" s="245"/>
      <c r="J10" s="245"/>
      <c r="K10" s="245"/>
      <c r="L10" s="245"/>
      <c r="M10" s="245"/>
      <c r="N10" s="245"/>
      <c r="O10" s="245"/>
    </row>
    <row r="11" spans="1:15" s="246" customFormat="1" ht="24.75" customHeight="1">
      <c r="A11" s="2979"/>
      <c r="B11" s="2979"/>
      <c r="C11" s="2979"/>
      <c r="D11" s="2979"/>
      <c r="E11" s="2979"/>
      <c r="F11" s="2979"/>
      <c r="G11" s="2979"/>
      <c r="H11" s="245"/>
      <c r="I11" s="245"/>
      <c r="J11" s="245"/>
      <c r="K11" s="245"/>
      <c r="L11" s="245"/>
      <c r="M11" s="245"/>
      <c r="N11" s="245"/>
      <c r="O11" s="245"/>
    </row>
    <row r="12" spans="1:15" s="246" customFormat="1" ht="24.75" customHeight="1">
      <c r="A12" s="2979"/>
      <c r="B12" s="2979"/>
      <c r="C12" s="2979"/>
      <c r="D12" s="2979"/>
      <c r="E12" s="2979"/>
      <c r="F12" s="2979"/>
      <c r="G12" s="2979"/>
      <c r="H12" s="245"/>
      <c r="I12" s="245"/>
      <c r="J12" s="245"/>
      <c r="K12" s="245"/>
      <c r="L12" s="245"/>
      <c r="M12" s="245"/>
      <c r="N12" s="245"/>
      <c r="O12" s="245"/>
    </row>
    <row r="13" spans="1:15" s="246" customFormat="1" ht="24.75" customHeight="1">
      <c r="A13" s="2979"/>
      <c r="B13" s="2979"/>
      <c r="C13" s="2979"/>
      <c r="D13" s="2979"/>
      <c r="E13" s="2979"/>
      <c r="F13" s="2979"/>
      <c r="G13" s="2979"/>
      <c r="H13" s="245"/>
      <c r="I13" s="245"/>
      <c r="J13" s="245"/>
      <c r="K13" s="245"/>
      <c r="L13" s="245"/>
      <c r="M13" s="245"/>
      <c r="N13" s="245"/>
      <c r="O13" s="245"/>
    </row>
    <row r="14" spans="1:15" s="246" customFormat="1" ht="24.75" customHeight="1">
      <c r="A14" s="2979"/>
      <c r="B14" s="2979"/>
      <c r="C14" s="2979"/>
      <c r="D14" s="2979"/>
      <c r="E14" s="2979"/>
      <c r="F14" s="2979"/>
      <c r="G14" s="2979"/>
      <c r="H14" s="245"/>
      <c r="I14" s="245"/>
      <c r="J14" s="245"/>
      <c r="K14" s="245"/>
      <c r="L14" s="245"/>
      <c r="M14" s="245"/>
      <c r="N14" s="245"/>
      <c r="O14" s="245"/>
    </row>
    <row r="15" spans="1:15" s="246" customFormat="1" ht="24.75" customHeight="1">
      <c r="A15" s="2979"/>
      <c r="B15" s="2979"/>
      <c r="C15" s="2979"/>
      <c r="D15" s="2979"/>
      <c r="E15" s="2979"/>
      <c r="F15" s="2979"/>
      <c r="G15" s="2979"/>
      <c r="H15" s="245"/>
      <c r="I15" s="245"/>
      <c r="J15" s="245"/>
      <c r="K15" s="245"/>
      <c r="L15" s="245"/>
      <c r="M15" s="245"/>
      <c r="N15" s="245"/>
      <c r="O15" s="245"/>
    </row>
    <row r="16" spans="1:15" s="246" customFormat="1" ht="24.75" customHeight="1">
      <c r="A16" s="2979"/>
      <c r="B16" s="2979"/>
      <c r="C16" s="2979"/>
      <c r="D16" s="2979"/>
      <c r="E16" s="2979"/>
      <c r="F16" s="2979"/>
      <c r="G16" s="2979"/>
      <c r="H16" s="245"/>
      <c r="I16" s="245"/>
      <c r="J16" s="245"/>
      <c r="K16" s="245"/>
      <c r="L16" s="245"/>
      <c r="M16" s="245"/>
      <c r="N16" s="245"/>
      <c r="O16" s="245"/>
    </row>
    <row r="17" spans="1:15" s="246" customFormat="1" ht="24.75" customHeight="1">
      <c r="A17" s="2979"/>
      <c r="B17" s="2979"/>
      <c r="C17" s="2979"/>
      <c r="D17" s="2979"/>
      <c r="E17" s="2979"/>
      <c r="F17" s="2979"/>
      <c r="G17" s="2979"/>
      <c r="H17" s="245"/>
      <c r="I17" s="245"/>
      <c r="J17" s="245"/>
      <c r="K17" s="245"/>
      <c r="L17" s="245"/>
      <c r="M17" s="245"/>
      <c r="N17" s="245"/>
      <c r="O17" s="245"/>
    </row>
    <row r="18" spans="1:15" s="246" customFormat="1" ht="24.75" customHeight="1">
      <c r="A18" s="2979"/>
      <c r="B18" s="2979"/>
      <c r="C18" s="2979"/>
      <c r="D18" s="2979"/>
      <c r="E18" s="2979"/>
      <c r="F18" s="2979"/>
      <c r="G18" s="2979"/>
      <c r="H18" s="245"/>
      <c r="I18" s="245"/>
      <c r="J18" s="245"/>
      <c r="K18" s="245"/>
      <c r="L18" s="245"/>
      <c r="M18" s="245"/>
      <c r="N18" s="245"/>
      <c r="O18" s="245"/>
    </row>
    <row r="19" spans="1:15" s="246" customFormat="1" ht="24.75" customHeight="1">
      <c r="A19" s="2979"/>
      <c r="B19" s="2979"/>
      <c r="C19" s="2979"/>
      <c r="D19" s="2979" t="s">
        <v>264</v>
      </c>
      <c r="E19" s="2979"/>
      <c r="F19" s="2979"/>
      <c r="G19" s="2979"/>
      <c r="H19" s="245"/>
      <c r="I19" s="245"/>
      <c r="J19" s="245"/>
      <c r="K19" s="245"/>
      <c r="L19" s="245"/>
      <c r="M19" s="245"/>
      <c r="N19" s="245"/>
      <c r="O19" s="245"/>
    </row>
    <row r="20" spans="1:15" s="246" customFormat="1" ht="24.75" customHeight="1">
      <c r="A20" s="2979"/>
      <c r="B20" s="2979"/>
      <c r="C20" s="2979"/>
      <c r="D20" s="2979"/>
      <c r="E20" s="2979"/>
      <c r="F20" s="2979"/>
      <c r="G20" s="2979"/>
      <c r="H20" s="245"/>
      <c r="I20" s="245"/>
      <c r="J20" s="245"/>
      <c r="K20" s="245"/>
      <c r="L20" s="245"/>
      <c r="M20" s="245"/>
      <c r="N20" s="245"/>
      <c r="O20" s="245"/>
    </row>
    <row r="21" spans="1:15" s="246" customFormat="1" ht="24.75" customHeight="1">
      <c r="A21" s="2979"/>
      <c r="B21" s="2979"/>
      <c r="C21" s="2979"/>
      <c r="D21" s="2979"/>
      <c r="E21" s="2979"/>
      <c r="F21" s="2979"/>
      <c r="G21" s="2979"/>
      <c r="H21" s="245"/>
      <c r="I21" s="245"/>
      <c r="J21" s="245"/>
      <c r="K21" s="245"/>
      <c r="L21" s="245"/>
      <c r="M21" s="245"/>
      <c r="N21" s="245"/>
      <c r="O21" s="245"/>
    </row>
    <row r="22" spans="1:15" s="246" customFormat="1" ht="24.75" customHeight="1">
      <c r="A22" s="2979"/>
      <c r="B22" s="2979"/>
      <c r="C22" s="2979"/>
      <c r="D22" s="2979"/>
      <c r="E22" s="2979"/>
      <c r="F22" s="2979"/>
      <c r="G22" s="2979"/>
      <c r="H22" s="245"/>
      <c r="I22" s="245"/>
      <c r="J22" s="245"/>
      <c r="K22" s="245"/>
      <c r="L22" s="245"/>
      <c r="M22" s="245"/>
      <c r="N22" s="245"/>
      <c r="O22" s="245"/>
    </row>
    <row r="23" spans="1:15" s="246" customFormat="1" ht="24.75" customHeight="1">
      <c r="A23" s="2979"/>
      <c r="B23" s="2979"/>
      <c r="C23" s="2979"/>
      <c r="D23" s="2979"/>
      <c r="E23" s="2979"/>
      <c r="F23" s="2979"/>
      <c r="G23" s="2979"/>
      <c r="H23" s="245"/>
      <c r="I23" s="245"/>
      <c r="J23" s="245"/>
      <c r="K23" s="245"/>
      <c r="L23" s="245"/>
      <c r="M23" s="245"/>
      <c r="N23" s="245"/>
      <c r="O23" s="245"/>
    </row>
    <row r="24" spans="1:15" s="246" customFormat="1" ht="24.75" customHeight="1">
      <c r="A24" s="2979"/>
      <c r="B24" s="2979"/>
      <c r="C24" s="2979"/>
      <c r="D24" s="2979"/>
      <c r="E24" s="2979"/>
      <c r="F24" s="2979"/>
      <c r="G24" s="2979"/>
      <c r="H24" s="245"/>
      <c r="I24" s="245"/>
      <c r="J24" s="245"/>
      <c r="K24" s="245"/>
      <c r="L24" s="245"/>
      <c r="M24" s="245"/>
      <c r="N24" s="245"/>
      <c r="O24" s="245"/>
    </row>
    <row r="25" spans="1:15" s="246" customFormat="1" ht="24.75" customHeight="1">
      <c r="A25" s="2979"/>
      <c r="B25" s="2979"/>
      <c r="C25" s="2979"/>
      <c r="D25" s="2979"/>
      <c r="E25" s="2979"/>
      <c r="F25" s="2979"/>
      <c r="G25" s="2979"/>
      <c r="H25" s="245"/>
      <c r="I25" s="245"/>
      <c r="J25" s="245"/>
      <c r="K25" s="245"/>
      <c r="L25" s="245"/>
      <c r="M25" s="245"/>
      <c r="N25" s="245"/>
      <c r="O25" s="245"/>
    </row>
    <row r="26" spans="1:15" s="246" customFormat="1" ht="24.75" customHeight="1">
      <c r="A26" s="2979"/>
      <c r="B26" s="2979"/>
      <c r="C26" s="2979"/>
      <c r="D26" s="2979"/>
      <c r="E26" s="2979"/>
      <c r="F26" s="2979"/>
      <c r="G26" s="2979"/>
      <c r="H26" s="245"/>
      <c r="I26" s="245"/>
      <c r="J26" s="245"/>
      <c r="K26" s="245"/>
      <c r="L26" s="245"/>
      <c r="M26" s="245"/>
      <c r="N26" s="245"/>
      <c r="O26" s="245"/>
    </row>
    <row r="27" spans="1:15" s="246" customFormat="1" ht="24.75" customHeight="1">
      <c r="A27" s="2979"/>
      <c r="B27" s="2979"/>
      <c r="C27" s="2979"/>
      <c r="D27" s="2979"/>
      <c r="E27" s="2979"/>
      <c r="F27" s="2979"/>
      <c r="G27" s="2979"/>
      <c r="H27" s="245"/>
      <c r="I27" s="245"/>
      <c r="J27" s="245"/>
      <c r="K27" s="245"/>
      <c r="L27" s="245"/>
      <c r="M27" s="245"/>
      <c r="N27" s="245"/>
      <c r="O27" s="245"/>
    </row>
    <row r="28" spans="1:15" s="246" customFormat="1" ht="24.75" customHeight="1">
      <c r="A28" s="2979"/>
      <c r="B28" s="2979"/>
      <c r="C28" s="2979"/>
      <c r="D28" s="2979"/>
      <c r="E28" s="2979"/>
      <c r="F28" s="2979"/>
      <c r="G28" s="2979"/>
      <c r="H28" s="245"/>
      <c r="I28" s="245"/>
      <c r="J28" s="245"/>
      <c r="K28" s="245"/>
      <c r="L28" s="245"/>
      <c r="M28" s="245"/>
      <c r="N28" s="245"/>
      <c r="O28" s="245"/>
    </row>
    <row r="29" spans="1:15" s="246" customFormat="1" ht="24.75" customHeight="1">
      <c r="A29" s="2979"/>
      <c r="B29" s="2979"/>
      <c r="C29" s="2979"/>
      <c r="D29" s="2979"/>
      <c r="E29" s="2979"/>
      <c r="F29" s="2979"/>
      <c r="G29" s="2979"/>
      <c r="H29" s="245"/>
      <c r="I29" s="245"/>
      <c r="J29" s="245"/>
      <c r="K29" s="245"/>
      <c r="L29" s="245"/>
      <c r="M29" s="245"/>
      <c r="N29" s="245"/>
      <c r="O29" s="245"/>
    </row>
    <row r="30" spans="1:15" s="246" customFormat="1" ht="14.4">
      <c r="A30" s="248"/>
      <c r="B30" s="243"/>
      <c r="C30" s="249"/>
      <c r="D30" s="250" t="s">
        <v>1551</v>
      </c>
      <c r="E30" s="243"/>
      <c r="F30" s="243"/>
      <c r="G30" s="249"/>
      <c r="H30" s="245"/>
      <c r="I30" s="245"/>
      <c r="J30" s="245"/>
      <c r="K30" s="245"/>
      <c r="L30" s="245"/>
      <c r="M30" s="245"/>
      <c r="N30" s="245"/>
      <c r="O30" s="245"/>
    </row>
    <row r="31" spans="1:15" s="246" customFormat="1" ht="14.4">
      <c r="A31" s="251"/>
      <c r="B31" s="252"/>
      <c r="C31" s="253"/>
      <c r="D31" s="251"/>
      <c r="E31" s="252"/>
      <c r="F31" s="252"/>
      <c r="G31" s="253"/>
      <c r="H31" s="245"/>
      <c r="I31" s="245"/>
      <c r="J31" s="245"/>
      <c r="K31" s="245"/>
      <c r="L31" s="245"/>
      <c r="M31" s="245"/>
      <c r="N31" s="245"/>
      <c r="O31" s="245"/>
    </row>
  </sheetData>
  <sheetProtection selectLockedCells="1" selectUnlockedCells="1"/>
  <mergeCells count="58">
    <mergeCell ref="A23:C23"/>
    <mergeCell ref="D23:G23"/>
    <mergeCell ref="A28:C28"/>
    <mergeCell ref="D28:G28"/>
    <mergeCell ref="A24:C24"/>
    <mergeCell ref="D24:G24"/>
    <mergeCell ref="A25:C25"/>
    <mergeCell ref="D25:G25"/>
    <mergeCell ref="A29:C29"/>
    <mergeCell ref="D29:G29"/>
    <mergeCell ref="A26:C26"/>
    <mergeCell ref="D26:G26"/>
    <mergeCell ref="A27:C27"/>
    <mergeCell ref="D27:G27"/>
    <mergeCell ref="A13:C13"/>
    <mergeCell ref="D13:G13"/>
    <mergeCell ref="A14:C14"/>
    <mergeCell ref="D14:G14"/>
    <mergeCell ref="A22:C22"/>
    <mergeCell ref="D22:G22"/>
    <mergeCell ref="A21:C21"/>
    <mergeCell ref="D21:G21"/>
    <mergeCell ref="A19:C19"/>
    <mergeCell ref="D19:G19"/>
    <mergeCell ref="A20:C20"/>
    <mergeCell ref="D20:G20"/>
    <mergeCell ref="A15:C15"/>
    <mergeCell ref="D15:G15"/>
    <mergeCell ref="A16:C16"/>
    <mergeCell ref="D16:G16"/>
    <mergeCell ref="A17:C17"/>
    <mergeCell ref="D17:G17"/>
    <mergeCell ref="A18:C18"/>
    <mergeCell ref="D18:G18"/>
    <mergeCell ref="A1:G1"/>
    <mergeCell ref="B2:E2"/>
    <mergeCell ref="A3:C3"/>
    <mergeCell ref="D3:G3"/>
    <mergeCell ref="A12:C12"/>
    <mergeCell ref="D12:G12"/>
    <mergeCell ref="B5:C5"/>
    <mergeCell ref="D5:E5"/>
    <mergeCell ref="A11:C11"/>
    <mergeCell ref="D11:G11"/>
    <mergeCell ref="D4:E4"/>
    <mergeCell ref="F4:G4"/>
    <mergeCell ref="F5:G5"/>
    <mergeCell ref="A6:C6"/>
    <mergeCell ref="D6:E6"/>
    <mergeCell ref="F6:G6"/>
    <mergeCell ref="H4:J4"/>
    <mergeCell ref="B4:C4"/>
    <mergeCell ref="A10:C10"/>
    <mergeCell ref="D10:G10"/>
    <mergeCell ref="A9:C9"/>
    <mergeCell ref="D9:G9"/>
    <mergeCell ref="A7:C7"/>
    <mergeCell ref="D7:G7"/>
  </mergeCells>
  <phoneticPr fontId="51" type="noConversion"/>
  <dataValidations count="1">
    <dataValidation allowBlank="1" showErrorMessage="1" sqref="B5:C5">
      <formula1>0</formula1>
      <formula2>0</formula2>
    </dataValidation>
  </dataValidations>
  <hyperlinks>
    <hyperlink ref="H7" location="事项说明!A28" display="事项说明!A28"/>
  </hyperlinks>
  <pageMargins left="0.78740157480314998" right="0.35433070866141703" top="0.511811023622047" bottom="0.11811023622047198" header="0.511811023622047" footer="0.511811023622047"/>
  <pageSetup paperSize="9" firstPageNumber="0" orientation="portrait" blackAndWhite="1" r:id="rId1"/>
  <headerFooter alignWithMargins="0"/>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5"/>
  <dimension ref="A1:K42"/>
  <sheetViews>
    <sheetView workbookViewId="0">
      <selection activeCell="I8" sqref="I8"/>
    </sheetView>
  </sheetViews>
  <sheetFormatPr defaultColWidth="9" defaultRowHeight="15.6"/>
  <cols>
    <col min="1" max="1" width="9.59765625" style="254" customWidth="1"/>
    <col min="2" max="2" width="52.09765625" style="255" customWidth="1"/>
    <col min="3" max="5" width="6.3984375" style="255" customWidth="1"/>
    <col min="6" max="16384" width="9" style="255"/>
  </cols>
  <sheetData>
    <row r="1" spans="1:11" ht="14.25" customHeight="1">
      <c r="A1" s="3000" t="s">
        <v>10082</v>
      </c>
      <c r="B1" s="3000"/>
      <c r="C1" s="3000"/>
      <c r="D1" s="3000"/>
      <c r="E1" s="3000"/>
      <c r="F1" s="256"/>
      <c r="G1" s="256"/>
      <c r="H1" s="256"/>
      <c r="I1" s="256"/>
      <c r="J1" s="256"/>
      <c r="K1" s="256"/>
    </row>
    <row r="2" spans="1:11" ht="17.25" customHeight="1">
      <c r="A2" s="3000"/>
      <c r="B2" s="3000"/>
      <c r="C2" s="3000"/>
      <c r="D2" s="3000"/>
      <c r="E2" s="3000"/>
      <c r="F2" s="256"/>
      <c r="G2" s="256"/>
      <c r="H2" s="256"/>
      <c r="I2" s="256"/>
      <c r="J2" s="256"/>
      <c r="K2" s="256"/>
    </row>
    <row r="3" spans="1:11" ht="29.85" customHeight="1">
      <c r="A3" s="3001" t="s">
        <v>330</v>
      </c>
      <c r="B3" s="3001"/>
      <c r="C3" s="3001"/>
      <c r="D3" s="3001"/>
      <c r="E3" s="3001"/>
      <c r="F3" s="256"/>
      <c r="G3" s="256"/>
      <c r="H3" s="256"/>
      <c r="I3" s="256"/>
      <c r="J3" s="256"/>
      <c r="K3" s="256"/>
    </row>
    <row r="4" spans="1:11" ht="12.75" hidden="1" customHeight="1">
      <c r="A4" s="257"/>
      <c r="B4" s="258"/>
      <c r="C4" s="259"/>
      <c r="D4" s="259"/>
      <c r="E4" s="259"/>
      <c r="F4" s="256"/>
      <c r="G4" s="256"/>
      <c r="H4" s="256"/>
      <c r="I4" s="256"/>
      <c r="J4" s="256"/>
      <c r="K4" s="256"/>
    </row>
    <row r="5" spans="1:11" s="262" customFormat="1" ht="32.25" customHeight="1">
      <c r="A5" s="3002" t="str">
        <f>"公司名称："&amp;基本情况!B2</f>
        <v>公司名称：0</v>
      </c>
      <c r="B5" s="3002"/>
      <c r="C5" s="3003" t="s">
        <v>1552</v>
      </c>
      <c r="D5" s="3003"/>
      <c r="E5" s="260" t="str">
        <f>档案索引!A31</f>
        <v>2A-11</v>
      </c>
      <c r="F5" s="261"/>
      <c r="G5" s="261"/>
      <c r="H5" s="261"/>
      <c r="I5" s="261"/>
      <c r="J5" s="261"/>
      <c r="K5" s="261"/>
    </row>
    <row r="6" spans="1:11" ht="18" customHeight="1">
      <c r="A6" s="2998" t="s">
        <v>1553</v>
      </c>
      <c r="B6" s="2999" t="s">
        <v>1554</v>
      </c>
      <c r="C6" s="3004" t="s">
        <v>1555</v>
      </c>
      <c r="D6" s="3004"/>
      <c r="E6" s="3004"/>
      <c r="F6" s="256"/>
      <c r="G6" s="256"/>
      <c r="H6" s="256"/>
      <c r="I6" s="256"/>
      <c r="J6" s="256"/>
      <c r="K6" s="256"/>
    </row>
    <row r="7" spans="1:11" ht="18" customHeight="1">
      <c r="A7" s="2998"/>
      <c r="B7" s="2999"/>
      <c r="C7" s="263" t="s">
        <v>1556</v>
      </c>
      <c r="D7" s="264" t="s">
        <v>1557</v>
      </c>
      <c r="E7" s="264" t="s">
        <v>1079</v>
      </c>
      <c r="F7" s="256"/>
      <c r="G7" s="256"/>
      <c r="H7" s="256"/>
      <c r="I7" s="256"/>
      <c r="J7" s="256"/>
      <c r="K7" s="256"/>
    </row>
    <row r="8" spans="1:11" ht="16.5" customHeight="1">
      <c r="A8" s="2993" t="s">
        <v>1558</v>
      </c>
      <c r="B8" s="265" t="s">
        <v>1559</v>
      </c>
      <c r="C8" s="266"/>
      <c r="D8" s="267"/>
      <c r="E8" s="268"/>
      <c r="F8" s="256"/>
      <c r="G8" s="256"/>
      <c r="H8" s="256"/>
      <c r="I8" s="256"/>
      <c r="J8" s="256"/>
      <c r="K8" s="256"/>
    </row>
    <row r="9" spans="1:11" ht="16.5" customHeight="1">
      <c r="A9" s="2993"/>
      <c r="B9" s="269" t="s">
        <v>430</v>
      </c>
      <c r="C9" s="270"/>
      <c r="D9" s="271"/>
      <c r="E9" s="272"/>
      <c r="F9" s="256"/>
      <c r="G9" s="256"/>
      <c r="H9" s="256"/>
      <c r="I9" s="256"/>
      <c r="J9" s="256"/>
      <c r="K9" s="256"/>
    </row>
    <row r="10" spans="1:11" ht="16.5" customHeight="1">
      <c r="A10" s="2993"/>
      <c r="B10" s="269" t="s">
        <v>1560</v>
      </c>
      <c r="C10" s="270"/>
      <c r="D10" s="271"/>
      <c r="E10" s="272"/>
      <c r="F10" s="256"/>
      <c r="G10" s="256"/>
      <c r="H10" s="256"/>
      <c r="I10" s="256"/>
      <c r="J10" s="256"/>
      <c r="K10" s="256"/>
    </row>
    <row r="11" spans="1:11" ht="16.5" customHeight="1">
      <c r="A11" s="2993"/>
      <c r="B11" s="269" t="s">
        <v>1561</v>
      </c>
      <c r="C11" s="270"/>
      <c r="D11" s="271"/>
      <c r="E11" s="272"/>
      <c r="F11" s="256"/>
      <c r="G11" s="256"/>
      <c r="H11" s="256"/>
      <c r="I11" s="256"/>
      <c r="J11" s="256"/>
      <c r="K11" s="256"/>
    </row>
    <row r="12" spans="1:11" ht="16.5" customHeight="1">
      <c r="A12" s="2993"/>
      <c r="B12" s="269" t="s">
        <v>1562</v>
      </c>
      <c r="C12" s="270"/>
      <c r="D12" s="271"/>
      <c r="E12" s="272"/>
      <c r="F12" s="256"/>
      <c r="G12" s="256"/>
      <c r="H12" s="256"/>
      <c r="I12" s="256"/>
      <c r="J12" s="256"/>
      <c r="K12" s="256"/>
    </row>
    <row r="13" spans="1:11" ht="16.5" customHeight="1">
      <c r="A13" s="273"/>
      <c r="B13" s="274" t="s">
        <v>1563</v>
      </c>
      <c r="C13" s="275"/>
      <c r="D13" s="276"/>
      <c r="E13" s="277"/>
      <c r="F13" s="256"/>
      <c r="G13" s="256"/>
      <c r="H13" s="256"/>
      <c r="I13" s="256"/>
      <c r="J13" s="256"/>
      <c r="K13" s="256"/>
    </row>
    <row r="14" spans="1:11" ht="16.5" customHeight="1">
      <c r="A14" s="2995" t="s">
        <v>1564</v>
      </c>
      <c r="B14" s="265" t="s">
        <v>1565</v>
      </c>
      <c r="C14" s="266"/>
      <c r="D14" s="267"/>
      <c r="E14" s="268"/>
      <c r="F14" s="256"/>
      <c r="G14" s="256"/>
      <c r="H14" s="256"/>
      <c r="I14" s="256"/>
      <c r="J14" s="256"/>
      <c r="K14" s="256"/>
    </row>
    <row r="15" spans="1:11" ht="16.5" customHeight="1">
      <c r="A15" s="2995"/>
      <c r="B15" s="269" t="s">
        <v>1566</v>
      </c>
      <c r="C15" s="270"/>
      <c r="D15" s="271"/>
      <c r="E15" s="272"/>
      <c r="F15" s="256"/>
      <c r="G15" s="256"/>
      <c r="H15" s="256"/>
      <c r="I15" s="256"/>
      <c r="J15" s="256"/>
      <c r="K15" s="256"/>
    </row>
    <row r="16" spans="1:11" ht="16.5" customHeight="1">
      <c r="A16" s="2995"/>
      <c r="B16" s="269" t="s">
        <v>1419</v>
      </c>
      <c r="C16" s="270"/>
      <c r="D16" s="271"/>
      <c r="E16" s="272"/>
      <c r="F16" s="256"/>
      <c r="G16" s="256"/>
      <c r="H16" s="256"/>
      <c r="I16" s="256"/>
      <c r="J16" s="256"/>
      <c r="K16" s="256"/>
    </row>
    <row r="17" spans="1:11" ht="16.5" customHeight="1">
      <c r="A17" s="2995"/>
      <c r="B17" s="269" t="s">
        <v>1567</v>
      </c>
      <c r="C17" s="270"/>
      <c r="D17" s="271"/>
      <c r="E17" s="272"/>
      <c r="F17" s="256"/>
      <c r="G17" s="256"/>
      <c r="H17" s="256"/>
      <c r="I17" s="256"/>
      <c r="J17" s="256"/>
      <c r="K17" s="256"/>
    </row>
    <row r="18" spans="1:11" ht="16.5" customHeight="1">
      <c r="A18" s="2995"/>
      <c r="B18" s="269" t="s">
        <v>1568</v>
      </c>
      <c r="C18" s="270"/>
      <c r="D18" s="271"/>
      <c r="E18" s="272"/>
      <c r="F18" s="256"/>
      <c r="G18" s="256"/>
      <c r="H18" s="256"/>
      <c r="I18" s="256"/>
      <c r="J18" s="256"/>
      <c r="K18" s="256"/>
    </row>
    <row r="19" spans="1:11" ht="16.5" customHeight="1">
      <c r="A19" s="2995"/>
      <c r="B19" s="269" t="s">
        <v>1569</v>
      </c>
      <c r="C19" s="270"/>
      <c r="D19" s="271"/>
      <c r="E19" s="272"/>
      <c r="F19" s="256"/>
      <c r="G19" s="256"/>
      <c r="H19" s="256"/>
      <c r="I19" s="256"/>
      <c r="J19" s="256"/>
      <c r="K19" s="256"/>
    </row>
    <row r="20" spans="1:11" ht="16.5" customHeight="1">
      <c r="A20" s="2995"/>
      <c r="B20" s="269" t="s">
        <v>1570</v>
      </c>
      <c r="C20" s="270"/>
      <c r="D20" s="271"/>
      <c r="E20" s="272"/>
      <c r="F20" s="256"/>
      <c r="G20" s="256"/>
      <c r="H20" s="256"/>
      <c r="I20" s="256"/>
      <c r="J20" s="256"/>
      <c r="K20" s="256"/>
    </row>
    <row r="21" spans="1:11" ht="16.5" customHeight="1">
      <c r="A21" s="2995"/>
      <c r="B21" s="278" t="s">
        <v>1571</v>
      </c>
      <c r="C21" s="279"/>
      <c r="D21" s="280"/>
      <c r="E21" s="281"/>
      <c r="F21" s="256"/>
      <c r="G21" s="256"/>
      <c r="H21" s="256"/>
      <c r="I21" s="256"/>
      <c r="J21" s="256"/>
      <c r="K21" s="256"/>
    </row>
    <row r="22" spans="1:11" ht="16.5" customHeight="1">
      <c r="A22" s="2996" t="s">
        <v>1572</v>
      </c>
      <c r="B22" s="265" t="s">
        <v>1573</v>
      </c>
      <c r="C22" s="275"/>
      <c r="D22" s="276"/>
      <c r="E22" s="277"/>
      <c r="F22" s="256"/>
      <c r="G22" s="256"/>
      <c r="H22" s="256"/>
      <c r="I22" s="256"/>
      <c r="J22" s="256"/>
      <c r="K22" s="256"/>
    </row>
    <row r="23" spans="1:11" ht="16.5" customHeight="1">
      <c r="A23" s="2996"/>
      <c r="B23" s="269" t="s">
        <v>1574</v>
      </c>
      <c r="C23" s="270"/>
      <c r="D23" s="271"/>
      <c r="E23" s="272"/>
      <c r="F23" s="256"/>
      <c r="G23" s="256"/>
      <c r="H23" s="256"/>
      <c r="I23" s="256"/>
      <c r="J23" s="256"/>
      <c r="K23" s="256"/>
    </row>
    <row r="24" spans="1:11" ht="16.5" customHeight="1">
      <c r="A24" s="2996"/>
      <c r="B24" s="269" t="s">
        <v>1575</v>
      </c>
      <c r="C24" s="270"/>
      <c r="D24" s="271"/>
      <c r="E24" s="272"/>
      <c r="F24" s="256"/>
      <c r="G24" s="256"/>
      <c r="H24" s="256"/>
      <c r="I24" s="256"/>
      <c r="J24" s="256"/>
      <c r="K24" s="256"/>
    </row>
    <row r="25" spans="1:11" ht="16.5" customHeight="1">
      <c r="A25" s="2996"/>
      <c r="B25" s="269" t="s">
        <v>1576</v>
      </c>
      <c r="C25" s="270"/>
      <c r="D25" s="271"/>
      <c r="E25" s="272"/>
      <c r="F25" s="256"/>
      <c r="G25" s="256"/>
      <c r="H25" s="256"/>
      <c r="I25" s="256"/>
      <c r="J25" s="256"/>
      <c r="K25" s="256"/>
    </row>
    <row r="26" spans="1:11" ht="16.5" customHeight="1">
      <c r="A26" s="2996"/>
      <c r="B26" s="269" t="s">
        <v>1577</v>
      </c>
      <c r="C26" s="270"/>
      <c r="D26" s="271"/>
      <c r="E26" s="272"/>
      <c r="F26" s="256"/>
      <c r="G26" s="256"/>
      <c r="H26" s="256"/>
      <c r="I26" s="256"/>
      <c r="J26" s="256"/>
      <c r="K26" s="256"/>
    </row>
    <row r="27" spans="1:11" ht="16.5" customHeight="1">
      <c r="A27" s="2996"/>
      <c r="B27" s="269" t="s">
        <v>1578</v>
      </c>
      <c r="C27" s="270"/>
      <c r="D27" s="271"/>
      <c r="E27" s="272"/>
      <c r="F27" s="256"/>
      <c r="G27" s="256"/>
      <c r="H27" s="256"/>
      <c r="I27" s="256"/>
      <c r="J27" s="256"/>
      <c r="K27" s="256"/>
    </row>
    <row r="28" spans="1:11" ht="16.5" customHeight="1">
      <c r="A28" s="2996"/>
      <c r="B28" s="269" t="s">
        <v>1579</v>
      </c>
      <c r="C28" s="270"/>
      <c r="D28" s="271"/>
      <c r="E28" s="272"/>
      <c r="F28" s="256"/>
      <c r="G28" s="256"/>
      <c r="H28" s="256"/>
      <c r="I28" s="256"/>
      <c r="J28" s="256"/>
      <c r="K28" s="256"/>
    </row>
    <row r="29" spans="1:11" ht="16.5" customHeight="1">
      <c r="A29" s="2996"/>
      <c r="B29" s="269" t="s">
        <v>1580</v>
      </c>
      <c r="C29" s="270"/>
      <c r="D29" s="271"/>
      <c r="E29" s="272"/>
      <c r="F29" s="256"/>
      <c r="G29" s="256"/>
      <c r="H29" s="256"/>
      <c r="I29" s="256"/>
      <c r="J29" s="256"/>
      <c r="K29" s="256"/>
    </row>
    <row r="30" spans="1:11" ht="16.5" customHeight="1">
      <c r="A30" s="2996"/>
      <c r="B30" s="269" t="s">
        <v>1581</v>
      </c>
      <c r="C30" s="270"/>
      <c r="D30" s="271"/>
      <c r="E30" s="272"/>
      <c r="F30" s="256"/>
      <c r="G30" s="256"/>
      <c r="H30" s="256"/>
      <c r="I30" s="256"/>
      <c r="J30" s="256"/>
      <c r="K30" s="256"/>
    </row>
    <row r="31" spans="1:11" ht="16.5" customHeight="1">
      <c r="A31" s="2996"/>
      <c r="B31" s="269" t="s">
        <v>1582</v>
      </c>
      <c r="C31" s="270"/>
      <c r="D31" s="271"/>
      <c r="E31" s="272"/>
      <c r="F31" s="256"/>
      <c r="G31" s="256"/>
      <c r="H31" s="256"/>
      <c r="I31" s="256"/>
      <c r="J31" s="256"/>
      <c r="K31" s="256"/>
    </row>
    <row r="32" spans="1:11" ht="16.5" customHeight="1">
      <c r="A32" s="2996"/>
      <c r="B32" s="2997" t="s">
        <v>1583</v>
      </c>
      <c r="C32" s="282"/>
      <c r="D32" s="283"/>
      <c r="E32" s="284"/>
      <c r="F32" s="256"/>
      <c r="G32" s="256"/>
      <c r="H32" s="256"/>
      <c r="I32" s="256"/>
      <c r="J32" s="256"/>
      <c r="K32" s="256"/>
    </row>
    <row r="33" spans="1:11" ht="16.5" customHeight="1">
      <c r="A33" s="2996"/>
      <c r="B33" s="2997"/>
      <c r="C33" s="285"/>
      <c r="D33" s="286"/>
      <c r="E33" s="287"/>
      <c r="F33" s="256"/>
      <c r="G33" s="256"/>
      <c r="H33" s="256"/>
      <c r="I33" s="256"/>
      <c r="J33" s="256"/>
      <c r="K33" s="256"/>
    </row>
    <row r="34" spans="1:11" ht="16.5" customHeight="1">
      <c r="A34" s="2993" t="s">
        <v>1584</v>
      </c>
      <c r="B34" s="265" t="s">
        <v>1585</v>
      </c>
      <c r="C34" s="266"/>
      <c r="D34" s="267"/>
      <c r="E34" s="268"/>
      <c r="F34" s="256"/>
      <c r="G34" s="256"/>
      <c r="H34" s="256"/>
      <c r="I34" s="256"/>
      <c r="J34" s="256"/>
      <c r="K34" s="256"/>
    </row>
    <row r="35" spans="1:11" ht="16.5" customHeight="1">
      <c r="A35" s="2993"/>
      <c r="B35" s="269" t="s">
        <v>1586</v>
      </c>
      <c r="C35" s="270"/>
      <c r="D35" s="271"/>
      <c r="E35" s="272"/>
      <c r="F35" s="256"/>
      <c r="G35" s="256"/>
      <c r="H35" s="256"/>
      <c r="I35" s="256"/>
      <c r="J35" s="256"/>
      <c r="K35" s="256"/>
    </row>
    <row r="36" spans="1:11" ht="16.5" customHeight="1">
      <c r="A36" s="2993"/>
      <c r="B36" s="269" t="s">
        <v>1587</v>
      </c>
      <c r="C36" s="270"/>
      <c r="D36" s="271"/>
      <c r="E36" s="272"/>
      <c r="F36" s="256"/>
      <c r="G36" s="256"/>
      <c r="H36" s="256"/>
      <c r="I36" s="256"/>
      <c r="J36" s="256"/>
      <c r="K36" s="256"/>
    </row>
    <row r="37" spans="1:11" ht="16.5" customHeight="1">
      <c r="A37" s="2993"/>
      <c r="B37" s="269" t="s">
        <v>1588</v>
      </c>
      <c r="C37" s="270"/>
      <c r="D37" s="271"/>
      <c r="E37" s="272"/>
      <c r="F37" s="256"/>
      <c r="G37" s="256"/>
      <c r="H37" s="256"/>
      <c r="I37" s="256"/>
      <c r="J37" s="256"/>
      <c r="K37" s="256"/>
    </row>
    <row r="38" spans="1:11" ht="16.5" customHeight="1">
      <c r="A38" s="2993"/>
      <c r="B38" s="288" t="s">
        <v>1589</v>
      </c>
      <c r="C38" s="282"/>
      <c r="D38" s="283"/>
      <c r="E38" s="284"/>
      <c r="F38" s="256"/>
      <c r="G38" s="256"/>
      <c r="H38" s="256"/>
      <c r="I38" s="256"/>
      <c r="J38" s="256"/>
      <c r="K38" s="256"/>
    </row>
    <row r="39" spans="1:11" ht="16.5" customHeight="1">
      <c r="A39" s="2994" t="s">
        <v>1590</v>
      </c>
      <c r="B39" s="289"/>
      <c r="C39" s="290"/>
      <c r="D39" s="291"/>
      <c r="E39" s="292"/>
      <c r="F39" s="256"/>
      <c r="G39" s="256"/>
      <c r="H39" s="256"/>
      <c r="I39" s="256"/>
      <c r="J39" s="256"/>
      <c r="K39" s="256"/>
    </row>
    <row r="40" spans="1:11" ht="16.5" customHeight="1">
      <c r="A40" s="2994"/>
      <c r="B40" s="293"/>
      <c r="C40" s="294"/>
      <c r="D40" s="295"/>
      <c r="E40" s="296"/>
      <c r="F40" s="256"/>
      <c r="G40" s="256"/>
      <c r="H40" s="256"/>
      <c r="I40" s="256"/>
      <c r="J40" s="256"/>
      <c r="K40" s="256"/>
    </row>
    <row r="41" spans="1:11" ht="16.5" customHeight="1">
      <c r="A41" s="2994"/>
      <c r="B41" s="293"/>
      <c r="C41" s="294"/>
      <c r="D41" s="295"/>
      <c r="E41" s="296"/>
      <c r="F41" s="256"/>
      <c r="G41" s="256"/>
      <c r="H41" s="256"/>
      <c r="I41" s="256"/>
      <c r="J41" s="256"/>
      <c r="K41" s="256"/>
    </row>
    <row r="42" spans="1:11" ht="16.5" customHeight="1">
      <c r="A42" s="2994"/>
      <c r="B42" s="297"/>
      <c r="C42" s="298"/>
      <c r="D42" s="299"/>
      <c r="E42" s="300"/>
      <c r="F42" s="256"/>
      <c r="G42" s="256"/>
      <c r="H42" s="256"/>
      <c r="I42" s="256"/>
      <c r="J42" s="256"/>
      <c r="K42" s="256"/>
    </row>
  </sheetData>
  <sheetProtection selectLockedCells="1" selectUnlockedCells="1"/>
  <mergeCells count="13">
    <mergeCell ref="A6:A7"/>
    <mergeCell ref="B6:B7"/>
    <mergeCell ref="A1:E2"/>
    <mergeCell ref="A3:E3"/>
    <mergeCell ref="A5:B5"/>
    <mergeCell ref="C5:D5"/>
    <mergeCell ref="C6:E6"/>
    <mergeCell ref="A8:A12"/>
    <mergeCell ref="A39:A42"/>
    <mergeCell ref="A14:A21"/>
    <mergeCell ref="A22:A33"/>
    <mergeCell ref="B32:B33"/>
    <mergeCell ref="A34:A38"/>
  </mergeCells>
  <phoneticPr fontId="51" type="noConversion"/>
  <dataValidations count="2">
    <dataValidation type="list" allowBlank="1" showErrorMessage="1" sqref="C8:C38 E8:E38">
      <formula1>"√"</formula1>
      <formula2>0</formula2>
    </dataValidation>
    <dataValidation type="list" allowBlank="1" showErrorMessage="1" sqref="D8:D38">
      <formula1>"×"</formula1>
      <formula2>0</formula2>
    </dataValidation>
  </dataValidations>
  <pageMargins left="0.78740157480314998" right="0.35433070866141703" top="0.511811023622047" bottom="0.11811023622047198" header="0.511811023622047" footer="0.511811023622047"/>
  <pageSetup paperSize="9" firstPageNumber="0" orientation="portrait" blackAndWhite="1" r:id="rId1"/>
  <headerFooter alignWithMargins="0"/>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6"/>
  <dimension ref="A1:L22"/>
  <sheetViews>
    <sheetView workbookViewId="0">
      <selection sqref="A1:E1"/>
    </sheetView>
  </sheetViews>
  <sheetFormatPr defaultColWidth="9" defaultRowHeight="15.6"/>
  <cols>
    <col min="1" max="1" width="7" style="301" customWidth="1"/>
    <col min="2" max="2" width="31.69921875" style="301" customWidth="1"/>
    <col min="3" max="3" width="7" style="301" customWidth="1"/>
    <col min="4" max="4" width="12.5" style="301" customWidth="1"/>
    <col min="5" max="5" width="26.19921875" style="301" customWidth="1"/>
    <col min="6" max="16384" width="9" style="301"/>
  </cols>
  <sheetData>
    <row r="1" spans="1:12" ht="22.2">
      <c r="A1" s="2684" t="s">
        <v>334</v>
      </c>
      <c r="B1" s="2684"/>
      <c r="C1" s="2684"/>
      <c r="D1" s="2684"/>
      <c r="E1" s="2684"/>
      <c r="F1" s="302"/>
      <c r="G1" s="302"/>
      <c r="H1" s="302"/>
      <c r="I1" s="302"/>
      <c r="J1" s="302"/>
      <c r="K1" s="302"/>
      <c r="L1" s="302"/>
    </row>
    <row r="2" spans="1:12" ht="7.5" customHeight="1">
      <c r="A2" s="303"/>
      <c r="B2" s="303"/>
      <c r="C2" s="303"/>
      <c r="D2" s="303"/>
      <c r="E2" s="303"/>
      <c r="F2" s="302"/>
      <c r="G2" s="302"/>
      <c r="H2" s="302"/>
      <c r="I2" s="302"/>
      <c r="J2" s="302"/>
      <c r="K2" s="302"/>
      <c r="L2" s="302"/>
    </row>
    <row r="3" spans="1:12" ht="27.9" customHeight="1">
      <c r="A3" s="304"/>
      <c r="B3" s="304"/>
      <c r="C3" s="304"/>
      <c r="D3" s="305" t="s">
        <v>283</v>
      </c>
      <c r="E3" s="306" t="str">
        <f>档案索引!A32</f>
        <v>2A-12</v>
      </c>
      <c r="F3" s="302"/>
      <c r="G3" s="302"/>
      <c r="H3" s="302"/>
      <c r="I3" s="302"/>
      <c r="J3" s="302"/>
      <c r="K3" s="302"/>
      <c r="L3" s="302"/>
    </row>
    <row r="4" spans="1:12" ht="27.9" customHeight="1">
      <c r="A4" s="307" t="s">
        <v>1591</v>
      </c>
      <c r="B4" s="307" t="s">
        <v>1592</v>
      </c>
      <c r="C4" s="307" t="s">
        <v>1591</v>
      </c>
      <c r="D4" s="2748" t="s">
        <v>1592</v>
      </c>
      <c r="E4" s="2748"/>
      <c r="F4" s="302"/>
      <c r="G4" s="302"/>
      <c r="H4" s="302"/>
      <c r="I4" s="302"/>
      <c r="J4" s="302"/>
      <c r="K4" s="302"/>
      <c r="L4" s="302"/>
    </row>
    <row r="5" spans="1:12" ht="27.9" customHeight="1">
      <c r="A5" s="308" t="s">
        <v>1593</v>
      </c>
      <c r="B5" s="309" t="s">
        <v>1594</v>
      </c>
      <c r="C5" s="310" t="s">
        <v>1595</v>
      </c>
      <c r="D5" s="3005" t="s">
        <v>1596</v>
      </c>
      <c r="E5" s="3005"/>
      <c r="F5" s="302"/>
      <c r="G5" s="302"/>
      <c r="H5" s="302"/>
      <c r="I5" s="302"/>
      <c r="J5" s="302"/>
      <c r="K5" s="302"/>
      <c r="L5" s="302"/>
    </row>
    <row r="6" spans="1:12" ht="27.9" customHeight="1">
      <c r="A6" s="308" t="s">
        <v>1597</v>
      </c>
      <c r="B6" s="309" t="s">
        <v>1598</v>
      </c>
      <c r="C6" s="310" t="s">
        <v>1599</v>
      </c>
      <c r="D6" s="3005" t="s">
        <v>1600</v>
      </c>
      <c r="E6" s="3005"/>
      <c r="F6" s="302"/>
      <c r="G6" s="302"/>
      <c r="H6" s="302"/>
      <c r="I6" s="302"/>
      <c r="J6" s="302"/>
      <c r="K6" s="302"/>
      <c r="L6" s="302"/>
    </row>
    <row r="7" spans="1:12" ht="27.9" customHeight="1">
      <c r="A7" s="310" t="s">
        <v>1601</v>
      </c>
      <c r="B7" s="309" t="s">
        <v>1602</v>
      </c>
      <c r="C7" s="310" t="s">
        <v>1603</v>
      </c>
      <c r="D7" s="3005" t="s">
        <v>1604</v>
      </c>
      <c r="E7" s="3005"/>
      <c r="F7" s="302"/>
      <c r="G7" s="302"/>
      <c r="H7" s="302"/>
      <c r="I7" s="302"/>
      <c r="J7" s="302"/>
      <c r="K7" s="302"/>
      <c r="L7" s="302"/>
    </row>
    <row r="8" spans="1:12" ht="27.9" customHeight="1">
      <c r="A8" s="310" t="s">
        <v>1605</v>
      </c>
      <c r="B8" s="309" t="s">
        <v>1606</v>
      </c>
      <c r="C8" s="310" t="s">
        <v>1607</v>
      </c>
      <c r="D8" s="3005" t="s">
        <v>1608</v>
      </c>
      <c r="E8" s="3005"/>
      <c r="F8" s="302"/>
      <c r="G8" s="302"/>
      <c r="H8" s="302"/>
      <c r="I8" s="302"/>
      <c r="J8" s="302"/>
      <c r="K8" s="302"/>
      <c r="L8" s="302"/>
    </row>
    <row r="9" spans="1:12" ht="27.9" customHeight="1">
      <c r="A9" s="310" t="s">
        <v>1609</v>
      </c>
      <c r="B9" s="309" t="s">
        <v>1610</v>
      </c>
      <c r="C9" s="310" t="s">
        <v>1611</v>
      </c>
      <c r="D9" s="3005" t="s">
        <v>1612</v>
      </c>
      <c r="E9" s="3005"/>
      <c r="F9" s="302"/>
      <c r="G9" s="302"/>
      <c r="H9" s="302"/>
      <c r="I9" s="302"/>
      <c r="J9" s="302"/>
      <c r="K9" s="302"/>
      <c r="L9" s="302"/>
    </row>
    <row r="10" spans="1:12" ht="27.9" customHeight="1">
      <c r="A10" s="310" t="s">
        <v>1613</v>
      </c>
      <c r="B10" s="309" t="s">
        <v>1614</v>
      </c>
      <c r="C10" s="310" t="s">
        <v>1615</v>
      </c>
      <c r="D10" s="3005" t="s">
        <v>1616</v>
      </c>
      <c r="E10" s="3005"/>
      <c r="F10" s="302"/>
      <c r="G10" s="302"/>
      <c r="H10" s="302"/>
      <c r="I10" s="302"/>
      <c r="J10" s="302"/>
      <c r="K10" s="302"/>
      <c r="L10" s="302"/>
    </row>
    <row r="11" spans="1:12" ht="27.9" customHeight="1">
      <c r="A11" s="310" t="s">
        <v>1617</v>
      </c>
      <c r="B11" s="309" t="s">
        <v>1618</v>
      </c>
      <c r="C11" s="310" t="s">
        <v>1619</v>
      </c>
      <c r="D11" s="3005" t="s">
        <v>1620</v>
      </c>
      <c r="E11" s="3005"/>
      <c r="F11" s="302"/>
      <c r="G11" s="302"/>
      <c r="H11" s="302"/>
      <c r="I11" s="302"/>
      <c r="J11" s="302"/>
      <c r="K11" s="302"/>
      <c r="L11" s="302"/>
    </row>
    <row r="12" spans="1:12" ht="27.9" customHeight="1">
      <c r="A12" s="310" t="s">
        <v>1621</v>
      </c>
      <c r="B12" s="309" t="s">
        <v>503</v>
      </c>
      <c r="C12" s="310" t="s">
        <v>504</v>
      </c>
      <c r="D12" s="3005" t="s">
        <v>505</v>
      </c>
      <c r="E12" s="3005"/>
      <c r="F12" s="302"/>
      <c r="G12" s="302"/>
      <c r="H12" s="302"/>
      <c r="I12" s="302"/>
      <c r="J12" s="302"/>
      <c r="K12" s="302"/>
      <c r="L12" s="302"/>
    </row>
    <row r="13" spans="1:12" ht="27.9" customHeight="1">
      <c r="A13" s="310" t="s">
        <v>506</v>
      </c>
      <c r="B13" s="309" t="s">
        <v>507</v>
      </c>
      <c r="C13" s="310" t="s">
        <v>508</v>
      </c>
      <c r="D13" s="3005" t="s">
        <v>509</v>
      </c>
      <c r="E13" s="3005"/>
      <c r="F13" s="302"/>
      <c r="G13" s="302"/>
      <c r="H13" s="302"/>
      <c r="I13" s="302"/>
      <c r="J13" s="302"/>
      <c r="K13" s="302"/>
      <c r="L13" s="302"/>
    </row>
    <row r="14" spans="1:12" ht="27.9" customHeight="1">
      <c r="A14" s="310" t="s">
        <v>510</v>
      </c>
      <c r="B14" s="309" t="s">
        <v>456</v>
      </c>
      <c r="C14" s="310" t="s">
        <v>511</v>
      </c>
      <c r="D14" s="3005" t="s">
        <v>512</v>
      </c>
      <c r="E14" s="3005"/>
      <c r="F14" s="302"/>
      <c r="G14" s="302"/>
      <c r="H14" s="302"/>
      <c r="I14" s="302"/>
      <c r="J14" s="302"/>
      <c r="K14" s="302"/>
      <c r="L14" s="302"/>
    </row>
    <row r="15" spans="1:12" ht="27.9" customHeight="1">
      <c r="A15" s="311"/>
      <c r="B15" s="312"/>
      <c r="C15" s="310" t="s">
        <v>513</v>
      </c>
      <c r="D15" s="3005" t="s">
        <v>514</v>
      </c>
      <c r="E15" s="3005"/>
      <c r="F15" s="302"/>
      <c r="G15" s="302"/>
      <c r="H15" s="302"/>
      <c r="I15" s="302"/>
      <c r="J15" s="302"/>
      <c r="K15" s="302"/>
      <c r="L15" s="302"/>
    </row>
    <row r="16" spans="1:12" ht="27.9" customHeight="1">
      <c r="A16" s="313"/>
      <c r="B16" s="314"/>
      <c r="C16" s="313"/>
      <c r="D16" s="3006"/>
      <c r="E16" s="3006"/>
      <c r="F16" s="302"/>
      <c r="G16" s="302"/>
      <c r="H16" s="302"/>
      <c r="I16" s="302"/>
      <c r="J16" s="302"/>
      <c r="K16" s="302"/>
      <c r="L16" s="302"/>
    </row>
    <row r="17" spans="1:12" ht="27.9" customHeight="1">
      <c r="A17" s="313"/>
      <c r="B17" s="314"/>
      <c r="C17" s="313"/>
      <c r="D17" s="3006"/>
      <c r="E17" s="3006"/>
      <c r="F17" s="302"/>
      <c r="G17" s="302"/>
      <c r="H17" s="302"/>
      <c r="I17" s="302"/>
      <c r="J17" s="302"/>
      <c r="K17" s="302"/>
      <c r="L17" s="302"/>
    </row>
    <row r="18" spans="1:12" ht="27.9" customHeight="1">
      <c r="A18" s="313"/>
      <c r="B18" s="314"/>
      <c r="C18" s="313"/>
      <c r="D18" s="3006"/>
      <c r="E18" s="3006"/>
      <c r="F18" s="302"/>
      <c r="G18" s="302"/>
      <c r="H18" s="302"/>
      <c r="I18" s="302"/>
      <c r="J18" s="302"/>
      <c r="K18" s="302"/>
      <c r="L18" s="302"/>
    </row>
    <row r="19" spans="1:12" ht="27.9" customHeight="1">
      <c r="A19" s="313"/>
      <c r="B19" s="314"/>
      <c r="C19" s="313"/>
      <c r="D19" s="3006"/>
      <c r="E19" s="3006"/>
      <c r="F19" s="302"/>
      <c r="G19" s="302"/>
      <c r="H19" s="302"/>
      <c r="I19" s="302"/>
      <c r="J19" s="302"/>
      <c r="K19" s="302"/>
      <c r="L19" s="302"/>
    </row>
    <row r="20" spans="1:12" ht="27.9" customHeight="1">
      <c r="A20" s="313"/>
      <c r="B20" s="314"/>
      <c r="C20" s="313"/>
      <c r="D20" s="3006"/>
      <c r="E20" s="3006"/>
      <c r="F20" s="302"/>
      <c r="G20" s="302"/>
      <c r="H20" s="302"/>
      <c r="I20" s="302"/>
      <c r="J20" s="302"/>
      <c r="K20" s="302"/>
      <c r="L20" s="302"/>
    </row>
    <row r="21" spans="1:12" ht="27.9" customHeight="1">
      <c r="A21" s="313"/>
      <c r="B21" s="314"/>
      <c r="C21" s="313"/>
      <c r="D21" s="3006"/>
      <c r="E21" s="3006"/>
      <c r="F21" s="302"/>
      <c r="G21" s="302"/>
      <c r="H21" s="302"/>
      <c r="I21" s="302"/>
      <c r="J21" s="302"/>
      <c r="K21" s="302"/>
      <c r="L21" s="302"/>
    </row>
    <row r="22" spans="1:12" ht="27.9" customHeight="1">
      <c r="A22" s="303" t="s">
        <v>515</v>
      </c>
      <c r="B22" s="303"/>
      <c r="C22" s="303"/>
      <c r="D22" s="303"/>
      <c r="E22" s="303"/>
      <c r="F22" s="302"/>
      <c r="G22" s="302"/>
      <c r="H22" s="302"/>
      <c r="I22" s="302"/>
      <c r="J22" s="302"/>
      <c r="K22" s="302"/>
      <c r="L22" s="302"/>
    </row>
  </sheetData>
  <sheetProtection selectLockedCells="1" selectUnlockedCells="1"/>
  <mergeCells count="19">
    <mergeCell ref="D12:E12"/>
    <mergeCell ref="D21:E21"/>
    <mergeCell ref="D15:E15"/>
    <mergeCell ref="D16:E16"/>
    <mergeCell ref="D17:E17"/>
    <mergeCell ref="D18:E18"/>
    <mergeCell ref="D19:E19"/>
    <mergeCell ref="D20:E20"/>
    <mergeCell ref="D13:E13"/>
    <mergeCell ref="D14:E14"/>
    <mergeCell ref="A1:E1"/>
    <mergeCell ref="D4:E4"/>
    <mergeCell ref="D5:E5"/>
    <mergeCell ref="D6:E6"/>
    <mergeCell ref="D11:E11"/>
    <mergeCell ref="D7:E7"/>
    <mergeCell ref="D8:E8"/>
    <mergeCell ref="D9:E9"/>
    <mergeCell ref="D10:E10"/>
  </mergeCells>
  <phoneticPr fontId="51" type="noConversion"/>
  <pageMargins left="0.78740157480314998" right="0.35433070866141703" top="0.511811023622047" bottom="0.11811023622047198" header="0.511811023622047" footer="0.511811023622047"/>
  <pageSetup paperSize="9" firstPageNumber="0" orientation="portrait" blackAndWhite="1" r:id="rId1"/>
  <headerFooter alignWithMargins="0"/>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8"/>
  <dimension ref="A1:N36"/>
  <sheetViews>
    <sheetView workbookViewId="0">
      <selection sqref="A1:G1"/>
    </sheetView>
  </sheetViews>
  <sheetFormatPr defaultColWidth="9" defaultRowHeight="15.6"/>
  <cols>
    <col min="1" max="1" width="18" style="92" customWidth="1"/>
    <col min="2" max="2" width="12.3984375" style="92" customWidth="1"/>
    <col min="3" max="3" width="8.69921875" style="92" customWidth="1"/>
    <col min="4" max="4" width="10.59765625" style="92" customWidth="1"/>
    <col min="5" max="5" width="9.5" style="92" customWidth="1"/>
    <col min="6" max="6" width="12.59765625" style="92" customWidth="1"/>
    <col min="7" max="16384" width="9" style="92"/>
  </cols>
  <sheetData>
    <row r="1" spans="1:14" ht="22.2">
      <c r="A1" s="2684" t="s">
        <v>531</v>
      </c>
      <c r="B1" s="2684"/>
      <c r="C1" s="2684"/>
      <c r="D1" s="2684"/>
      <c r="E1" s="2684"/>
      <c r="F1" s="2684"/>
      <c r="G1" s="2684"/>
      <c r="H1" s="98"/>
      <c r="I1" s="98"/>
      <c r="J1" s="98"/>
      <c r="K1" s="98"/>
      <c r="L1" s="98"/>
      <c r="M1" s="98"/>
      <c r="N1" s="98"/>
    </row>
    <row r="2" spans="1:14">
      <c r="A2" s="3007"/>
      <c r="B2" s="3007"/>
      <c r="C2" s="3007"/>
      <c r="D2" s="3007"/>
      <c r="E2" s="3007"/>
      <c r="F2" s="3007"/>
      <c r="G2" s="3007"/>
      <c r="H2" s="98"/>
      <c r="I2" s="98"/>
      <c r="J2" s="1333"/>
      <c r="K2" s="98"/>
      <c r="L2" s="98"/>
      <c r="M2" s="98"/>
      <c r="N2" s="98"/>
    </row>
    <row r="3" spans="1:14" ht="19.5" customHeight="1">
      <c r="A3" s="3008" t="str">
        <f>"单位名称："&amp;基本情况!B2&amp;"      截止："&amp;本年度&amp;"年"&amp;截止月&amp;"月"&amp;截止日&amp;"日"&amp;"      单位:人民币元"</f>
        <v>单位名称：0      截止：2016年12月31日      单位:人民币元</v>
      </c>
      <c r="B3" s="3008"/>
      <c r="C3" s="3008"/>
      <c r="D3" s="3008"/>
      <c r="E3" s="3008"/>
      <c r="F3" s="3008"/>
      <c r="G3" s="3008"/>
      <c r="H3" s="98"/>
      <c r="I3" s="98"/>
      <c r="J3" s="98"/>
      <c r="K3" s="98"/>
      <c r="L3" s="98"/>
      <c r="M3" s="98"/>
      <c r="N3" s="98"/>
    </row>
    <row r="4" spans="1:14" s="317" customFormat="1" ht="22.5" customHeight="1">
      <c r="A4" s="99" t="s">
        <v>532</v>
      </c>
      <c r="B4" s="99" t="s">
        <v>533</v>
      </c>
      <c r="C4" s="99" t="s">
        <v>534</v>
      </c>
      <c r="D4" s="99" t="s">
        <v>535</v>
      </c>
      <c r="E4" s="99" t="s">
        <v>536</v>
      </c>
      <c r="F4" s="99" t="s">
        <v>537</v>
      </c>
      <c r="G4" s="99" t="s">
        <v>538</v>
      </c>
      <c r="H4" s="316"/>
      <c r="I4" s="316"/>
      <c r="J4" s="316"/>
      <c r="K4" s="316"/>
      <c r="L4" s="316"/>
      <c r="M4" s="316"/>
      <c r="N4" s="316"/>
    </row>
    <row r="5" spans="1:14" ht="22.5" customHeight="1">
      <c r="A5" s="331"/>
      <c r="B5" s="332"/>
      <c r="C5" s="332"/>
      <c r="D5" s="333"/>
      <c r="E5" s="333"/>
      <c r="F5" s="333"/>
      <c r="G5" s="334"/>
      <c r="H5" s="98"/>
      <c r="I5" s="98"/>
      <c r="J5" s="98"/>
      <c r="K5" s="98"/>
      <c r="L5" s="98"/>
      <c r="M5" s="98"/>
      <c r="N5" s="98"/>
    </row>
    <row r="6" spans="1:14" ht="22.5" customHeight="1">
      <c r="A6" s="335"/>
      <c r="B6" s="336"/>
      <c r="C6" s="336"/>
      <c r="D6" s="337"/>
      <c r="E6" s="337"/>
      <c r="F6" s="337"/>
      <c r="G6" s="338"/>
      <c r="H6" s="98"/>
      <c r="I6" s="98"/>
      <c r="J6" s="98"/>
      <c r="K6" s="98"/>
      <c r="L6" s="98"/>
      <c r="M6" s="98"/>
      <c r="N6" s="98"/>
    </row>
    <row r="7" spans="1:14" ht="22.5" customHeight="1">
      <c r="A7" s="335"/>
      <c r="B7" s="336"/>
      <c r="C7" s="336"/>
      <c r="D7" s="337"/>
      <c r="E7" s="337"/>
      <c r="F7" s="337"/>
      <c r="G7" s="338"/>
      <c r="H7" s="98"/>
      <c r="I7" s="98"/>
      <c r="J7" s="98"/>
      <c r="K7" s="98"/>
      <c r="L7" s="98"/>
      <c r="M7" s="98"/>
      <c r="N7" s="98"/>
    </row>
    <row r="8" spans="1:14" ht="22.5" customHeight="1">
      <c r="A8" s="335"/>
      <c r="B8" s="336"/>
      <c r="C8" s="336"/>
      <c r="D8" s="337"/>
      <c r="E8" s="337"/>
      <c r="F8" s="337"/>
      <c r="G8" s="338"/>
      <c r="H8" s="98"/>
      <c r="I8" s="98"/>
      <c r="J8" s="98"/>
      <c r="K8" s="98"/>
      <c r="L8" s="98"/>
      <c r="M8" s="98"/>
      <c r="N8" s="98"/>
    </row>
    <row r="9" spans="1:14" ht="22.5" customHeight="1">
      <c r="A9" s="335"/>
      <c r="B9" s="336"/>
      <c r="C9" s="336"/>
      <c r="D9" s="337"/>
      <c r="E9" s="337"/>
      <c r="F9" s="337"/>
      <c r="G9" s="338"/>
      <c r="H9" s="98"/>
      <c r="I9" s="98"/>
      <c r="J9" s="98"/>
      <c r="K9" s="98"/>
      <c r="L9" s="98"/>
      <c r="M9" s="98"/>
      <c r="N9" s="98"/>
    </row>
    <row r="10" spans="1:14" ht="22.5" customHeight="1">
      <c r="A10" s="335"/>
      <c r="B10" s="336"/>
      <c r="C10" s="336"/>
      <c r="D10" s="337"/>
      <c r="E10" s="337"/>
      <c r="F10" s="337"/>
      <c r="G10" s="338"/>
      <c r="H10" s="98"/>
      <c r="I10" s="98"/>
      <c r="J10" s="98"/>
      <c r="K10" s="98"/>
      <c r="L10" s="98"/>
      <c r="M10" s="98"/>
      <c r="N10" s="98"/>
    </row>
    <row r="11" spans="1:14" ht="22.5" customHeight="1">
      <c r="A11" s="335"/>
      <c r="B11" s="336"/>
      <c r="C11" s="336"/>
      <c r="D11" s="337"/>
      <c r="E11" s="337"/>
      <c r="F11" s="337"/>
      <c r="G11" s="338"/>
      <c r="H11" s="98"/>
      <c r="I11" s="98"/>
      <c r="J11" s="98"/>
      <c r="K11" s="98"/>
      <c r="L11" s="98"/>
      <c r="M11" s="98"/>
      <c r="N11" s="98"/>
    </row>
    <row r="12" spans="1:14" ht="22.5" customHeight="1">
      <c r="A12" s="335"/>
      <c r="B12" s="336"/>
      <c r="C12" s="336"/>
      <c r="D12" s="337"/>
      <c r="E12" s="337"/>
      <c r="F12" s="337"/>
      <c r="G12" s="338"/>
      <c r="H12" s="98"/>
      <c r="I12" s="98"/>
      <c r="J12" s="98"/>
      <c r="K12" s="98"/>
      <c r="L12" s="98"/>
      <c r="M12" s="98"/>
      <c r="N12" s="98"/>
    </row>
    <row r="13" spans="1:14" ht="22.5" customHeight="1">
      <c r="A13" s="335"/>
      <c r="B13" s="336"/>
      <c r="C13" s="336"/>
      <c r="D13" s="337"/>
      <c r="E13" s="337"/>
      <c r="F13" s="337"/>
      <c r="G13" s="338"/>
      <c r="H13" s="98"/>
      <c r="I13" s="98"/>
      <c r="J13" s="98"/>
      <c r="K13" s="98"/>
      <c r="L13" s="98"/>
      <c r="M13" s="98"/>
      <c r="N13" s="98"/>
    </row>
    <row r="14" spans="1:14" ht="22.5" customHeight="1">
      <c r="A14" s="335"/>
      <c r="B14" s="336"/>
      <c r="C14" s="336"/>
      <c r="D14" s="337"/>
      <c r="E14" s="337"/>
      <c r="F14" s="337"/>
      <c r="G14" s="338"/>
      <c r="H14" s="98"/>
      <c r="I14" s="98"/>
      <c r="J14" s="98"/>
      <c r="K14" s="98"/>
      <c r="L14" s="98"/>
      <c r="M14" s="98"/>
      <c r="N14" s="98"/>
    </row>
    <row r="15" spans="1:14" ht="22.5" customHeight="1">
      <c r="A15" s="335"/>
      <c r="B15" s="336"/>
      <c r="C15" s="336"/>
      <c r="D15" s="337"/>
      <c r="E15" s="337"/>
      <c r="F15" s="337"/>
      <c r="G15" s="338"/>
      <c r="H15" s="98"/>
      <c r="I15" s="98"/>
      <c r="J15" s="98"/>
      <c r="K15" s="98"/>
      <c r="L15" s="98"/>
      <c r="M15" s="98"/>
      <c r="N15" s="98"/>
    </row>
    <row r="16" spans="1:14" ht="22.5" customHeight="1">
      <c r="A16" s="335"/>
      <c r="B16" s="336"/>
      <c r="C16" s="336"/>
      <c r="D16" s="337"/>
      <c r="E16" s="337"/>
      <c r="F16" s="337"/>
      <c r="G16" s="338"/>
      <c r="H16" s="98"/>
      <c r="I16" s="98"/>
      <c r="J16" s="98"/>
      <c r="K16" s="98"/>
      <c r="L16" s="98"/>
      <c r="M16" s="98"/>
      <c r="N16" s="98"/>
    </row>
    <row r="17" spans="1:14" ht="22.5" customHeight="1">
      <c r="A17" s="335"/>
      <c r="B17" s="336"/>
      <c r="C17" s="336"/>
      <c r="D17" s="337"/>
      <c r="E17" s="337"/>
      <c r="F17" s="337"/>
      <c r="G17" s="338"/>
      <c r="H17" s="98"/>
      <c r="I17" s="98"/>
      <c r="J17" s="98"/>
      <c r="K17" s="98"/>
      <c r="L17" s="98"/>
      <c r="M17" s="98"/>
      <c r="N17" s="98"/>
    </row>
    <row r="18" spans="1:14" ht="22.5" customHeight="1">
      <c r="A18" s="335"/>
      <c r="B18" s="336"/>
      <c r="C18" s="336"/>
      <c r="D18" s="337"/>
      <c r="E18" s="337"/>
      <c r="F18" s="337"/>
      <c r="G18" s="338"/>
      <c r="H18" s="98"/>
      <c r="I18" s="98"/>
      <c r="J18" s="98"/>
      <c r="K18" s="98"/>
      <c r="L18" s="98"/>
      <c r="M18" s="98"/>
      <c r="N18" s="98"/>
    </row>
    <row r="19" spans="1:14" ht="22.5" customHeight="1">
      <c r="A19" s="335"/>
      <c r="B19" s="336"/>
      <c r="C19" s="336"/>
      <c r="D19" s="337"/>
      <c r="E19" s="337"/>
      <c r="F19" s="337"/>
      <c r="G19" s="338"/>
      <c r="H19" s="98"/>
      <c r="I19" s="98"/>
      <c r="J19" s="98"/>
      <c r="K19" s="98"/>
      <c r="L19" s="98"/>
      <c r="M19" s="98"/>
      <c r="N19" s="98"/>
    </row>
    <row r="20" spans="1:14" ht="22.5" customHeight="1">
      <c r="A20" s="335"/>
      <c r="B20" s="336"/>
      <c r="C20" s="336"/>
      <c r="D20" s="337"/>
      <c r="E20" s="337"/>
      <c r="F20" s="337"/>
      <c r="G20" s="338"/>
      <c r="H20" s="98"/>
      <c r="I20" s="98"/>
      <c r="J20" s="98"/>
      <c r="K20" s="98"/>
      <c r="L20" s="98"/>
      <c r="M20" s="98"/>
      <c r="N20" s="98"/>
    </row>
    <row r="21" spans="1:14" ht="22.5" customHeight="1">
      <c r="A21" s="335"/>
      <c r="B21" s="336"/>
      <c r="C21" s="336"/>
      <c r="D21" s="337"/>
      <c r="E21" s="337"/>
      <c r="F21" s="337"/>
      <c r="G21" s="338"/>
      <c r="H21" s="98"/>
      <c r="I21" s="98"/>
      <c r="J21" s="98"/>
      <c r="K21" s="98"/>
      <c r="L21" s="98"/>
      <c r="M21" s="98"/>
      <c r="N21" s="98"/>
    </row>
    <row r="22" spans="1:14" ht="22.5" customHeight="1">
      <c r="A22" s="335"/>
      <c r="B22" s="336"/>
      <c r="C22" s="336"/>
      <c r="D22" s="337"/>
      <c r="E22" s="337"/>
      <c r="F22" s="337"/>
      <c r="G22" s="338"/>
      <c r="H22" s="98"/>
      <c r="I22" s="98"/>
      <c r="J22" s="98"/>
      <c r="K22" s="98"/>
      <c r="L22" s="98"/>
      <c r="M22" s="98"/>
      <c r="N22" s="98"/>
    </row>
    <row r="23" spans="1:14" ht="22.5" customHeight="1">
      <c r="A23" s="335"/>
      <c r="B23" s="336"/>
      <c r="C23" s="336"/>
      <c r="D23" s="337"/>
      <c r="E23" s="337"/>
      <c r="F23" s="337"/>
      <c r="G23" s="338"/>
      <c r="H23" s="98"/>
      <c r="I23" s="98"/>
      <c r="J23" s="98"/>
      <c r="K23" s="98"/>
      <c r="L23" s="98"/>
      <c r="M23" s="98"/>
      <c r="N23" s="98"/>
    </row>
    <row r="24" spans="1:14" ht="22.5" customHeight="1">
      <c r="A24" s="335"/>
      <c r="B24" s="336"/>
      <c r="C24" s="336"/>
      <c r="D24" s="337"/>
      <c r="E24" s="337"/>
      <c r="F24" s="337"/>
      <c r="G24" s="338"/>
      <c r="H24" s="98"/>
      <c r="I24" s="98"/>
      <c r="J24" s="98"/>
      <c r="K24" s="98"/>
      <c r="L24" s="98"/>
      <c r="M24" s="98"/>
      <c r="N24" s="98"/>
    </row>
    <row r="25" spans="1:14" ht="22.5" customHeight="1">
      <c r="A25" s="335"/>
      <c r="B25" s="336"/>
      <c r="C25" s="336"/>
      <c r="D25" s="337"/>
      <c r="E25" s="337"/>
      <c r="F25" s="337"/>
      <c r="G25" s="338"/>
      <c r="H25" s="98"/>
      <c r="I25" s="98"/>
      <c r="J25" s="98"/>
      <c r="K25" s="98"/>
      <c r="L25" s="98"/>
      <c r="M25" s="98"/>
      <c r="N25" s="98"/>
    </row>
    <row r="26" spans="1:14" ht="22.5" customHeight="1">
      <c r="A26" s="335"/>
      <c r="B26" s="336"/>
      <c r="C26" s="336"/>
      <c r="D26" s="337"/>
      <c r="E26" s="337"/>
      <c r="F26" s="337"/>
      <c r="G26" s="338"/>
      <c r="H26" s="98"/>
      <c r="I26" s="98"/>
      <c r="J26" s="98"/>
      <c r="K26" s="98"/>
      <c r="L26" s="98"/>
      <c r="M26" s="98"/>
      <c r="N26" s="98"/>
    </row>
    <row r="27" spans="1:14" ht="22.5" customHeight="1">
      <c r="A27" s="335"/>
      <c r="B27" s="336"/>
      <c r="C27" s="336"/>
      <c r="D27" s="337"/>
      <c r="E27" s="337"/>
      <c r="F27" s="337"/>
      <c r="G27" s="338"/>
      <c r="H27" s="98"/>
      <c r="I27" s="98"/>
      <c r="J27" s="98"/>
      <c r="K27" s="98"/>
      <c r="L27" s="98"/>
      <c r="M27" s="98"/>
      <c r="N27" s="98"/>
    </row>
    <row r="28" spans="1:14" ht="22.5" customHeight="1">
      <c r="A28" s="335"/>
      <c r="B28" s="336"/>
      <c r="C28" s="336"/>
      <c r="D28" s="337"/>
      <c r="E28" s="337"/>
      <c r="F28" s="337"/>
      <c r="G28" s="338"/>
      <c r="H28" s="98"/>
      <c r="I28" s="98"/>
      <c r="J28" s="98"/>
      <c r="K28" s="98"/>
      <c r="L28" s="98"/>
      <c r="M28" s="98"/>
      <c r="N28" s="98"/>
    </row>
    <row r="29" spans="1:14" ht="22.5" customHeight="1">
      <c r="A29" s="335"/>
      <c r="B29" s="336"/>
      <c r="C29" s="336"/>
      <c r="D29" s="337"/>
      <c r="E29" s="337"/>
      <c r="F29" s="337"/>
      <c r="G29" s="338"/>
      <c r="H29" s="98"/>
      <c r="I29" s="98"/>
      <c r="J29" s="98"/>
      <c r="K29" s="98"/>
      <c r="L29" s="98"/>
      <c r="M29" s="98"/>
      <c r="N29" s="98"/>
    </row>
    <row r="30" spans="1:14" ht="22.5" customHeight="1">
      <c r="A30" s="335"/>
      <c r="B30" s="336"/>
      <c r="C30" s="336"/>
      <c r="D30" s="337"/>
      <c r="E30" s="337"/>
      <c r="F30" s="337"/>
      <c r="G30" s="338"/>
      <c r="H30" s="98"/>
      <c r="I30" s="98"/>
      <c r="J30" s="98"/>
      <c r="K30" s="98"/>
      <c r="L30" s="98"/>
      <c r="M30" s="98"/>
      <c r="N30" s="98"/>
    </row>
    <row r="31" spans="1:14" ht="22.5" customHeight="1">
      <c r="A31" s="335"/>
      <c r="B31" s="336"/>
      <c r="C31" s="336"/>
      <c r="D31" s="337"/>
      <c r="E31" s="337"/>
      <c r="F31" s="337"/>
      <c r="G31" s="338"/>
      <c r="H31" s="98"/>
      <c r="I31" s="98"/>
      <c r="J31" s="98"/>
      <c r="K31" s="98"/>
      <c r="L31" s="98"/>
      <c r="M31" s="98"/>
      <c r="N31" s="98"/>
    </row>
    <row r="32" spans="1:14" ht="22.5" customHeight="1">
      <c r="A32" s="339"/>
      <c r="B32" s="340"/>
      <c r="C32" s="340"/>
      <c r="D32" s="341"/>
      <c r="E32" s="341"/>
      <c r="F32" s="341"/>
      <c r="G32" s="342"/>
      <c r="H32" s="98"/>
      <c r="I32" s="98"/>
      <c r="J32" s="98"/>
      <c r="K32" s="98"/>
      <c r="L32" s="98"/>
      <c r="M32" s="98"/>
      <c r="N32" s="98"/>
    </row>
    <row r="33" spans="1:14" ht="22.5" customHeight="1">
      <c r="A33" s="343" t="s">
        <v>443</v>
      </c>
      <c r="B33" s="343"/>
      <c r="C33" s="343"/>
      <c r="D33" s="344">
        <f>SUM(D5:D32)</f>
        <v>0</v>
      </c>
      <c r="E33" s="345"/>
      <c r="F33" s="344">
        <f>SUM(F5:F32)</f>
        <v>0</v>
      </c>
      <c r="G33" s="343"/>
      <c r="H33" s="98"/>
      <c r="I33" s="98"/>
      <c r="J33" s="98"/>
      <c r="K33" s="98"/>
      <c r="L33" s="98"/>
      <c r="M33" s="98"/>
      <c r="N33" s="98"/>
    </row>
    <row r="34" spans="1:14">
      <c r="A34" s="346"/>
      <c r="B34" s="346"/>
      <c r="C34" s="346"/>
      <c r="D34" s="346"/>
      <c r="E34" s="346"/>
      <c r="F34" s="346"/>
      <c r="G34" s="346"/>
      <c r="H34" s="98"/>
      <c r="I34" s="98"/>
      <c r="J34" s="98"/>
      <c r="K34" s="98"/>
      <c r="L34" s="98"/>
      <c r="M34" s="98"/>
      <c r="N34" s="98"/>
    </row>
    <row r="35" spans="1:14" ht="18" customHeight="1">
      <c r="A35" s="3009" t="str">
        <f>"单位负责人："&amp;基本情况!B35&amp;"                盘点人："&amp;基本情况!B36&amp;"                  监盘人："&amp;基本情况!B12</f>
        <v>单位负责人：0                盘点人：0                  监盘人：</v>
      </c>
      <c r="B35" s="3009"/>
      <c r="C35" s="3009"/>
      <c r="D35" s="3009"/>
      <c r="E35" s="3009"/>
      <c r="F35" s="3009"/>
      <c r="G35" s="3009"/>
      <c r="H35" s="98"/>
      <c r="I35" s="98"/>
      <c r="J35" s="98"/>
      <c r="K35" s="98"/>
      <c r="L35" s="98"/>
      <c r="M35" s="98"/>
      <c r="N35" s="98"/>
    </row>
    <row r="36" spans="1:14">
      <c r="A36" s="347"/>
      <c r="B36" s="347"/>
      <c r="C36" s="347"/>
      <c r="D36" s="347"/>
      <c r="E36" s="347"/>
      <c r="F36" s="347"/>
      <c r="G36" s="347"/>
    </row>
  </sheetData>
  <sheetProtection selectLockedCells="1" selectUnlockedCells="1"/>
  <mergeCells count="4">
    <mergeCell ref="A1:G1"/>
    <mergeCell ref="A2:G2"/>
    <mergeCell ref="A3:G3"/>
    <mergeCell ref="A35:G35"/>
  </mergeCells>
  <phoneticPr fontId="51" type="noConversion"/>
  <pageMargins left="0.78740157480314998" right="0.35433070866141703" top="0.511811023622047" bottom="0.11811023622047198" header="0.511811023622047" footer="0.511811023622047"/>
  <pageSetup paperSize="9" firstPageNumber="0" orientation="portrait" blackAndWhite="1" r:id="rId1"/>
  <headerFooter alignWithMargins="0"/>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9"/>
  <dimension ref="A1:O53"/>
  <sheetViews>
    <sheetView workbookViewId="0">
      <selection sqref="A1:H1"/>
    </sheetView>
  </sheetViews>
  <sheetFormatPr defaultColWidth="9" defaultRowHeight="15.6"/>
  <cols>
    <col min="1" max="1" width="10.09765625" style="92" customWidth="1"/>
    <col min="2" max="2" width="6.8984375" style="92" customWidth="1"/>
    <col min="3" max="3" width="9" style="92"/>
    <col min="4" max="4" width="10.19921875" style="92" customWidth="1"/>
    <col min="5" max="5" width="3" style="92" customWidth="1"/>
    <col min="6" max="6" width="14.5" style="92" customWidth="1"/>
    <col min="7" max="7" width="9.69921875" style="92" customWidth="1"/>
    <col min="8" max="8" width="16.8984375" style="92" customWidth="1"/>
    <col min="9" max="16384" width="9" style="92"/>
  </cols>
  <sheetData>
    <row r="1" spans="1:15" ht="22.2">
      <c r="A1" s="2684" t="s">
        <v>539</v>
      </c>
      <c r="B1" s="2684"/>
      <c r="C1" s="2684"/>
      <c r="D1" s="2684"/>
      <c r="E1" s="2684"/>
      <c r="F1" s="2684"/>
      <c r="G1" s="2684"/>
      <c r="H1" s="2684"/>
      <c r="I1" s="98"/>
      <c r="J1" s="98"/>
      <c r="K1" s="98"/>
      <c r="L1" s="98"/>
      <c r="M1" s="98"/>
      <c r="N1" s="98"/>
      <c r="O1" s="98"/>
    </row>
    <row r="2" spans="1:15">
      <c r="A2" s="348" t="s">
        <v>540</v>
      </c>
      <c r="B2" s="348"/>
      <c r="C2" s="348"/>
      <c r="D2" s="348"/>
      <c r="E2" s="348"/>
      <c r="F2" s="348"/>
      <c r="G2" s="3011" t="s">
        <v>1552</v>
      </c>
      <c r="H2" s="3012"/>
      <c r="I2" s="98"/>
      <c r="J2" s="98"/>
      <c r="K2" s="98"/>
      <c r="L2" s="98"/>
      <c r="M2" s="98"/>
      <c r="N2" s="98"/>
      <c r="O2" s="98"/>
    </row>
    <row r="3" spans="1:15" ht="12" customHeight="1">
      <c r="A3" s="349"/>
      <c r="B3" s="349"/>
      <c r="C3" s="349"/>
      <c r="D3" s="349"/>
      <c r="E3" s="349"/>
      <c r="F3" s="349"/>
      <c r="G3" s="3011"/>
      <c r="H3" s="3012"/>
      <c r="I3" s="98"/>
      <c r="J3" s="98"/>
      <c r="K3" s="98"/>
      <c r="L3" s="98"/>
      <c r="M3" s="98"/>
      <c r="N3" s="98"/>
      <c r="O3" s="98"/>
    </row>
    <row r="4" spans="1:15" ht="19.5" customHeight="1">
      <c r="A4" s="350" t="s">
        <v>541</v>
      </c>
      <c r="B4" s="3013">
        <f>基本情况!B2</f>
        <v>0</v>
      </c>
      <c r="C4" s="3013"/>
      <c r="D4" s="3013"/>
      <c r="E4" s="3013"/>
      <c r="F4" s="351" t="s">
        <v>542</v>
      </c>
      <c r="G4" s="3014" t="str">
        <f>IF(OR(基本情况!B6&lt;&gt;"12月31日",基本情况!F5&lt;&gt;"01",基本情况!G5&lt;&gt;"01"),基本情况!B7,基本情况!B4&amp;"年度")</f>
        <v>2016年度</v>
      </c>
      <c r="H4" s="3014"/>
      <c r="I4" s="98"/>
      <c r="J4" s="98"/>
      <c r="K4" s="98"/>
      <c r="L4" s="98"/>
      <c r="M4" s="98"/>
      <c r="N4" s="98"/>
      <c r="O4" s="98"/>
    </row>
    <row r="5" spans="1:15" ht="19.5" customHeight="1">
      <c r="A5" s="352" t="s">
        <v>543</v>
      </c>
      <c r="B5" s="3015"/>
      <c r="C5" s="3015"/>
      <c r="D5" s="3015"/>
      <c r="E5" s="3015"/>
      <c r="F5" s="353" t="s">
        <v>544</v>
      </c>
      <c r="G5" s="3016" t="str">
        <f>基本情况!B22</f>
        <v>2017年5月4日</v>
      </c>
      <c r="H5" s="3016"/>
      <c r="I5" s="98"/>
      <c r="J5" s="98"/>
      <c r="K5" s="98"/>
      <c r="L5" s="98"/>
      <c r="M5" s="98"/>
      <c r="N5" s="98"/>
      <c r="O5" s="98"/>
    </row>
    <row r="6" spans="1:15">
      <c r="A6" s="354"/>
      <c r="B6" s="355"/>
      <c r="C6" s="355"/>
      <c r="D6" s="355"/>
      <c r="E6" s="355"/>
      <c r="F6" s="355"/>
      <c r="G6" s="355"/>
      <c r="H6" s="356"/>
      <c r="I6" s="98"/>
      <c r="J6" s="98"/>
      <c r="K6" s="98"/>
      <c r="L6" s="98"/>
      <c r="M6" s="98"/>
      <c r="N6" s="98"/>
      <c r="O6" s="98"/>
    </row>
    <row r="7" spans="1:15">
      <c r="A7" s="357"/>
      <c r="B7" s="358"/>
      <c r="C7" s="358"/>
      <c r="D7" s="358"/>
      <c r="E7" s="358"/>
      <c r="F7" s="358"/>
      <c r="G7" s="358"/>
      <c r="H7" s="359"/>
      <c r="I7" s="98"/>
      <c r="J7" s="98"/>
      <c r="K7" s="98"/>
      <c r="L7" s="98"/>
      <c r="M7" s="98"/>
      <c r="N7" s="98"/>
      <c r="O7" s="98"/>
    </row>
    <row r="8" spans="1:15">
      <c r="A8" s="357"/>
      <c r="B8" s="358"/>
      <c r="C8" s="358"/>
      <c r="D8" s="358"/>
      <c r="E8" s="358"/>
      <c r="F8" s="358"/>
      <c r="G8" s="358"/>
      <c r="H8" s="359"/>
      <c r="I8" s="98"/>
      <c r="J8" s="98"/>
      <c r="K8" s="98"/>
      <c r="L8" s="98"/>
      <c r="M8" s="98"/>
      <c r="N8" s="98"/>
      <c r="O8" s="98"/>
    </row>
    <row r="9" spans="1:15">
      <c r="A9" s="357"/>
      <c r="B9" s="358"/>
      <c r="C9" s="358"/>
      <c r="D9" s="358"/>
      <c r="E9" s="358"/>
      <c r="F9" s="358"/>
      <c r="G9" s="358"/>
      <c r="H9" s="359"/>
      <c r="I9" s="98"/>
      <c r="J9" s="98"/>
      <c r="K9" s="98"/>
      <c r="L9" s="98"/>
      <c r="M9" s="98"/>
      <c r="N9" s="98"/>
      <c r="O9" s="98"/>
    </row>
    <row r="10" spans="1:15">
      <c r="A10" s="357"/>
      <c r="B10" s="358"/>
      <c r="C10" s="358"/>
      <c r="D10" s="358"/>
      <c r="E10" s="358"/>
      <c r="F10" s="358"/>
      <c r="G10" s="358"/>
      <c r="H10" s="359"/>
      <c r="I10" s="98"/>
      <c r="J10" s="98"/>
      <c r="K10" s="98"/>
      <c r="L10" s="98"/>
      <c r="M10" s="98"/>
      <c r="N10" s="98"/>
      <c r="O10" s="98"/>
    </row>
    <row r="11" spans="1:15">
      <c r="A11" s="357"/>
      <c r="B11" s="358"/>
      <c r="C11" s="358"/>
      <c r="D11" s="358"/>
      <c r="E11" s="358"/>
      <c r="F11" s="358"/>
      <c r="G11" s="358"/>
      <c r="H11" s="359"/>
      <c r="I11" s="98"/>
      <c r="J11" s="98"/>
      <c r="K11" s="98"/>
      <c r="L11" s="98"/>
      <c r="M11" s="98"/>
      <c r="N11" s="98"/>
      <c r="O11" s="98"/>
    </row>
    <row r="12" spans="1:15">
      <c r="A12" s="357"/>
      <c r="B12" s="358"/>
      <c r="C12" s="358"/>
      <c r="D12" s="358"/>
      <c r="E12" s="358"/>
      <c r="F12" s="358"/>
      <c r="G12" s="358"/>
      <c r="H12" s="359"/>
      <c r="I12" s="98"/>
      <c r="J12" s="98"/>
      <c r="K12" s="98"/>
      <c r="L12" s="98"/>
      <c r="M12" s="98"/>
      <c r="N12" s="98"/>
      <c r="O12" s="98"/>
    </row>
    <row r="13" spans="1:15">
      <c r="A13" s="357"/>
      <c r="B13" s="358"/>
      <c r="C13" s="358"/>
      <c r="D13" s="358"/>
      <c r="E13" s="358"/>
      <c r="F13" s="358"/>
      <c r="G13" s="358"/>
      <c r="H13" s="359"/>
      <c r="I13" s="98"/>
      <c r="J13" s="98"/>
      <c r="K13" s="98"/>
      <c r="L13" s="98"/>
      <c r="M13" s="98"/>
      <c r="N13" s="98"/>
      <c r="O13" s="98"/>
    </row>
    <row r="14" spans="1:15">
      <c r="A14" s="357"/>
      <c r="B14" s="358"/>
      <c r="C14" s="358"/>
      <c r="D14" s="358"/>
      <c r="E14" s="358"/>
      <c r="F14" s="358"/>
      <c r="G14" s="358"/>
      <c r="H14" s="359"/>
      <c r="I14" s="98"/>
      <c r="J14" s="98"/>
      <c r="K14" s="98"/>
      <c r="L14" s="98"/>
      <c r="M14" s="98"/>
      <c r="N14" s="98"/>
      <c r="O14" s="98"/>
    </row>
    <row r="15" spans="1:15">
      <c r="A15" s="357"/>
      <c r="B15" s="358"/>
      <c r="C15" s="358"/>
      <c r="D15" s="358"/>
      <c r="E15" s="358"/>
      <c r="F15" s="358"/>
      <c r="G15" s="358"/>
      <c r="H15" s="359"/>
      <c r="I15" s="98"/>
      <c r="J15" s="98"/>
      <c r="K15" s="98"/>
      <c r="L15" s="98"/>
      <c r="M15" s="98"/>
      <c r="N15" s="98"/>
      <c r="O15" s="98"/>
    </row>
    <row r="16" spans="1:15">
      <c r="A16" s="357"/>
      <c r="B16" s="358"/>
      <c r="C16" s="358"/>
      <c r="D16" s="358"/>
      <c r="E16" s="358"/>
      <c r="F16" s="358"/>
      <c r="G16" s="358"/>
      <c r="H16" s="359"/>
      <c r="I16" s="98"/>
      <c r="J16" s="98"/>
      <c r="K16" s="98"/>
      <c r="L16" s="98"/>
      <c r="M16" s="98"/>
      <c r="N16" s="98"/>
      <c r="O16" s="98"/>
    </row>
    <row r="17" spans="1:15">
      <c r="A17" s="357"/>
      <c r="B17" s="358"/>
      <c r="C17" s="358"/>
      <c r="D17" s="358"/>
      <c r="E17" s="358"/>
      <c r="F17" s="358"/>
      <c r="G17" s="358"/>
      <c r="H17" s="359"/>
      <c r="I17" s="98"/>
      <c r="J17" s="98"/>
      <c r="K17" s="98"/>
      <c r="L17" s="98"/>
      <c r="M17" s="98"/>
      <c r="N17" s="98"/>
      <c r="O17" s="98"/>
    </row>
    <row r="18" spans="1:15">
      <c r="A18" s="357"/>
      <c r="B18" s="358"/>
      <c r="C18" s="358"/>
      <c r="D18" s="358"/>
      <c r="E18" s="358"/>
      <c r="F18" s="358"/>
      <c r="G18" s="358"/>
      <c r="H18" s="359"/>
      <c r="I18" s="98"/>
      <c r="J18" s="98"/>
      <c r="K18" s="98"/>
      <c r="L18" s="98"/>
      <c r="M18" s="98"/>
      <c r="N18" s="98"/>
      <c r="O18" s="98"/>
    </row>
    <row r="19" spans="1:15">
      <c r="A19" s="357"/>
      <c r="B19" s="358"/>
      <c r="C19" s="358"/>
      <c r="D19" s="358"/>
      <c r="E19" s="358"/>
      <c r="F19" s="358"/>
      <c r="G19" s="358"/>
      <c r="H19" s="359"/>
      <c r="I19" s="98"/>
      <c r="J19" s="98"/>
      <c r="K19" s="98"/>
      <c r="L19" s="98"/>
      <c r="M19" s="98"/>
      <c r="N19" s="98"/>
      <c r="O19" s="98"/>
    </row>
    <row r="20" spans="1:15">
      <c r="A20" s="357"/>
      <c r="B20" s="358"/>
      <c r="C20" s="358"/>
      <c r="D20" s="358"/>
      <c r="E20" s="358"/>
      <c r="F20" s="358"/>
      <c r="G20" s="358"/>
      <c r="H20" s="359"/>
      <c r="I20" s="98"/>
      <c r="J20" s="98"/>
      <c r="K20" s="98"/>
      <c r="L20" s="98"/>
      <c r="M20" s="98"/>
      <c r="N20" s="98"/>
      <c r="O20" s="98"/>
    </row>
    <row r="21" spans="1:15">
      <c r="A21" s="357"/>
      <c r="B21" s="358"/>
      <c r="C21" s="358"/>
      <c r="D21" s="358"/>
      <c r="E21" s="358"/>
      <c r="F21" s="358"/>
      <c r="G21" s="358"/>
      <c r="H21" s="359"/>
      <c r="I21" s="98"/>
      <c r="J21" s="98"/>
      <c r="K21" s="98"/>
      <c r="L21" s="98"/>
      <c r="M21" s="98"/>
      <c r="N21" s="98"/>
      <c r="O21" s="98"/>
    </row>
    <row r="22" spans="1:15">
      <c r="A22" s="357"/>
      <c r="B22" s="358"/>
      <c r="C22" s="358"/>
      <c r="D22" s="358"/>
      <c r="E22" s="358"/>
      <c r="F22" s="358"/>
      <c r="G22" s="358"/>
      <c r="H22" s="359"/>
      <c r="I22" s="98"/>
      <c r="J22" s="98"/>
      <c r="K22" s="98"/>
      <c r="L22" s="98"/>
      <c r="M22" s="98"/>
      <c r="N22" s="98"/>
      <c r="O22" s="98"/>
    </row>
    <row r="23" spans="1:15">
      <c r="A23" s="357"/>
      <c r="B23" s="358"/>
      <c r="C23" s="358"/>
      <c r="D23" s="358"/>
      <c r="E23" s="358"/>
      <c r="F23" s="358"/>
      <c r="G23" s="358"/>
      <c r="H23" s="359"/>
      <c r="I23" s="98"/>
      <c r="J23" s="98"/>
      <c r="K23" s="98"/>
      <c r="L23" s="98"/>
      <c r="M23" s="98"/>
      <c r="N23" s="98"/>
      <c r="O23" s="98"/>
    </row>
    <row r="24" spans="1:15">
      <c r="A24" s="357"/>
      <c r="B24" s="358"/>
      <c r="C24" s="358"/>
      <c r="D24" s="358"/>
      <c r="E24" s="358"/>
      <c r="F24" s="358"/>
      <c r="G24" s="358"/>
      <c r="H24" s="359"/>
      <c r="I24" s="98"/>
      <c r="J24" s="98"/>
      <c r="K24" s="98"/>
      <c r="L24" s="98"/>
      <c r="M24" s="98"/>
      <c r="N24" s="98"/>
      <c r="O24" s="98"/>
    </row>
    <row r="25" spans="1:15">
      <c r="A25" s="357"/>
      <c r="B25" s="358"/>
      <c r="C25" s="358"/>
      <c r="D25" s="358"/>
      <c r="E25" s="358"/>
      <c r="F25" s="358"/>
      <c r="G25" s="358"/>
      <c r="H25" s="359"/>
      <c r="I25" s="98"/>
      <c r="J25" s="98"/>
      <c r="K25" s="98"/>
      <c r="L25" s="98"/>
      <c r="M25" s="98"/>
      <c r="N25" s="98"/>
      <c r="O25" s="98"/>
    </row>
    <row r="26" spans="1:15">
      <c r="A26" s="357"/>
      <c r="B26" s="358"/>
      <c r="C26" s="358"/>
      <c r="D26" s="358"/>
      <c r="E26" s="358"/>
      <c r="F26" s="358"/>
      <c r="G26" s="358"/>
      <c r="H26" s="359"/>
      <c r="I26" s="98"/>
      <c r="J26" s="98"/>
      <c r="K26" s="98"/>
      <c r="L26" s="98"/>
      <c r="M26" s="98"/>
      <c r="N26" s="98"/>
      <c r="O26" s="98"/>
    </row>
    <row r="27" spans="1:15">
      <c r="A27" s="357"/>
      <c r="B27" s="358"/>
      <c r="C27" s="358"/>
      <c r="D27" s="358"/>
      <c r="E27" s="358"/>
      <c r="F27" s="358"/>
      <c r="G27" s="358"/>
      <c r="H27" s="359"/>
      <c r="I27" s="98"/>
      <c r="J27" s="98"/>
      <c r="K27" s="98"/>
      <c r="L27" s="98"/>
      <c r="M27" s="98"/>
      <c r="N27" s="98"/>
      <c r="O27" s="98"/>
    </row>
    <row r="28" spans="1:15">
      <c r="A28" s="357"/>
      <c r="B28" s="358"/>
      <c r="C28" s="358"/>
      <c r="D28" s="358"/>
      <c r="E28" s="358"/>
      <c r="F28" s="358"/>
      <c r="G28" s="358"/>
      <c r="H28" s="359"/>
      <c r="I28" s="98"/>
      <c r="J28" s="98"/>
      <c r="K28" s="98"/>
      <c r="L28" s="98"/>
      <c r="M28" s="98"/>
      <c r="N28" s="98"/>
      <c r="O28" s="98"/>
    </row>
    <row r="29" spans="1:15">
      <c r="A29" s="357"/>
      <c r="B29" s="358"/>
      <c r="C29" s="358"/>
      <c r="D29" s="358"/>
      <c r="E29" s="358"/>
      <c r="F29" s="358"/>
      <c r="G29" s="358"/>
      <c r="H29" s="359"/>
      <c r="I29" s="98"/>
      <c r="J29" s="98"/>
      <c r="K29" s="98"/>
      <c r="L29" s="98"/>
      <c r="M29" s="98"/>
      <c r="N29" s="98"/>
      <c r="O29" s="98"/>
    </row>
    <row r="30" spans="1:15">
      <c r="A30" s="357"/>
      <c r="B30" s="358"/>
      <c r="C30" s="358"/>
      <c r="D30" s="358"/>
      <c r="E30" s="358"/>
      <c r="F30" s="358"/>
      <c r="G30" s="358"/>
      <c r="H30" s="359"/>
      <c r="I30" s="98"/>
      <c r="J30" s="98"/>
      <c r="K30" s="98"/>
      <c r="L30" s="98"/>
      <c r="M30" s="98"/>
      <c r="N30" s="98"/>
      <c r="O30" s="98"/>
    </row>
    <row r="31" spans="1:15">
      <c r="A31" s="357"/>
      <c r="B31" s="358"/>
      <c r="C31" s="358"/>
      <c r="D31" s="358"/>
      <c r="E31" s="358"/>
      <c r="F31" s="358"/>
      <c r="G31" s="358"/>
      <c r="H31" s="359"/>
      <c r="I31" s="98"/>
      <c r="J31" s="98"/>
      <c r="K31" s="98"/>
      <c r="L31" s="98"/>
      <c r="M31" s="98"/>
      <c r="N31" s="98"/>
      <c r="O31" s="98"/>
    </row>
    <row r="32" spans="1:15">
      <c r="A32" s="357"/>
      <c r="B32" s="358"/>
      <c r="C32" s="358"/>
      <c r="D32" s="358"/>
      <c r="E32" s="358"/>
      <c r="F32" s="358"/>
      <c r="G32" s="358"/>
      <c r="H32" s="359"/>
      <c r="I32" s="98"/>
      <c r="J32" s="98"/>
      <c r="K32" s="98"/>
      <c r="L32" s="98"/>
      <c r="M32" s="98"/>
      <c r="N32" s="98"/>
      <c r="O32" s="98"/>
    </row>
    <row r="33" spans="1:15">
      <c r="A33" s="357"/>
      <c r="B33" s="358"/>
      <c r="C33" s="358"/>
      <c r="D33" s="358"/>
      <c r="E33" s="358"/>
      <c r="F33" s="358"/>
      <c r="G33" s="358"/>
      <c r="H33" s="359"/>
      <c r="I33" s="98"/>
      <c r="J33" s="98"/>
      <c r="K33" s="98"/>
      <c r="L33" s="98"/>
      <c r="M33" s="98"/>
      <c r="N33" s="98"/>
      <c r="O33" s="98"/>
    </row>
    <row r="34" spans="1:15">
      <c r="A34" s="357"/>
      <c r="B34" s="358"/>
      <c r="C34" s="358"/>
      <c r="D34" s="358"/>
      <c r="E34" s="358"/>
      <c r="F34" s="358"/>
      <c r="G34" s="358"/>
      <c r="H34" s="359"/>
      <c r="I34" s="98"/>
      <c r="J34" s="98"/>
      <c r="K34" s="98"/>
      <c r="L34" s="98"/>
      <c r="M34" s="98"/>
      <c r="N34" s="98"/>
      <c r="O34" s="98"/>
    </row>
    <row r="35" spans="1:15">
      <c r="A35" s="357"/>
      <c r="B35" s="358"/>
      <c r="C35" s="358"/>
      <c r="D35" s="358"/>
      <c r="E35" s="358"/>
      <c r="F35" s="358"/>
      <c r="G35" s="358"/>
      <c r="H35" s="359"/>
      <c r="I35" s="98"/>
      <c r="J35" s="98"/>
      <c r="K35" s="98"/>
      <c r="L35" s="98"/>
      <c r="M35" s="98"/>
      <c r="N35" s="98"/>
      <c r="O35" s="98"/>
    </row>
    <row r="36" spans="1:15">
      <c r="A36" s="357"/>
      <c r="B36" s="358"/>
      <c r="C36" s="358"/>
      <c r="D36" s="358"/>
      <c r="E36" s="358"/>
      <c r="F36" s="358"/>
      <c r="G36" s="358"/>
      <c r="H36" s="359"/>
      <c r="I36" s="98"/>
      <c r="J36" s="98"/>
      <c r="K36" s="98"/>
      <c r="L36" s="98"/>
      <c r="M36" s="98"/>
      <c r="N36" s="98"/>
      <c r="O36" s="98"/>
    </row>
    <row r="37" spans="1:15">
      <c r="A37" s="357"/>
      <c r="B37" s="358"/>
      <c r="C37" s="358"/>
      <c r="D37" s="358"/>
      <c r="E37" s="358"/>
      <c r="F37" s="358"/>
      <c r="G37" s="358"/>
      <c r="H37" s="359"/>
      <c r="I37" s="98"/>
      <c r="J37" s="98"/>
      <c r="K37" s="98"/>
      <c r="L37" s="98"/>
      <c r="M37" s="98"/>
      <c r="N37" s="98"/>
      <c r="O37" s="98"/>
    </row>
    <row r="38" spans="1:15">
      <c r="A38" s="357"/>
      <c r="B38" s="358"/>
      <c r="C38" s="358"/>
      <c r="D38" s="358"/>
      <c r="E38" s="358"/>
      <c r="F38" s="358"/>
      <c r="G38" s="358"/>
      <c r="H38" s="359"/>
      <c r="I38" s="98"/>
      <c r="J38" s="98"/>
      <c r="K38" s="98"/>
      <c r="L38" s="98"/>
      <c r="M38" s="98"/>
      <c r="N38" s="98"/>
      <c r="O38" s="98"/>
    </row>
    <row r="39" spans="1:15">
      <c r="A39" s="357"/>
      <c r="B39" s="358"/>
      <c r="C39" s="358"/>
      <c r="D39" s="358"/>
      <c r="E39" s="358"/>
      <c r="F39" s="358"/>
      <c r="G39" s="358"/>
      <c r="H39" s="359"/>
      <c r="I39" s="98"/>
      <c r="J39" s="98"/>
      <c r="K39" s="98"/>
      <c r="L39" s="98"/>
      <c r="M39" s="98"/>
      <c r="N39" s="98"/>
      <c r="O39" s="98"/>
    </row>
    <row r="40" spans="1:15">
      <c r="A40" s="357"/>
      <c r="B40" s="358"/>
      <c r="C40" s="358"/>
      <c r="D40" s="358"/>
      <c r="E40" s="358"/>
      <c r="F40" s="358"/>
      <c r="G40" s="358"/>
      <c r="H40" s="359"/>
      <c r="I40" s="98"/>
      <c r="J40" s="98"/>
      <c r="K40" s="98"/>
      <c r="L40" s="98"/>
      <c r="M40" s="98"/>
      <c r="N40" s="98"/>
      <c r="O40" s="98"/>
    </row>
    <row r="41" spans="1:15">
      <c r="A41" s="357"/>
      <c r="B41" s="358"/>
      <c r="C41" s="358"/>
      <c r="D41" s="358"/>
      <c r="E41" s="358"/>
      <c r="F41" s="358"/>
      <c r="G41" s="358"/>
      <c r="H41" s="359"/>
      <c r="I41" s="98"/>
      <c r="J41" s="98"/>
      <c r="K41" s="98"/>
      <c r="L41" s="98"/>
      <c r="M41" s="98"/>
      <c r="N41" s="98"/>
      <c r="O41" s="98"/>
    </row>
    <row r="42" spans="1:15">
      <c r="A42" s="357"/>
      <c r="B42" s="358"/>
      <c r="C42" s="358"/>
      <c r="D42" s="358"/>
      <c r="E42" s="358"/>
      <c r="F42" s="358"/>
      <c r="G42" s="358"/>
      <c r="H42" s="359"/>
      <c r="I42" s="98"/>
      <c r="J42" s="98"/>
      <c r="K42" s="98"/>
      <c r="L42" s="98"/>
      <c r="M42" s="98"/>
      <c r="N42" s="98"/>
      <c r="O42" s="98"/>
    </row>
    <row r="43" spans="1:15">
      <c r="A43" s="357"/>
      <c r="B43" s="358"/>
      <c r="C43" s="358"/>
      <c r="D43" s="358"/>
      <c r="E43" s="358"/>
      <c r="F43" s="358"/>
      <c r="G43" s="358"/>
      <c r="H43" s="359"/>
      <c r="I43" s="98"/>
      <c r="J43" s="98"/>
      <c r="K43" s="98"/>
      <c r="L43" s="98"/>
      <c r="M43" s="98"/>
      <c r="N43" s="98"/>
      <c r="O43" s="98"/>
    </row>
    <row r="44" spans="1:15">
      <c r="A44" s="357"/>
      <c r="B44" s="358"/>
      <c r="C44" s="358"/>
      <c r="D44" s="358"/>
      <c r="E44" s="358"/>
      <c r="F44" s="358"/>
      <c r="G44" s="358"/>
      <c r="H44" s="359"/>
      <c r="I44" s="98"/>
      <c r="J44" s="98"/>
      <c r="K44" s="98"/>
      <c r="L44" s="98"/>
      <c r="M44" s="98"/>
      <c r="N44" s="98"/>
      <c r="O44" s="98"/>
    </row>
    <row r="45" spans="1:15">
      <c r="A45" s="357"/>
      <c r="B45" s="358"/>
      <c r="C45" s="358"/>
      <c r="D45" s="358"/>
      <c r="E45" s="358"/>
      <c r="F45" s="358"/>
      <c r="G45" s="358"/>
      <c r="H45" s="359"/>
      <c r="I45" s="98"/>
      <c r="J45" s="98"/>
      <c r="K45" s="98"/>
      <c r="L45" s="98"/>
      <c r="M45" s="98"/>
      <c r="N45" s="98"/>
      <c r="O45" s="98"/>
    </row>
    <row r="46" spans="1:15">
      <c r="A46" s="357"/>
      <c r="B46" s="358"/>
      <c r="C46" s="358"/>
      <c r="D46" s="358"/>
      <c r="E46" s="358"/>
      <c r="F46" s="358"/>
      <c r="G46" s="358"/>
      <c r="H46" s="359"/>
      <c r="I46" s="98"/>
      <c r="J46" s="98"/>
      <c r="K46" s="98"/>
      <c r="L46" s="98"/>
      <c r="M46" s="98"/>
      <c r="N46" s="98"/>
      <c r="O46" s="98"/>
    </row>
    <row r="47" spans="1:15" ht="14.25" customHeight="1">
      <c r="A47" s="357"/>
      <c r="B47" s="358"/>
      <c r="C47" s="358"/>
      <c r="D47" s="358"/>
      <c r="E47" s="358"/>
      <c r="F47" s="358"/>
      <c r="G47" s="358"/>
      <c r="H47" s="359"/>
      <c r="I47" s="98"/>
      <c r="J47" s="98"/>
      <c r="K47" s="98"/>
      <c r="L47" s="98"/>
      <c r="M47" s="98"/>
      <c r="N47" s="98"/>
      <c r="O47" s="98"/>
    </row>
    <row r="48" spans="1:15" ht="14.25" customHeight="1">
      <c r="A48" s="357"/>
      <c r="B48" s="358"/>
      <c r="C48" s="358"/>
      <c r="D48" s="358"/>
      <c r="E48" s="358"/>
      <c r="F48" s="358"/>
      <c r="G48" s="358"/>
      <c r="H48" s="359"/>
      <c r="I48" s="98"/>
      <c r="J48" s="98"/>
      <c r="K48" s="98"/>
      <c r="L48" s="98"/>
      <c r="M48" s="98"/>
      <c r="N48" s="98"/>
      <c r="O48" s="98"/>
    </row>
    <row r="49" spans="1:15" ht="14.25" customHeight="1">
      <c r="A49" s="360"/>
      <c r="B49" s="361"/>
      <c r="C49" s="361"/>
      <c r="D49" s="361"/>
      <c r="E49" s="361"/>
      <c r="F49" s="361"/>
      <c r="G49" s="361"/>
      <c r="H49" s="362"/>
      <c r="I49" s="98"/>
      <c r="J49" s="98"/>
      <c r="K49" s="98"/>
      <c r="L49" s="98"/>
      <c r="M49" s="98"/>
      <c r="N49" s="98"/>
      <c r="O49" s="98"/>
    </row>
    <row r="50" spans="1:15" ht="15" customHeight="1">
      <c r="A50" s="3017" t="s">
        <v>545</v>
      </c>
      <c r="B50" s="3018"/>
      <c r="C50" s="3018"/>
      <c r="D50" s="3018"/>
      <c r="E50" s="3018"/>
      <c r="F50" s="3018"/>
      <c r="G50" s="3019" t="s">
        <v>546</v>
      </c>
      <c r="H50" s="3020">
        <f>基本情况!B12</f>
        <v>0</v>
      </c>
      <c r="I50" s="98"/>
      <c r="J50" s="98"/>
      <c r="K50" s="98"/>
      <c r="L50" s="98"/>
      <c r="M50" s="98"/>
      <c r="N50" s="98"/>
      <c r="O50" s="98"/>
    </row>
    <row r="51" spans="1:15" ht="5.25" customHeight="1">
      <c r="A51" s="3017"/>
      <c r="B51" s="3018"/>
      <c r="C51" s="3018"/>
      <c r="D51" s="3018"/>
      <c r="E51" s="3018"/>
      <c r="F51" s="3018"/>
      <c r="G51" s="3019"/>
      <c r="H51" s="3020"/>
      <c r="I51" s="98"/>
      <c r="J51" s="98"/>
      <c r="K51" s="98"/>
      <c r="L51" s="98"/>
      <c r="M51" s="98"/>
      <c r="N51" s="98"/>
      <c r="O51" s="98"/>
    </row>
    <row r="52" spans="1:15" ht="21.75" customHeight="1">
      <c r="A52" s="3010"/>
      <c r="B52" s="3010"/>
      <c r="C52" s="3010"/>
      <c r="D52" s="3010"/>
      <c r="E52" s="3010"/>
      <c r="F52" s="363" t="s">
        <v>547</v>
      </c>
      <c r="G52" s="364" t="s">
        <v>548</v>
      </c>
      <c r="H52" s="365">
        <f>基本情况!B11</f>
        <v>0</v>
      </c>
      <c r="I52" s="98"/>
      <c r="J52" s="98"/>
      <c r="K52" s="98"/>
      <c r="L52" s="98"/>
      <c r="M52" s="98"/>
      <c r="N52" s="98"/>
      <c r="O52" s="98"/>
    </row>
    <row r="53" spans="1:15">
      <c r="A53" s="366"/>
      <c r="B53" s="366"/>
      <c r="C53" s="366"/>
      <c r="D53" s="366"/>
      <c r="E53" s="366"/>
      <c r="F53" s="366"/>
      <c r="G53" s="366"/>
      <c r="H53" s="366"/>
    </row>
  </sheetData>
  <sheetProtection selectLockedCells="1" selectUnlockedCells="1"/>
  <mergeCells count="12">
    <mergeCell ref="A52:E52"/>
    <mergeCell ref="A1:H1"/>
    <mergeCell ref="G2:G3"/>
    <mergeCell ref="H2:H3"/>
    <mergeCell ref="B4:E4"/>
    <mergeCell ref="G4:H4"/>
    <mergeCell ref="B5:E5"/>
    <mergeCell ref="G5:H5"/>
    <mergeCell ref="A50:A51"/>
    <mergeCell ref="B50:F51"/>
    <mergeCell ref="G50:G51"/>
    <mergeCell ref="H50:H51"/>
  </mergeCells>
  <phoneticPr fontId="51" type="noConversion"/>
  <dataValidations count="2">
    <dataValidation allowBlank="1" showErrorMessage="1" sqref="H50:H51">
      <formula1>0</formula1>
      <formula2>0</formula2>
    </dataValidation>
    <dataValidation type="list" allowBlank="1" showErrorMessage="1" sqref="F52">
      <formula1>"可以确认,"</formula1>
      <formula2>0</formula2>
    </dataValidation>
  </dataValidations>
  <pageMargins left="0.78740157480314998" right="0.35433070866141703" top="0.511811023622047" bottom="0.11811023622047198" header="0.511811023622047" footer="0.511811023622047"/>
  <pageSetup paperSize="9" firstPageNumber="0" orientation="portrait" blackAndWhite="1" r:id="rId1"/>
  <headerFooter alignWithMargins="0"/>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0"/>
  <dimension ref="A1:W231"/>
  <sheetViews>
    <sheetView workbookViewId="0">
      <selection activeCell="R12" sqref="R12:W13"/>
    </sheetView>
  </sheetViews>
  <sheetFormatPr defaultColWidth="9" defaultRowHeight="15.6"/>
  <cols>
    <col min="1" max="2" width="4.3984375" style="168" customWidth="1"/>
    <col min="3" max="3" width="3.19921875" style="168" customWidth="1"/>
    <col min="4" max="4" width="3.5" style="168" customWidth="1"/>
    <col min="5" max="5" width="9.3984375" style="168" customWidth="1"/>
    <col min="6" max="6" width="11.59765625" style="168" customWidth="1"/>
    <col min="7" max="7" width="13.8984375" style="168" customWidth="1"/>
    <col min="8" max="8" width="8.69921875" style="168" customWidth="1"/>
    <col min="9" max="9" width="9.3984375" style="168" customWidth="1"/>
    <col min="10" max="10" width="3.19921875" style="168" customWidth="1"/>
    <col min="11" max="11" width="9.3984375" style="168" customWidth="1"/>
    <col min="12" max="12" width="3.09765625" style="168" customWidth="1"/>
    <col min="13" max="13" width="8.59765625" style="168" customWidth="1"/>
    <col min="14" max="14" width="8.5" style="168" customWidth="1"/>
    <col min="15" max="15" width="8.8984375" style="168" customWidth="1"/>
    <col min="16" max="16" width="7.19921875" style="168" customWidth="1"/>
    <col min="17" max="17" width="9" style="168"/>
    <col min="18" max="20" width="9.3984375" style="168" customWidth="1"/>
    <col min="21" max="21" width="12.8984375" style="168" customWidth="1"/>
    <col min="22" max="22" width="3.5" style="168" customWidth="1"/>
    <col min="23" max="23" width="26.8984375" style="168" customWidth="1"/>
    <col min="24" max="16384" width="9" style="168"/>
  </cols>
  <sheetData>
    <row r="1" spans="1:23" ht="22.2">
      <c r="A1" s="2684" t="s">
        <v>549</v>
      </c>
      <c r="B1" s="2684"/>
      <c r="C1" s="2684"/>
      <c r="D1" s="2684"/>
      <c r="E1" s="2684"/>
      <c r="F1" s="2684"/>
      <c r="G1" s="2684"/>
      <c r="H1" s="2684"/>
      <c r="I1" s="2684"/>
      <c r="J1" s="2684"/>
      <c r="K1" s="2684"/>
      <c r="L1" s="2684"/>
      <c r="M1" s="2684"/>
      <c r="N1" s="2684"/>
      <c r="O1" s="2684"/>
      <c r="P1" s="2684"/>
      <c r="Q1" s="2684"/>
      <c r="R1" s="367"/>
      <c r="S1" s="367"/>
      <c r="T1" s="367"/>
      <c r="U1" s="169"/>
      <c r="V1" s="169"/>
      <c r="W1" s="169"/>
    </row>
    <row r="2" spans="1:23" ht="19.5" customHeight="1">
      <c r="A2" s="3024" t="s">
        <v>448</v>
      </c>
      <c r="B2" s="3024"/>
      <c r="C2" s="3024"/>
      <c r="D2" s="3024"/>
      <c r="E2" s="3025">
        <f>基本情况!B2</f>
        <v>0</v>
      </c>
      <c r="F2" s="3025"/>
      <c r="G2" s="3025"/>
      <c r="H2" s="3025"/>
      <c r="I2" s="369" t="s">
        <v>451</v>
      </c>
      <c r="J2" s="3026">
        <f>基本情况!B12</f>
        <v>0</v>
      </c>
      <c r="K2" s="3026"/>
      <c r="L2" s="3026"/>
      <c r="M2" s="371" t="s">
        <v>450</v>
      </c>
      <c r="N2" s="3027" t="str">
        <f>TEXT(基本情况!B21,"yyyy-mm-dd")</f>
        <v>2017-03-16</v>
      </c>
      <c r="O2" s="3027"/>
      <c r="P2" s="3022" t="s">
        <v>283</v>
      </c>
      <c r="Q2" s="3028" t="str">
        <f>档案索引!A46</f>
        <v>2A-26</v>
      </c>
      <c r="R2" s="169"/>
      <c r="S2" s="169"/>
      <c r="T2" s="169"/>
      <c r="U2" s="169"/>
      <c r="V2" s="169"/>
      <c r="W2" s="169"/>
    </row>
    <row r="3" spans="1:23" ht="19.5" customHeight="1">
      <c r="A3" s="2904" t="s">
        <v>452</v>
      </c>
      <c r="B3" s="2904"/>
      <c r="C3" s="2904"/>
      <c r="D3" s="2904"/>
      <c r="E3" s="3029" t="str">
        <f>基本情况!B7</f>
        <v>2016年01月01日至2016年12月31日</v>
      </c>
      <c r="F3" s="3029"/>
      <c r="G3" s="3029"/>
      <c r="H3" s="3029"/>
      <c r="I3" s="373" t="s">
        <v>453</v>
      </c>
      <c r="J3" s="3030">
        <f>基本情况!B11</f>
        <v>0</v>
      </c>
      <c r="K3" s="3030"/>
      <c r="L3" s="3030"/>
      <c r="M3" s="375" t="s">
        <v>450</v>
      </c>
      <c r="N3" s="3030" t="str">
        <f>TEXT(基本情况!B22,"yyyy-mm-dd")</f>
        <v>2017-05-04</v>
      </c>
      <c r="O3" s="3030"/>
      <c r="P3" s="3022"/>
      <c r="Q3" s="3028"/>
      <c r="R3" s="169"/>
      <c r="S3" s="169"/>
      <c r="T3" s="169"/>
      <c r="U3" s="169"/>
      <c r="V3" s="169"/>
      <c r="W3" s="169"/>
    </row>
    <row r="4" spans="1:23" ht="16.5" customHeight="1">
      <c r="A4" s="3021" t="s">
        <v>550</v>
      </c>
      <c r="B4" s="3022" t="s">
        <v>1062</v>
      </c>
      <c r="C4" s="3023" t="s">
        <v>551</v>
      </c>
      <c r="D4" s="3023"/>
      <c r="E4" s="2898" t="s">
        <v>552</v>
      </c>
      <c r="F4" s="2898"/>
      <c r="G4" s="2898"/>
      <c r="H4" s="3022" t="s">
        <v>553</v>
      </c>
      <c r="I4" s="3022"/>
      <c r="J4" s="3022"/>
      <c r="K4" s="3022"/>
      <c r="L4" s="3022"/>
      <c r="M4" s="3023" t="s">
        <v>554</v>
      </c>
      <c r="N4" s="3022" t="s">
        <v>555</v>
      </c>
      <c r="O4" s="3022"/>
      <c r="P4" s="3022"/>
      <c r="Q4" s="2945" t="s">
        <v>456</v>
      </c>
      <c r="R4" s="169"/>
      <c r="S4" s="169"/>
      <c r="T4" s="169"/>
      <c r="U4" s="169"/>
      <c r="V4" s="169"/>
      <c r="W4" s="169"/>
    </row>
    <row r="5" spans="1:23" ht="16.5" customHeight="1">
      <c r="A5" s="3021"/>
      <c r="B5" s="3022"/>
      <c r="C5" s="3023"/>
      <c r="D5" s="3023"/>
      <c r="E5" s="377" t="s">
        <v>556</v>
      </c>
      <c r="F5" s="373" t="s">
        <v>557</v>
      </c>
      <c r="G5" s="373" t="s">
        <v>558</v>
      </c>
      <c r="H5" s="3022"/>
      <c r="I5" s="3022"/>
      <c r="J5" s="3022"/>
      <c r="K5" s="3022"/>
      <c r="L5" s="3022"/>
      <c r="M5" s="3023"/>
      <c r="N5" s="3022"/>
      <c r="O5" s="3022"/>
      <c r="P5" s="3022"/>
      <c r="Q5" s="2945"/>
      <c r="R5" s="2683" t="s">
        <v>396</v>
      </c>
      <c r="S5" s="2683"/>
      <c r="T5" s="2683"/>
      <c r="U5" s="169"/>
      <c r="V5" s="169"/>
      <c r="W5" s="169"/>
    </row>
    <row r="6" spans="1:23" ht="16.5" customHeight="1">
      <c r="A6" s="378"/>
      <c r="B6" s="379"/>
      <c r="C6" s="3031"/>
      <c r="D6" s="3031"/>
      <c r="E6" s="380"/>
      <c r="F6" s="381"/>
      <c r="G6" s="1094"/>
      <c r="H6" s="3032"/>
      <c r="I6" s="3032"/>
      <c r="J6" s="3032"/>
      <c r="K6" s="3032"/>
      <c r="L6" s="3032"/>
      <c r="M6" s="382">
        <v>1</v>
      </c>
      <c r="N6" s="3033" t="str">
        <f>IF(COUNTIF($R$14:$R$38,M6),INDEX($S$14:$S$38,MATCH(M6,$R$14:$R38,0)),"")</f>
        <v>未取得合法有效票据的支出</v>
      </c>
      <c r="O6" s="3033"/>
      <c r="P6" s="3033"/>
      <c r="Q6" s="383"/>
      <c r="R6" s="232" t="s">
        <v>559</v>
      </c>
      <c r="S6" s="169"/>
      <c r="T6" s="169"/>
      <c r="U6" s="169"/>
      <c r="V6" s="169"/>
      <c r="W6" s="169"/>
    </row>
    <row r="7" spans="1:23" ht="16.5" customHeight="1">
      <c r="A7" s="384"/>
      <c r="B7" s="385"/>
      <c r="C7" s="3034"/>
      <c r="D7" s="3034"/>
      <c r="E7" s="386"/>
      <c r="F7" s="385"/>
      <c r="G7" s="1095"/>
      <c r="H7" s="3035"/>
      <c r="I7" s="3035"/>
      <c r="J7" s="3035"/>
      <c r="K7" s="3035"/>
      <c r="L7" s="3035"/>
      <c r="M7" s="387">
        <v>2</v>
      </c>
      <c r="N7" s="3036" t="str">
        <f>IF(COUNTIF($R$14:$R$38,M7),INDEX($S$14:$S$38,MATCH(M7,$R$14:$R38,0)),"")</f>
        <v>跨期扣除项目</v>
      </c>
      <c r="O7" s="3036"/>
      <c r="P7" s="3036"/>
      <c r="Q7" s="388"/>
      <c r="R7" s="232" t="s">
        <v>560</v>
      </c>
      <c r="S7" s="169"/>
      <c r="T7" s="169"/>
      <c r="U7" s="169"/>
      <c r="V7" s="169"/>
      <c r="W7" s="169"/>
    </row>
    <row r="8" spans="1:23" ht="16.5" customHeight="1">
      <c r="A8" s="384"/>
      <c r="B8" s="385"/>
      <c r="C8" s="3034"/>
      <c r="D8" s="3034"/>
      <c r="E8" s="386"/>
      <c r="F8" s="385"/>
      <c r="G8" s="1095"/>
      <c r="H8" s="3035"/>
      <c r="I8" s="3035"/>
      <c r="J8" s="3035"/>
      <c r="K8" s="3035"/>
      <c r="L8" s="3035"/>
      <c r="M8" s="387">
        <v>3</v>
      </c>
      <c r="N8" s="3036" t="str">
        <f>IF(COUNTIF($R$14:$R$38,M8),INDEX($S$14:$S$38,MATCH(M8,$R$14:$R39,0)),"")</f>
        <v>与取得收入无关的支出</v>
      </c>
      <c r="O8" s="3036"/>
      <c r="P8" s="3036"/>
      <c r="Q8" s="388"/>
      <c r="R8" s="232" t="s">
        <v>561</v>
      </c>
      <c r="S8" s="169"/>
      <c r="T8" s="169"/>
      <c r="U8" s="169"/>
      <c r="V8" s="169"/>
      <c r="W8" s="169"/>
    </row>
    <row r="9" spans="1:23" ht="16.5" customHeight="1">
      <c r="A9" s="384"/>
      <c r="B9" s="385"/>
      <c r="C9" s="3034"/>
      <c r="D9" s="3034"/>
      <c r="E9" s="386"/>
      <c r="F9" s="385"/>
      <c r="G9" s="1095"/>
      <c r="H9" s="3035"/>
      <c r="I9" s="3035"/>
      <c r="J9" s="3035"/>
      <c r="K9" s="3035"/>
      <c r="L9" s="3035"/>
      <c r="M9" s="387">
        <v>4</v>
      </c>
      <c r="N9" s="3036" t="str">
        <f>IF(COUNTIF($R$14:$R$38,M9),INDEX($S$14:$S$38,MATCH(M9,$R$14:$R40,0)),"")</f>
        <v>非本公司费用</v>
      </c>
      <c r="O9" s="3036"/>
      <c r="P9" s="3036"/>
      <c r="Q9" s="388"/>
      <c r="R9" s="1269" t="s">
        <v>262</v>
      </c>
      <c r="S9" s="169"/>
      <c r="T9" s="169"/>
      <c r="U9" s="169"/>
      <c r="V9" s="169"/>
      <c r="W9" s="169"/>
    </row>
    <row r="10" spans="1:23" ht="16.5" customHeight="1">
      <c r="A10" s="384"/>
      <c r="B10" s="385"/>
      <c r="C10" s="3034"/>
      <c r="D10" s="3034"/>
      <c r="E10" s="386"/>
      <c r="F10" s="385"/>
      <c r="G10" s="1095"/>
      <c r="H10" s="3035"/>
      <c r="I10" s="3035"/>
      <c r="J10" s="3035"/>
      <c r="K10" s="3035"/>
      <c r="L10" s="3035"/>
      <c r="M10" s="387">
        <v>5</v>
      </c>
      <c r="N10" s="3036" t="str">
        <f>IF(COUNTIF($R$14:$R$38,M10),INDEX($S$14:$S$38,MATCH(M10,$R$14:$R41,0)),"")</f>
        <v>应并入业务招待费的费用</v>
      </c>
      <c r="O10" s="3036"/>
      <c r="P10" s="3036"/>
      <c r="Q10" s="388"/>
      <c r="R10" s="232" t="s">
        <v>563</v>
      </c>
      <c r="S10" s="389"/>
      <c r="T10" s="169"/>
      <c r="U10" s="169"/>
      <c r="V10" s="169"/>
      <c r="W10" s="169"/>
    </row>
    <row r="11" spans="1:23" ht="16.5" customHeight="1">
      <c r="A11" s="384"/>
      <c r="B11" s="385"/>
      <c r="C11" s="3034"/>
      <c r="D11" s="3034"/>
      <c r="E11" s="386"/>
      <c r="F11" s="385"/>
      <c r="G11" s="1095"/>
      <c r="H11" s="3035"/>
      <c r="I11" s="3035"/>
      <c r="J11" s="3035"/>
      <c r="K11" s="3035"/>
      <c r="L11" s="3035"/>
      <c r="M11" s="387">
        <v>6</v>
      </c>
      <c r="N11" s="3036" t="str">
        <f>IF(COUNTIF($R$14:$R$38,M11),INDEX($S$14:$S$38,MATCH(M11,$R$14:$R42,0)),"")</f>
        <v>产权不属于公司的汽车费用</v>
      </c>
      <c r="O11" s="3036"/>
      <c r="P11" s="3036"/>
      <c r="Q11" s="388"/>
      <c r="R11" s="232" t="s">
        <v>564</v>
      </c>
      <c r="S11" s="389"/>
      <c r="T11" s="169"/>
      <c r="U11" s="169"/>
      <c r="V11" s="169"/>
      <c r="W11" s="169"/>
    </row>
    <row r="12" spans="1:23" ht="16.5" customHeight="1">
      <c r="A12" s="384"/>
      <c r="B12" s="385"/>
      <c r="C12" s="3034"/>
      <c r="D12" s="3034"/>
      <c r="E12" s="386"/>
      <c r="F12" s="385"/>
      <c r="G12" s="1095"/>
      <c r="H12" s="3035"/>
      <c r="I12" s="3035"/>
      <c r="J12" s="3035"/>
      <c r="K12" s="3035"/>
      <c r="L12" s="3035"/>
      <c r="M12" s="387">
        <v>7</v>
      </c>
      <c r="N12" s="3036" t="str">
        <f>IF(COUNTIF($R$14:$R$38,M12),INDEX($S$14:$S$38,MATCH(M12,$R$14:$R43,0)),"")</f>
        <v>不属于应付福利费开支范围的支出</v>
      </c>
      <c r="O12" s="3036"/>
      <c r="P12" s="3036"/>
      <c r="Q12" s="388"/>
      <c r="R12" s="3037" t="s">
        <v>565</v>
      </c>
      <c r="S12" s="3037"/>
      <c r="T12" s="3037"/>
      <c r="U12" s="3037"/>
      <c r="V12" s="3037"/>
      <c r="W12" s="3037"/>
    </row>
    <row r="13" spans="1:23" ht="16.5" customHeight="1">
      <c r="A13" s="384"/>
      <c r="B13" s="385"/>
      <c r="C13" s="3034"/>
      <c r="D13" s="3034"/>
      <c r="E13" s="386"/>
      <c r="F13" s="385"/>
      <c r="G13" s="1095"/>
      <c r="H13" s="3035"/>
      <c r="I13" s="3035"/>
      <c r="J13" s="3035"/>
      <c r="K13" s="3035"/>
      <c r="L13" s="3035"/>
      <c r="M13" s="387">
        <v>8</v>
      </c>
      <c r="N13" s="3036" t="str">
        <f>IF(COUNTIF($R$14:$R$38,M13),INDEX($S$14:$S$38,MATCH(M13,$R$14:$R44,0)),"")</f>
        <v>税收滞纳金</v>
      </c>
      <c r="O13" s="3036"/>
      <c r="P13" s="3036"/>
      <c r="Q13" s="388"/>
      <c r="R13" s="3037"/>
      <c r="S13" s="3037"/>
      <c r="T13" s="3037"/>
      <c r="U13" s="3037"/>
      <c r="V13" s="3037"/>
      <c r="W13" s="3037"/>
    </row>
    <row r="14" spans="1:23" ht="16.5" customHeight="1">
      <c r="A14" s="384"/>
      <c r="B14" s="385"/>
      <c r="C14" s="3034"/>
      <c r="D14" s="3034"/>
      <c r="E14" s="386"/>
      <c r="F14" s="385"/>
      <c r="G14" s="1095"/>
      <c r="H14" s="3035"/>
      <c r="I14" s="3035"/>
      <c r="J14" s="3035"/>
      <c r="K14" s="3035"/>
      <c r="L14" s="3035"/>
      <c r="M14" s="387">
        <v>9</v>
      </c>
      <c r="N14" s="3036" t="str">
        <f>IF(COUNTIF($R$14:$R$38,M14),INDEX($S$14:$S$38,MATCH(M14,$R$14:$R45,0)),"")</f>
        <v>大额购物未附清单</v>
      </c>
      <c r="O14" s="3036"/>
      <c r="P14" s="3036"/>
      <c r="Q14" s="388"/>
      <c r="R14" s="390">
        <v>1</v>
      </c>
      <c r="S14" s="389" t="s">
        <v>566</v>
      </c>
    </row>
    <row r="15" spans="1:23" ht="16.5" customHeight="1">
      <c r="A15" s="384"/>
      <c r="B15" s="385"/>
      <c r="C15" s="3034"/>
      <c r="D15" s="3034"/>
      <c r="E15" s="386"/>
      <c r="F15" s="385"/>
      <c r="G15" s="1095"/>
      <c r="H15" s="3035"/>
      <c r="I15" s="3035"/>
      <c r="J15" s="3035"/>
      <c r="K15" s="3035"/>
      <c r="L15" s="3035"/>
      <c r="M15" s="387">
        <v>10</v>
      </c>
      <c r="N15" s="3036" t="str">
        <f>IF(COUNTIF($R$14:$R$38,M15),INDEX($S$14:$S$38,MATCH(M15,$R$14:$R46,0)),"")</f>
        <v>罚金、违法经营罚款和被没收财物损失</v>
      </c>
      <c r="O15" s="3036"/>
      <c r="P15" s="3036"/>
      <c r="Q15" s="388"/>
      <c r="R15" s="1780">
        <v>2</v>
      </c>
      <c r="S15" s="1781" t="s">
        <v>6496</v>
      </c>
      <c r="T15" s="169"/>
      <c r="U15" s="169"/>
      <c r="V15" s="169"/>
      <c r="W15" s="169"/>
    </row>
    <row r="16" spans="1:23" ht="16.5" customHeight="1">
      <c r="A16" s="384"/>
      <c r="B16" s="385"/>
      <c r="C16" s="3034"/>
      <c r="D16" s="3034"/>
      <c r="E16" s="386"/>
      <c r="F16" s="385"/>
      <c r="G16" s="1095"/>
      <c r="H16" s="3035"/>
      <c r="I16" s="3035"/>
      <c r="J16" s="3035"/>
      <c r="K16" s="3035"/>
      <c r="L16" s="3035"/>
      <c r="M16" s="387">
        <v>11</v>
      </c>
      <c r="N16" s="3036" t="str">
        <f>IF(COUNTIF($R$14:$R$38,M16),INDEX($S$14:$S$38,MATCH(M16,$R$14:$R47,0)),"")</f>
        <v>不允许直接在损益中列支的当年福利费</v>
      </c>
      <c r="O16" s="3036"/>
      <c r="P16" s="3036"/>
      <c r="Q16" s="388"/>
      <c r="R16" s="391">
        <v>3</v>
      </c>
      <c r="S16" s="392" t="s">
        <v>567</v>
      </c>
      <c r="T16" s="169"/>
      <c r="U16" s="169"/>
      <c r="V16" s="169"/>
      <c r="W16" s="169"/>
    </row>
    <row r="17" spans="1:23" ht="16.5" customHeight="1">
      <c r="A17" s="384"/>
      <c r="B17" s="385"/>
      <c r="C17" s="3034"/>
      <c r="D17" s="3034"/>
      <c r="E17" s="386"/>
      <c r="F17" s="385"/>
      <c r="G17" s="1095"/>
      <c r="H17" s="3035"/>
      <c r="I17" s="3035"/>
      <c r="J17" s="3035"/>
      <c r="K17" s="3035"/>
      <c r="L17" s="3035"/>
      <c r="M17" s="387">
        <v>12</v>
      </c>
      <c r="N17" s="3036" t="str">
        <f>IF(COUNTIF($R$14:$R$38,M17),INDEX($S$14:$S$38,MATCH(M17,$R$14:$R48,0)),"")</f>
        <v>跨期费用</v>
      </c>
      <c r="O17" s="3036"/>
      <c r="P17" s="3036"/>
      <c r="Q17" s="388"/>
      <c r="R17" s="390">
        <v>4</v>
      </c>
      <c r="S17" s="389" t="s">
        <v>568</v>
      </c>
      <c r="T17" s="169"/>
      <c r="U17" s="169"/>
      <c r="V17" s="169"/>
      <c r="W17" s="169"/>
    </row>
    <row r="18" spans="1:23" ht="16.5" customHeight="1">
      <c r="A18" s="384"/>
      <c r="B18" s="385"/>
      <c r="C18" s="3034"/>
      <c r="D18" s="3034"/>
      <c r="E18" s="386"/>
      <c r="F18" s="385"/>
      <c r="G18" s="1095"/>
      <c r="H18" s="3035"/>
      <c r="I18" s="3035"/>
      <c r="J18" s="3035"/>
      <c r="K18" s="3035"/>
      <c r="L18" s="3035"/>
      <c r="M18" s="387"/>
      <c r="N18" s="3036" t="str">
        <f>IF(COUNTIF($R$14:$R$38,M18),INDEX($S$14:$S$38,MATCH(M18,$R$14:$R49,0)),"")</f>
        <v/>
      </c>
      <c r="O18" s="3036"/>
      <c r="P18" s="3036"/>
      <c r="Q18" s="388"/>
      <c r="R18" s="391">
        <v>5</v>
      </c>
      <c r="S18" s="392" t="s">
        <v>569</v>
      </c>
      <c r="T18" s="169"/>
      <c r="U18" s="169"/>
      <c r="V18" s="169"/>
      <c r="W18" s="169"/>
    </row>
    <row r="19" spans="1:23" ht="16.5" customHeight="1">
      <c r="A19" s="384"/>
      <c r="B19" s="385"/>
      <c r="C19" s="3034"/>
      <c r="D19" s="3034"/>
      <c r="E19" s="386"/>
      <c r="F19" s="385"/>
      <c r="G19" s="1095"/>
      <c r="H19" s="3035"/>
      <c r="I19" s="3035"/>
      <c r="J19" s="3035"/>
      <c r="K19" s="3035"/>
      <c r="L19" s="3035"/>
      <c r="M19" s="387"/>
      <c r="N19" s="3036" t="str">
        <f>IF(COUNTIF($R$14:$R$38,M19),INDEX($S$14:$S$38,MATCH(M19,$R$14:$R50,0)),"")</f>
        <v/>
      </c>
      <c r="O19" s="3036"/>
      <c r="P19" s="3036"/>
      <c r="Q19" s="388"/>
      <c r="R19" s="390">
        <v>6</v>
      </c>
      <c r="S19" s="389" t="s">
        <v>570</v>
      </c>
      <c r="T19" s="169"/>
      <c r="U19" s="169"/>
      <c r="V19" s="169"/>
      <c r="W19" s="169"/>
    </row>
    <row r="20" spans="1:23" ht="16.5" customHeight="1">
      <c r="A20" s="384"/>
      <c r="B20" s="385"/>
      <c r="C20" s="3034"/>
      <c r="D20" s="3034"/>
      <c r="E20" s="386"/>
      <c r="F20" s="385"/>
      <c r="G20" s="1095"/>
      <c r="H20" s="3035"/>
      <c r="I20" s="3035"/>
      <c r="J20" s="3035"/>
      <c r="K20" s="3035"/>
      <c r="L20" s="3035"/>
      <c r="M20" s="387"/>
      <c r="N20" s="3036" t="str">
        <f>IF(COUNTIF($R$14:$R$38,M20),INDEX($S$14:$S$38,MATCH(M20,$R$14:$R51,0)),"")</f>
        <v/>
      </c>
      <c r="O20" s="3036"/>
      <c r="P20" s="3036"/>
      <c r="Q20" s="388"/>
      <c r="R20" s="391">
        <v>7</v>
      </c>
      <c r="S20" s="392" t="s">
        <v>571</v>
      </c>
      <c r="T20" s="169"/>
      <c r="U20" s="169"/>
    </row>
    <row r="21" spans="1:23" ht="16.5" customHeight="1">
      <c r="A21" s="384"/>
      <c r="B21" s="385"/>
      <c r="C21" s="3034"/>
      <c r="D21" s="3034"/>
      <c r="E21" s="386"/>
      <c r="F21" s="385"/>
      <c r="G21" s="1095"/>
      <c r="H21" s="3035"/>
      <c r="I21" s="3035"/>
      <c r="J21" s="3035"/>
      <c r="K21" s="3035"/>
      <c r="L21" s="3035"/>
      <c r="M21" s="387"/>
      <c r="N21" s="3036" t="str">
        <f>IF(COUNTIF($R$14:$R$38,M21),INDEX($S$14:$S$38,MATCH(M21,$R$14:$R52,0)),"")</f>
        <v/>
      </c>
      <c r="O21" s="3036"/>
      <c r="P21" s="3036"/>
      <c r="Q21" s="388"/>
      <c r="R21" s="391">
        <v>8</v>
      </c>
      <c r="S21" s="392" t="s">
        <v>572</v>
      </c>
      <c r="T21" s="169"/>
      <c r="U21" s="169"/>
    </row>
    <row r="22" spans="1:23" ht="16.5" customHeight="1">
      <c r="A22" s="384"/>
      <c r="B22" s="385"/>
      <c r="C22" s="3034"/>
      <c r="D22" s="3034"/>
      <c r="E22" s="386"/>
      <c r="F22" s="385"/>
      <c r="G22" s="1095"/>
      <c r="H22" s="3035"/>
      <c r="I22" s="3035"/>
      <c r="J22" s="3035"/>
      <c r="K22" s="3035"/>
      <c r="L22" s="3035"/>
      <c r="M22" s="387"/>
      <c r="N22" s="3036" t="str">
        <f>IF(COUNTIF($R$14:$R$38,M22),INDEX($S$14:$S$38,MATCH(M22,$R$14:$R53,0)),"")</f>
        <v/>
      </c>
      <c r="O22" s="3036"/>
      <c r="P22" s="3036"/>
      <c r="Q22" s="388"/>
      <c r="R22" s="390">
        <v>9</v>
      </c>
      <c r="S22" s="389" t="s">
        <v>573</v>
      </c>
      <c r="T22" s="169"/>
      <c r="U22" s="169"/>
      <c r="V22" s="169"/>
      <c r="W22" s="169"/>
    </row>
    <row r="23" spans="1:23" ht="16.5" customHeight="1">
      <c r="A23" s="384"/>
      <c r="B23" s="385"/>
      <c r="C23" s="3034"/>
      <c r="D23" s="3034"/>
      <c r="E23" s="386"/>
      <c r="F23" s="385"/>
      <c r="G23" s="1095"/>
      <c r="H23" s="3035"/>
      <c r="I23" s="3035"/>
      <c r="J23" s="3035"/>
      <c r="K23" s="3035"/>
      <c r="L23" s="3035"/>
      <c r="M23" s="387"/>
      <c r="N23" s="3036" t="str">
        <f>IF(COUNTIF($R$14:$R$38,M23),INDEX($S$14:$S$38,MATCH(M23,$R$14:$R54,0)),"")</f>
        <v/>
      </c>
      <c r="O23" s="3036"/>
      <c r="P23" s="3036"/>
      <c r="Q23" s="388"/>
      <c r="R23" s="1780">
        <v>10</v>
      </c>
      <c r="S23" s="1781" t="s">
        <v>6497</v>
      </c>
      <c r="T23" s="169"/>
      <c r="U23" s="169"/>
      <c r="V23" s="169"/>
      <c r="W23" s="169"/>
    </row>
    <row r="24" spans="1:23" ht="16.5" customHeight="1">
      <c r="A24" s="384"/>
      <c r="B24" s="385"/>
      <c r="C24" s="3034"/>
      <c r="D24" s="3034"/>
      <c r="E24" s="386"/>
      <c r="F24" s="385"/>
      <c r="G24" s="1095"/>
      <c r="H24" s="3035"/>
      <c r="I24" s="3035"/>
      <c r="J24" s="3035"/>
      <c r="K24" s="3035"/>
      <c r="L24" s="3035"/>
      <c r="M24" s="387"/>
      <c r="N24" s="3036" t="str">
        <f>IF(COUNTIF($R$14:$R$38,M24),INDEX($S$14:$S$38,MATCH(M24,$R$14:$R55,0)),"")</f>
        <v/>
      </c>
      <c r="O24" s="3036"/>
      <c r="P24" s="3036"/>
      <c r="Q24" s="388"/>
      <c r="R24" s="393">
        <v>11</v>
      </c>
      <c r="S24" s="394" t="s">
        <v>574</v>
      </c>
      <c r="T24" s="169"/>
      <c r="U24" s="169"/>
      <c r="V24" s="169"/>
      <c r="W24" s="169"/>
    </row>
    <row r="25" spans="1:23" ht="16.5" customHeight="1">
      <c r="A25" s="384"/>
      <c r="B25" s="385"/>
      <c r="C25" s="3034"/>
      <c r="D25" s="3034"/>
      <c r="E25" s="395"/>
      <c r="F25" s="396"/>
      <c r="G25" s="1095"/>
      <c r="H25" s="3035"/>
      <c r="I25" s="3035"/>
      <c r="J25" s="3035"/>
      <c r="K25" s="3035"/>
      <c r="L25" s="3035"/>
      <c r="M25" s="387"/>
      <c r="N25" s="3036" t="str">
        <f>IF(COUNTIF($R$14:$R$38,M25),INDEX($S$14:$S$38,MATCH(M25,$R$14:$R56,0)),"")</f>
        <v/>
      </c>
      <c r="O25" s="3036"/>
      <c r="P25" s="3036"/>
      <c r="Q25" s="388"/>
      <c r="R25" s="390">
        <v>12</v>
      </c>
      <c r="S25" s="2227" t="s">
        <v>6796</v>
      </c>
      <c r="T25" s="169"/>
      <c r="U25" s="169"/>
      <c r="V25" s="169"/>
      <c r="W25" s="169"/>
    </row>
    <row r="26" spans="1:23" ht="16.5" hidden="1" customHeight="1">
      <c r="A26" s="384"/>
      <c r="B26" s="385"/>
      <c r="C26" s="3034"/>
      <c r="D26" s="3034"/>
      <c r="E26" s="395"/>
      <c r="F26" s="396"/>
      <c r="G26" s="1095"/>
      <c r="H26" s="3035"/>
      <c r="I26" s="3035"/>
      <c r="J26" s="3035"/>
      <c r="K26" s="3035"/>
      <c r="L26" s="3035"/>
      <c r="M26" s="387"/>
      <c r="N26" s="3036" t="str">
        <f>IF(COUNTIF($R$14:$R$38,M26),INDEX($S$14:$S$38,MATCH(M26,$R$14:$R57,0)),"")</f>
        <v/>
      </c>
      <c r="O26" s="3036"/>
      <c r="P26" s="3036"/>
      <c r="Q26" s="388"/>
      <c r="R26" s="390">
        <v>13</v>
      </c>
      <c r="S26" s="390"/>
      <c r="T26" s="169"/>
      <c r="U26" s="169"/>
      <c r="V26" s="169"/>
      <c r="W26" s="169"/>
    </row>
    <row r="27" spans="1:23" ht="12.75" hidden="1" customHeight="1">
      <c r="A27" s="384"/>
      <c r="B27" s="385"/>
      <c r="C27" s="3034"/>
      <c r="D27" s="3034"/>
      <c r="E27" s="395"/>
      <c r="F27" s="396"/>
      <c r="G27" s="1095"/>
      <c r="H27" s="3035"/>
      <c r="I27" s="3035"/>
      <c r="J27" s="3035"/>
      <c r="K27" s="3035"/>
      <c r="L27" s="3035"/>
      <c r="M27" s="387"/>
      <c r="N27" s="3036" t="str">
        <f>IF(COUNTIF($R$14:$R$38,M27),INDEX($S$14:$S$38,MATCH(M27,$R$14:$R58,0)),"")</f>
        <v/>
      </c>
      <c r="O27" s="3036"/>
      <c r="P27" s="3036"/>
      <c r="Q27" s="388"/>
      <c r="R27" s="390">
        <v>14</v>
      </c>
      <c r="S27" s="390"/>
      <c r="T27" s="169"/>
      <c r="U27" s="169"/>
      <c r="V27" s="169"/>
      <c r="W27" s="169"/>
    </row>
    <row r="28" spans="1:23" ht="12.75" hidden="1" customHeight="1">
      <c r="A28" s="384"/>
      <c r="B28" s="385"/>
      <c r="C28" s="3034"/>
      <c r="D28" s="3034"/>
      <c r="E28" s="395"/>
      <c r="F28" s="396"/>
      <c r="G28" s="1095"/>
      <c r="H28" s="3035"/>
      <c r="I28" s="3035"/>
      <c r="J28" s="3035"/>
      <c r="K28" s="3035"/>
      <c r="L28" s="3035"/>
      <c r="M28" s="387"/>
      <c r="N28" s="3036" t="str">
        <f>IF(COUNTIF($R$14:$R$38,M28),INDEX($S$14:$S$38,MATCH(M28,$R$14:$R59,0)),"")</f>
        <v/>
      </c>
      <c r="O28" s="3036"/>
      <c r="P28" s="3036"/>
      <c r="Q28" s="388"/>
      <c r="R28" s="390">
        <v>15</v>
      </c>
      <c r="S28" s="390"/>
      <c r="T28" s="169"/>
      <c r="U28" s="169"/>
      <c r="V28" s="169"/>
      <c r="W28" s="169"/>
    </row>
    <row r="29" spans="1:23" ht="12.75" hidden="1" customHeight="1">
      <c r="A29" s="384"/>
      <c r="B29" s="385"/>
      <c r="C29" s="3034"/>
      <c r="D29" s="3034"/>
      <c r="E29" s="395"/>
      <c r="F29" s="396"/>
      <c r="G29" s="1095"/>
      <c r="H29" s="3035"/>
      <c r="I29" s="3035"/>
      <c r="J29" s="3035"/>
      <c r="K29" s="3035"/>
      <c r="L29" s="3035"/>
      <c r="M29" s="387"/>
      <c r="N29" s="3036" t="str">
        <f>IF(COUNTIF($R$14:$R$38,M29),INDEX($S$14:$S$38,MATCH(M29,$R$14:$R60,0)),"")</f>
        <v/>
      </c>
      <c r="O29" s="3036"/>
      <c r="P29" s="3036"/>
      <c r="Q29" s="388"/>
      <c r="R29" s="390">
        <v>16</v>
      </c>
      <c r="S29" s="390"/>
      <c r="T29" s="169"/>
      <c r="U29" s="169"/>
      <c r="V29" s="169"/>
      <c r="W29" s="169"/>
    </row>
    <row r="30" spans="1:23" ht="12.75" hidden="1" customHeight="1">
      <c r="A30" s="384"/>
      <c r="B30" s="385"/>
      <c r="C30" s="3034"/>
      <c r="D30" s="3034"/>
      <c r="E30" s="395"/>
      <c r="F30" s="396"/>
      <c r="G30" s="1095"/>
      <c r="H30" s="3035"/>
      <c r="I30" s="3035"/>
      <c r="J30" s="3035"/>
      <c r="K30" s="3035"/>
      <c r="L30" s="3035"/>
      <c r="M30" s="387"/>
      <c r="N30" s="3036" t="str">
        <f>IF(COUNTIF($R$14:$R$38,M30),INDEX($S$14:$S$38,MATCH(M30,$R$14:$R61,0)),"")</f>
        <v/>
      </c>
      <c r="O30" s="3036"/>
      <c r="P30" s="3036"/>
      <c r="Q30" s="388"/>
      <c r="R30" s="390">
        <v>17</v>
      </c>
      <c r="S30" s="397"/>
      <c r="T30" s="169"/>
      <c r="U30" s="169"/>
      <c r="V30" s="169"/>
      <c r="W30" s="169"/>
    </row>
    <row r="31" spans="1:23" ht="12.75" hidden="1" customHeight="1">
      <c r="A31" s="384"/>
      <c r="B31" s="385"/>
      <c r="C31" s="3034"/>
      <c r="D31" s="3034"/>
      <c r="E31" s="395"/>
      <c r="F31" s="396"/>
      <c r="G31" s="1095"/>
      <c r="H31" s="3035"/>
      <c r="I31" s="3035"/>
      <c r="J31" s="3035"/>
      <c r="K31" s="3035"/>
      <c r="L31" s="3035"/>
      <c r="M31" s="387"/>
      <c r="N31" s="3036" t="str">
        <f>IF(COUNTIF($R$14:$R$38,M31),INDEX($S$14:$S$38,MATCH(M31,$R$14:$R62,0)),"")</f>
        <v/>
      </c>
      <c r="O31" s="3036"/>
      <c r="P31" s="3036"/>
      <c r="Q31" s="388"/>
      <c r="R31" s="390">
        <v>18</v>
      </c>
      <c r="S31" s="397"/>
      <c r="T31" s="169"/>
      <c r="U31" s="169"/>
      <c r="V31" s="169"/>
      <c r="W31" s="169"/>
    </row>
    <row r="32" spans="1:23" ht="12.75" hidden="1" customHeight="1">
      <c r="A32" s="384"/>
      <c r="B32" s="385"/>
      <c r="C32" s="3034"/>
      <c r="D32" s="3034"/>
      <c r="E32" s="395"/>
      <c r="F32" s="396"/>
      <c r="G32" s="1095"/>
      <c r="H32" s="3035"/>
      <c r="I32" s="3035"/>
      <c r="J32" s="3035"/>
      <c r="K32" s="3035"/>
      <c r="L32" s="3035"/>
      <c r="M32" s="387"/>
      <c r="N32" s="3036" t="str">
        <f>IF(COUNTIF($R$14:$R$38,M32),INDEX($S$14:$S$38,MATCH(M32,$R$14:$R63,0)),"")</f>
        <v/>
      </c>
      <c r="O32" s="3036"/>
      <c r="P32" s="3036"/>
      <c r="Q32" s="388"/>
      <c r="R32" s="390">
        <v>19</v>
      </c>
      <c r="S32" s="397"/>
      <c r="T32" s="169"/>
      <c r="U32" s="169"/>
      <c r="V32" s="169"/>
      <c r="W32" s="169"/>
    </row>
    <row r="33" spans="1:23" ht="12.75" hidden="1" customHeight="1">
      <c r="A33" s="384"/>
      <c r="B33" s="385"/>
      <c r="C33" s="3034"/>
      <c r="D33" s="3034"/>
      <c r="E33" s="395"/>
      <c r="F33" s="396"/>
      <c r="G33" s="1095"/>
      <c r="H33" s="3035"/>
      <c r="I33" s="3035"/>
      <c r="J33" s="3035"/>
      <c r="K33" s="3035"/>
      <c r="L33" s="3035"/>
      <c r="M33" s="387"/>
      <c r="N33" s="3036" t="str">
        <f>IF(COUNTIF($R$14:$R$38,M33),INDEX($S$14:$S$38,MATCH(M33,$R$14:$R64,0)),"")</f>
        <v/>
      </c>
      <c r="O33" s="3036"/>
      <c r="P33" s="3036"/>
      <c r="Q33" s="388"/>
      <c r="R33" s="390">
        <v>20</v>
      </c>
      <c r="S33" s="397"/>
      <c r="T33" s="169"/>
      <c r="U33" s="169"/>
      <c r="V33" s="169"/>
      <c r="W33" s="169"/>
    </row>
    <row r="34" spans="1:23" ht="12.75" hidden="1" customHeight="1">
      <c r="A34" s="384"/>
      <c r="B34" s="385"/>
      <c r="C34" s="3034"/>
      <c r="D34" s="3034"/>
      <c r="E34" s="395"/>
      <c r="F34" s="396"/>
      <c r="G34" s="1095"/>
      <c r="H34" s="3035"/>
      <c r="I34" s="3035"/>
      <c r="J34" s="3035"/>
      <c r="K34" s="3035"/>
      <c r="L34" s="3035"/>
      <c r="M34" s="387"/>
      <c r="N34" s="3036" t="str">
        <f>IF(COUNTIF($R$14:$R$38,M34),INDEX($S$14:$S$38,MATCH(M34,$R$14:$R65,0)),"")</f>
        <v/>
      </c>
      <c r="O34" s="3036"/>
      <c r="P34" s="3036"/>
      <c r="Q34" s="388"/>
      <c r="R34" s="390">
        <v>21</v>
      </c>
      <c r="S34" s="397"/>
      <c r="T34" s="169"/>
      <c r="U34" s="169"/>
      <c r="V34" s="169"/>
      <c r="W34" s="169"/>
    </row>
    <row r="35" spans="1:23" ht="12.75" hidden="1" customHeight="1">
      <c r="A35" s="384"/>
      <c r="B35" s="385"/>
      <c r="C35" s="3034"/>
      <c r="D35" s="3034"/>
      <c r="E35" s="395"/>
      <c r="F35" s="396"/>
      <c r="G35" s="1095"/>
      <c r="H35" s="3035"/>
      <c r="I35" s="3035"/>
      <c r="J35" s="3035"/>
      <c r="K35" s="3035"/>
      <c r="L35" s="3035"/>
      <c r="M35" s="387"/>
      <c r="N35" s="3036" t="str">
        <f>IF(COUNTIF($R$14:$R$38,M35),INDEX($S$14:$S$38,MATCH(M35,$R$14:$R66,0)),"")</f>
        <v/>
      </c>
      <c r="O35" s="3036"/>
      <c r="P35" s="3036"/>
      <c r="Q35" s="388"/>
      <c r="R35" s="390">
        <v>22</v>
      </c>
      <c r="S35" s="390"/>
      <c r="T35" s="169"/>
      <c r="U35" s="169"/>
      <c r="V35" s="169"/>
      <c r="W35" s="169"/>
    </row>
    <row r="36" spans="1:23" ht="12.75" hidden="1" customHeight="1">
      <c r="A36" s="384"/>
      <c r="B36" s="385"/>
      <c r="C36" s="3034"/>
      <c r="D36" s="3034"/>
      <c r="E36" s="395"/>
      <c r="F36" s="396"/>
      <c r="G36" s="1095"/>
      <c r="H36" s="3035"/>
      <c r="I36" s="3035"/>
      <c r="J36" s="3035"/>
      <c r="K36" s="3035"/>
      <c r="L36" s="3035"/>
      <c r="M36" s="387"/>
      <c r="N36" s="3036" t="str">
        <f>IF(COUNTIF($R$14:$R$38,M36),INDEX($S$14:$S$38,MATCH(M36,$R$14:$R67,0)),"")</f>
        <v/>
      </c>
      <c r="O36" s="3036"/>
      <c r="P36" s="3036"/>
      <c r="Q36" s="388"/>
      <c r="R36" s="390">
        <v>23</v>
      </c>
      <c r="S36" s="390"/>
      <c r="T36" s="169"/>
      <c r="U36" s="169"/>
      <c r="V36" s="169"/>
      <c r="W36" s="169"/>
    </row>
    <row r="37" spans="1:23" ht="12.75" hidden="1" customHeight="1">
      <c r="A37" s="384"/>
      <c r="B37" s="385"/>
      <c r="C37" s="3034"/>
      <c r="D37" s="3034"/>
      <c r="E37" s="395"/>
      <c r="F37" s="396"/>
      <c r="G37" s="1095"/>
      <c r="H37" s="3035"/>
      <c r="I37" s="3035"/>
      <c r="J37" s="3035"/>
      <c r="K37" s="3035"/>
      <c r="L37" s="3035"/>
      <c r="M37" s="387"/>
      <c r="N37" s="3036" t="str">
        <f>IF(COUNTIF($R$14:$R$38,M37),INDEX($S$14:$S$38,MATCH(M37,$R$14:$R68,0)),"")</f>
        <v/>
      </c>
      <c r="O37" s="3036"/>
      <c r="P37" s="3036"/>
      <c r="Q37" s="388"/>
      <c r="R37" s="390">
        <v>24</v>
      </c>
      <c r="S37" s="390"/>
      <c r="T37" s="169"/>
      <c r="U37" s="169"/>
      <c r="V37" s="169"/>
      <c r="W37" s="169"/>
    </row>
    <row r="38" spans="1:23" ht="12.75" hidden="1" customHeight="1">
      <c r="A38" s="384"/>
      <c r="B38" s="385"/>
      <c r="C38" s="3034"/>
      <c r="D38" s="3034"/>
      <c r="E38" s="395"/>
      <c r="F38" s="396"/>
      <c r="G38" s="1095"/>
      <c r="H38" s="3035"/>
      <c r="I38" s="3035"/>
      <c r="J38" s="3035"/>
      <c r="K38" s="3035"/>
      <c r="L38" s="3035"/>
      <c r="M38" s="387"/>
      <c r="N38" s="3036" t="str">
        <f>IF(COUNTIF($R$14:$R$38,M38),INDEX($S$14:$S$38,MATCH(M38,$R$14:$R69,0)),"")</f>
        <v/>
      </c>
      <c r="O38" s="3036"/>
      <c r="P38" s="3036"/>
      <c r="Q38" s="388"/>
      <c r="R38" s="390">
        <v>25</v>
      </c>
      <c r="S38" s="390"/>
      <c r="T38" s="169"/>
      <c r="U38" s="169"/>
      <c r="V38" s="169"/>
      <c r="W38" s="169"/>
    </row>
    <row r="39" spans="1:23" ht="12.75" hidden="1" customHeight="1">
      <c r="A39" s="384"/>
      <c r="B39" s="385"/>
      <c r="C39" s="3034"/>
      <c r="D39" s="3034"/>
      <c r="E39" s="395"/>
      <c r="F39" s="396"/>
      <c r="G39" s="1095"/>
      <c r="H39" s="3035"/>
      <c r="I39" s="3035"/>
      <c r="J39" s="3035"/>
      <c r="K39" s="3035"/>
      <c r="L39" s="3035"/>
      <c r="M39" s="387"/>
      <c r="N39" s="3036" t="str">
        <f>IF(COUNTIF($R$14:$R$38,M39),INDEX($S$14:$S$38,MATCH(M39,$R$14:$R70,0)),"")</f>
        <v/>
      </c>
      <c r="O39" s="3036"/>
      <c r="P39" s="3036"/>
      <c r="Q39" s="388"/>
      <c r="R39" s="390"/>
      <c r="S39" s="390"/>
      <c r="T39" s="169"/>
      <c r="U39" s="169"/>
      <c r="V39" s="169"/>
      <c r="W39" s="169"/>
    </row>
    <row r="40" spans="1:23" ht="12.75" hidden="1" customHeight="1">
      <c r="A40" s="384"/>
      <c r="B40" s="385"/>
      <c r="C40" s="3034"/>
      <c r="D40" s="3034"/>
      <c r="E40" s="395"/>
      <c r="F40" s="396"/>
      <c r="G40" s="1095"/>
      <c r="H40" s="3035"/>
      <c r="I40" s="3035"/>
      <c r="J40" s="3035"/>
      <c r="K40" s="3035"/>
      <c r="L40" s="3035"/>
      <c r="M40" s="387"/>
      <c r="N40" s="3036" t="str">
        <f>IF(COUNTIF($R$14:$R$38,M40),INDEX($S$14:$S$38,MATCH(M40,$R$14:$R71,0)),"")</f>
        <v/>
      </c>
      <c r="O40" s="3036"/>
      <c r="P40" s="3036"/>
      <c r="Q40" s="388"/>
      <c r="R40" s="390"/>
      <c r="S40" s="389"/>
      <c r="T40" s="169"/>
      <c r="U40" s="169"/>
      <c r="V40" s="169"/>
      <c r="W40" s="169"/>
    </row>
    <row r="41" spans="1:23" ht="12.75" hidden="1" customHeight="1">
      <c r="A41" s="384"/>
      <c r="B41" s="385"/>
      <c r="C41" s="3034"/>
      <c r="D41" s="3034"/>
      <c r="E41" s="395"/>
      <c r="F41" s="396"/>
      <c r="G41" s="1095"/>
      <c r="H41" s="3035"/>
      <c r="I41" s="3035"/>
      <c r="J41" s="3035"/>
      <c r="K41" s="3035"/>
      <c r="L41" s="3035"/>
      <c r="M41" s="387"/>
      <c r="N41" s="3036" t="str">
        <f>IF(COUNTIF($R$14:$R$38,M41),INDEX($S$14:$S$38,MATCH(M41,$R$14:$R72,0)),"")</f>
        <v/>
      </c>
      <c r="O41" s="3036"/>
      <c r="P41" s="3036"/>
      <c r="Q41" s="388"/>
      <c r="R41" s="390"/>
      <c r="S41" s="389"/>
      <c r="T41" s="169"/>
      <c r="U41" s="169"/>
      <c r="V41" s="169"/>
      <c r="W41" s="169"/>
    </row>
    <row r="42" spans="1:23" ht="12.75" hidden="1" customHeight="1">
      <c r="A42" s="384"/>
      <c r="B42" s="385"/>
      <c r="C42" s="3034"/>
      <c r="D42" s="3034"/>
      <c r="E42" s="395"/>
      <c r="F42" s="396"/>
      <c r="G42" s="1095"/>
      <c r="H42" s="3035"/>
      <c r="I42" s="3035"/>
      <c r="J42" s="3035"/>
      <c r="K42" s="3035"/>
      <c r="L42" s="3035"/>
      <c r="M42" s="387"/>
      <c r="N42" s="3036" t="str">
        <f>IF(COUNTIF($R$14:$R$38,M42),INDEX($S$14:$S$38,MATCH(M42,$R$14:$R73,0)),"")</f>
        <v/>
      </c>
      <c r="O42" s="3036"/>
      <c r="P42" s="3036"/>
      <c r="Q42" s="388"/>
      <c r="R42" s="390"/>
      <c r="S42" s="389"/>
      <c r="T42" s="169"/>
      <c r="U42" s="169"/>
      <c r="V42" s="169"/>
      <c r="W42" s="169"/>
    </row>
    <row r="43" spans="1:23" ht="12.75" hidden="1" customHeight="1">
      <c r="A43" s="384"/>
      <c r="B43" s="385"/>
      <c r="C43" s="3034"/>
      <c r="D43" s="3034"/>
      <c r="E43" s="395"/>
      <c r="F43" s="396"/>
      <c r="G43" s="1095"/>
      <c r="H43" s="3035"/>
      <c r="I43" s="3035"/>
      <c r="J43" s="3035"/>
      <c r="K43" s="3035"/>
      <c r="L43" s="3035"/>
      <c r="M43" s="387"/>
      <c r="N43" s="3036" t="str">
        <f>IF(COUNTIF($R$14:$R$38,M43),INDEX($S$14:$S$38,MATCH(M43,$R$14:$R74,0)),"")</f>
        <v/>
      </c>
      <c r="O43" s="3036"/>
      <c r="P43" s="3036"/>
      <c r="Q43" s="388"/>
      <c r="R43" s="390"/>
      <c r="S43" s="389"/>
      <c r="T43" s="169"/>
      <c r="U43" s="169"/>
      <c r="V43" s="169"/>
      <c r="W43" s="169"/>
    </row>
    <row r="44" spans="1:23" ht="12.75" hidden="1" customHeight="1">
      <c r="A44" s="384"/>
      <c r="B44" s="385"/>
      <c r="C44" s="3034"/>
      <c r="D44" s="3034"/>
      <c r="E44" s="395"/>
      <c r="F44" s="396"/>
      <c r="G44" s="1095"/>
      <c r="H44" s="3035"/>
      <c r="I44" s="3035"/>
      <c r="J44" s="3035"/>
      <c r="K44" s="3035"/>
      <c r="L44" s="3035"/>
      <c r="M44" s="387"/>
      <c r="N44" s="3036" t="str">
        <f>IF(COUNTIF($R$14:$R$38,M44),INDEX($S$14:$S$38,MATCH(M44,$R$14:$R75,0)),"")</f>
        <v/>
      </c>
      <c r="O44" s="3036"/>
      <c r="P44" s="3036"/>
      <c r="Q44" s="388"/>
      <c r="R44" s="390"/>
      <c r="S44" s="389"/>
      <c r="T44" s="169"/>
      <c r="U44" s="169"/>
      <c r="V44" s="169"/>
      <c r="W44" s="169"/>
    </row>
    <row r="45" spans="1:23" ht="12.75" hidden="1" customHeight="1">
      <c r="A45" s="384"/>
      <c r="B45" s="385"/>
      <c r="C45" s="3034"/>
      <c r="D45" s="3034"/>
      <c r="E45" s="395"/>
      <c r="F45" s="396"/>
      <c r="G45" s="1095"/>
      <c r="H45" s="3035"/>
      <c r="I45" s="3035"/>
      <c r="J45" s="3035"/>
      <c r="K45" s="3035"/>
      <c r="L45" s="3035"/>
      <c r="M45" s="387"/>
      <c r="N45" s="3036" t="str">
        <f>IF(COUNTIF($R$14:$R$38,M45),INDEX($S$14:$S$38,MATCH(M45,$R$14:$R76,0)),"")</f>
        <v/>
      </c>
      <c r="O45" s="3036"/>
      <c r="P45" s="3036"/>
      <c r="Q45" s="388"/>
      <c r="R45" s="390"/>
      <c r="S45" s="389"/>
      <c r="T45" s="169"/>
      <c r="U45" s="169"/>
      <c r="V45" s="169"/>
      <c r="W45" s="169"/>
    </row>
    <row r="46" spans="1:23" ht="12.75" hidden="1" customHeight="1">
      <c r="A46" s="384"/>
      <c r="B46" s="385"/>
      <c r="C46" s="3034"/>
      <c r="D46" s="3034"/>
      <c r="E46" s="395"/>
      <c r="F46" s="396"/>
      <c r="G46" s="1095"/>
      <c r="H46" s="3035"/>
      <c r="I46" s="3035"/>
      <c r="J46" s="3035"/>
      <c r="K46" s="3035"/>
      <c r="L46" s="3035"/>
      <c r="M46" s="387"/>
      <c r="N46" s="3036" t="str">
        <f>IF(COUNTIF($R$14:$R$38,M46),INDEX($S$14:$S$38,MATCH(M46,$R$14:$R77,0)),"")</f>
        <v/>
      </c>
      <c r="O46" s="3036"/>
      <c r="P46" s="3036"/>
      <c r="Q46" s="388"/>
      <c r="R46" s="390"/>
      <c r="S46" s="389"/>
      <c r="T46" s="169"/>
      <c r="U46" s="169"/>
      <c r="V46" s="169"/>
      <c r="W46" s="169"/>
    </row>
    <row r="47" spans="1:23" ht="12.75" hidden="1" customHeight="1">
      <c r="A47" s="384"/>
      <c r="B47" s="385"/>
      <c r="C47" s="3034"/>
      <c r="D47" s="3034"/>
      <c r="E47" s="395"/>
      <c r="F47" s="396"/>
      <c r="G47" s="1095"/>
      <c r="H47" s="3035"/>
      <c r="I47" s="3035"/>
      <c r="J47" s="3035"/>
      <c r="K47" s="3035"/>
      <c r="L47" s="3035"/>
      <c r="M47" s="387"/>
      <c r="N47" s="3036" t="str">
        <f>IF(COUNTIF($R$14:$R$38,M47),INDEX($S$14:$S$38,MATCH(M47,$R$14:$R78,0)),"")</f>
        <v/>
      </c>
      <c r="O47" s="3036"/>
      <c r="P47" s="3036"/>
      <c r="Q47" s="388"/>
      <c r="R47" s="390"/>
      <c r="S47" s="389"/>
      <c r="T47" s="169"/>
      <c r="U47" s="169"/>
      <c r="V47" s="169"/>
      <c r="W47" s="169"/>
    </row>
    <row r="48" spans="1:23" ht="12.75" hidden="1" customHeight="1">
      <c r="A48" s="384"/>
      <c r="B48" s="385"/>
      <c r="C48" s="3034"/>
      <c r="D48" s="3034"/>
      <c r="E48" s="395"/>
      <c r="F48" s="396"/>
      <c r="G48" s="1095"/>
      <c r="H48" s="3035"/>
      <c r="I48" s="3035"/>
      <c r="J48" s="3035"/>
      <c r="K48" s="3035"/>
      <c r="L48" s="3035"/>
      <c r="M48" s="387"/>
      <c r="N48" s="3036" t="str">
        <f>IF(COUNTIF($R$14:$R$38,M48),INDEX($S$14:$S$38,MATCH(M48,$R$14:$R79,0)),"")</f>
        <v/>
      </c>
      <c r="O48" s="3036"/>
      <c r="P48" s="3036"/>
      <c r="Q48" s="388"/>
      <c r="R48" s="390"/>
      <c r="S48" s="389"/>
      <c r="T48" s="169"/>
      <c r="U48" s="169"/>
      <c r="V48" s="169"/>
      <c r="W48" s="169"/>
    </row>
    <row r="49" spans="1:23" ht="12.75" hidden="1" customHeight="1">
      <c r="A49" s="384"/>
      <c r="B49" s="385"/>
      <c r="C49" s="3034"/>
      <c r="D49" s="3034"/>
      <c r="E49" s="395"/>
      <c r="F49" s="396"/>
      <c r="G49" s="1095"/>
      <c r="H49" s="3035"/>
      <c r="I49" s="3035"/>
      <c r="J49" s="3035"/>
      <c r="K49" s="3035"/>
      <c r="L49" s="3035"/>
      <c r="M49" s="387"/>
      <c r="N49" s="3036" t="str">
        <f>IF(COUNTIF($R$14:$R$38,M49),INDEX($S$14:$S$38,MATCH(M49,$R$14:$R80,0)),"")</f>
        <v/>
      </c>
      <c r="O49" s="3036"/>
      <c r="P49" s="3036"/>
      <c r="Q49" s="388"/>
      <c r="R49" s="390"/>
      <c r="S49" s="389"/>
      <c r="T49" s="169"/>
      <c r="U49" s="169"/>
      <c r="V49" s="169"/>
      <c r="W49" s="169"/>
    </row>
    <row r="50" spans="1:23" ht="12.75" hidden="1" customHeight="1">
      <c r="A50" s="384"/>
      <c r="B50" s="385"/>
      <c r="C50" s="3034"/>
      <c r="D50" s="3034"/>
      <c r="E50" s="395"/>
      <c r="F50" s="396"/>
      <c r="G50" s="1095"/>
      <c r="H50" s="3035"/>
      <c r="I50" s="3035"/>
      <c r="J50" s="3035"/>
      <c r="K50" s="3035"/>
      <c r="L50" s="3035"/>
      <c r="M50" s="387"/>
      <c r="N50" s="3036" t="str">
        <f>IF(COUNTIF($R$14:$R$38,M50),INDEX($S$14:$S$38,MATCH(M50,$R$14:$R81,0)),"")</f>
        <v/>
      </c>
      <c r="O50" s="3036"/>
      <c r="P50" s="3036"/>
      <c r="Q50" s="388"/>
      <c r="R50" s="390"/>
      <c r="S50" s="389"/>
      <c r="T50" s="169"/>
      <c r="U50" s="169"/>
      <c r="V50" s="169"/>
      <c r="W50" s="169"/>
    </row>
    <row r="51" spans="1:23" ht="12.75" hidden="1" customHeight="1">
      <c r="A51" s="384"/>
      <c r="B51" s="385"/>
      <c r="C51" s="3034"/>
      <c r="D51" s="3034"/>
      <c r="E51" s="395"/>
      <c r="F51" s="396"/>
      <c r="G51" s="1095"/>
      <c r="H51" s="3035"/>
      <c r="I51" s="3035"/>
      <c r="J51" s="3035"/>
      <c r="K51" s="3035"/>
      <c r="L51" s="3035"/>
      <c r="M51" s="387"/>
      <c r="N51" s="3036" t="str">
        <f>IF(COUNTIF($R$14:$R$38,M51),INDEX($S$14:$S$38,MATCH(M51,$R$14:$R82,0)),"")</f>
        <v/>
      </c>
      <c r="O51" s="3036"/>
      <c r="P51" s="3036"/>
      <c r="Q51" s="388"/>
      <c r="R51" s="390"/>
      <c r="S51" s="389"/>
      <c r="T51" s="169"/>
      <c r="U51" s="169"/>
      <c r="V51" s="169"/>
      <c r="W51" s="169"/>
    </row>
    <row r="52" spans="1:23" ht="12.75" hidden="1" customHeight="1">
      <c r="A52" s="384"/>
      <c r="B52" s="385"/>
      <c r="C52" s="3034"/>
      <c r="D52" s="3034"/>
      <c r="E52" s="395"/>
      <c r="F52" s="396"/>
      <c r="G52" s="1095"/>
      <c r="H52" s="3035"/>
      <c r="I52" s="3035"/>
      <c r="J52" s="3035"/>
      <c r="K52" s="3035"/>
      <c r="L52" s="3035"/>
      <c r="M52" s="387"/>
      <c r="N52" s="3036" t="str">
        <f>IF(COUNTIF($R$14:$R$38,M52),INDEX($S$14:$S$38,MATCH(M52,$R$14:$R83,0)),"")</f>
        <v/>
      </c>
      <c r="O52" s="3036"/>
      <c r="P52" s="3036"/>
      <c r="Q52" s="388"/>
      <c r="R52" s="390"/>
      <c r="S52" s="389"/>
      <c r="T52" s="169"/>
      <c r="U52" s="169"/>
      <c r="V52" s="169"/>
      <c r="W52" s="169"/>
    </row>
    <row r="53" spans="1:23" ht="12.75" hidden="1" customHeight="1">
      <c r="A53" s="384"/>
      <c r="B53" s="385"/>
      <c r="C53" s="3034"/>
      <c r="D53" s="3034"/>
      <c r="E53" s="395"/>
      <c r="F53" s="396"/>
      <c r="G53" s="1095"/>
      <c r="H53" s="3035"/>
      <c r="I53" s="3035"/>
      <c r="J53" s="3035"/>
      <c r="K53" s="3035"/>
      <c r="L53" s="3035"/>
      <c r="M53" s="387"/>
      <c r="N53" s="3036" t="str">
        <f>IF(COUNTIF($R$14:$R$38,M53),INDEX($S$14:$S$38,MATCH(M53,$R$14:$R84,0)),"")</f>
        <v/>
      </c>
      <c r="O53" s="3036"/>
      <c r="P53" s="3036"/>
      <c r="Q53" s="388"/>
      <c r="R53" s="390"/>
      <c r="S53" s="389"/>
      <c r="T53" s="169"/>
      <c r="U53" s="169"/>
      <c r="V53" s="169"/>
      <c r="W53" s="169"/>
    </row>
    <row r="54" spans="1:23" ht="12.75" hidden="1" customHeight="1">
      <c r="A54" s="384"/>
      <c r="B54" s="385"/>
      <c r="C54" s="3034"/>
      <c r="D54" s="3034"/>
      <c r="E54" s="395"/>
      <c r="F54" s="396"/>
      <c r="G54" s="1095"/>
      <c r="H54" s="3035"/>
      <c r="I54" s="3035"/>
      <c r="J54" s="3035"/>
      <c r="K54" s="3035"/>
      <c r="L54" s="3035"/>
      <c r="M54" s="387"/>
      <c r="N54" s="3036" t="str">
        <f>IF(COUNTIF($R$14:$R$38,M54),INDEX($S$14:$S$38,MATCH(M54,$R$14:$R85,0)),"")</f>
        <v/>
      </c>
      <c r="O54" s="3036"/>
      <c r="P54" s="3036"/>
      <c r="Q54" s="388"/>
      <c r="R54" s="390"/>
      <c r="S54" s="389"/>
      <c r="T54" s="169"/>
      <c r="U54" s="169"/>
      <c r="V54" s="169"/>
      <c r="W54" s="169"/>
    </row>
    <row r="55" spans="1:23" ht="12.75" hidden="1" customHeight="1">
      <c r="A55" s="384"/>
      <c r="B55" s="385"/>
      <c r="C55" s="3034"/>
      <c r="D55" s="3034"/>
      <c r="E55" s="395"/>
      <c r="F55" s="396"/>
      <c r="G55" s="1095"/>
      <c r="H55" s="3035"/>
      <c r="I55" s="3035"/>
      <c r="J55" s="3035"/>
      <c r="K55" s="3035"/>
      <c r="L55" s="3035"/>
      <c r="M55" s="387"/>
      <c r="N55" s="3036" t="str">
        <f>IF(COUNTIF($R$14:$R$38,M55),INDEX($S$14:$S$38,MATCH(M55,$R$14:$R86,0)),"")</f>
        <v/>
      </c>
      <c r="O55" s="3036"/>
      <c r="P55" s="3036"/>
      <c r="Q55" s="388"/>
      <c r="R55" s="390"/>
      <c r="S55" s="389"/>
      <c r="T55" s="169"/>
      <c r="U55" s="169"/>
      <c r="V55" s="169"/>
      <c r="W55" s="169"/>
    </row>
    <row r="56" spans="1:23" ht="12.75" hidden="1" customHeight="1">
      <c r="A56" s="384"/>
      <c r="B56" s="385"/>
      <c r="C56" s="3034"/>
      <c r="D56" s="3034"/>
      <c r="E56" s="395"/>
      <c r="F56" s="396"/>
      <c r="G56" s="1095"/>
      <c r="H56" s="3035"/>
      <c r="I56" s="3035"/>
      <c r="J56" s="3035"/>
      <c r="K56" s="3035"/>
      <c r="L56" s="3035"/>
      <c r="M56" s="387"/>
      <c r="N56" s="3036" t="str">
        <f>IF(COUNTIF($R$14:$R$38,M56),INDEX($S$14:$S$38,MATCH(M56,$R$14:$R87,0)),"")</f>
        <v/>
      </c>
      <c r="O56" s="3036"/>
      <c r="P56" s="3036"/>
      <c r="Q56" s="388"/>
      <c r="R56" s="390"/>
      <c r="S56" s="389"/>
      <c r="T56" s="169"/>
      <c r="U56" s="169"/>
      <c r="V56" s="169"/>
      <c r="W56" s="169"/>
    </row>
    <row r="57" spans="1:23" ht="12.75" hidden="1" customHeight="1">
      <c r="A57" s="384"/>
      <c r="B57" s="385"/>
      <c r="C57" s="3034"/>
      <c r="D57" s="3034"/>
      <c r="E57" s="395"/>
      <c r="F57" s="396"/>
      <c r="G57" s="1095"/>
      <c r="H57" s="3035"/>
      <c r="I57" s="3035"/>
      <c r="J57" s="3035"/>
      <c r="K57" s="3035"/>
      <c r="L57" s="3035"/>
      <c r="M57" s="387"/>
      <c r="N57" s="3036" t="str">
        <f>IF(COUNTIF($R$14:$R$38,M57),INDEX($S$14:$S$38,MATCH(M57,$R$14:$R88,0)),"")</f>
        <v/>
      </c>
      <c r="O57" s="3036"/>
      <c r="P57" s="3036"/>
      <c r="Q57" s="388"/>
      <c r="R57" s="390"/>
      <c r="S57" s="389"/>
      <c r="T57" s="169"/>
      <c r="U57" s="169"/>
      <c r="V57" s="169"/>
      <c r="W57" s="169"/>
    </row>
    <row r="58" spans="1:23" ht="12.75" hidden="1" customHeight="1">
      <c r="A58" s="384"/>
      <c r="B58" s="385"/>
      <c r="C58" s="3034"/>
      <c r="D58" s="3034"/>
      <c r="E58" s="395"/>
      <c r="F58" s="396"/>
      <c r="G58" s="1095"/>
      <c r="H58" s="3035"/>
      <c r="I58" s="3035"/>
      <c r="J58" s="3035"/>
      <c r="K58" s="3035"/>
      <c r="L58" s="3035"/>
      <c r="M58" s="387"/>
      <c r="N58" s="3036" t="str">
        <f>IF(COUNTIF($R$14:$R$38,M58),INDEX($S$14:$S$38,MATCH(M58,$R$14:$R89,0)),"")</f>
        <v/>
      </c>
      <c r="O58" s="3036"/>
      <c r="P58" s="3036"/>
      <c r="Q58" s="388"/>
      <c r="R58" s="390"/>
      <c r="S58" s="389"/>
      <c r="T58" s="169"/>
      <c r="U58" s="169"/>
      <c r="V58" s="169"/>
      <c r="W58" s="169"/>
    </row>
    <row r="59" spans="1:23" ht="12.75" hidden="1" customHeight="1">
      <c r="A59" s="384"/>
      <c r="B59" s="385"/>
      <c r="C59" s="3034"/>
      <c r="D59" s="3034"/>
      <c r="E59" s="395"/>
      <c r="F59" s="396"/>
      <c r="G59" s="1095"/>
      <c r="H59" s="3035"/>
      <c r="I59" s="3035"/>
      <c r="J59" s="3035"/>
      <c r="K59" s="3035"/>
      <c r="L59" s="3035"/>
      <c r="M59" s="387"/>
      <c r="N59" s="3036" t="str">
        <f>IF(COUNTIF($R$14:$R$38,M59),INDEX($S$14:$S$38,MATCH(M59,$R$14:$R90,0)),"")</f>
        <v/>
      </c>
      <c r="O59" s="3036"/>
      <c r="P59" s="3036"/>
      <c r="Q59" s="388"/>
      <c r="R59" s="390"/>
      <c r="S59" s="389"/>
      <c r="T59" s="169"/>
      <c r="U59" s="169"/>
      <c r="V59" s="169"/>
      <c r="W59" s="169"/>
    </row>
    <row r="60" spans="1:23" ht="12.75" hidden="1" customHeight="1">
      <c r="A60" s="384"/>
      <c r="B60" s="385"/>
      <c r="C60" s="3034"/>
      <c r="D60" s="3034"/>
      <c r="E60" s="395"/>
      <c r="F60" s="396"/>
      <c r="G60" s="1095"/>
      <c r="H60" s="3035"/>
      <c r="I60" s="3035"/>
      <c r="J60" s="3035"/>
      <c r="K60" s="3035"/>
      <c r="L60" s="3035"/>
      <c r="M60" s="387"/>
      <c r="N60" s="3036" t="str">
        <f>IF(COUNTIF($R$14:$R$38,M60),INDEX($S$14:$S$38,MATCH(M60,$R$14:$R91,0)),"")</f>
        <v/>
      </c>
      <c r="O60" s="3036"/>
      <c r="P60" s="3036"/>
      <c r="Q60" s="388"/>
      <c r="R60" s="390"/>
      <c r="S60" s="389"/>
      <c r="T60" s="169"/>
      <c r="U60" s="169"/>
      <c r="V60" s="169"/>
      <c r="W60" s="169"/>
    </row>
    <row r="61" spans="1:23" ht="12.75" hidden="1" customHeight="1">
      <c r="A61" s="384"/>
      <c r="B61" s="385"/>
      <c r="C61" s="3034"/>
      <c r="D61" s="3034"/>
      <c r="E61" s="395"/>
      <c r="F61" s="396"/>
      <c r="G61" s="1095"/>
      <c r="H61" s="3035"/>
      <c r="I61" s="3035"/>
      <c r="J61" s="3035"/>
      <c r="K61" s="3035"/>
      <c r="L61" s="3035"/>
      <c r="M61" s="387"/>
      <c r="N61" s="3036" t="str">
        <f>IF(COUNTIF($R$14:$R$38,M61),INDEX($S$14:$S$38,MATCH(M61,$R$14:$R92,0)),"")</f>
        <v/>
      </c>
      <c r="O61" s="3036"/>
      <c r="P61" s="3036"/>
      <c r="Q61" s="388"/>
      <c r="R61" s="390"/>
      <c r="S61" s="389"/>
      <c r="T61" s="169"/>
      <c r="U61" s="169"/>
      <c r="V61" s="169"/>
      <c r="W61" s="169"/>
    </row>
    <row r="62" spans="1:23" ht="12.75" hidden="1" customHeight="1">
      <c r="A62" s="384"/>
      <c r="B62" s="385"/>
      <c r="C62" s="3034"/>
      <c r="D62" s="3034"/>
      <c r="E62" s="395"/>
      <c r="F62" s="396"/>
      <c r="G62" s="1095"/>
      <c r="H62" s="3035"/>
      <c r="I62" s="3035"/>
      <c r="J62" s="3035"/>
      <c r="K62" s="3035"/>
      <c r="L62" s="3035"/>
      <c r="M62" s="387"/>
      <c r="N62" s="3036" t="str">
        <f>IF(COUNTIF($R$14:$R$38,M62),INDEX($S$14:$S$38,MATCH(M62,$R$14:$R93,0)),"")</f>
        <v/>
      </c>
      <c r="O62" s="3036"/>
      <c r="P62" s="3036"/>
      <c r="Q62" s="388"/>
      <c r="R62" s="390"/>
      <c r="S62" s="389"/>
      <c r="T62" s="169"/>
      <c r="U62" s="169"/>
      <c r="V62" s="169"/>
      <c r="W62" s="169"/>
    </row>
    <row r="63" spans="1:23" ht="12.75" hidden="1" customHeight="1">
      <c r="A63" s="384"/>
      <c r="B63" s="385"/>
      <c r="C63" s="3034"/>
      <c r="D63" s="3034"/>
      <c r="E63" s="395"/>
      <c r="F63" s="396"/>
      <c r="G63" s="1095"/>
      <c r="H63" s="3035"/>
      <c r="I63" s="3035"/>
      <c r="J63" s="3035"/>
      <c r="K63" s="3035"/>
      <c r="L63" s="3035"/>
      <c r="M63" s="387"/>
      <c r="N63" s="3036" t="str">
        <f>IF(COUNTIF($R$14:$R$38,M63),INDEX($S$14:$S$38,MATCH(M63,$R$14:$R94,0)),"")</f>
        <v/>
      </c>
      <c r="O63" s="3036"/>
      <c r="P63" s="3036"/>
      <c r="Q63" s="388"/>
      <c r="R63" s="390"/>
      <c r="S63" s="389"/>
      <c r="T63" s="169"/>
      <c r="U63" s="169"/>
      <c r="V63" s="169"/>
      <c r="W63" s="169"/>
    </row>
    <row r="64" spans="1:23" ht="12.75" hidden="1" customHeight="1">
      <c r="A64" s="384"/>
      <c r="B64" s="385"/>
      <c r="C64" s="3034"/>
      <c r="D64" s="3034"/>
      <c r="E64" s="395"/>
      <c r="F64" s="396"/>
      <c r="G64" s="1095"/>
      <c r="H64" s="3035"/>
      <c r="I64" s="3035"/>
      <c r="J64" s="3035"/>
      <c r="K64" s="3035"/>
      <c r="L64" s="3035"/>
      <c r="M64" s="387"/>
      <c r="N64" s="3036" t="str">
        <f>IF(COUNTIF($R$14:$R$38,M64),INDEX($S$14:$S$38,MATCH(M64,$R$14:$R95,0)),"")</f>
        <v/>
      </c>
      <c r="O64" s="3036"/>
      <c r="P64" s="3036"/>
      <c r="Q64" s="388"/>
      <c r="R64" s="390"/>
      <c r="S64" s="389"/>
      <c r="T64" s="169"/>
      <c r="U64" s="169"/>
      <c r="V64" s="169"/>
      <c r="W64" s="169"/>
    </row>
    <row r="65" spans="1:23" ht="12.75" hidden="1" customHeight="1">
      <c r="A65" s="384"/>
      <c r="B65" s="385"/>
      <c r="C65" s="3034"/>
      <c r="D65" s="3034"/>
      <c r="E65" s="395"/>
      <c r="F65" s="396"/>
      <c r="G65" s="1095"/>
      <c r="H65" s="3035"/>
      <c r="I65" s="3035"/>
      <c r="J65" s="3035"/>
      <c r="K65" s="3035"/>
      <c r="L65" s="3035"/>
      <c r="M65" s="387"/>
      <c r="N65" s="3036" t="str">
        <f>IF(COUNTIF($R$14:$R$38,M65),INDEX($S$14:$S$38,MATCH(M65,$R$14:$R96,0)),"")</f>
        <v/>
      </c>
      <c r="O65" s="3036"/>
      <c r="P65" s="3036"/>
      <c r="Q65" s="388"/>
      <c r="R65" s="390"/>
      <c r="S65" s="389"/>
      <c r="T65" s="169"/>
      <c r="U65" s="169"/>
      <c r="V65" s="169"/>
      <c r="W65" s="169"/>
    </row>
    <row r="66" spans="1:23" ht="12.75" hidden="1" customHeight="1">
      <c r="A66" s="384"/>
      <c r="B66" s="385"/>
      <c r="C66" s="3034"/>
      <c r="D66" s="3034"/>
      <c r="E66" s="395"/>
      <c r="F66" s="396"/>
      <c r="G66" s="1095"/>
      <c r="H66" s="3035"/>
      <c r="I66" s="3035"/>
      <c r="J66" s="3035"/>
      <c r="K66" s="3035"/>
      <c r="L66" s="3035"/>
      <c r="M66" s="387"/>
      <c r="N66" s="3036" t="str">
        <f>IF(COUNTIF($R$14:$R$38,M66),INDEX($S$14:$S$38,MATCH(M66,$R$14:$R97,0)),"")</f>
        <v/>
      </c>
      <c r="O66" s="3036"/>
      <c r="P66" s="3036"/>
      <c r="Q66" s="388"/>
      <c r="R66" s="390"/>
      <c r="S66" s="389"/>
      <c r="T66" s="169"/>
      <c r="U66" s="169"/>
      <c r="V66" s="169"/>
      <c r="W66" s="169"/>
    </row>
    <row r="67" spans="1:23" ht="12.75" hidden="1" customHeight="1">
      <c r="A67" s="384"/>
      <c r="B67" s="385"/>
      <c r="C67" s="3034"/>
      <c r="D67" s="3034"/>
      <c r="E67" s="395"/>
      <c r="F67" s="396"/>
      <c r="G67" s="1095"/>
      <c r="H67" s="3035"/>
      <c r="I67" s="3035"/>
      <c r="J67" s="3035"/>
      <c r="K67" s="3035"/>
      <c r="L67" s="3035"/>
      <c r="M67" s="387"/>
      <c r="N67" s="3036" t="str">
        <f>IF(COUNTIF($R$14:$R$38,M67),INDEX($S$14:$S$38,MATCH(M67,$R$14:$R98,0)),"")</f>
        <v/>
      </c>
      <c r="O67" s="3036"/>
      <c r="P67" s="3036"/>
      <c r="Q67" s="388"/>
      <c r="R67" s="390"/>
      <c r="S67" s="389"/>
      <c r="T67" s="169"/>
      <c r="U67" s="169"/>
      <c r="V67" s="169"/>
      <c r="W67" s="169"/>
    </row>
    <row r="68" spans="1:23" ht="12.75" hidden="1" customHeight="1">
      <c r="A68" s="384"/>
      <c r="B68" s="385"/>
      <c r="C68" s="3034"/>
      <c r="D68" s="3034"/>
      <c r="E68" s="395"/>
      <c r="F68" s="396"/>
      <c r="G68" s="1095"/>
      <c r="H68" s="3035"/>
      <c r="I68" s="3035"/>
      <c r="J68" s="3035"/>
      <c r="K68" s="3035"/>
      <c r="L68" s="3035"/>
      <c r="M68" s="387"/>
      <c r="N68" s="3036" t="str">
        <f>IF(COUNTIF($R$14:$R$38,M68),INDEX($S$14:$S$38,MATCH(M68,$R$14:$R99,0)),"")</f>
        <v/>
      </c>
      <c r="O68" s="3036"/>
      <c r="P68" s="3036"/>
      <c r="Q68" s="388"/>
      <c r="R68" s="390"/>
      <c r="S68" s="389"/>
      <c r="T68" s="169"/>
      <c r="U68" s="169"/>
      <c r="V68" s="169"/>
      <c r="W68" s="169"/>
    </row>
    <row r="69" spans="1:23" ht="12.75" hidden="1" customHeight="1">
      <c r="A69" s="384"/>
      <c r="B69" s="385"/>
      <c r="C69" s="3034"/>
      <c r="D69" s="3034"/>
      <c r="E69" s="395"/>
      <c r="F69" s="396"/>
      <c r="G69" s="1095"/>
      <c r="H69" s="3035"/>
      <c r="I69" s="3035"/>
      <c r="J69" s="3035"/>
      <c r="K69" s="3035"/>
      <c r="L69" s="3035"/>
      <c r="M69" s="387"/>
      <c r="N69" s="3036" t="str">
        <f>IF(COUNTIF($R$14:$R$38,M69),INDEX($S$14:$S$38,MATCH(M69,$R$14:$R100,0)),"")</f>
        <v/>
      </c>
      <c r="O69" s="3036"/>
      <c r="P69" s="3036"/>
      <c r="Q69" s="388"/>
      <c r="R69" s="390"/>
      <c r="S69" s="389"/>
      <c r="T69" s="169"/>
      <c r="U69" s="169"/>
      <c r="V69" s="169"/>
      <c r="W69" s="169"/>
    </row>
    <row r="70" spans="1:23" ht="12.75" hidden="1" customHeight="1">
      <c r="A70" s="384"/>
      <c r="B70" s="385"/>
      <c r="C70" s="3034"/>
      <c r="D70" s="3034"/>
      <c r="E70" s="395"/>
      <c r="F70" s="396"/>
      <c r="G70" s="1095"/>
      <c r="H70" s="3035"/>
      <c r="I70" s="3035"/>
      <c r="J70" s="3035"/>
      <c r="K70" s="3035"/>
      <c r="L70" s="3035"/>
      <c r="M70" s="387"/>
      <c r="N70" s="3036" t="str">
        <f>IF(COUNTIF($R$14:$R$38,M70),INDEX($S$14:$S$38,MATCH(M70,$R$14:$R101,0)),"")</f>
        <v/>
      </c>
      <c r="O70" s="3036"/>
      <c r="P70" s="3036"/>
      <c r="Q70" s="388"/>
      <c r="R70" s="390"/>
      <c r="S70" s="389"/>
      <c r="T70" s="169"/>
      <c r="U70" s="169"/>
      <c r="V70" s="169"/>
      <c r="W70" s="169"/>
    </row>
    <row r="71" spans="1:23" ht="12.75" hidden="1" customHeight="1">
      <c r="A71" s="384"/>
      <c r="B71" s="385"/>
      <c r="C71" s="3034"/>
      <c r="D71" s="3034"/>
      <c r="E71" s="395"/>
      <c r="F71" s="396"/>
      <c r="G71" s="1095"/>
      <c r="H71" s="3035"/>
      <c r="I71" s="3035"/>
      <c r="J71" s="3035"/>
      <c r="K71" s="3035"/>
      <c r="L71" s="3035"/>
      <c r="M71" s="387"/>
      <c r="N71" s="3036" t="str">
        <f>IF(COUNTIF($R$14:$R$38,M71),INDEX($S$14:$S$38,MATCH(M71,$R$14:$R102,0)),"")</f>
        <v/>
      </c>
      <c r="O71" s="3036"/>
      <c r="P71" s="3036"/>
      <c r="Q71" s="388"/>
      <c r="R71" s="390"/>
      <c r="S71" s="389"/>
      <c r="T71" s="169"/>
      <c r="U71" s="169"/>
      <c r="V71" s="169"/>
      <c r="W71" s="169"/>
    </row>
    <row r="72" spans="1:23" ht="12.75" hidden="1" customHeight="1">
      <c r="A72" s="384"/>
      <c r="B72" s="385"/>
      <c r="C72" s="3034"/>
      <c r="D72" s="3034"/>
      <c r="E72" s="395"/>
      <c r="F72" s="396"/>
      <c r="G72" s="1095"/>
      <c r="H72" s="3035"/>
      <c r="I72" s="3035"/>
      <c r="J72" s="3035"/>
      <c r="K72" s="3035"/>
      <c r="L72" s="3035"/>
      <c r="M72" s="387"/>
      <c r="N72" s="3036" t="str">
        <f>IF(COUNTIF($R$14:$R$38,M72),INDEX($S$14:$S$38,MATCH(M72,$R$14:$R103,0)),"")</f>
        <v/>
      </c>
      <c r="O72" s="3036"/>
      <c r="P72" s="3036"/>
      <c r="Q72" s="388"/>
      <c r="R72" s="390"/>
      <c r="S72" s="389"/>
      <c r="T72" s="169"/>
      <c r="U72" s="169"/>
      <c r="V72" s="169"/>
      <c r="W72" s="169"/>
    </row>
    <row r="73" spans="1:23" ht="12.75" hidden="1" customHeight="1">
      <c r="A73" s="384"/>
      <c r="B73" s="385"/>
      <c r="C73" s="3034"/>
      <c r="D73" s="3034"/>
      <c r="E73" s="395"/>
      <c r="F73" s="396"/>
      <c r="G73" s="1095"/>
      <c r="H73" s="3035"/>
      <c r="I73" s="3035"/>
      <c r="J73" s="3035"/>
      <c r="K73" s="3035"/>
      <c r="L73" s="3035"/>
      <c r="M73" s="387"/>
      <c r="N73" s="3036" t="str">
        <f>IF(COUNTIF($R$14:$R$38,M73),INDEX($S$14:$S$38,MATCH(M73,$R$14:$R104,0)),"")</f>
        <v/>
      </c>
      <c r="O73" s="3036"/>
      <c r="P73" s="3036"/>
      <c r="Q73" s="388"/>
      <c r="R73" s="390"/>
      <c r="S73" s="389"/>
      <c r="T73" s="169"/>
      <c r="U73" s="169"/>
      <c r="V73" s="169"/>
      <c r="W73" s="169"/>
    </row>
    <row r="74" spans="1:23" ht="12.75" hidden="1" customHeight="1">
      <c r="A74" s="384"/>
      <c r="B74" s="385"/>
      <c r="C74" s="3034"/>
      <c r="D74" s="3034"/>
      <c r="E74" s="395"/>
      <c r="F74" s="396"/>
      <c r="G74" s="1095"/>
      <c r="H74" s="3035"/>
      <c r="I74" s="3035"/>
      <c r="J74" s="3035"/>
      <c r="K74" s="3035"/>
      <c r="L74" s="3035"/>
      <c r="M74" s="387"/>
      <c r="N74" s="3036" t="str">
        <f>IF(COUNTIF($R$14:$R$38,M74),INDEX($S$14:$S$38,MATCH(M74,$R$14:$R105,0)),"")</f>
        <v/>
      </c>
      <c r="O74" s="3036"/>
      <c r="P74" s="3036"/>
      <c r="Q74" s="388"/>
      <c r="R74" s="390"/>
      <c r="S74" s="389"/>
      <c r="T74" s="169"/>
      <c r="U74" s="169"/>
      <c r="V74" s="169"/>
      <c r="W74" s="169"/>
    </row>
    <row r="75" spans="1:23" ht="12.75" hidden="1" customHeight="1">
      <c r="A75" s="384"/>
      <c r="B75" s="385"/>
      <c r="C75" s="3034"/>
      <c r="D75" s="3034"/>
      <c r="E75" s="395"/>
      <c r="F75" s="396"/>
      <c r="G75" s="1095"/>
      <c r="H75" s="3035"/>
      <c r="I75" s="3035"/>
      <c r="J75" s="3035"/>
      <c r="K75" s="3035"/>
      <c r="L75" s="3035"/>
      <c r="M75" s="387"/>
      <c r="N75" s="3036" t="str">
        <f>IF(COUNTIF($R$14:$R$38,M75),INDEX($S$14:$S$38,MATCH(M75,$R$14:$R106,0)),"")</f>
        <v/>
      </c>
      <c r="O75" s="3036"/>
      <c r="P75" s="3036"/>
      <c r="Q75" s="388"/>
      <c r="R75" s="390"/>
      <c r="S75" s="389"/>
      <c r="T75" s="169"/>
      <c r="U75" s="169"/>
      <c r="V75" s="169"/>
      <c r="W75" s="169"/>
    </row>
    <row r="76" spans="1:23" ht="12.75" hidden="1" customHeight="1">
      <c r="A76" s="384"/>
      <c r="B76" s="385"/>
      <c r="C76" s="3034"/>
      <c r="D76" s="3034"/>
      <c r="E76" s="395"/>
      <c r="F76" s="396"/>
      <c r="G76" s="1095"/>
      <c r="H76" s="3035"/>
      <c r="I76" s="3035"/>
      <c r="J76" s="3035"/>
      <c r="K76" s="3035"/>
      <c r="L76" s="3035"/>
      <c r="M76" s="387"/>
      <c r="N76" s="3036" t="str">
        <f>IF(COUNTIF($R$14:$R$38,M76),INDEX($S$14:$S$38,MATCH(M76,$R$14:$R107,0)),"")</f>
        <v/>
      </c>
      <c r="O76" s="3036"/>
      <c r="P76" s="3036"/>
      <c r="Q76" s="388"/>
      <c r="R76" s="390"/>
      <c r="S76" s="389"/>
      <c r="T76" s="169"/>
      <c r="U76" s="169"/>
      <c r="V76" s="169"/>
      <c r="W76" s="169"/>
    </row>
    <row r="77" spans="1:23" ht="12.75" hidden="1" customHeight="1">
      <c r="A77" s="384"/>
      <c r="B77" s="385"/>
      <c r="C77" s="3034"/>
      <c r="D77" s="3034"/>
      <c r="E77" s="395"/>
      <c r="F77" s="396"/>
      <c r="G77" s="1095"/>
      <c r="H77" s="3035"/>
      <c r="I77" s="3035"/>
      <c r="J77" s="3035"/>
      <c r="K77" s="3035"/>
      <c r="L77" s="3035"/>
      <c r="M77" s="387"/>
      <c r="N77" s="3036" t="str">
        <f>IF(COUNTIF($R$14:$R$38,M77),INDEX($S$14:$S$38,MATCH(M77,$R$14:$R108,0)),"")</f>
        <v/>
      </c>
      <c r="O77" s="3036"/>
      <c r="P77" s="3036"/>
      <c r="Q77" s="388"/>
      <c r="R77" s="390"/>
      <c r="S77" s="389"/>
      <c r="T77" s="169"/>
      <c r="U77" s="169"/>
      <c r="V77" s="169"/>
      <c r="W77" s="169"/>
    </row>
    <row r="78" spans="1:23" ht="12.75" hidden="1" customHeight="1">
      <c r="A78" s="384"/>
      <c r="B78" s="385"/>
      <c r="C78" s="3034"/>
      <c r="D78" s="3034"/>
      <c r="E78" s="395"/>
      <c r="F78" s="396"/>
      <c r="G78" s="1095"/>
      <c r="H78" s="3035"/>
      <c r="I78" s="3035"/>
      <c r="J78" s="3035"/>
      <c r="K78" s="3035"/>
      <c r="L78" s="3035"/>
      <c r="M78" s="387"/>
      <c r="N78" s="3036" t="str">
        <f>IF(COUNTIF($R$14:$R$38,M78),INDEX($S$14:$S$38,MATCH(M78,$R$14:$R109,0)),"")</f>
        <v/>
      </c>
      <c r="O78" s="3036"/>
      <c r="P78" s="3036"/>
      <c r="Q78" s="388"/>
      <c r="R78" s="390"/>
      <c r="S78" s="389"/>
      <c r="T78" s="169"/>
      <c r="U78" s="169"/>
      <c r="V78" s="169"/>
      <c r="W78" s="169"/>
    </row>
    <row r="79" spans="1:23" ht="12.75" hidden="1" customHeight="1">
      <c r="A79" s="384"/>
      <c r="B79" s="385"/>
      <c r="C79" s="3034"/>
      <c r="D79" s="3034"/>
      <c r="E79" s="395"/>
      <c r="F79" s="396"/>
      <c r="G79" s="1095"/>
      <c r="H79" s="3035"/>
      <c r="I79" s="3035"/>
      <c r="J79" s="3035"/>
      <c r="K79" s="3035"/>
      <c r="L79" s="3035"/>
      <c r="M79" s="387"/>
      <c r="N79" s="3036" t="str">
        <f>IF(COUNTIF($R$14:$R$38,M79),INDEX($S$14:$S$38,MATCH(M79,$R$14:$R110,0)),"")</f>
        <v/>
      </c>
      <c r="O79" s="3036"/>
      <c r="P79" s="3036"/>
      <c r="Q79" s="388"/>
      <c r="R79" s="390"/>
      <c r="S79" s="389"/>
      <c r="T79" s="169"/>
      <c r="U79" s="169"/>
      <c r="V79" s="169"/>
      <c r="W79" s="169"/>
    </row>
    <row r="80" spans="1:23" ht="12.75" hidden="1" customHeight="1">
      <c r="A80" s="384"/>
      <c r="B80" s="385"/>
      <c r="C80" s="3034"/>
      <c r="D80" s="3034"/>
      <c r="E80" s="395"/>
      <c r="F80" s="396"/>
      <c r="G80" s="1095"/>
      <c r="H80" s="3035"/>
      <c r="I80" s="3035"/>
      <c r="J80" s="3035"/>
      <c r="K80" s="3035"/>
      <c r="L80" s="3035"/>
      <c r="M80" s="387"/>
      <c r="N80" s="3036" t="str">
        <f>IF(COUNTIF($R$14:$R$38,M80),INDEX($S$14:$S$38,MATCH(M80,$R$14:$R111,0)),"")</f>
        <v/>
      </c>
      <c r="O80" s="3036"/>
      <c r="P80" s="3036"/>
      <c r="Q80" s="388"/>
      <c r="R80" s="390"/>
      <c r="S80" s="389"/>
      <c r="T80" s="169"/>
      <c r="U80" s="169"/>
      <c r="V80" s="169"/>
      <c r="W80" s="169"/>
    </row>
    <row r="81" spans="1:23" ht="12.75" hidden="1" customHeight="1">
      <c r="A81" s="384"/>
      <c r="B81" s="385"/>
      <c r="C81" s="3034"/>
      <c r="D81" s="3034"/>
      <c r="E81" s="395"/>
      <c r="F81" s="396"/>
      <c r="G81" s="1095"/>
      <c r="H81" s="3035"/>
      <c r="I81" s="3035"/>
      <c r="J81" s="3035"/>
      <c r="K81" s="3035"/>
      <c r="L81" s="3035"/>
      <c r="M81" s="387"/>
      <c r="N81" s="3036" t="str">
        <f>IF(COUNTIF($R$14:$R$38,M81),INDEX($S$14:$S$38,MATCH(M81,$R$14:$R112,0)),"")</f>
        <v/>
      </c>
      <c r="O81" s="3036"/>
      <c r="P81" s="3036"/>
      <c r="Q81" s="388"/>
      <c r="R81" s="390"/>
      <c r="S81" s="389"/>
      <c r="T81" s="169"/>
      <c r="U81" s="169"/>
      <c r="V81" s="169"/>
      <c r="W81" s="169"/>
    </row>
    <row r="82" spans="1:23" ht="12.75" hidden="1" customHeight="1">
      <c r="A82" s="384"/>
      <c r="B82" s="385"/>
      <c r="C82" s="3034"/>
      <c r="D82" s="3034"/>
      <c r="E82" s="395"/>
      <c r="F82" s="396"/>
      <c r="G82" s="1095"/>
      <c r="H82" s="3035"/>
      <c r="I82" s="3035"/>
      <c r="J82" s="3035"/>
      <c r="K82" s="3035"/>
      <c r="L82" s="3035"/>
      <c r="M82" s="387"/>
      <c r="N82" s="3036" t="str">
        <f>IF(COUNTIF($R$14:$R$38,M82),INDEX($S$14:$S$38,MATCH(M82,$R$14:$R113,0)),"")</f>
        <v/>
      </c>
      <c r="O82" s="3036"/>
      <c r="P82" s="3036"/>
      <c r="Q82" s="388"/>
      <c r="R82" s="390"/>
      <c r="S82" s="389"/>
      <c r="T82" s="169"/>
      <c r="U82" s="169"/>
      <c r="V82" s="169"/>
      <c r="W82" s="169"/>
    </row>
    <row r="83" spans="1:23" ht="12.75" hidden="1" customHeight="1">
      <c r="A83" s="384"/>
      <c r="B83" s="385"/>
      <c r="C83" s="3034"/>
      <c r="D83" s="3034"/>
      <c r="E83" s="395"/>
      <c r="F83" s="396"/>
      <c r="G83" s="1095"/>
      <c r="H83" s="3035"/>
      <c r="I83" s="3035"/>
      <c r="J83" s="3035"/>
      <c r="K83" s="3035"/>
      <c r="L83" s="3035"/>
      <c r="M83" s="387"/>
      <c r="N83" s="3036" t="str">
        <f>IF(COUNTIF($R$14:$R$38,M83),INDEX($S$14:$S$38,MATCH(M83,$R$14:$R114,0)),"")</f>
        <v/>
      </c>
      <c r="O83" s="3036"/>
      <c r="P83" s="3036"/>
      <c r="Q83" s="388"/>
      <c r="R83" s="390"/>
      <c r="S83" s="389"/>
      <c r="T83" s="169"/>
      <c r="U83" s="169"/>
      <c r="V83" s="169"/>
      <c r="W83" s="169"/>
    </row>
    <row r="84" spans="1:23" ht="12.75" hidden="1" customHeight="1">
      <c r="A84" s="384"/>
      <c r="B84" s="385"/>
      <c r="C84" s="3034"/>
      <c r="D84" s="3034"/>
      <c r="E84" s="395"/>
      <c r="F84" s="396"/>
      <c r="G84" s="1095"/>
      <c r="H84" s="3035"/>
      <c r="I84" s="3035"/>
      <c r="J84" s="3035"/>
      <c r="K84" s="3035"/>
      <c r="L84" s="3035"/>
      <c r="M84" s="387"/>
      <c r="N84" s="3036" t="str">
        <f>IF(COUNTIF($R$14:$R$38,M84),INDEX($S$14:$S$38,MATCH(M84,$R$14:$R115,0)),"")</f>
        <v/>
      </c>
      <c r="O84" s="3036"/>
      <c r="P84" s="3036"/>
      <c r="Q84" s="388"/>
      <c r="R84" s="390"/>
      <c r="S84" s="389"/>
      <c r="T84" s="169"/>
      <c r="U84" s="169"/>
      <c r="V84" s="169"/>
      <c r="W84" s="169"/>
    </row>
    <row r="85" spans="1:23" ht="12.75" hidden="1" customHeight="1">
      <c r="A85" s="384"/>
      <c r="B85" s="385"/>
      <c r="C85" s="3034"/>
      <c r="D85" s="3034"/>
      <c r="E85" s="395"/>
      <c r="F85" s="396"/>
      <c r="G85" s="1095"/>
      <c r="H85" s="3035"/>
      <c r="I85" s="3035"/>
      <c r="J85" s="3035"/>
      <c r="K85" s="3035"/>
      <c r="L85" s="3035"/>
      <c r="M85" s="387"/>
      <c r="N85" s="3036" t="str">
        <f>IF(COUNTIF($R$14:$R$38,M85),INDEX($S$14:$S$38,MATCH(M85,$R$14:$R116,0)),"")</f>
        <v/>
      </c>
      <c r="O85" s="3036"/>
      <c r="P85" s="3036"/>
      <c r="Q85" s="388"/>
      <c r="R85" s="390"/>
      <c r="S85" s="389"/>
      <c r="T85" s="169"/>
      <c r="U85" s="169"/>
      <c r="V85" s="169"/>
      <c r="W85" s="169"/>
    </row>
    <row r="86" spans="1:23" ht="12.75" hidden="1" customHeight="1">
      <c r="A86" s="384"/>
      <c r="B86" s="385"/>
      <c r="C86" s="3034"/>
      <c r="D86" s="3034"/>
      <c r="E86" s="395"/>
      <c r="F86" s="396"/>
      <c r="G86" s="1095"/>
      <c r="H86" s="3035"/>
      <c r="I86" s="3035"/>
      <c r="J86" s="3035"/>
      <c r="K86" s="3035"/>
      <c r="L86" s="3035"/>
      <c r="M86" s="387"/>
      <c r="N86" s="3036" t="str">
        <f>IF(COUNTIF($R$14:$R$38,M86),INDEX($S$14:$S$38,MATCH(M86,$R$14:$R117,0)),"")</f>
        <v/>
      </c>
      <c r="O86" s="3036"/>
      <c r="P86" s="3036"/>
      <c r="Q86" s="388"/>
      <c r="R86" s="390"/>
      <c r="S86" s="389"/>
      <c r="T86" s="169"/>
      <c r="U86" s="169"/>
      <c r="V86" s="169"/>
      <c r="W86" s="169"/>
    </row>
    <row r="87" spans="1:23" ht="12.75" hidden="1" customHeight="1">
      <c r="A87" s="384"/>
      <c r="B87" s="385"/>
      <c r="C87" s="3034"/>
      <c r="D87" s="3034"/>
      <c r="E87" s="395"/>
      <c r="F87" s="396"/>
      <c r="G87" s="1095"/>
      <c r="H87" s="3035"/>
      <c r="I87" s="3035"/>
      <c r="J87" s="3035"/>
      <c r="K87" s="3035"/>
      <c r="L87" s="3035"/>
      <c r="M87" s="387"/>
      <c r="N87" s="3036" t="str">
        <f>IF(COUNTIF($R$14:$R$38,M87),INDEX($S$14:$S$38,MATCH(M87,$R$14:$R118,0)),"")</f>
        <v/>
      </c>
      <c r="O87" s="3036"/>
      <c r="P87" s="3036"/>
      <c r="Q87" s="388"/>
      <c r="R87" s="390"/>
      <c r="S87" s="389"/>
      <c r="T87" s="169"/>
      <c r="U87" s="169"/>
      <c r="V87" s="169"/>
      <c r="W87" s="169"/>
    </row>
    <row r="88" spans="1:23" ht="12.75" hidden="1" customHeight="1">
      <c r="A88" s="384"/>
      <c r="B88" s="385"/>
      <c r="C88" s="3034"/>
      <c r="D88" s="3034"/>
      <c r="E88" s="395"/>
      <c r="F88" s="396"/>
      <c r="G88" s="1095"/>
      <c r="H88" s="3035"/>
      <c r="I88" s="3035"/>
      <c r="J88" s="3035"/>
      <c r="K88" s="3035"/>
      <c r="L88" s="3035"/>
      <c r="M88" s="387"/>
      <c r="N88" s="3036" t="str">
        <f>IF(COUNTIF($R$14:$R$38,M88),INDEX($S$14:$S$38,MATCH(M88,$R$14:$R119,0)),"")</f>
        <v/>
      </c>
      <c r="O88" s="3036"/>
      <c r="P88" s="3036"/>
      <c r="Q88" s="388"/>
      <c r="R88" s="390"/>
      <c r="S88" s="389"/>
      <c r="T88" s="169"/>
      <c r="U88" s="169"/>
      <c r="V88" s="169"/>
      <c r="W88" s="169"/>
    </row>
    <row r="89" spans="1:23" ht="12.75" hidden="1" customHeight="1">
      <c r="A89" s="384"/>
      <c r="B89" s="385"/>
      <c r="C89" s="3034"/>
      <c r="D89" s="3034"/>
      <c r="E89" s="395"/>
      <c r="F89" s="396"/>
      <c r="G89" s="1095"/>
      <c r="H89" s="3035"/>
      <c r="I89" s="3035"/>
      <c r="J89" s="3035"/>
      <c r="K89" s="3035"/>
      <c r="L89" s="3035"/>
      <c r="M89" s="387"/>
      <c r="N89" s="3036" t="str">
        <f>IF(COUNTIF($R$14:$R$38,M89),INDEX($S$14:$S$38,MATCH(M89,$R$14:$R120,0)),"")</f>
        <v/>
      </c>
      <c r="O89" s="3036"/>
      <c r="P89" s="3036"/>
      <c r="Q89" s="388"/>
      <c r="R89" s="390"/>
      <c r="S89" s="389"/>
      <c r="T89" s="169"/>
      <c r="U89" s="169"/>
      <c r="V89" s="169"/>
      <c r="W89" s="169"/>
    </row>
    <row r="90" spans="1:23" ht="12.75" hidden="1" customHeight="1">
      <c r="A90" s="384"/>
      <c r="B90" s="385"/>
      <c r="C90" s="3034"/>
      <c r="D90" s="3034"/>
      <c r="E90" s="395"/>
      <c r="F90" s="396"/>
      <c r="G90" s="1095"/>
      <c r="H90" s="3035"/>
      <c r="I90" s="3035"/>
      <c r="J90" s="3035"/>
      <c r="K90" s="3035"/>
      <c r="L90" s="3035"/>
      <c r="M90" s="387"/>
      <c r="N90" s="3036" t="str">
        <f>IF(COUNTIF($R$14:$R$38,M90),INDEX($S$14:$S$38,MATCH(M90,$R$14:$R121,0)),"")</f>
        <v/>
      </c>
      <c r="O90" s="3036"/>
      <c r="P90" s="3036"/>
      <c r="Q90" s="388"/>
      <c r="R90" s="390"/>
      <c r="S90" s="389"/>
      <c r="T90" s="169"/>
      <c r="U90" s="169"/>
      <c r="V90" s="169"/>
      <c r="W90" s="169"/>
    </row>
    <row r="91" spans="1:23" ht="12.75" hidden="1" customHeight="1">
      <c r="A91" s="384"/>
      <c r="B91" s="385"/>
      <c r="C91" s="3034"/>
      <c r="D91" s="3034"/>
      <c r="E91" s="395"/>
      <c r="F91" s="396"/>
      <c r="G91" s="1095"/>
      <c r="H91" s="3035"/>
      <c r="I91" s="3035"/>
      <c r="J91" s="3035"/>
      <c r="K91" s="3035"/>
      <c r="L91" s="3035"/>
      <c r="M91" s="387"/>
      <c r="N91" s="3036" t="str">
        <f>IF(COUNTIF($R$14:$R$38,M91),INDEX($S$14:$S$38,MATCH(M91,$R$14:$R122,0)),"")</f>
        <v/>
      </c>
      <c r="O91" s="3036"/>
      <c r="P91" s="3036"/>
      <c r="Q91" s="388"/>
      <c r="R91" s="390"/>
      <c r="S91" s="389"/>
      <c r="T91" s="169"/>
      <c r="U91" s="169"/>
      <c r="V91" s="169"/>
      <c r="W91" s="169"/>
    </row>
    <row r="92" spans="1:23" ht="12.75" hidden="1" customHeight="1">
      <c r="A92" s="384"/>
      <c r="B92" s="385"/>
      <c r="C92" s="3034"/>
      <c r="D92" s="3034"/>
      <c r="E92" s="395"/>
      <c r="F92" s="396"/>
      <c r="G92" s="1095"/>
      <c r="H92" s="3035"/>
      <c r="I92" s="3035"/>
      <c r="J92" s="3035"/>
      <c r="K92" s="3035"/>
      <c r="L92" s="3035"/>
      <c r="M92" s="387"/>
      <c r="N92" s="3036" t="str">
        <f>IF(COUNTIF($R$14:$R$38,M92),INDEX($S$14:$S$38,MATCH(M92,$R$14:$R123,0)),"")</f>
        <v/>
      </c>
      <c r="O92" s="3036"/>
      <c r="P92" s="3036"/>
      <c r="Q92" s="388"/>
      <c r="R92" s="390"/>
      <c r="S92" s="389"/>
      <c r="T92" s="169"/>
      <c r="U92" s="169"/>
      <c r="V92" s="169"/>
      <c r="W92" s="169"/>
    </row>
    <row r="93" spans="1:23" ht="12.75" hidden="1" customHeight="1">
      <c r="A93" s="384"/>
      <c r="B93" s="385"/>
      <c r="C93" s="3034"/>
      <c r="D93" s="3034"/>
      <c r="E93" s="395"/>
      <c r="F93" s="396"/>
      <c r="G93" s="1095"/>
      <c r="H93" s="3035"/>
      <c r="I93" s="3035"/>
      <c r="J93" s="3035"/>
      <c r="K93" s="3035"/>
      <c r="L93" s="3035"/>
      <c r="M93" s="387"/>
      <c r="N93" s="3036" t="str">
        <f>IF(COUNTIF($R$14:$R$38,M93),INDEX($S$14:$S$38,MATCH(M93,$R$14:$R124,0)),"")</f>
        <v/>
      </c>
      <c r="O93" s="3036"/>
      <c r="P93" s="3036"/>
      <c r="Q93" s="388"/>
      <c r="R93" s="390"/>
      <c r="S93" s="389"/>
      <c r="T93" s="169"/>
      <c r="U93" s="169"/>
      <c r="V93" s="169"/>
      <c r="W93" s="169"/>
    </row>
    <row r="94" spans="1:23" ht="12.75" hidden="1" customHeight="1">
      <c r="A94" s="384"/>
      <c r="B94" s="385"/>
      <c r="C94" s="3034"/>
      <c r="D94" s="3034"/>
      <c r="E94" s="395"/>
      <c r="F94" s="396"/>
      <c r="G94" s="1095"/>
      <c r="H94" s="3035"/>
      <c r="I94" s="3035"/>
      <c r="J94" s="3035"/>
      <c r="K94" s="3035"/>
      <c r="L94" s="3035"/>
      <c r="M94" s="387"/>
      <c r="N94" s="3036" t="str">
        <f>IF(COUNTIF($R$14:$R$38,M94),INDEX($S$14:$S$38,MATCH(M94,$R$14:$R125,0)),"")</f>
        <v/>
      </c>
      <c r="O94" s="3036"/>
      <c r="P94" s="3036"/>
      <c r="Q94" s="388"/>
      <c r="R94" s="390"/>
      <c r="S94" s="389"/>
      <c r="T94" s="169"/>
      <c r="U94" s="169"/>
      <c r="V94" s="169"/>
      <c r="W94" s="169"/>
    </row>
    <row r="95" spans="1:23" ht="12.75" hidden="1" customHeight="1">
      <c r="A95" s="384"/>
      <c r="B95" s="385"/>
      <c r="C95" s="3034"/>
      <c r="D95" s="3034"/>
      <c r="E95" s="395"/>
      <c r="F95" s="396"/>
      <c r="G95" s="1095"/>
      <c r="H95" s="3035"/>
      <c r="I95" s="3035"/>
      <c r="J95" s="3035"/>
      <c r="K95" s="3035"/>
      <c r="L95" s="3035"/>
      <c r="M95" s="387"/>
      <c r="N95" s="3036" t="str">
        <f>IF(COUNTIF($R$14:$R$38,M95),INDEX($S$14:$S$38,MATCH(M95,$R$14:$R126,0)),"")</f>
        <v/>
      </c>
      <c r="O95" s="3036"/>
      <c r="P95" s="3036"/>
      <c r="Q95" s="388"/>
      <c r="R95" s="390"/>
      <c r="S95" s="389"/>
      <c r="T95" s="169"/>
      <c r="U95" s="169"/>
      <c r="V95" s="169"/>
      <c r="W95" s="169"/>
    </row>
    <row r="96" spans="1:23" ht="12.75" hidden="1" customHeight="1">
      <c r="A96" s="384"/>
      <c r="B96" s="385"/>
      <c r="C96" s="3034"/>
      <c r="D96" s="3034"/>
      <c r="E96" s="395"/>
      <c r="F96" s="396"/>
      <c r="G96" s="1095"/>
      <c r="H96" s="3035"/>
      <c r="I96" s="3035"/>
      <c r="J96" s="3035"/>
      <c r="K96" s="3035"/>
      <c r="L96" s="3035"/>
      <c r="M96" s="387"/>
      <c r="N96" s="3036" t="str">
        <f>IF(COUNTIF($R$14:$R$38,M96),INDEX($S$14:$S$38,MATCH(M96,$R$14:$R127,0)),"")</f>
        <v/>
      </c>
      <c r="O96" s="3036"/>
      <c r="P96" s="3036"/>
      <c r="Q96" s="388"/>
      <c r="R96" s="390"/>
      <c r="S96" s="389"/>
      <c r="T96" s="169"/>
      <c r="U96" s="169"/>
      <c r="V96" s="169"/>
      <c r="W96" s="169"/>
    </row>
    <row r="97" spans="1:23" ht="12.75" hidden="1" customHeight="1">
      <c r="A97" s="384"/>
      <c r="B97" s="385"/>
      <c r="C97" s="3034"/>
      <c r="D97" s="3034"/>
      <c r="E97" s="395"/>
      <c r="F97" s="396"/>
      <c r="G97" s="1095"/>
      <c r="H97" s="3035"/>
      <c r="I97" s="3035"/>
      <c r="J97" s="3035"/>
      <c r="K97" s="3035"/>
      <c r="L97" s="3035"/>
      <c r="M97" s="387"/>
      <c r="N97" s="3036" t="str">
        <f>IF(COUNTIF($R$14:$R$38,M97),INDEX($S$14:$S$38,MATCH(M97,$R$14:$R128,0)),"")</f>
        <v/>
      </c>
      <c r="O97" s="3036"/>
      <c r="P97" s="3036"/>
      <c r="Q97" s="388"/>
      <c r="R97" s="390"/>
      <c r="S97" s="389"/>
      <c r="T97" s="169"/>
      <c r="U97" s="169"/>
      <c r="V97" s="169"/>
      <c r="W97" s="169"/>
    </row>
    <row r="98" spans="1:23" ht="12.75" hidden="1" customHeight="1">
      <c r="A98" s="384"/>
      <c r="B98" s="385"/>
      <c r="C98" s="3034"/>
      <c r="D98" s="3034"/>
      <c r="E98" s="395"/>
      <c r="F98" s="396"/>
      <c r="G98" s="1095"/>
      <c r="H98" s="3035"/>
      <c r="I98" s="3035"/>
      <c r="J98" s="3035"/>
      <c r="K98" s="3035"/>
      <c r="L98" s="3035"/>
      <c r="M98" s="387"/>
      <c r="N98" s="3036" t="str">
        <f>IF(COUNTIF($R$14:$R$38,M98),INDEX($S$14:$S$38,MATCH(M98,$R$14:$R129,0)),"")</f>
        <v/>
      </c>
      <c r="O98" s="3036"/>
      <c r="P98" s="3036"/>
      <c r="Q98" s="388"/>
      <c r="R98" s="390"/>
      <c r="S98" s="389"/>
      <c r="T98" s="169"/>
      <c r="U98" s="169"/>
      <c r="V98" s="169"/>
      <c r="W98" s="169"/>
    </row>
    <row r="99" spans="1:23" ht="12.75" hidden="1" customHeight="1">
      <c r="A99" s="384"/>
      <c r="B99" s="385"/>
      <c r="C99" s="3034"/>
      <c r="D99" s="3034"/>
      <c r="E99" s="395"/>
      <c r="F99" s="396"/>
      <c r="G99" s="1095"/>
      <c r="H99" s="3035"/>
      <c r="I99" s="3035"/>
      <c r="J99" s="3035"/>
      <c r="K99" s="3035"/>
      <c r="L99" s="3035"/>
      <c r="M99" s="387"/>
      <c r="N99" s="3036" t="str">
        <f>IF(COUNTIF($R$14:$R$38,M99),INDEX($S$14:$S$38,MATCH(M99,$R$14:$R130,0)),"")</f>
        <v/>
      </c>
      <c r="O99" s="3036"/>
      <c r="P99" s="3036"/>
      <c r="Q99" s="388"/>
      <c r="R99" s="390"/>
      <c r="S99" s="389"/>
      <c r="T99" s="169"/>
      <c r="U99" s="169"/>
      <c r="V99" s="169"/>
      <c r="W99" s="169"/>
    </row>
    <row r="100" spans="1:23" ht="12.75" hidden="1" customHeight="1">
      <c r="A100" s="384"/>
      <c r="B100" s="385"/>
      <c r="C100" s="3034"/>
      <c r="D100" s="3034"/>
      <c r="E100" s="395"/>
      <c r="F100" s="396"/>
      <c r="G100" s="1095"/>
      <c r="H100" s="3035"/>
      <c r="I100" s="3035"/>
      <c r="J100" s="3035"/>
      <c r="K100" s="3035"/>
      <c r="L100" s="3035"/>
      <c r="M100" s="387"/>
      <c r="N100" s="3036" t="str">
        <f>IF(COUNTIF($R$14:$R$38,M100),INDEX($S$14:$S$38,MATCH(M100,$R$14:$R131,0)),"")</f>
        <v/>
      </c>
      <c r="O100" s="3036"/>
      <c r="P100" s="3036"/>
      <c r="Q100" s="388"/>
      <c r="R100" s="390"/>
      <c r="S100" s="389"/>
      <c r="T100" s="169"/>
      <c r="U100" s="169"/>
      <c r="V100" s="169"/>
      <c r="W100" s="169"/>
    </row>
    <row r="101" spans="1:23" ht="12.75" hidden="1" customHeight="1">
      <c r="A101" s="384"/>
      <c r="B101" s="385"/>
      <c r="C101" s="3034"/>
      <c r="D101" s="3034"/>
      <c r="E101" s="395"/>
      <c r="F101" s="396"/>
      <c r="G101" s="1095"/>
      <c r="H101" s="3035"/>
      <c r="I101" s="3035"/>
      <c r="J101" s="3035"/>
      <c r="K101" s="3035"/>
      <c r="L101" s="3035"/>
      <c r="M101" s="387"/>
      <c r="N101" s="3036" t="str">
        <f>IF(COUNTIF($R$14:$R$38,M101),INDEX($S$14:$S$38,MATCH(M101,$R$14:$R132,0)),"")</f>
        <v/>
      </c>
      <c r="O101" s="3036"/>
      <c r="P101" s="3036"/>
      <c r="Q101" s="388"/>
      <c r="R101" s="390"/>
      <c r="S101" s="389"/>
      <c r="T101" s="169"/>
      <c r="U101" s="169"/>
      <c r="V101" s="169"/>
      <c r="W101" s="169"/>
    </row>
    <row r="102" spans="1:23" ht="12.75" hidden="1" customHeight="1">
      <c r="A102" s="384"/>
      <c r="B102" s="385"/>
      <c r="C102" s="3034"/>
      <c r="D102" s="3034"/>
      <c r="E102" s="395"/>
      <c r="F102" s="396"/>
      <c r="G102" s="1095"/>
      <c r="H102" s="3035"/>
      <c r="I102" s="3035"/>
      <c r="J102" s="3035"/>
      <c r="K102" s="3035"/>
      <c r="L102" s="3035"/>
      <c r="M102" s="387"/>
      <c r="N102" s="3036" t="str">
        <f>IF(COUNTIF($R$14:$R$38,M102),INDEX($S$14:$S$38,MATCH(M102,$R$14:$R133,0)),"")</f>
        <v/>
      </c>
      <c r="O102" s="3036"/>
      <c r="P102" s="3036"/>
      <c r="Q102" s="388"/>
      <c r="R102" s="390"/>
      <c r="S102" s="389"/>
      <c r="T102" s="169"/>
      <c r="U102" s="169"/>
      <c r="V102" s="169"/>
      <c r="W102" s="169"/>
    </row>
    <row r="103" spans="1:23" ht="12.75" hidden="1" customHeight="1">
      <c r="A103" s="384"/>
      <c r="B103" s="385"/>
      <c r="C103" s="3034"/>
      <c r="D103" s="3034"/>
      <c r="E103" s="395"/>
      <c r="F103" s="396"/>
      <c r="G103" s="1095"/>
      <c r="H103" s="3035"/>
      <c r="I103" s="3035"/>
      <c r="J103" s="3035"/>
      <c r="K103" s="3035"/>
      <c r="L103" s="3035"/>
      <c r="M103" s="387"/>
      <c r="N103" s="3036" t="str">
        <f>IF(COUNTIF($R$14:$R$38,M103),INDEX($S$14:$S$38,MATCH(M103,$R$14:$R134,0)),"")</f>
        <v/>
      </c>
      <c r="O103" s="3036"/>
      <c r="P103" s="3036"/>
      <c r="Q103" s="388"/>
      <c r="R103" s="390"/>
      <c r="S103" s="389"/>
      <c r="T103" s="169"/>
      <c r="U103" s="169"/>
      <c r="V103" s="169"/>
      <c r="W103" s="169"/>
    </row>
    <row r="104" spans="1:23" ht="12.75" hidden="1" customHeight="1">
      <c r="A104" s="384"/>
      <c r="B104" s="385"/>
      <c r="C104" s="3034"/>
      <c r="D104" s="3034"/>
      <c r="E104" s="395"/>
      <c r="F104" s="396"/>
      <c r="G104" s="1095"/>
      <c r="H104" s="3035"/>
      <c r="I104" s="3035"/>
      <c r="J104" s="3035"/>
      <c r="K104" s="3035"/>
      <c r="L104" s="3035"/>
      <c r="M104" s="387"/>
      <c r="N104" s="3036" t="str">
        <f>IF(COUNTIF($R$14:$R$38,M104),INDEX($S$14:$S$38,MATCH(M104,$R$14:$R135,0)),"")</f>
        <v/>
      </c>
      <c r="O104" s="3036"/>
      <c r="P104" s="3036"/>
      <c r="Q104" s="388"/>
      <c r="R104" s="390"/>
      <c r="S104" s="389"/>
      <c r="T104" s="169"/>
      <c r="U104" s="169"/>
      <c r="V104" s="169"/>
      <c r="W104" s="169"/>
    </row>
    <row r="105" spans="1:23" ht="12.75" hidden="1" customHeight="1">
      <c r="A105" s="384"/>
      <c r="B105" s="385"/>
      <c r="C105" s="3034"/>
      <c r="D105" s="3034"/>
      <c r="E105" s="395"/>
      <c r="F105" s="396"/>
      <c r="G105" s="1095"/>
      <c r="H105" s="3035"/>
      <c r="I105" s="3035"/>
      <c r="J105" s="3035"/>
      <c r="K105" s="3035"/>
      <c r="L105" s="3035"/>
      <c r="M105" s="387"/>
      <c r="N105" s="3036" t="str">
        <f>IF(COUNTIF($R$14:$R$38,M105),INDEX($S$14:$S$38,MATCH(M105,$R$14:$R136,0)),"")</f>
        <v/>
      </c>
      <c r="O105" s="3036"/>
      <c r="P105" s="3036"/>
      <c r="Q105" s="388"/>
      <c r="R105" s="390"/>
      <c r="S105" s="389"/>
      <c r="T105" s="169"/>
      <c r="U105" s="169"/>
      <c r="V105" s="169"/>
      <c r="W105" s="169"/>
    </row>
    <row r="106" spans="1:23" ht="12.75" hidden="1" customHeight="1">
      <c r="A106" s="384"/>
      <c r="B106" s="385"/>
      <c r="C106" s="3034"/>
      <c r="D106" s="3034"/>
      <c r="E106" s="395"/>
      <c r="F106" s="396"/>
      <c r="G106" s="1095"/>
      <c r="H106" s="3035"/>
      <c r="I106" s="3035"/>
      <c r="J106" s="3035"/>
      <c r="K106" s="3035"/>
      <c r="L106" s="3035"/>
      <c r="M106" s="387"/>
      <c r="N106" s="3036" t="str">
        <f>IF(COUNTIF($R$14:$R$38,M106),INDEX($S$14:$S$38,MATCH(M106,$R$14:$R137,0)),"")</f>
        <v/>
      </c>
      <c r="O106" s="3036"/>
      <c r="P106" s="3036"/>
      <c r="Q106" s="388"/>
      <c r="R106" s="390"/>
      <c r="S106" s="389"/>
      <c r="T106" s="169"/>
      <c r="U106" s="169"/>
      <c r="V106" s="169"/>
      <c r="W106" s="169"/>
    </row>
    <row r="107" spans="1:23" ht="12.75" hidden="1" customHeight="1">
      <c r="A107" s="384"/>
      <c r="B107" s="385"/>
      <c r="C107" s="3034"/>
      <c r="D107" s="3034"/>
      <c r="E107" s="395"/>
      <c r="F107" s="396"/>
      <c r="G107" s="1095"/>
      <c r="H107" s="3035"/>
      <c r="I107" s="3035"/>
      <c r="J107" s="3035"/>
      <c r="K107" s="3035"/>
      <c r="L107" s="3035"/>
      <c r="M107" s="387"/>
      <c r="N107" s="3036" t="str">
        <f>IF(COUNTIF($R$14:$R$38,M107),INDEX($S$14:$S$38,MATCH(M107,$R$14:$R138,0)),"")</f>
        <v/>
      </c>
      <c r="O107" s="3036"/>
      <c r="P107" s="3036"/>
      <c r="Q107" s="388"/>
      <c r="R107" s="390"/>
      <c r="S107" s="389"/>
      <c r="T107" s="169"/>
      <c r="U107" s="169"/>
      <c r="V107" s="169"/>
      <c r="W107" s="169"/>
    </row>
    <row r="108" spans="1:23" ht="12.75" hidden="1" customHeight="1">
      <c r="A108" s="384"/>
      <c r="B108" s="385"/>
      <c r="C108" s="3034"/>
      <c r="D108" s="3034"/>
      <c r="E108" s="395"/>
      <c r="F108" s="396"/>
      <c r="G108" s="1095"/>
      <c r="H108" s="3035"/>
      <c r="I108" s="3035"/>
      <c r="J108" s="3035"/>
      <c r="K108" s="3035"/>
      <c r="L108" s="3035"/>
      <c r="M108" s="387"/>
      <c r="N108" s="3036" t="str">
        <f>IF(COUNTIF($R$14:$R$38,M108),INDEX($S$14:$S$38,MATCH(M108,$R$14:$R139,0)),"")</f>
        <v/>
      </c>
      <c r="O108" s="3036"/>
      <c r="P108" s="3036"/>
      <c r="Q108" s="388"/>
      <c r="R108" s="390"/>
      <c r="S108" s="389"/>
      <c r="T108" s="169"/>
      <c r="U108" s="169"/>
      <c r="V108" s="169"/>
      <c r="W108" s="169"/>
    </row>
    <row r="109" spans="1:23" ht="12.75" hidden="1" customHeight="1">
      <c r="A109" s="384"/>
      <c r="B109" s="385"/>
      <c r="C109" s="3034"/>
      <c r="D109" s="3034"/>
      <c r="E109" s="395"/>
      <c r="F109" s="396"/>
      <c r="G109" s="1095"/>
      <c r="H109" s="3035"/>
      <c r="I109" s="3035"/>
      <c r="J109" s="3035"/>
      <c r="K109" s="3035"/>
      <c r="L109" s="3035"/>
      <c r="M109" s="387"/>
      <c r="N109" s="3036" t="str">
        <f>IF(COUNTIF($R$14:$R$38,M109),INDEX($S$14:$S$38,MATCH(M109,$R$14:$R140,0)),"")</f>
        <v/>
      </c>
      <c r="O109" s="3036"/>
      <c r="P109" s="3036"/>
      <c r="Q109" s="388"/>
      <c r="R109" s="390"/>
      <c r="S109" s="389"/>
      <c r="T109" s="169"/>
      <c r="U109" s="169"/>
      <c r="V109" s="169"/>
      <c r="W109" s="169"/>
    </row>
    <row r="110" spans="1:23" ht="12.75" hidden="1" customHeight="1">
      <c r="A110" s="384"/>
      <c r="B110" s="385"/>
      <c r="C110" s="3034"/>
      <c r="D110" s="3034"/>
      <c r="E110" s="395"/>
      <c r="F110" s="396"/>
      <c r="G110" s="1095"/>
      <c r="H110" s="3035"/>
      <c r="I110" s="3035"/>
      <c r="J110" s="3035"/>
      <c r="K110" s="3035"/>
      <c r="L110" s="3035"/>
      <c r="M110" s="387"/>
      <c r="N110" s="3036" t="str">
        <f>IF(COUNTIF($R$14:$R$38,M110),INDEX($S$14:$S$38,MATCH(M110,$R$14:$R141,0)),"")</f>
        <v/>
      </c>
      <c r="O110" s="3036"/>
      <c r="P110" s="3036"/>
      <c r="Q110" s="388"/>
      <c r="R110" s="390"/>
      <c r="S110" s="389"/>
      <c r="T110" s="169"/>
      <c r="U110" s="169"/>
      <c r="V110" s="169"/>
      <c r="W110" s="169"/>
    </row>
    <row r="111" spans="1:23" ht="12.75" hidden="1" customHeight="1">
      <c r="A111" s="384"/>
      <c r="B111" s="385"/>
      <c r="C111" s="3034"/>
      <c r="D111" s="3034"/>
      <c r="E111" s="395"/>
      <c r="F111" s="396"/>
      <c r="G111" s="1095"/>
      <c r="H111" s="3035"/>
      <c r="I111" s="3035"/>
      <c r="J111" s="3035"/>
      <c r="K111" s="3035"/>
      <c r="L111" s="3035"/>
      <c r="M111" s="387"/>
      <c r="N111" s="3036" t="str">
        <f>IF(COUNTIF($R$14:$R$38,M111),INDEX($S$14:$S$38,MATCH(M111,$R$14:$R142,0)),"")</f>
        <v/>
      </c>
      <c r="O111" s="3036"/>
      <c r="P111" s="3036"/>
      <c r="Q111" s="388"/>
      <c r="R111" s="390"/>
      <c r="S111" s="389"/>
      <c r="T111" s="169"/>
      <c r="U111" s="169"/>
      <c r="V111" s="169"/>
      <c r="W111" s="169"/>
    </row>
    <row r="112" spans="1:23" ht="12.75" hidden="1" customHeight="1">
      <c r="A112" s="384"/>
      <c r="B112" s="385"/>
      <c r="C112" s="3034"/>
      <c r="D112" s="3034"/>
      <c r="E112" s="395"/>
      <c r="F112" s="396"/>
      <c r="G112" s="1095"/>
      <c r="H112" s="3035"/>
      <c r="I112" s="3035"/>
      <c r="J112" s="3035"/>
      <c r="K112" s="3035"/>
      <c r="L112" s="3035"/>
      <c r="M112" s="387"/>
      <c r="N112" s="3036" t="str">
        <f>IF(COUNTIF($R$14:$R$38,M112),INDEX($S$14:$S$38,MATCH(M112,$R$14:$R143,0)),"")</f>
        <v/>
      </c>
      <c r="O112" s="3036"/>
      <c r="P112" s="3036"/>
      <c r="Q112" s="388"/>
      <c r="R112" s="390"/>
      <c r="S112" s="389"/>
      <c r="T112" s="169"/>
      <c r="U112" s="169"/>
      <c r="V112" s="169"/>
      <c r="W112" s="169"/>
    </row>
    <row r="113" spans="1:23" ht="12.75" hidden="1" customHeight="1">
      <c r="A113" s="384"/>
      <c r="B113" s="385"/>
      <c r="C113" s="3034"/>
      <c r="D113" s="3034"/>
      <c r="E113" s="395"/>
      <c r="F113" s="396"/>
      <c r="G113" s="1095"/>
      <c r="H113" s="3035"/>
      <c r="I113" s="3035"/>
      <c r="J113" s="3035"/>
      <c r="K113" s="3035"/>
      <c r="L113" s="3035"/>
      <c r="M113" s="387"/>
      <c r="N113" s="3036" t="str">
        <f>IF(COUNTIF($R$14:$R$38,M113),INDEX($S$14:$S$38,MATCH(M113,$R$14:$R144,0)),"")</f>
        <v/>
      </c>
      <c r="O113" s="3036"/>
      <c r="P113" s="3036"/>
      <c r="Q113" s="388"/>
      <c r="R113" s="390"/>
      <c r="S113" s="389"/>
      <c r="T113" s="169"/>
      <c r="U113" s="169"/>
      <c r="V113" s="169"/>
      <c r="W113" s="169"/>
    </row>
    <row r="114" spans="1:23" ht="12.75" hidden="1" customHeight="1">
      <c r="A114" s="384"/>
      <c r="B114" s="385"/>
      <c r="C114" s="3034"/>
      <c r="D114" s="3034"/>
      <c r="E114" s="395"/>
      <c r="F114" s="396"/>
      <c r="G114" s="1095"/>
      <c r="H114" s="3035"/>
      <c r="I114" s="3035"/>
      <c r="J114" s="3035"/>
      <c r="K114" s="3035"/>
      <c r="L114" s="3035"/>
      <c r="M114" s="387"/>
      <c r="N114" s="3036" t="str">
        <f>IF(COUNTIF($R$14:$R$38,M114),INDEX($S$14:$S$38,MATCH(M114,$R$14:$R145,0)),"")</f>
        <v/>
      </c>
      <c r="O114" s="3036"/>
      <c r="P114" s="3036"/>
      <c r="Q114" s="388"/>
      <c r="R114" s="390"/>
      <c r="S114" s="389"/>
      <c r="T114" s="169"/>
      <c r="U114" s="169"/>
      <c r="V114" s="169"/>
      <c r="W114" s="169"/>
    </row>
    <row r="115" spans="1:23" ht="12.75" hidden="1" customHeight="1">
      <c r="A115" s="384"/>
      <c r="B115" s="385"/>
      <c r="C115" s="3034"/>
      <c r="D115" s="3034"/>
      <c r="E115" s="395"/>
      <c r="F115" s="396"/>
      <c r="G115" s="1095"/>
      <c r="H115" s="3035"/>
      <c r="I115" s="3035"/>
      <c r="J115" s="3035"/>
      <c r="K115" s="3035"/>
      <c r="L115" s="3035"/>
      <c r="M115" s="387"/>
      <c r="N115" s="3036" t="str">
        <f>IF(COUNTIF($R$14:$R$38,M115),INDEX($S$14:$S$38,MATCH(M115,$R$14:$R146,0)),"")</f>
        <v/>
      </c>
      <c r="O115" s="3036"/>
      <c r="P115" s="3036"/>
      <c r="Q115" s="388"/>
      <c r="R115" s="390"/>
      <c r="S115" s="389"/>
      <c r="T115" s="169"/>
      <c r="U115" s="169"/>
      <c r="V115" s="169"/>
      <c r="W115" s="169"/>
    </row>
    <row r="116" spans="1:23" ht="12.75" hidden="1" customHeight="1">
      <c r="A116" s="384"/>
      <c r="B116" s="385"/>
      <c r="C116" s="3034"/>
      <c r="D116" s="3034"/>
      <c r="E116" s="395"/>
      <c r="F116" s="396"/>
      <c r="G116" s="1095"/>
      <c r="H116" s="3035"/>
      <c r="I116" s="3035"/>
      <c r="J116" s="3035"/>
      <c r="K116" s="3035"/>
      <c r="L116" s="3035"/>
      <c r="M116" s="387"/>
      <c r="N116" s="3036" t="str">
        <f>IF(COUNTIF($R$14:$R$38,M116),INDEX($S$14:$S$38,MATCH(M116,$R$14:$R147,0)),"")</f>
        <v/>
      </c>
      <c r="O116" s="3036"/>
      <c r="P116" s="3036"/>
      <c r="Q116" s="388"/>
      <c r="R116" s="390"/>
      <c r="S116" s="389"/>
      <c r="T116" s="169"/>
      <c r="U116" s="169"/>
      <c r="V116" s="169"/>
      <c r="W116" s="169"/>
    </row>
    <row r="117" spans="1:23" ht="12.75" hidden="1" customHeight="1">
      <c r="A117" s="384"/>
      <c r="B117" s="385"/>
      <c r="C117" s="3034"/>
      <c r="D117" s="3034"/>
      <c r="E117" s="395"/>
      <c r="F117" s="396"/>
      <c r="G117" s="1095"/>
      <c r="H117" s="3035"/>
      <c r="I117" s="3035"/>
      <c r="J117" s="3035"/>
      <c r="K117" s="3035"/>
      <c r="L117" s="3035"/>
      <c r="M117" s="387"/>
      <c r="N117" s="3036" t="str">
        <f>IF(COUNTIF($R$14:$R$38,M117),INDEX($S$14:$S$38,MATCH(M117,$R$14:$R148,0)),"")</f>
        <v/>
      </c>
      <c r="O117" s="3036"/>
      <c r="P117" s="3036"/>
      <c r="Q117" s="388"/>
      <c r="R117" s="390"/>
      <c r="S117" s="389"/>
      <c r="T117" s="169"/>
      <c r="U117" s="169"/>
      <c r="V117" s="169"/>
      <c r="W117" s="169"/>
    </row>
    <row r="118" spans="1:23" ht="12.75" hidden="1" customHeight="1">
      <c r="A118" s="384"/>
      <c r="B118" s="385"/>
      <c r="C118" s="3034"/>
      <c r="D118" s="3034"/>
      <c r="E118" s="395"/>
      <c r="F118" s="396"/>
      <c r="G118" s="1095"/>
      <c r="H118" s="3035"/>
      <c r="I118" s="3035"/>
      <c r="J118" s="3035"/>
      <c r="K118" s="3035"/>
      <c r="L118" s="3035"/>
      <c r="M118" s="387"/>
      <c r="N118" s="3036" t="str">
        <f>IF(COUNTIF($R$14:$R$38,M118),INDEX($S$14:$S$38,MATCH(M118,$R$14:$R149,0)),"")</f>
        <v/>
      </c>
      <c r="O118" s="3036"/>
      <c r="P118" s="3036"/>
      <c r="Q118" s="388"/>
      <c r="R118" s="390"/>
      <c r="S118" s="389"/>
      <c r="T118" s="169"/>
      <c r="U118" s="169"/>
      <c r="V118" s="169"/>
      <c r="W118" s="169"/>
    </row>
    <row r="119" spans="1:23" ht="12.75" hidden="1" customHeight="1">
      <c r="A119" s="384"/>
      <c r="B119" s="385"/>
      <c r="C119" s="3034"/>
      <c r="D119" s="3034"/>
      <c r="E119" s="395"/>
      <c r="F119" s="396"/>
      <c r="G119" s="1095"/>
      <c r="H119" s="3035"/>
      <c r="I119" s="3035"/>
      <c r="J119" s="3035"/>
      <c r="K119" s="3035"/>
      <c r="L119" s="3035"/>
      <c r="M119" s="387"/>
      <c r="N119" s="3036" t="str">
        <f>IF(COUNTIF($R$14:$R$38,M119),INDEX($S$14:$S$38,MATCH(M119,$R$14:$R150,0)),"")</f>
        <v/>
      </c>
      <c r="O119" s="3036"/>
      <c r="P119" s="3036"/>
      <c r="Q119" s="388"/>
      <c r="R119" s="390"/>
      <c r="S119" s="389"/>
      <c r="T119" s="169"/>
      <c r="U119" s="169"/>
      <c r="V119" s="169"/>
      <c r="W119" s="169"/>
    </row>
    <row r="120" spans="1:23" ht="12.75" hidden="1" customHeight="1">
      <c r="A120" s="384"/>
      <c r="B120" s="385"/>
      <c r="C120" s="3034"/>
      <c r="D120" s="3034"/>
      <c r="E120" s="395"/>
      <c r="F120" s="396"/>
      <c r="G120" s="1095"/>
      <c r="H120" s="3035"/>
      <c r="I120" s="3035"/>
      <c r="J120" s="3035"/>
      <c r="K120" s="3035"/>
      <c r="L120" s="3035"/>
      <c r="M120" s="387"/>
      <c r="N120" s="3036" t="str">
        <f>IF(COUNTIF($R$14:$R$38,M120),INDEX($S$14:$S$38,MATCH(M120,$R$14:$R151,0)),"")</f>
        <v/>
      </c>
      <c r="O120" s="3036"/>
      <c r="P120" s="3036"/>
      <c r="Q120" s="388"/>
      <c r="R120" s="390"/>
      <c r="S120" s="389"/>
      <c r="T120" s="169"/>
      <c r="U120" s="169"/>
      <c r="V120" s="169"/>
      <c r="W120" s="169"/>
    </row>
    <row r="121" spans="1:23" ht="12.75" hidden="1" customHeight="1">
      <c r="A121" s="384"/>
      <c r="B121" s="385"/>
      <c r="C121" s="3034"/>
      <c r="D121" s="3034"/>
      <c r="E121" s="395"/>
      <c r="F121" s="396"/>
      <c r="G121" s="1095"/>
      <c r="H121" s="3035"/>
      <c r="I121" s="3035"/>
      <c r="J121" s="3035"/>
      <c r="K121" s="3035"/>
      <c r="L121" s="3035"/>
      <c r="M121" s="387"/>
      <c r="N121" s="3036" t="str">
        <f>IF(COUNTIF($R$14:$R$38,M121),INDEX($S$14:$S$38,MATCH(M121,$R$14:$R152,0)),"")</f>
        <v/>
      </c>
      <c r="O121" s="3036"/>
      <c r="P121" s="3036"/>
      <c r="Q121" s="388"/>
      <c r="R121" s="390"/>
      <c r="S121" s="389"/>
      <c r="T121" s="169"/>
      <c r="U121" s="169"/>
      <c r="V121" s="169"/>
      <c r="W121" s="169"/>
    </row>
    <row r="122" spans="1:23" ht="12.75" hidden="1" customHeight="1">
      <c r="A122" s="384"/>
      <c r="B122" s="385"/>
      <c r="C122" s="3034"/>
      <c r="D122" s="3034"/>
      <c r="E122" s="395"/>
      <c r="F122" s="396"/>
      <c r="G122" s="1095"/>
      <c r="H122" s="3035"/>
      <c r="I122" s="3035"/>
      <c r="J122" s="3035"/>
      <c r="K122" s="3035"/>
      <c r="L122" s="3035"/>
      <c r="M122" s="387"/>
      <c r="N122" s="3036" t="str">
        <f>IF(COUNTIF($R$14:$R$38,M122),INDEX($S$14:$S$38,MATCH(M122,$R$14:$R153,0)),"")</f>
        <v/>
      </c>
      <c r="O122" s="3036"/>
      <c r="P122" s="3036"/>
      <c r="Q122" s="388"/>
      <c r="R122" s="390"/>
      <c r="S122" s="389"/>
      <c r="T122" s="169"/>
      <c r="U122" s="169"/>
      <c r="V122" s="169"/>
      <c r="W122" s="169"/>
    </row>
    <row r="123" spans="1:23" ht="12.75" hidden="1" customHeight="1">
      <c r="A123" s="384"/>
      <c r="B123" s="385"/>
      <c r="C123" s="3034"/>
      <c r="D123" s="3034"/>
      <c r="E123" s="395"/>
      <c r="F123" s="396"/>
      <c r="G123" s="1095"/>
      <c r="H123" s="3035"/>
      <c r="I123" s="3035"/>
      <c r="J123" s="3035"/>
      <c r="K123" s="3035"/>
      <c r="L123" s="3035"/>
      <c r="M123" s="387"/>
      <c r="N123" s="3036" t="str">
        <f>IF(COUNTIF($R$14:$R$38,M123),INDEX($S$14:$S$38,MATCH(M123,$R$14:$R154,0)),"")</f>
        <v/>
      </c>
      <c r="O123" s="3036"/>
      <c r="P123" s="3036"/>
      <c r="Q123" s="388"/>
      <c r="R123" s="390"/>
      <c r="S123" s="389"/>
      <c r="T123" s="169"/>
      <c r="U123" s="169"/>
      <c r="V123" s="169"/>
      <c r="W123" s="169"/>
    </row>
    <row r="124" spans="1:23" ht="12.75" hidden="1" customHeight="1">
      <c r="A124" s="384"/>
      <c r="B124" s="385"/>
      <c r="C124" s="3034"/>
      <c r="D124" s="3034"/>
      <c r="E124" s="395"/>
      <c r="F124" s="396"/>
      <c r="G124" s="1095"/>
      <c r="H124" s="3035"/>
      <c r="I124" s="3035"/>
      <c r="J124" s="3035"/>
      <c r="K124" s="3035"/>
      <c r="L124" s="3035"/>
      <c r="M124" s="387"/>
      <c r="N124" s="3036" t="str">
        <f>IF(COUNTIF($R$14:$R$38,M124),INDEX($S$14:$S$38,MATCH(M124,$R$14:$R155,0)),"")</f>
        <v/>
      </c>
      <c r="O124" s="3036"/>
      <c r="P124" s="3036"/>
      <c r="Q124" s="388"/>
      <c r="R124" s="390"/>
      <c r="S124" s="389"/>
      <c r="T124" s="169"/>
      <c r="U124" s="169"/>
      <c r="V124" s="169"/>
      <c r="W124" s="169"/>
    </row>
    <row r="125" spans="1:23" ht="12.75" hidden="1" customHeight="1">
      <c r="A125" s="384"/>
      <c r="B125" s="385"/>
      <c r="C125" s="3034"/>
      <c r="D125" s="3034"/>
      <c r="E125" s="395"/>
      <c r="F125" s="396"/>
      <c r="G125" s="1095"/>
      <c r="H125" s="3035"/>
      <c r="I125" s="3035"/>
      <c r="J125" s="3035"/>
      <c r="K125" s="3035"/>
      <c r="L125" s="3035"/>
      <c r="M125" s="387"/>
      <c r="N125" s="3036" t="str">
        <f>IF(COUNTIF($R$14:$R$38,M125),INDEX($S$14:$S$38,MATCH(M125,$R$14:$R156,0)),"")</f>
        <v/>
      </c>
      <c r="O125" s="3036"/>
      <c r="P125" s="3036"/>
      <c r="Q125" s="388"/>
      <c r="R125" s="390"/>
      <c r="S125" s="389"/>
      <c r="T125" s="169"/>
      <c r="U125" s="169"/>
      <c r="V125" s="169"/>
      <c r="W125" s="169"/>
    </row>
    <row r="126" spans="1:23" ht="12.75" hidden="1" customHeight="1">
      <c r="A126" s="384"/>
      <c r="B126" s="385"/>
      <c r="C126" s="3034"/>
      <c r="D126" s="3034"/>
      <c r="E126" s="395"/>
      <c r="F126" s="396"/>
      <c r="G126" s="1095"/>
      <c r="H126" s="3035"/>
      <c r="I126" s="3035"/>
      <c r="J126" s="3035"/>
      <c r="K126" s="3035"/>
      <c r="L126" s="3035"/>
      <c r="M126" s="387"/>
      <c r="N126" s="3036" t="str">
        <f>IF(COUNTIF($R$14:$R$38,M126),INDEX($S$14:$S$38,MATCH(M126,$R$14:$R157,0)),"")</f>
        <v/>
      </c>
      <c r="O126" s="3036"/>
      <c r="P126" s="3036"/>
      <c r="Q126" s="388"/>
      <c r="R126" s="390"/>
      <c r="S126" s="389"/>
      <c r="T126" s="169"/>
      <c r="U126" s="169"/>
      <c r="V126" s="169"/>
      <c r="W126" s="169"/>
    </row>
    <row r="127" spans="1:23" ht="12.75" hidden="1" customHeight="1">
      <c r="A127" s="384"/>
      <c r="B127" s="385"/>
      <c r="C127" s="3034"/>
      <c r="D127" s="3034"/>
      <c r="E127" s="395"/>
      <c r="F127" s="396"/>
      <c r="G127" s="1095"/>
      <c r="H127" s="3035"/>
      <c r="I127" s="3035"/>
      <c r="J127" s="3035"/>
      <c r="K127" s="3035"/>
      <c r="L127" s="3035"/>
      <c r="M127" s="387"/>
      <c r="N127" s="3036" t="str">
        <f>IF(COUNTIF($R$14:$R$38,M127),INDEX($S$14:$S$38,MATCH(M127,$R$14:$R158,0)),"")</f>
        <v/>
      </c>
      <c r="O127" s="3036"/>
      <c r="P127" s="3036"/>
      <c r="Q127" s="388"/>
      <c r="R127" s="390"/>
      <c r="S127" s="389"/>
      <c r="T127" s="169"/>
      <c r="U127" s="169"/>
      <c r="V127" s="169"/>
      <c r="W127" s="169"/>
    </row>
    <row r="128" spans="1:23" ht="12.75" hidden="1" customHeight="1">
      <c r="A128" s="384"/>
      <c r="B128" s="385"/>
      <c r="C128" s="3034"/>
      <c r="D128" s="3034"/>
      <c r="E128" s="395"/>
      <c r="F128" s="396"/>
      <c r="G128" s="1095"/>
      <c r="H128" s="3035"/>
      <c r="I128" s="3035"/>
      <c r="J128" s="3035"/>
      <c r="K128" s="3035"/>
      <c r="L128" s="3035"/>
      <c r="M128" s="387"/>
      <c r="N128" s="3036" t="str">
        <f>IF(COUNTIF($R$14:$R$38,M128),INDEX($S$14:$S$38,MATCH(M128,$R$14:$R159,0)),"")</f>
        <v/>
      </c>
      <c r="O128" s="3036"/>
      <c r="P128" s="3036"/>
      <c r="Q128" s="388"/>
      <c r="R128" s="390"/>
      <c r="S128" s="389"/>
      <c r="T128" s="169"/>
      <c r="U128" s="169"/>
      <c r="V128" s="169"/>
      <c r="W128" s="169"/>
    </row>
    <row r="129" spans="1:23" ht="12.75" hidden="1" customHeight="1">
      <c r="A129" s="384"/>
      <c r="B129" s="385"/>
      <c r="C129" s="3034"/>
      <c r="D129" s="3034"/>
      <c r="E129" s="395"/>
      <c r="F129" s="396"/>
      <c r="G129" s="1095"/>
      <c r="H129" s="3035"/>
      <c r="I129" s="3035"/>
      <c r="J129" s="3035"/>
      <c r="K129" s="3035"/>
      <c r="L129" s="3035"/>
      <c r="M129" s="387"/>
      <c r="N129" s="3036" t="str">
        <f>IF(COUNTIF($R$14:$R$38,M129),INDEX($S$14:$S$38,MATCH(M129,$R$14:$R160,0)),"")</f>
        <v/>
      </c>
      <c r="O129" s="3036"/>
      <c r="P129" s="3036"/>
      <c r="Q129" s="388"/>
      <c r="R129" s="390"/>
      <c r="S129" s="389"/>
      <c r="T129" s="169"/>
      <c r="U129" s="169"/>
      <c r="V129" s="169"/>
      <c r="W129" s="169"/>
    </row>
    <row r="130" spans="1:23" ht="12.75" hidden="1" customHeight="1">
      <c r="A130" s="384"/>
      <c r="B130" s="385"/>
      <c r="C130" s="3034"/>
      <c r="D130" s="3034"/>
      <c r="E130" s="395"/>
      <c r="F130" s="396"/>
      <c r="G130" s="1095"/>
      <c r="H130" s="3035"/>
      <c r="I130" s="3035"/>
      <c r="J130" s="3035"/>
      <c r="K130" s="3035"/>
      <c r="L130" s="3035"/>
      <c r="M130" s="387"/>
      <c r="N130" s="3036" t="str">
        <f>IF(COUNTIF($R$14:$R$38,M130),INDEX($S$14:$S$38,MATCH(M130,$R$14:$R161,0)),"")</f>
        <v/>
      </c>
      <c r="O130" s="3036"/>
      <c r="P130" s="3036"/>
      <c r="Q130" s="388"/>
      <c r="R130" s="390"/>
      <c r="S130" s="389"/>
      <c r="T130" s="169"/>
      <c r="U130" s="169"/>
      <c r="V130" s="169"/>
      <c r="W130" s="169"/>
    </row>
    <row r="131" spans="1:23" ht="12.75" hidden="1" customHeight="1">
      <c r="A131" s="384"/>
      <c r="B131" s="385"/>
      <c r="C131" s="3034"/>
      <c r="D131" s="3034"/>
      <c r="E131" s="395"/>
      <c r="F131" s="396"/>
      <c r="G131" s="1095"/>
      <c r="H131" s="3035"/>
      <c r="I131" s="3035"/>
      <c r="J131" s="3035"/>
      <c r="K131" s="3035"/>
      <c r="L131" s="3035"/>
      <c r="M131" s="387"/>
      <c r="N131" s="3036" t="str">
        <f>IF(COUNTIF($R$14:$R$38,M131),INDEX($S$14:$S$38,MATCH(M131,$R$14:$R162,0)),"")</f>
        <v/>
      </c>
      <c r="O131" s="3036"/>
      <c r="P131" s="3036"/>
      <c r="Q131" s="388"/>
      <c r="R131" s="390"/>
      <c r="S131" s="389"/>
      <c r="T131" s="169"/>
      <c r="U131" s="169"/>
      <c r="V131" s="169"/>
      <c r="W131" s="169"/>
    </row>
    <row r="132" spans="1:23" ht="12.75" hidden="1" customHeight="1">
      <c r="A132" s="384"/>
      <c r="B132" s="385"/>
      <c r="C132" s="3034"/>
      <c r="D132" s="3034"/>
      <c r="E132" s="395"/>
      <c r="F132" s="396"/>
      <c r="G132" s="1095"/>
      <c r="H132" s="3035"/>
      <c r="I132" s="3035"/>
      <c r="J132" s="3035"/>
      <c r="K132" s="3035"/>
      <c r="L132" s="3035"/>
      <c r="M132" s="387"/>
      <c r="N132" s="3036" t="str">
        <f>IF(COUNTIF($R$14:$R$38,M132),INDEX($S$14:$S$38,MATCH(M132,$R$14:$R163,0)),"")</f>
        <v/>
      </c>
      <c r="O132" s="3036"/>
      <c r="P132" s="3036"/>
      <c r="Q132" s="388"/>
      <c r="R132" s="390"/>
      <c r="S132" s="389"/>
      <c r="T132" s="169"/>
      <c r="U132" s="169"/>
      <c r="V132" s="169"/>
      <c r="W132" s="169"/>
    </row>
    <row r="133" spans="1:23" ht="12.75" hidden="1" customHeight="1">
      <c r="A133" s="384"/>
      <c r="B133" s="385"/>
      <c r="C133" s="3034"/>
      <c r="D133" s="3034"/>
      <c r="E133" s="395"/>
      <c r="F133" s="396"/>
      <c r="G133" s="1095"/>
      <c r="H133" s="3035"/>
      <c r="I133" s="3035"/>
      <c r="J133" s="3035"/>
      <c r="K133" s="3035"/>
      <c r="L133" s="3035"/>
      <c r="M133" s="387"/>
      <c r="N133" s="3036" t="str">
        <f>IF(COUNTIF($R$14:$R$38,M133),INDEX($S$14:$S$38,MATCH(M133,$R$14:$R164,0)),"")</f>
        <v/>
      </c>
      <c r="O133" s="3036"/>
      <c r="P133" s="3036"/>
      <c r="Q133" s="388"/>
      <c r="R133" s="390"/>
      <c r="S133" s="389"/>
      <c r="T133" s="169"/>
      <c r="U133" s="169"/>
      <c r="V133" s="169"/>
      <c r="W133" s="169"/>
    </row>
    <row r="134" spans="1:23" ht="12.75" hidden="1" customHeight="1">
      <c r="A134" s="384"/>
      <c r="B134" s="385"/>
      <c r="C134" s="3034"/>
      <c r="D134" s="3034"/>
      <c r="E134" s="395"/>
      <c r="F134" s="396"/>
      <c r="G134" s="1095"/>
      <c r="H134" s="3035"/>
      <c r="I134" s="3035"/>
      <c r="J134" s="3035"/>
      <c r="K134" s="3035"/>
      <c r="L134" s="3035"/>
      <c r="M134" s="387"/>
      <c r="N134" s="3036" t="str">
        <f>IF(COUNTIF($R$14:$R$38,M134),INDEX($S$14:$S$38,MATCH(M134,$R$14:$R165,0)),"")</f>
        <v/>
      </c>
      <c r="O134" s="3036"/>
      <c r="P134" s="3036"/>
      <c r="Q134" s="388"/>
      <c r="R134" s="390"/>
      <c r="S134" s="389"/>
      <c r="T134" s="169"/>
      <c r="U134" s="169"/>
      <c r="V134" s="169"/>
      <c r="W134" s="169"/>
    </row>
    <row r="135" spans="1:23" ht="12.75" hidden="1" customHeight="1">
      <c r="A135" s="384"/>
      <c r="B135" s="385"/>
      <c r="C135" s="3034"/>
      <c r="D135" s="3034"/>
      <c r="E135" s="395"/>
      <c r="F135" s="396"/>
      <c r="G135" s="1095"/>
      <c r="H135" s="3035"/>
      <c r="I135" s="3035"/>
      <c r="J135" s="3035"/>
      <c r="K135" s="3035"/>
      <c r="L135" s="3035"/>
      <c r="M135" s="387"/>
      <c r="N135" s="3036" t="str">
        <f>IF(COUNTIF($R$14:$R$38,M135),INDEX($S$14:$S$38,MATCH(M135,$R$14:$R166,0)),"")</f>
        <v/>
      </c>
      <c r="O135" s="3036"/>
      <c r="P135" s="3036"/>
      <c r="Q135" s="388"/>
      <c r="R135" s="390"/>
      <c r="S135" s="389"/>
      <c r="T135" s="169"/>
      <c r="U135" s="169"/>
      <c r="V135" s="169"/>
      <c r="W135" s="169"/>
    </row>
    <row r="136" spans="1:23" ht="12.75" hidden="1" customHeight="1">
      <c r="A136" s="384"/>
      <c r="B136" s="385"/>
      <c r="C136" s="3034"/>
      <c r="D136" s="3034"/>
      <c r="E136" s="395"/>
      <c r="F136" s="396"/>
      <c r="G136" s="1095"/>
      <c r="H136" s="3035"/>
      <c r="I136" s="3035"/>
      <c r="J136" s="3035"/>
      <c r="K136" s="3035"/>
      <c r="L136" s="3035"/>
      <c r="M136" s="387"/>
      <c r="N136" s="3036" t="str">
        <f>IF(COUNTIF($R$14:$R$38,M136),INDEX($S$14:$S$38,MATCH(M136,$R$14:$R167,0)),"")</f>
        <v/>
      </c>
      <c r="O136" s="3036"/>
      <c r="P136" s="3036"/>
      <c r="Q136" s="388"/>
      <c r="R136" s="390"/>
      <c r="S136" s="389"/>
      <c r="T136" s="169"/>
      <c r="U136" s="169"/>
      <c r="V136" s="169"/>
      <c r="W136" s="169"/>
    </row>
    <row r="137" spans="1:23" ht="12.75" hidden="1" customHeight="1">
      <c r="A137" s="384"/>
      <c r="B137" s="385"/>
      <c r="C137" s="3034"/>
      <c r="D137" s="3034"/>
      <c r="E137" s="395"/>
      <c r="F137" s="396"/>
      <c r="G137" s="1095"/>
      <c r="H137" s="3035"/>
      <c r="I137" s="3035"/>
      <c r="J137" s="3035"/>
      <c r="K137" s="3035"/>
      <c r="L137" s="3035"/>
      <c r="M137" s="387"/>
      <c r="N137" s="3036" t="str">
        <f>IF(COUNTIF($R$14:$R$38,M137),INDEX($S$14:$S$38,MATCH(M137,$R$14:$R168,0)),"")</f>
        <v/>
      </c>
      <c r="O137" s="3036"/>
      <c r="P137" s="3036"/>
      <c r="Q137" s="388"/>
      <c r="R137" s="390"/>
      <c r="S137" s="389"/>
      <c r="T137" s="169"/>
      <c r="U137" s="169"/>
      <c r="V137" s="169"/>
      <c r="W137" s="169"/>
    </row>
    <row r="138" spans="1:23" ht="12.75" hidden="1" customHeight="1">
      <c r="A138" s="384"/>
      <c r="B138" s="385"/>
      <c r="C138" s="3034"/>
      <c r="D138" s="3034"/>
      <c r="E138" s="395"/>
      <c r="F138" s="396"/>
      <c r="G138" s="1095"/>
      <c r="H138" s="3035"/>
      <c r="I138" s="3035"/>
      <c r="J138" s="3035"/>
      <c r="K138" s="3035"/>
      <c r="L138" s="3035"/>
      <c r="M138" s="387"/>
      <c r="N138" s="3036" t="str">
        <f>IF(COUNTIF($R$14:$R$38,M138),INDEX($S$14:$S$38,MATCH(M138,$R$14:$R169,0)),"")</f>
        <v/>
      </c>
      <c r="O138" s="3036"/>
      <c r="P138" s="3036"/>
      <c r="Q138" s="388"/>
      <c r="R138" s="390"/>
      <c r="S138" s="389"/>
      <c r="T138" s="169"/>
      <c r="U138" s="169"/>
      <c r="V138" s="169"/>
      <c r="W138" s="169"/>
    </row>
    <row r="139" spans="1:23" ht="12.75" hidden="1" customHeight="1">
      <c r="A139" s="384"/>
      <c r="B139" s="385"/>
      <c r="C139" s="3034"/>
      <c r="D139" s="3034"/>
      <c r="E139" s="395"/>
      <c r="F139" s="396"/>
      <c r="G139" s="1095"/>
      <c r="H139" s="3035"/>
      <c r="I139" s="3035"/>
      <c r="J139" s="3035"/>
      <c r="K139" s="3035"/>
      <c r="L139" s="3035"/>
      <c r="M139" s="387"/>
      <c r="N139" s="3036" t="str">
        <f>IF(COUNTIF($R$14:$R$38,M139),INDEX($S$14:$S$38,MATCH(M139,$R$14:$R170,0)),"")</f>
        <v/>
      </c>
      <c r="O139" s="3036"/>
      <c r="P139" s="3036"/>
      <c r="Q139" s="388"/>
      <c r="R139" s="390"/>
      <c r="S139" s="389"/>
      <c r="T139" s="169"/>
      <c r="U139" s="169"/>
      <c r="V139" s="169"/>
      <c r="W139" s="169"/>
    </row>
    <row r="140" spans="1:23" ht="12.75" hidden="1" customHeight="1">
      <c r="A140" s="384"/>
      <c r="B140" s="385"/>
      <c r="C140" s="3034"/>
      <c r="D140" s="3034"/>
      <c r="E140" s="395"/>
      <c r="F140" s="396"/>
      <c r="G140" s="1095"/>
      <c r="H140" s="3035"/>
      <c r="I140" s="3035"/>
      <c r="J140" s="3035"/>
      <c r="K140" s="3035"/>
      <c r="L140" s="3035"/>
      <c r="M140" s="387"/>
      <c r="N140" s="3036" t="str">
        <f>IF(COUNTIF($R$14:$R$38,M140),INDEX($S$14:$S$38,MATCH(M140,$R$14:$R171,0)),"")</f>
        <v/>
      </c>
      <c r="O140" s="3036"/>
      <c r="P140" s="3036"/>
      <c r="Q140" s="388"/>
      <c r="R140" s="390"/>
      <c r="S140" s="389"/>
      <c r="T140" s="169"/>
      <c r="U140" s="169"/>
      <c r="V140" s="169"/>
      <c r="W140" s="169"/>
    </row>
    <row r="141" spans="1:23" ht="12.75" hidden="1" customHeight="1">
      <c r="A141" s="384"/>
      <c r="B141" s="385"/>
      <c r="C141" s="3034"/>
      <c r="D141" s="3034"/>
      <c r="E141" s="395"/>
      <c r="F141" s="396"/>
      <c r="G141" s="1095"/>
      <c r="H141" s="3035"/>
      <c r="I141" s="3035"/>
      <c r="J141" s="3035"/>
      <c r="K141" s="3035"/>
      <c r="L141" s="3035"/>
      <c r="M141" s="387"/>
      <c r="N141" s="3036" t="str">
        <f>IF(COUNTIF($R$14:$R$38,M141),INDEX($S$14:$S$38,MATCH(M141,$R$14:$R172,0)),"")</f>
        <v/>
      </c>
      <c r="O141" s="3036"/>
      <c r="P141" s="3036"/>
      <c r="Q141" s="388"/>
      <c r="R141" s="390"/>
      <c r="S141" s="389"/>
      <c r="T141" s="169"/>
      <c r="U141" s="169"/>
      <c r="V141" s="169"/>
      <c r="W141" s="169"/>
    </row>
    <row r="142" spans="1:23" ht="12.75" hidden="1" customHeight="1">
      <c r="A142" s="384"/>
      <c r="B142" s="385"/>
      <c r="C142" s="3034"/>
      <c r="D142" s="3034"/>
      <c r="E142" s="395"/>
      <c r="F142" s="396"/>
      <c r="G142" s="1095"/>
      <c r="H142" s="3035"/>
      <c r="I142" s="3035"/>
      <c r="J142" s="3035"/>
      <c r="K142" s="3035"/>
      <c r="L142" s="3035"/>
      <c r="M142" s="387"/>
      <c r="N142" s="3036" t="str">
        <f>IF(COUNTIF($R$14:$R$38,M142),INDEX($S$14:$S$38,MATCH(M142,$R$14:$R173,0)),"")</f>
        <v/>
      </c>
      <c r="O142" s="3036"/>
      <c r="P142" s="3036"/>
      <c r="Q142" s="388"/>
      <c r="R142" s="390"/>
      <c r="S142" s="389"/>
      <c r="T142" s="169"/>
      <c r="U142" s="169"/>
      <c r="V142" s="169"/>
      <c r="W142" s="169"/>
    </row>
    <row r="143" spans="1:23" ht="12.75" hidden="1" customHeight="1">
      <c r="A143" s="384"/>
      <c r="B143" s="385"/>
      <c r="C143" s="3034"/>
      <c r="D143" s="3034"/>
      <c r="E143" s="395"/>
      <c r="F143" s="396"/>
      <c r="G143" s="1095"/>
      <c r="H143" s="3035"/>
      <c r="I143" s="3035"/>
      <c r="J143" s="3035"/>
      <c r="K143" s="3035"/>
      <c r="L143" s="3035"/>
      <c r="M143" s="387"/>
      <c r="N143" s="3036" t="str">
        <f>IF(COUNTIF($R$14:$R$38,M143),INDEX($S$14:$S$38,MATCH(M143,$R$14:$R174,0)),"")</f>
        <v/>
      </c>
      <c r="O143" s="3036"/>
      <c r="P143" s="3036"/>
      <c r="Q143" s="388"/>
      <c r="R143" s="390"/>
      <c r="S143" s="389"/>
      <c r="T143" s="169"/>
      <c r="U143" s="169"/>
      <c r="V143" s="169"/>
      <c r="W143" s="169"/>
    </row>
    <row r="144" spans="1:23" ht="12.75" hidden="1" customHeight="1">
      <c r="A144" s="384"/>
      <c r="B144" s="385"/>
      <c r="C144" s="3034"/>
      <c r="D144" s="3034"/>
      <c r="E144" s="395"/>
      <c r="F144" s="396"/>
      <c r="G144" s="1095"/>
      <c r="H144" s="3035"/>
      <c r="I144" s="3035"/>
      <c r="J144" s="3035"/>
      <c r="K144" s="3035"/>
      <c r="L144" s="3035"/>
      <c r="M144" s="387"/>
      <c r="N144" s="3036" t="str">
        <f>IF(COUNTIF($R$14:$R$38,M144),INDEX($S$14:$S$38,MATCH(M144,$R$14:$R175,0)),"")</f>
        <v/>
      </c>
      <c r="O144" s="3036"/>
      <c r="P144" s="3036"/>
      <c r="Q144" s="388"/>
      <c r="R144" s="390"/>
      <c r="S144" s="389"/>
      <c r="T144" s="169"/>
      <c r="U144" s="169"/>
      <c r="V144" s="169"/>
      <c r="W144" s="169"/>
    </row>
    <row r="145" spans="1:23" ht="12.75" hidden="1" customHeight="1">
      <c r="A145" s="384"/>
      <c r="B145" s="385"/>
      <c r="C145" s="3034"/>
      <c r="D145" s="3034"/>
      <c r="E145" s="395"/>
      <c r="F145" s="396"/>
      <c r="G145" s="1095"/>
      <c r="H145" s="3035"/>
      <c r="I145" s="3035"/>
      <c r="J145" s="3035"/>
      <c r="K145" s="3035"/>
      <c r="L145" s="3035"/>
      <c r="M145" s="387"/>
      <c r="N145" s="3036" t="str">
        <f>IF(COUNTIF($R$14:$R$38,M145),INDEX($S$14:$S$38,MATCH(M145,$R$14:$R176,0)),"")</f>
        <v/>
      </c>
      <c r="O145" s="3036"/>
      <c r="P145" s="3036"/>
      <c r="Q145" s="388"/>
      <c r="R145" s="390"/>
      <c r="S145" s="389"/>
      <c r="T145" s="169"/>
      <c r="U145" s="169"/>
      <c r="V145" s="169"/>
      <c r="W145" s="169"/>
    </row>
    <row r="146" spans="1:23" ht="12.75" hidden="1" customHeight="1">
      <c r="A146" s="384"/>
      <c r="B146" s="385"/>
      <c r="C146" s="3034"/>
      <c r="D146" s="3034"/>
      <c r="E146" s="395"/>
      <c r="F146" s="396"/>
      <c r="G146" s="1095"/>
      <c r="H146" s="3035"/>
      <c r="I146" s="3035"/>
      <c r="J146" s="3035"/>
      <c r="K146" s="3035"/>
      <c r="L146" s="3035"/>
      <c r="M146" s="387"/>
      <c r="N146" s="3036" t="str">
        <f>IF(COUNTIF($R$14:$R$38,M146),INDEX($S$14:$S$38,MATCH(M146,$R$14:$R177,0)),"")</f>
        <v/>
      </c>
      <c r="O146" s="3036"/>
      <c r="P146" s="3036"/>
      <c r="Q146" s="388"/>
      <c r="R146" s="390"/>
      <c r="S146" s="389"/>
      <c r="T146" s="169"/>
      <c r="U146" s="169"/>
      <c r="V146" s="169"/>
      <c r="W146" s="169"/>
    </row>
    <row r="147" spans="1:23" ht="12.75" hidden="1" customHeight="1">
      <c r="A147" s="384"/>
      <c r="B147" s="385"/>
      <c r="C147" s="3034"/>
      <c r="D147" s="3034"/>
      <c r="E147" s="395"/>
      <c r="F147" s="396"/>
      <c r="G147" s="1095"/>
      <c r="H147" s="3035"/>
      <c r="I147" s="3035"/>
      <c r="J147" s="3035"/>
      <c r="K147" s="3035"/>
      <c r="L147" s="3035"/>
      <c r="M147" s="387"/>
      <c r="N147" s="3036" t="str">
        <f>IF(COUNTIF($R$14:$R$38,M147),INDEX($S$14:$S$38,MATCH(M147,$R$14:$R178,0)),"")</f>
        <v/>
      </c>
      <c r="O147" s="3036"/>
      <c r="P147" s="3036"/>
      <c r="Q147" s="388"/>
      <c r="R147" s="390"/>
      <c r="S147" s="389"/>
      <c r="T147" s="169"/>
      <c r="U147" s="169"/>
      <c r="V147" s="169"/>
      <c r="W147" s="169"/>
    </row>
    <row r="148" spans="1:23" ht="12.75" hidden="1" customHeight="1">
      <c r="A148" s="384"/>
      <c r="B148" s="385"/>
      <c r="C148" s="3034"/>
      <c r="D148" s="3034"/>
      <c r="E148" s="395"/>
      <c r="F148" s="396"/>
      <c r="G148" s="1095"/>
      <c r="H148" s="3035"/>
      <c r="I148" s="3035"/>
      <c r="J148" s="3035"/>
      <c r="K148" s="3035"/>
      <c r="L148" s="3035"/>
      <c r="M148" s="387"/>
      <c r="N148" s="3036" t="str">
        <f>IF(COUNTIF($R$14:$R$38,M148),INDEX($S$14:$S$38,MATCH(M148,$R$14:$R179,0)),"")</f>
        <v/>
      </c>
      <c r="O148" s="3036"/>
      <c r="P148" s="3036"/>
      <c r="Q148" s="388"/>
      <c r="R148" s="390"/>
      <c r="S148" s="389"/>
      <c r="T148" s="169"/>
      <c r="U148" s="169"/>
      <c r="V148" s="169"/>
      <c r="W148" s="169"/>
    </row>
    <row r="149" spans="1:23" ht="12.75" hidden="1" customHeight="1">
      <c r="A149" s="384"/>
      <c r="B149" s="385"/>
      <c r="C149" s="3034"/>
      <c r="D149" s="3034"/>
      <c r="E149" s="395"/>
      <c r="F149" s="396"/>
      <c r="G149" s="1095"/>
      <c r="H149" s="3035"/>
      <c r="I149" s="3035"/>
      <c r="J149" s="3035"/>
      <c r="K149" s="3035"/>
      <c r="L149" s="3035"/>
      <c r="M149" s="387"/>
      <c r="N149" s="3036" t="str">
        <f>IF(COUNTIF($R$14:$R$38,M149),INDEX($S$14:$S$38,MATCH(M149,$R$14:$R180,0)),"")</f>
        <v/>
      </c>
      <c r="O149" s="3036"/>
      <c r="P149" s="3036"/>
      <c r="Q149" s="388"/>
      <c r="R149" s="390"/>
      <c r="S149" s="389"/>
      <c r="T149" s="169"/>
      <c r="U149" s="169"/>
      <c r="V149" s="169"/>
      <c r="W149" s="169"/>
    </row>
    <row r="150" spans="1:23" ht="12.75" hidden="1" customHeight="1">
      <c r="A150" s="384"/>
      <c r="B150" s="385"/>
      <c r="C150" s="3034"/>
      <c r="D150" s="3034"/>
      <c r="E150" s="395"/>
      <c r="F150" s="396"/>
      <c r="G150" s="1095"/>
      <c r="H150" s="3035"/>
      <c r="I150" s="3035"/>
      <c r="J150" s="3035"/>
      <c r="K150" s="3035"/>
      <c r="L150" s="3035"/>
      <c r="M150" s="387"/>
      <c r="N150" s="3036" t="str">
        <f>IF(COUNTIF($R$14:$R$38,M150),INDEX($S$14:$S$38,MATCH(M150,$R$14:$R181,0)),"")</f>
        <v/>
      </c>
      <c r="O150" s="3036"/>
      <c r="P150" s="3036"/>
      <c r="Q150" s="388"/>
      <c r="R150" s="390"/>
      <c r="S150" s="389"/>
      <c r="T150" s="169"/>
      <c r="U150" s="169"/>
      <c r="V150" s="169"/>
      <c r="W150" s="169"/>
    </row>
    <row r="151" spans="1:23" ht="12.75" hidden="1" customHeight="1">
      <c r="A151" s="384"/>
      <c r="B151" s="385"/>
      <c r="C151" s="3034"/>
      <c r="D151" s="3034"/>
      <c r="E151" s="395"/>
      <c r="F151" s="396"/>
      <c r="G151" s="1095"/>
      <c r="H151" s="3035"/>
      <c r="I151" s="3035"/>
      <c r="J151" s="3035"/>
      <c r="K151" s="3035"/>
      <c r="L151" s="3035"/>
      <c r="M151" s="387"/>
      <c r="N151" s="3036" t="str">
        <f>IF(COUNTIF($R$14:$R$38,M151),INDEX($S$14:$S$38,MATCH(M151,$R$14:$R182,0)),"")</f>
        <v/>
      </c>
      <c r="O151" s="3036"/>
      <c r="P151" s="3036"/>
      <c r="Q151" s="388"/>
      <c r="R151" s="390"/>
      <c r="S151" s="389"/>
      <c r="T151" s="169"/>
      <c r="U151" s="169"/>
      <c r="V151" s="169"/>
      <c r="W151" s="169"/>
    </row>
    <row r="152" spans="1:23" ht="12.75" hidden="1" customHeight="1">
      <c r="A152" s="384"/>
      <c r="B152" s="385"/>
      <c r="C152" s="3034"/>
      <c r="D152" s="3034"/>
      <c r="E152" s="395"/>
      <c r="F152" s="396"/>
      <c r="G152" s="1095"/>
      <c r="H152" s="3035"/>
      <c r="I152" s="3035"/>
      <c r="J152" s="3035"/>
      <c r="K152" s="3035"/>
      <c r="L152" s="3035"/>
      <c r="M152" s="387"/>
      <c r="N152" s="3036" t="str">
        <f>IF(COUNTIF($R$14:$R$38,M152),INDEX($S$14:$S$38,MATCH(M152,$R$14:$R183,0)),"")</f>
        <v/>
      </c>
      <c r="O152" s="3036"/>
      <c r="P152" s="3036"/>
      <c r="Q152" s="388"/>
      <c r="R152" s="390"/>
      <c r="S152" s="389"/>
      <c r="T152" s="169"/>
      <c r="U152" s="169"/>
      <c r="V152" s="169"/>
      <c r="W152" s="169"/>
    </row>
    <row r="153" spans="1:23" ht="12.75" hidden="1" customHeight="1">
      <c r="A153" s="384"/>
      <c r="B153" s="385"/>
      <c r="C153" s="3034"/>
      <c r="D153" s="3034"/>
      <c r="E153" s="395"/>
      <c r="F153" s="396"/>
      <c r="G153" s="1095"/>
      <c r="H153" s="3035"/>
      <c r="I153" s="3035"/>
      <c r="J153" s="3035"/>
      <c r="K153" s="3035"/>
      <c r="L153" s="3035"/>
      <c r="M153" s="387"/>
      <c r="N153" s="3036" t="str">
        <f>IF(COUNTIF($R$14:$R$38,M153),INDEX($S$14:$S$38,MATCH(M153,$R$14:$R184,0)),"")</f>
        <v/>
      </c>
      <c r="O153" s="3036"/>
      <c r="P153" s="3036"/>
      <c r="Q153" s="388"/>
      <c r="R153" s="390"/>
      <c r="S153" s="389"/>
      <c r="T153" s="169"/>
      <c r="U153" s="169"/>
      <c r="V153" s="169"/>
      <c r="W153" s="169"/>
    </row>
    <row r="154" spans="1:23" ht="12.75" hidden="1" customHeight="1">
      <c r="A154" s="384"/>
      <c r="B154" s="385"/>
      <c r="C154" s="3034"/>
      <c r="D154" s="3034"/>
      <c r="E154" s="395"/>
      <c r="F154" s="396"/>
      <c r="G154" s="1095"/>
      <c r="H154" s="3035"/>
      <c r="I154" s="3035"/>
      <c r="J154" s="3035"/>
      <c r="K154" s="3035"/>
      <c r="L154" s="3035"/>
      <c r="M154" s="387"/>
      <c r="N154" s="3036" t="str">
        <f>IF(COUNTIF($R$14:$R$38,M154),INDEX($S$14:$S$38,MATCH(M154,$R$14:$R185,0)),"")</f>
        <v/>
      </c>
      <c r="O154" s="3036"/>
      <c r="P154" s="3036"/>
      <c r="Q154" s="388"/>
      <c r="R154" s="390"/>
      <c r="S154" s="389"/>
      <c r="T154" s="169"/>
      <c r="U154" s="169"/>
      <c r="V154" s="169"/>
      <c r="W154" s="169"/>
    </row>
    <row r="155" spans="1:23" ht="12.75" hidden="1" customHeight="1">
      <c r="A155" s="384"/>
      <c r="B155" s="385"/>
      <c r="C155" s="3034"/>
      <c r="D155" s="3034"/>
      <c r="E155" s="395"/>
      <c r="F155" s="396"/>
      <c r="G155" s="1095"/>
      <c r="H155" s="3035"/>
      <c r="I155" s="3035"/>
      <c r="J155" s="3035"/>
      <c r="K155" s="3035"/>
      <c r="L155" s="3035"/>
      <c r="M155" s="387"/>
      <c r="N155" s="3036" t="str">
        <f>IF(COUNTIF($R$14:$R$38,M155),INDEX($S$14:$S$38,MATCH(M155,$R$14:$R186,0)),"")</f>
        <v/>
      </c>
      <c r="O155" s="3036"/>
      <c r="P155" s="3036"/>
      <c r="Q155" s="388"/>
      <c r="R155" s="390"/>
      <c r="S155" s="389"/>
      <c r="T155" s="169"/>
      <c r="U155" s="169"/>
      <c r="V155" s="169"/>
      <c r="W155" s="169"/>
    </row>
    <row r="156" spans="1:23" ht="12.75" hidden="1" customHeight="1">
      <c r="A156" s="384"/>
      <c r="B156" s="385"/>
      <c r="C156" s="3034"/>
      <c r="D156" s="3034"/>
      <c r="E156" s="395"/>
      <c r="F156" s="396"/>
      <c r="G156" s="1095"/>
      <c r="H156" s="3035"/>
      <c r="I156" s="3035"/>
      <c r="J156" s="3035"/>
      <c r="K156" s="3035"/>
      <c r="L156" s="3035"/>
      <c r="M156" s="387"/>
      <c r="N156" s="3036" t="str">
        <f>IF(COUNTIF($R$14:$R$38,M156),INDEX($S$14:$S$38,MATCH(M156,$R$14:$R187,0)),"")</f>
        <v/>
      </c>
      <c r="O156" s="3036"/>
      <c r="P156" s="3036"/>
      <c r="Q156" s="388"/>
      <c r="R156" s="390"/>
      <c r="S156" s="389"/>
      <c r="T156" s="169"/>
      <c r="U156" s="169"/>
      <c r="V156" s="169"/>
      <c r="W156" s="169"/>
    </row>
    <row r="157" spans="1:23" ht="12.75" hidden="1" customHeight="1">
      <c r="A157" s="384"/>
      <c r="B157" s="385"/>
      <c r="C157" s="3034"/>
      <c r="D157" s="3034"/>
      <c r="E157" s="395"/>
      <c r="F157" s="396"/>
      <c r="G157" s="1095"/>
      <c r="H157" s="3035"/>
      <c r="I157" s="3035"/>
      <c r="J157" s="3035"/>
      <c r="K157" s="3035"/>
      <c r="L157" s="3035"/>
      <c r="M157" s="387"/>
      <c r="N157" s="3036" t="str">
        <f>IF(COUNTIF($R$14:$R$38,M157),INDEX($S$14:$S$38,MATCH(M157,$R$14:$R188,0)),"")</f>
        <v/>
      </c>
      <c r="O157" s="3036"/>
      <c r="P157" s="3036"/>
      <c r="Q157" s="388"/>
      <c r="R157" s="390"/>
      <c r="S157" s="389"/>
      <c r="T157" s="169"/>
      <c r="U157" s="169"/>
      <c r="V157" s="169"/>
      <c r="W157" s="169"/>
    </row>
    <row r="158" spans="1:23" ht="12.75" hidden="1" customHeight="1">
      <c r="A158" s="384"/>
      <c r="B158" s="385"/>
      <c r="C158" s="3034"/>
      <c r="D158" s="3034"/>
      <c r="E158" s="395"/>
      <c r="F158" s="396"/>
      <c r="G158" s="1095"/>
      <c r="H158" s="3035"/>
      <c r="I158" s="3035"/>
      <c r="J158" s="3035"/>
      <c r="K158" s="3035"/>
      <c r="L158" s="3035"/>
      <c r="M158" s="387"/>
      <c r="N158" s="3036" t="str">
        <f>IF(COUNTIF($R$14:$R$38,M158),INDEX($S$14:$S$38,MATCH(M158,$R$14:$R189,0)),"")</f>
        <v/>
      </c>
      <c r="O158" s="3036"/>
      <c r="P158" s="3036"/>
      <c r="Q158" s="388"/>
      <c r="R158" s="390"/>
      <c r="S158" s="389"/>
      <c r="T158" s="169"/>
      <c r="U158" s="169"/>
      <c r="V158" s="169"/>
      <c r="W158" s="169"/>
    </row>
    <row r="159" spans="1:23" ht="12.75" hidden="1" customHeight="1">
      <c r="A159" s="384"/>
      <c r="B159" s="385"/>
      <c r="C159" s="3034"/>
      <c r="D159" s="3034"/>
      <c r="E159" s="395"/>
      <c r="F159" s="396"/>
      <c r="G159" s="1095"/>
      <c r="H159" s="3035"/>
      <c r="I159" s="3035"/>
      <c r="J159" s="3035"/>
      <c r="K159" s="3035"/>
      <c r="L159" s="3035"/>
      <c r="M159" s="387"/>
      <c r="N159" s="3036" t="str">
        <f>IF(COUNTIF($R$14:$R$38,M159),INDEX($S$14:$S$38,MATCH(M159,$R$14:$R190,0)),"")</f>
        <v/>
      </c>
      <c r="O159" s="3036"/>
      <c r="P159" s="3036"/>
      <c r="Q159" s="388"/>
      <c r="R159" s="390"/>
      <c r="S159" s="389"/>
      <c r="T159" s="169"/>
      <c r="U159" s="169"/>
      <c r="V159" s="169"/>
      <c r="W159" s="169"/>
    </row>
    <row r="160" spans="1:23" ht="12.75" hidden="1" customHeight="1">
      <c r="A160" s="384"/>
      <c r="B160" s="385"/>
      <c r="C160" s="3034"/>
      <c r="D160" s="3034"/>
      <c r="E160" s="395"/>
      <c r="F160" s="396"/>
      <c r="G160" s="1095"/>
      <c r="H160" s="3035"/>
      <c r="I160" s="3035"/>
      <c r="J160" s="3035"/>
      <c r="K160" s="3035"/>
      <c r="L160" s="3035"/>
      <c r="M160" s="387"/>
      <c r="N160" s="3036" t="str">
        <f>IF(COUNTIF($R$14:$R$38,M160),INDEX($S$14:$S$38,MATCH(M160,$R$14:$R191,0)),"")</f>
        <v/>
      </c>
      <c r="O160" s="3036"/>
      <c r="P160" s="3036"/>
      <c r="Q160" s="388"/>
      <c r="R160" s="390"/>
      <c r="S160" s="389"/>
      <c r="T160" s="169"/>
      <c r="U160" s="169"/>
      <c r="V160" s="169"/>
      <c r="W160" s="169"/>
    </row>
    <row r="161" spans="1:23" ht="12.75" hidden="1" customHeight="1">
      <c r="A161" s="384"/>
      <c r="B161" s="385"/>
      <c r="C161" s="3034"/>
      <c r="D161" s="3034"/>
      <c r="E161" s="395"/>
      <c r="F161" s="396"/>
      <c r="G161" s="1095"/>
      <c r="H161" s="3035"/>
      <c r="I161" s="3035"/>
      <c r="J161" s="3035"/>
      <c r="K161" s="3035"/>
      <c r="L161" s="3035"/>
      <c r="M161" s="387"/>
      <c r="N161" s="3036" t="str">
        <f>IF(COUNTIF($R$14:$R$38,M161),INDEX($S$14:$S$38,MATCH(M161,$R$14:$R192,0)),"")</f>
        <v/>
      </c>
      <c r="O161" s="3036"/>
      <c r="P161" s="3036"/>
      <c r="Q161" s="388"/>
      <c r="R161" s="390"/>
      <c r="S161" s="389"/>
      <c r="T161" s="169"/>
      <c r="U161" s="169"/>
      <c r="V161" s="169"/>
      <c r="W161" s="169"/>
    </row>
    <row r="162" spans="1:23" ht="12.75" hidden="1" customHeight="1">
      <c r="A162" s="384"/>
      <c r="B162" s="385"/>
      <c r="C162" s="3034"/>
      <c r="D162" s="3034"/>
      <c r="E162" s="395"/>
      <c r="F162" s="396"/>
      <c r="G162" s="1095"/>
      <c r="H162" s="3035"/>
      <c r="I162" s="3035"/>
      <c r="J162" s="3035"/>
      <c r="K162" s="3035"/>
      <c r="L162" s="3035"/>
      <c r="M162" s="387"/>
      <c r="N162" s="3036" t="str">
        <f>IF(COUNTIF($R$14:$R$38,M162),INDEX($S$14:$S$38,MATCH(M162,$R$14:$R193,0)),"")</f>
        <v/>
      </c>
      <c r="O162" s="3036"/>
      <c r="P162" s="3036"/>
      <c r="Q162" s="388"/>
      <c r="R162" s="390"/>
      <c r="S162" s="389"/>
      <c r="T162" s="169"/>
      <c r="U162" s="169"/>
      <c r="V162" s="169"/>
      <c r="W162" s="169"/>
    </row>
    <row r="163" spans="1:23" ht="12.75" hidden="1" customHeight="1">
      <c r="A163" s="384"/>
      <c r="B163" s="385"/>
      <c r="C163" s="3034"/>
      <c r="D163" s="3034"/>
      <c r="E163" s="395"/>
      <c r="F163" s="396"/>
      <c r="G163" s="1095"/>
      <c r="H163" s="3035"/>
      <c r="I163" s="3035"/>
      <c r="J163" s="3035"/>
      <c r="K163" s="3035"/>
      <c r="L163" s="3035"/>
      <c r="M163" s="387"/>
      <c r="N163" s="3036" t="str">
        <f>IF(COUNTIF($R$14:$R$38,M163),INDEX($S$14:$S$38,MATCH(M163,$R$14:$R194,0)),"")</f>
        <v/>
      </c>
      <c r="O163" s="3036"/>
      <c r="P163" s="3036"/>
      <c r="Q163" s="388"/>
      <c r="R163" s="390"/>
      <c r="S163" s="389"/>
      <c r="T163" s="169"/>
      <c r="U163" s="169"/>
      <c r="V163" s="169"/>
      <c r="W163" s="169"/>
    </row>
    <row r="164" spans="1:23" ht="12.75" hidden="1" customHeight="1">
      <c r="A164" s="384"/>
      <c r="B164" s="385"/>
      <c r="C164" s="3034"/>
      <c r="D164" s="3034"/>
      <c r="E164" s="395"/>
      <c r="F164" s="396"/>
      <c r="G164" s="1095"/>
      <c r="H164" s="3035"/>
      <c r="I164" s="3035"/>
      <c r="J164" s="3035"/>
      <c r="K164" s="3035"/>
      <c r="L164" s="3035"/>
      <c r="M164" s="387"/>
      <c r="N164" s="3036" t="str">
        <f>IF(COUNTIF($R$14:$R$38,M164),INDEX($S$14:$S$38,MATCH(M164,$R$14:$R195,0)),"")</f>
        <v/>
      </c>
      <c r="O164" s="3036"/>
      <c r="P164" s="3036"/>
      <c r="Q164" s="388"/>
      <c r="R164" s="390"/>
      <c r="S164" s="389"/>
      <c r="T164" s="169"/>
      <c r="U164" s="169"/>
      <c r="V164" s="169"/>
      <c r="W164" s="169"/>
    </row>
    <row r="165" spans="1:23" ht="12.75" hidden="1" customHeight="1">
      <c r="A165" s="384"/>
      <c r="B165" s="385"/>
      <c r="C165" s="3034"/>
      <c r="D165" s="3034"/>
      <c r="E165" s="395"/>
      <c r="F165" s="396"/>
      <c r="G165" s="1095"/>
      <c r="H165" s="3035"/>
      <c r="I165" s="3035"/>
      <c r="J165" s="3035"/>
      <c r="K165" s="3035"/>
      <c r="L165" s="3035"/>
      <c r="M165" s="387"/>
      <c r="N165" s="3036" t="str">
        <f>IF(COUNTIF($R$14:$R$38,M165),INDEX($S$14:$S$38,MATCH(M165,$R$14:$R196,0)),"")</f>
        <v/>
      </c>
      <c r="O165" s="3036"/>
      <c r="P165" s="3036"/>
      <c r="Q165" s="388"/>
      <c r="R165" s="390"/>
      <c r="S165" s="389"/>
      <c r="T165" s="169"/>
      <c r="U165" s="169"/>
      <c r="V165" s="169"/>
      <c r="W165" s="169"/>
    </row>
    <row r="166" spans="1:23" ht="12.75" hidden="1" customHeight="1">
      <c r="A166" s="384"/>
      <c r="B166" s="385"/>
      <c r="C166" s="3034"/>
      <c r="D166" s="3034"/>
      <c r="E166" s="395"/>
      <c r="F166" s="396"/>
      <c r="G166" s="1095"/>
      <c r="H166" s="3035"/>
      <c r="I166" s="3035"/>
      <c r="J166" s="3035"/>
      <c r="K166" s="3035"/>
      <c r="L166" s="3035"/>
      <c r="M166" s="387"/>
      <c r="N166" s="3036" t="str">
        <f>IF(COUNTIF($R$14:$R$38,M166),INDEX($S$14:$S$38,MATCH(M166,$R$14:$R197,0)),"")</f>
        <v/>
      </c>
      <c r="O166" s="3036"/>
      <c r="P166" s="3036"/>
      <c r="Q166" s="388"/>
      <c r="R166" s="390"/>
      <c r="S166" s="389"/>
      <c r="T166" s="169"/>
      <c r="U166" s="169"/>
      <c r="V166" s="169"/>
      <c r="W166" s="169"/>
    </row>
    <row r="167" spans="1:23" ht="12.75" hidden="1" customHeight="1">
      <c r="A167" s="384"/>
      <c r="B167" s="385"/>
      <c r="C167" s="3034"/>
      <c r="D167" s="3034"/>
      <c r="E167" s="395"/>
      <c r="F167" s="396"/>
      <c r="G167" s="1095"/>
      <c r="H167" s="3035"/>
      <c r="I167" s="3035"/>
      <c r="J167" s="3035"/>
      <c r="K167" s="3035"/>
      <c r="L167" s="3035"/>
      <c r="M167" s="387"/>
      <c r="N167" s="3036" t="str">
        <f>IF(COUNTIF($R$14:$R$38,M167),INDEX($S$14:$S$38,MATCH(M167,$R$14:$R198,0)),"")</f>
        <v/>
      </c>
      <c r="O167" s="3036"/>
      <c r="P167" s="3036"/>
      <c r="Q167" s="388"/>
      <c r="R167" s="390"/>
      <c r="S167" s="389"/>
      <c r="T167" s="169"/>
      <c r="U167" s="169"/>
      <c r="V167" s="169"/>
      <c r="W167" s="169"/>
    </row>
    <row r="168" spans="1:23" ht="12.75" hidden="1" customHeight="1">
      <c r="A168" s="384"/>
      <c r="B168" s="385"/>
      <c r="C168" s="3034"/>
      <c r="D168" s="3034"/>
      <c r="E168" s="395"/>
      <c r="F168" s="396"/>
      <c r="G168" s="1095"/>
      <c r="H168" s="3035"/>
      <c r="I168" s="3035"/>
      <c r="J168" s="3035"/>
      <c r="K168" s="3035"/>
      <c r="L168" s="3035"/>
      <c r="M168" s="387"/>
      <c r="N168" s="3036" t="str">
        <f>IF(COUNTIF($R$14:$R$38,M168),INDEX($S$14:$S$38,MATCH(M168,$R$14:$R199,0)),"")</f>
        <v/>
      </c>
      <c r="O168" s="3036"/>
      <c r="P168" s="3036"/>
      <c r="Q168" s="388"/>
      <c r="R168" s="390"/>
      <c r="S168" s="389"/>
      <c r="T168" s="169"/>
      <c r="U168" s="169"/>
      <c r="V168" s="169"/>
      <c r="W168" s="169"/>
    </row>
    <row r="169" spans="1:23" ht="12.75" hidden="1" customHeight="1">
      <c r="A169" s="384"/>
      <c r="B169" s="385"/>
      <c r="C169" s="3034"/>
      <c r="D169" s="3034"/>
      <c r="E169" s="395"/>
      <c r="F169" s="396"/>
      <c r="G169" s="1095"/>
      <c r="H169" s="3035"/>
      <c r="I169" s="3035"/>
      <c r="J169" s="3035"/>
      <c r="K169" s="3035"/>
      <c r="L169" s="3035"/>
      <c r="M169" s="387"/>
      <c r="N169" s="3036" t="str">
        <f>IF(COUNTIF($R$14:$R$38,M169),INDEX($S$14:$S$38,MATCH(M169,$R$14:$R200,0)),"")</f>
        <v/>
      </c>
      <c r="O169" s="3036"/>
      <c r="P169" s="3036"/>
      <c r="Q169" s="388"/>
      <c r="R169" s="390"/>
      <c r="S169" s="389"/>
      <c r="T169" s="169"/>
      <c r="U169" s="169"/>
      <c r="V169" s="169"/>
      <c r="W169" s="169"/>
    </row>
    <row r="170" spans="1:23" ht="12.75" hidden="1" customHeight="1">
      <c r="A170" s="384"/>
      <c r="B170" s="385"/>
      <c r="C170" s="3034"/>
      <c r="D170" s="3034"/>
      <c r="E170" s="395"/>
      <c r="F170" s="396"/>
      <c r="G170" s="1095"/>
      <c r="H170" s="3035"/>
      <c r="I170" s="3035"/>
      <c r="J170" s="3035"/>
      <c r="K170" s="3035"/>
      <c r="L170" s="3035"/>
      <c r="M170" s="387"/>
      <c r="N170" s="3036" t="str">
        <f>IF(COUNTIF($R$14:$R$38,M170),INDEX($S$14:$S$38,MATCH(M170,$R$14:$R201,0)),"")</f>
        <v/>
      </c>
      <c r="O170" s="3036"/>
      <c r="P170" s="3036"/>
      <c r="Q170" s="388"/>
      <c r="R170" s="390"/>
      <c r="S170" s="389"/>
      <c r="T170" s="169"/>
      <c r="U170" s="169"/>
      <c r="V170" s="169"/>
      <c r="W170" s="169"/>
    </row>
    <row r="171" spans="1:23" ht="12.75" hidden="1" customHeight="1">
      <c r="A171" s="384"/>
      <c r="B171" s="385"/>
      <c r="C171" s="3034"/>
      <c r="D171" s="3034"/>
      <c r="E171" s="395"/>
      <c r="F171" s="396"/>
      <c r="G171" s="1095"/>
      <c r="H171" s="3035"/>
      <c r="I171" s="3035"/>
      <c r="J171" s="3035"/>
      <c r="K171" s="3035"/>
      <c r="L171" s="3035"/>
      <c r="M171" s="387"/>
      <c r="N171" s="3036" t="str">
        <f>IF(COUNTIF($R$14:$R$38,M171),INDEX($S$14:$S$38,MATCH(M171,$R$14:$R202,0)),"")</f>
        <v/>
      </c>
      <c r="O171" s="3036"/>
      <c r="P171" s="3036"/>
      <c r="Q171" s="388"/>
      <c r="R171" s="390"/>
      <c r="S171" s="389"/>
      <c r="T171" s="169"/>
      <c r="U171" s="169"/>
      <c r="V171" s="169"/>
      <c r="W171" s="169"/>
    </row>
    <row r="172" spans="1:23" ht="12.75" hidden="1" customHeight="1">
      <c r="A172" s="384"/>
      <c r="B172" s="385"/>
      <c r="C172" s="3034"/>
      <c r="D172" s="3034"/>
      <c r="E172" s="395"/>
      <c r="F172" s="396"/>
      <c r="G172" s="1095"/>
      <c r="H172" s="3035"/>
      <c r="I172" s="3035"/>
      <c r="J172" s="3035"/>
      <c r="K172" s="3035"/>
      <c r="L172" s="3035"/>
      <c r="M172" s="387"/>
      <c r="N172" s="3036" t="str">
        <f>IF(COUNTIF($R$14:$R$38,M172),INDEX($S$14:$S$38,MATCH(M172,$R$14:$R203,0)),"")</f>
        <v/>
      </c>
      <c r="O172" s="3036"/>
      <c r="P172" s="3036"/>
      <c r="Q172" s="388"/>
      <c r="R172" s="390"/>
      <c r="S172" s="389"/>
      <c r="T172" s="169"/>
      <c r="U172" s="169"/>
      <c r="V172" s="169"/>
      <c r="W172" s="169"/>
    </row>
    <row r="173" spans="1:23" ht="12.75" hidden="1" customHeight="1">
      <c r="A173" s="384"/>
      <c r="B173" s="385"/>
      <c r="C173" s="3034"/>
      <c r="D173" s="3034"/>
      <c r="E173" s="395"/>
      <c r="F173" s="396"/>
      <c r="G173" s="1095"/>
      <c r="H173" s="3035"/>
      <c r="I173" s="3035"/>
      <c r="J173" s="3035"/>
      <c r="K173" s="3035"/>
      <c r="L173" s="3035"/>
      <c r="M173" s="387"/>
      <c r="N173" s="3036" t="str">
        <f>IF(COUNTIF($R$14:$R$38,M173),INDEX($S$14:$S$38,MATCH(M173,$R$14:$R204,0)),"")</f>
        <v/>
      </c>
      <c r="O173" s="3036"/>
      <c r="P173" s="3036"/>
      <c r="Q173" s="388"/>
      <c r="R173" s="390"/>
      <c r="S173" s="389"/>
      <c r="T173" s="169"/>
      <c r="U173" s="169"/>
      <c r="V173" s="169"/>
      <c r="W173" s="169"/>
    </row>
    <row r="174" spans="1:23" ht="12.75" hidden="1" customHeight="1">
      <c r="A174" s="384"/>
      <c r="B174" s="385"/>
      <c r="C174" s="3034"/>
      <c r="D174" s="3034"/>
      <c r="E174" s="395"/>
      <c r="F174" s="396"/>
      <c r="G174" s="1095"/>
      <c r="H174" s="3035"/>
      <c r="I174" s="3035"/>
      <c r="J174" s="3035"/>
      <c r="K174" s="3035"/>
      <c r="L174" s="3035"/>
      <c r="M174" s="387"/>
      <c r="N174" s="3036" t="str">
        <f>IF(COUNTIF($R$14:$R$38,M174),INDEX($S$14:$S$38,MATCH(M174,$R$14:$R205,0)),"")</f>
        <v/>
      </c>
      <c r="O174" s="3036"/>
      <c r="P174" s="3036"/>
      <c r="Q174" s="388"/>
      <c r="R174" s="390"/>
      <c r="S174" s="389"/>
      <c r="T174" s="169"/>
      <c r="U174" s="169"/>
      <c r="V174" s="169"/>
      <c r="W174" s="169"/>
    </row>
    <row r="175" spans="1:23" ht="12.75" hidden="1" customHeight="1">
      <c r="A175" s="384"/>
      <c r="B175" s="385"/>
      <c r="C175" s="3034"/>
      <c r="D175" s="3034"/>
      <c r="E175" s="395"/>
      <c r="F175" s="396"/>
      <c r="G175" s="1095"/>
      <c r="H175" s="3035"/>
      <c r="I175" s="3035"/>
      <c r="J175" s="3035"/>
      <c r="K175" s="3035"/>
      <c r="L175" s="3035"/>
      <c r="M175" s="387"/>
      <c r="N175" s="3036" t="str">
        <f>IF(COUNTIF($R$14:$R$38,M175),INDEX($S$14:$S$38,MATCH(M175,$R$14:$R206,0)),"")</f>
        <v/>
      </c>
      <c r="O175" s="3036"/>
      <c r="P175" s="3036"/>
      <c r="Q175" s="388"/>
      <c r="R175" s="390"/>
      <c r="S175" s="389"/>
      <c r="T175" s="169"/>
      <c r="U175" s="169"/>
      <c r="V175" s="169"/>
      <c r="W175" s="169"/>
    </row>
    <row r="176" spans="1:23" ht="12.75" hidden="1" customHeight="1">
      <c r="A176" s="384"/>
      <c r="B176" s="385"/>
      <c r="C176" s="3034"/>
      <c r="D176" s="3034"/>
      <c r="E176" s="395"/>
      <c r="F176" s="396"/>
      <c r="G176" s="1095"/>
      <c r="H176" s="3035"/>
      <c r="I176" s="3035"/>
      <c r="J176" s="3035"/>
      <c r="K176" s="3035"/>
      <c r="L176" s="3035"/>
      <c r="M176" s="387"/>
      <c r="N176" s="3036" t="str">
        <f>IF(COUNTIF($R$14:$R$38,M176),INDEX($S$14:$S$38,MATCH(M176,$R$14:$R207,0)),"")</f>
        <v/>
      </c>
      <c r="O176" s="3036"/>
      <c r="P176" s="3036"/>
      <c r="Q176" s="388"/>
      <c r="R176" s="390"/>
      <c r="S176" s="389"/>
      <c r="T176" s="169"/>
      <c r="U176" s="169"/>
      <c r="V176" s="169"/>
      <c r="W176" s="169"/>
    </row>
    <row r="177" spans="1:23" ht="12.75" hidden="1" customHeight="1">
      <c r="A177" s="384"/>
      <c r="B177" s="385"/>
      <c r="C177" s="3034"/>
      <c r="D177" s="3034"/>
      <c r="E177" s="395"/>
      <c r="F177" s="396"/>
      <c r="G177" s="1095"/>
      <c r="H177" s="3035"/>
      <c r="I177" s="3035"/>
      <c r="J177" s="3035"/>
      <c r="K177" s="3035"/>
      <c r="L177" s="3035"/>
      <c r="M177" s="387"/>
      <c r="N177" s="3036" t="str">
        <f>IF(COUNTIF($R$14:$R$38,M177),INDEX($S$14:$S$38,MATCH(M177,$R$14:$R208,0)),"")</f>
        <v/>
      </c>
      <c r="O177" s="3036"/>
      <c r="P177" s="3036"/>
      <c r="Q177" s="388"/>
      <c r="R177" s="390"/>
      <c r="S177" s="389"/>
      <c r="T177" s="169"/>
      <c r="U177" s="169"/>
      <c r="V177" s="169"/>
      <c r="W177" s="169"/>
    </row>
    <row r="178" spans="1:23" ht="12.75" hidden="1" customHeight="1">
      <c r="A178" s="384"/>
      <c r="B178" s="385"/>
      <c r="C178" s="3034"/>
      <c r="D178" s="3034"/>
      <c r="E178" s="395"/>
      <c r="F178" s="396"/>
      <c r="G178" s="1095"/>
      <c r="H178" s="3035"/>
      <c r="I178" s="3035"/>
      <c r="J178" s="3035"/>
      <c r="K178" s="3035"/>
      <c r="L178" s="3035"/>
      <c r="M178" s="387"/>
      <c r="N178" s="3036" t="str">
        <f>IF(COUNTIF($R$14:$R$38,M178),INDEX($S$14:$S$38,MATCH(M178,$R$14:$R209,0)),"")</f>
        <v/>
      </c>
      <c r="O178" s="3036"/>
      <c r="P178" s="3036"/>
      <c r="Q178" s="388"/>
      <c r="R178" s="390"/>
      <c r="S178" s="389"/>
      <c r="T178" s="169"/>
      <c r="U178" s="169"/>
      <c r="V178" s="169"/>
      <c r="W178" s="169"/>
    </row>
    <row r="179" spans="1:23" ht="12.75" hidden="1" customHeight="1">
      <c r="A179" s="384"/>
      <c r="B179" s="385"/>
      <c r="C179" s="3034"/>
      <c r="D179" s="3034"/>
      <c r="E179" s="395"/>
      <c r="F179" s="396"/>
      <c r="G179" s="1095"/>
      <c r="H179" s="3035"/>
      <c r="I179" s="3035"/>
      <c r="J179" s="3035"/>
      <c r="K179" s="3035"/>
      <c r="L179" s="3035"/>
      <c r="M179" s="387"/>
      <c r="N179" s="3036" t="str">
        <f>IF(COUNTIF($R$14:$R$38,M179),INDEX($S$14:$S$38,MATCH(M179,$R$14:$R210,0)),"")</f>
        <v/>
      </c>
      <c r="O179" s="3036"/>
      <c r="P179" s="3036"/>
      <c r="Q179" s="388"/>
      <c r="R179" s="390"/>
      <c r="S179" s="389"/>
      <c r="T179" s="169"/>
      <c r="U179" s="169"/>
      <c r="V179" s="169"/>
      <c r="W179" s="169"/>
    </row>
    <row r="180" spans="1:23" ht="12.75" hidden="1" customHeight="1">
      <c r="A180" s="384"/>
      <c r="B180" s="385"/>
      <c r="C180" s="3034"/>
      <c r="D180" s="3034"/>
      <c r="E180" s="395"/>
      <c r="F180" s="396"/>
      <c r="G180" s="1095"/>
      <c r="H180" s="3035"/>
      <c r="I180" s="3035"/>
      <c r="J180" s="3035"/>
      <c r="K180" s="3035"/>
      <c r="L180" s="3035"/>
      <c r="M180" s="387"/>
      <c r="N180" s="3036" t="str">
        <f>IF(COUNTIF($R$14:$R$38,M180),INDEX($S$14:$S$38,MATCH(M180,$R$14:$R211,0)),"")</f>
        <v/>
      </c>
      <c r="O180" s="3036"/>
      <c r="P180" s="3036"/>
      <c r="Q180" s="388"/>
      <c r="R180" s="390"/>
      <c r="S180" s="389"/>
      <c r="T180" s="169"/>
      <c r="U180" s="169"/>
      <c r="V180" s="169"/>
      <c r="W180" s="169"/>
    </row>
    <row r="181" spans="1:23" ht="12.75" hidden="1" customHeight="1">
      <c r="A181" s="384"/>
      <c r="B181" s="385"/>
      <c r="C181" s="3034"/>
      <c r="D181" s="3034"/>
      <c r="E181" s="395"/>
      <c r="F181" s="396"/>
      <c r="G181" s="1095"/>
      <c r="H181" s="3035"/>
      <c r="I181" s="3035"/>
      <c r="J181" s="3035"/>
      <c r="K181" s="3035"/>
      <c r="L181" s="3035"/>
      <c r="M181" s="387"/>
      <c r="N181" s="3036" t="str">
        <f>IF(COUNTIF($R$14:$R$38,M181),INDEX($S$14:$S$38,MATCH(M181,$R$14:$R212,0)),"")</f>
        <v/>
      </c>
      <c r="O181" s="3036"/>
      <c r="P181" s="3036"/>
      <c r="Q181" s="388"/>
      <c r="R181" s="390"/>
      <c r="S181" s="389"/>
      <c r="T181" s="169"/>
      <c r="U181" s="169"/>
      <c r="V181" s="169"/>
      <c r="W181" s="169"/>
    </row>
    <row r="182" spans="1:23" ht="12.75" hidden="1" customHeight="1">
      <c r="A182" s="384"/>
      <c r="B182" s="385"/>
      <c r="C182" s="3034"/>
      <c r="D182" s="3034"/>
      <c r="E182" s="395"/>
      <c r="F182" s="396"/>
      <c r="G182" s="1095"/>
      <c r="H182" s="3035"/>
      <c r="I182" s="3035"/>
      <c r="J182" s="3035"/>
      <c r="K182" s="3035"/>
      <c r="L182" s="3035"/>
      <c r="M182" s="387"/>
      <c r="N182" s="3036" t="str">
        <f>IF(COUNTIF($R$14:$R$38,M182),INDEX($S$14:$S$38,MATCH(M182,$R$14:$R213,0)),"")</f>
        <v/>
      </c>
      <c r="O182" s="3036"/>
      <c r="P182" s="3036"/>
      <c r="Q182" s="388"/>
      <c r="R182" s="390"/>
      <c r="S182" s="389"/>
      <c r="T182" s="169"/>
      <c r="U182" s="169"/>
      <c r="V182" s="169"/>
      <c r="W182" s="169"/>
    </row>
    <row r="183" spans="1:23" ht="12.75" hidden="1" customHeight="1">
      <c r="A183" s="384"/>
      <c r="B183" s="385"/>
      <c r="C183" s="3034"/>
      <c r="D183" s="3034"/>
      <c r="E183" s="395"/>
      <c r="F183" s="396"/>
      <c r="G183" s="1095"/>
      <c r="H183" s="3035"/>
      <c r="I183" s="3035"/>
      <c r="J183" s="3035"/>
      <c r="K183" s="3035"/>
      <c r="L183" s="3035"/>
      <c r="M183" s="387"/>
      <c r="N183" s="3036" t="str">
        <f>IF(COUNTIF($R$14:$R$38,M183),INDEX($S$14:$S$38,MATCH(M183,$R$14:$R214,0)),"")</f>
        <v/>
      </c>
      <c r="O183" s="3036"/>
      <c r="P183" s="3036"/>
      <c r="Q183" s="388"/>
      <c r="R183" s="390"/>
      <c r="S183" s="389"/>
      <c r="T183" s="169"/>
      <c r="U183" s="169"/>
      <c r="V183" s="169"/>
      <c r="W183" s="169"/>
    </row>
    <row r="184" spans="1:23" ht="12.75" hidden="1" customHeight="1">
      <c r="A184" s="384"/>
      <c r="B184" s="385"/>
      <c r="C184" s="3034"/>
      <c r="D184" s="3034"/>
      <c r="E184" s="395"/>
      <c r="F184" s="396"/>
      <c r="G184" s="1095"/>
      <c r="H184" s="3035"/>
      <c r="I184" s="3035"/>
      <c r="J184" s="3035"/>
      <c r="K184" s="3035"/>
      <c r="L184" s="3035"/>
      <c r="M184" s="387"/>
      <c r="N184" s="3036" t="str">
        <f>IF(COUNTIF($R$14:$R$38,M184),INDEX($S$14:$S$38,MATCH(M184,$R$14:$R215,0)),"")</f>
        <v/>
      </c>
      <c r="O184" s="3036"/>
      <c r="P184" s="3036"/>
      <c r="Q184" s="388"/>
      <c r="R184" s="390"/>
      <c r="S184" s="389"/>
      <c r="T184" s="169"/>
      <c r="U184" s="169"/>
      <c r="V184" s="169"/>
      <c r="W184" s="169"/>
    </row>
    <row r="185" spans="1:23" ht="12.75" hidden="1" customHeight="1">
      <c r="A185" s="384"/>
      <c r="B185" s="385"/>
      <c r="C185" s="3034"/>
      <c r="D185" s="3034"/>
      <c r="E185" s="395"/>
      <c r="F185" s="396"/>
      <c r="G185" s="1095"/>
      <c r="H185" s="3035"/>
      <c r="I185" s="3035"/>
      <c r="J185" s="3035"/>
      <c r="K185" s="3035"/>
      <c r="L185" s="3035"/>
      <c r="M185" s="387"/>
      <c r="N185" s="3036" t="str">
        <f>IF(COUNTIF($R$14:$R$38,M185),INDEX($S$14:$S$38,MATCH(M185,$R$14:$R216,0)),"")</f>
        <v/>
      </c>
      <c r="O185" s="3036"/>
      <c r="P185" s="3036"/>
      <c r="Q185" s="388"/>
      <c r="R185" s="390"/>
      <c r="S185" s="389"/>
      <c r="T185" s="169"/>
      <c r="U185" s="169"/>
      <c r="V185" s="169"/>
      <c r="W185" s="169"/>
    </row>
    <row r="186" spans="1:23" ht="12.75" hidden="1" customHeight="1">
      <c r="A186" s="384"/>
      <c r="B186" s="385"/>
      <c r="C186" s="3034"/>
      <c r="D186" s="3034"/>
      <c r="E186" s="395"/>
      <c r="F186" s="396"/>
      <c r="G186" s="1095"/>
      <c r="H186" s="3035"/>
      <c r="I186" s="3035"/>
      <c r="J186" s="3035"/>
      <c r="K186" s="3035"/>
      <c r="L186" s="3035"/>
      <c r="M186" s="387"/>
      <c r="N186" s="3036" t="str">
        <f>IF(COUNTIF($R$14:$R$38,M186),INDEX($S$14:$S$38,MATCH(M186,$R$14:$R217,0)),"")</f>
        <v/>
      </c>
      <c r="O186" s="3036"/>
      <c r="P186" s="3036"/>
      <c r="Q186" s="388"/>
      <c r="R186" s="390"/>
      <c r="S186" s="389"/>
      <c r="T186" s="169"/>
      <c r="U186" s="169"/>
      <c r="V186" s="169"/>
      <c r="W186" s="169"/>
    </row>
    <row r="187" spans="1:23" ht="12.75" hidden="1" customHeight="1">
      <c r="A187" s="384"/>
      <c r="B187" s="385"/>
      <c r="C187" s="3034"/>
      <c r="D187" s="3034"/>
      <c r="E187" s="395"/>
      <c r="F187" s="396"/>
      <c r="G187" s="1095"/>
      <c r="H187" s="3035"/>
      <c r="I187" s="3035"/>
      <c r="J187" s="3035"/>
      <c r="K187" s="3035"/>
      <c r="L187" s="3035"/>
      <c r="M187" s="387"/>
      <c r="N187" s="3036" t="str">
        <f>IF(COUNTIF($R$14:$R$38,M187),INDEX($S$14:$S$38,MATCH(M187,$R$14:$R218,0)),"")</f>
        <v/>
      </c>
      <c r="O187" s="3036"/>
      <c r="P187" s="3036"/>
      <c r="Q187" s="388"/>
      <c r="R187" s="390"/>
      <c r="S187" s="389"/>
      <c r="T187" s="169"/>
      <c r="U187" s="169"/>
      <c r="V187" s="169"/>
      <c r="W187" s="169"/>
    </row>
    <row r="188" spans="1:23" ht="12.75" hidden="1" customHeight="1">
      <c r="A188" s="384"/>
      <c r="B188" s="385"/>
      <c r="C188" s="3034"/>
      <c r="D188" s="3034"/>
      <c r="E188" s="395"/>
      <c r="F188" s="396"/>
      <c r="G188" s="1095"/>
      <c r="H188" s="3035"/>
      <c r="I188" s="3035"/>
      <c r="J188" s="3035"/>
      <c r="K188" s="3035"/>
      <c r="L188" s="3035"/>
      <c r="M188" s="387"/>
      <c r="N188" s="3036" t="str">
        <f>IF(COUNTIF($R$14:$R$38,M188),INDEX($S$14:$S$38,MATCH(M188,$R$14:$R219,0)),"")</f>
        <v/>
      </c>
      <c r="O188" s="3036"/>
      <c r="P188" s="3036"/>
      <c r="Q188" s="388"/>
      <c r="R188" s="390"/>
      <c r="S188" s="389"/>
      <c r="T188" s="169"/>
      <c r="U188" s="169"/>
      <c r="V188" s="169"/>
      <c r="W188" s="169"/>
    </row>
    <row r="189" spans="1:23" ht="12.75" hidden="1" customHeight="1">
      <c r="A189" s="384"/>
      <c r="B189" s="385"/>
      <c r="C189" s="3034"/>
      <c r="D189" s="3034"/>
      <c r="E189" s="395"/>
      <c r="F189" s="396"/>
      <c r="G189" s="1095"/>
      <c r="H189" s="3035"/>
      <c r="I189" s="3035"/>
      <c r="J189" s="3035"/>
      <c r="K189" s="3035"/>
      <c r="L189" s="3035"/>
      <c r="M189" s="387"/>
      <c r="N189" s="3036" t="str">
        <f>IF(COUNTIF($R$14:$R$38,M189),INDEX($S$14:$S$38,MATCH(M189,$R$14:$R220,0)),"")</f>
        <v/>
      </c>
      <c r="O189" s="3036"/>
      <c r="P189" s="3036"/>
      <c r="Q189" s="388"/>
      <c r="R189" s="390"/>
      <c r="S189" s="389"/>
      <c r="T189" s="169"/>
      <c r="U189" s="169"/>
      <c r="V189" s="169"/>
      <c r="W189" s="169"/>
    </row>
    <row r="190" spans="1:23" ht="12.75" hidden="1" customHeight="1">
      <c r="A190" s="384"/>
      <c r="B190" s="385"/>
      <c r="C190" s="3034"/>
      <c r="D190" s="3034"/>
      <c r="E190" s="395"/>
      <c r="F190" s="396"/>
      <c r="G190" s="1095"/>
      <c r="H190" s="3035"/>
      <c r="I190" s="3035"/>
      <c r="J190" s="3035"/>
      <c r="K190" s="3035"/>
      <c r="L190" s="3035"/>
      <c r="M190" s="387"/>
      <c r="N190" s="3036" t="str">
        <f>IF(COUNTIF($R$14:$R$38,M190),INDEX($S$14:$S$38,MATCH(M190,$R$14:$R221,0)),"")</f>
        <v/>
      </c>
      <c r="O190" s="3036"/>
      <c r="P190" s="3036"/>
      <c r="Q190" s="388"/>
      <c r="R190" s="390"/>
      <c r="S190" s="389"/>
      <c r="T190" s="169"/>
      <c r="U190" s="169"/>
      <c r="V190" s="169"/>
      <c r="W190" s="169"/>
    </row>
    <row r="191" spans="1:23" ht="12.75" hidden="1" customHeight="1">
      <c r="A191" s="384"/>
      <c r="B191" s="385"/>
      <c r="C191" s="3034"/>
      <c r="D191" s="3034"/>
      <c r="E191" s="395"/>
      <c r="F191" s="396"/>
      <c r="G191" s="1095"/>
      <c r="H191" s="3035"/>
      <c r="I191" s="3035"/>
      <c r="J191" s="3035"/>
      <c r="K191" s="3035"/>
      <c r="L191" s="3035"/>
      <c r="M191" s="387"/>
      <c r="N191" s="3036" t="str">
        <f>IF(COUNTIF($R$14:$R$38,M191),INDEX($S$14:$S$38,MATCH(M191,$R$14:$R222,0)),"")</f>
        <v/>
      </c>
      <c r="O191" s="3036"/>
      <c r="P191" s="3036"/>
      <c r="Q191" s="388"/>
      <c r="R191" s="390"/>
      <c r="S191" s="389"/>
      <c r="T191" s="169"/>
      <c r="U191" s="169"/>
      <c r="V191" s="169"/>
      <c r="W191" s="169"/>
    </row>
    <row r="192" spans="1:23" ht="12.75" hidden="1" customHeight="1">
      <c r="A192" s="384"/>
      <c r="B192" s="385"/>
      <c r="C192" s="3034"/>
      <c r="D192" s="3034"/>
      <c r="E192" s="395"/>
      <c r="F192" s="396"/>
      <c r="G192" s="1095"/>
      <c r="H192" s="3035"/>
      <c r="I192" s="3035"/>
      <c r="J192" s="3035"/>
      <c r="K192" s="3035"/>
      <c r="L192" s="3035"/>
      <c r="M192" s="387"/>
      <c r="N192" s="3036" t="str">
        <f>IF(COUNTIF($R$14:$R$38,M192),INDEX($S$14:$S$38,MATCH(M192,$R$14:$R223,0)),"")</f>
        <v/>
      </c>
      <c r="O192" s="3036"/>
      <c r="P192" s="3036"/>
      <c r="Q192" s="388"/>
      <c r="R192" s="390"/>
      <c r="S192" s="389"/>
      <c r="T192" s="169"/>
      <c r="U192" s="169"/>
      <c r="V192" s="169"/>
      <c r="W192" s="169"/>
    </row>
    <row r="193" spans="1:23" ht="12.75" hidden="1" customHeight="1">
      <c r="A193" s="384"/>
      <c r="B193" s="385"/>
      <c r="C193" s="3034"/>
      <c r="D193" s="3034"/>
      <c r="E193" s="395"/>
      <c r="F193" s="396"/>
      <c r="G193" s="1095"/>
      <c r="H193" s="3035"/>
      <c r="I193" s="3035"/>
      <c r="J193" s="3035"/>
      <c r="K193" s="3035"/>
      <c r="L193" s="3035"/>
      <c r="M193" s="387"/>
      <c r="N193" s="3036" t="str">
        <f>IF(COUNTIF($R$14:$R$38,M193),INDEX($S$14:$S$38,MATCH(M193,$R$14:$R224,0)),"")</f>
        <v/>
      </c>
      <c r="O193" s="3036"/>
      <c r="P193" s="3036"/>
      <c r="Q193" s="388"/>
      <c r="R193" s="390"/>
      <c r="S193" s="389"/>
      <c r="T193" s="169"/>
      <c r="U193" s="169"/>
      <c r="V193" s="169"/>
      <c r="W193" s="169"/>
    </row>
    <row r="194" spans="1:23" ht="12.75" hidden="1" customHeight="1">
      <c r="A194" s="384"/>
      <c r="B194" s="385"/>
      <c r="C194" s="3034"/>
      <c r="D194" s="3034"/>
      <c r="E194" s="395"/>
      <c r="F194" s="396"/>
      <c r="G194" s="1095"/>
      <c r="H194" s="3035"/>
      <c r="I194" s="3035"/>
      <c r="J194" s="3035"/>
      <c r="K194" s="3035"/>
      <c r="L194" s="3035"/>
      <c r="M194" s="387"/>
      <c r="N194" s="3036" t="str">
        <f>IF(COUNTIF($R$14:$R$38,M194),INDEX($S$14:$S$38,MATCH(M194,$R$14:$R225,0)),"")</f>
        <v/>
      </c>
      <c r="O194" s="3036"/>
      <c r="P194" s="3036"/>
      <c r="Q194" s="388"/>
      <c r="R194" s="390"/>
      <c r="S194" s="389"/>
      <c r="T194" s="169"/>
      <c r="U194" s="169"/>
      <c r="V194" s="169"/>
      <c r="W194" s="169"/>
    </row>
    <row r="195" spans="1:23" ht="12.75" hidden="1" customHeight="1">
      <c r="A195" s="384"/>
      <c r="B195" s="385"/>
      <c r="C195" s="3034"/>
      <c r="D195" s="3034"/>
      <c r="E195" s="395"/>
      <c r="F195" s="396"/>
      <c r="G195" s="1095"/>
      <c r="H195" s="3035"/>
      <c r="I195" s="3035"/>
      <c r="J195" s="3035"/>
      <c r="K195" s="3035"/>
      <c r="L195" s="3035"/>
      <c r="M195" s="387"/>
      <c r="N195" s="3036" t="str">
        <f>IF(COUNTIF($R$14:$R$38,M195),INDEX($S$14:$S$38,MATCH(M195,$R$14:$R226,0)),"")</f>
        <v/>
      </c>
      <c r="O195" s="3036"/>
      <c r="P195" s="3036"/>
      <c r="Q195" s="388"/>
      <c r="R195" s="390"/>
      <c r="S195" s="389"/>
      <c r="T195" s="169"/>
      <c r="U195" s="169"/>
      <c r="V195" s="169"/>
      <c r="W195" s="169"/>
    </row>
    <row r="196" spans="1:23" ht="12.75" hidden="1" customHeight="1">
      <c r="A196" s="384"/>
      <c r="B196" s="385"/>
      <c r="C196" s="3034"/>
      <c r="D196" s="3034"/>
      <c r="E196" s="395"/>
      <c r="F196" s="396"/>
      <c r="G196" s="1095"/>
      <c r="H196" s="3035"/>
      <c r="I196" s="3035"/>
      <c r="J196" s="3035"/>
      <c r="K196" s="3035"/>
      <c r="L196" s="3035"/>
      <c r="M196" s="387"/>
      <c r="N196" s="3036" t="str">
        <f>IF(COUNTIF($R$14:$R$38,M196),INDEX($S$14:$S$38,MATCH(M196,$R$14:$R227,0)),"")</f>
        <v/>
      </c>
      <c r="O196" s="3036"/>
      <c r="P196" s="3036"/>
      <c r="Q196" s="388"/>
      <c r="R196" s="169"/>
      <c r="S196" s="169"/>
      <c r="T196" s="169"/>
      <c r="U196" s="169"/>
      <c r="V196" s="169"/>
      <c r="W196" s="169"/>
    </row>
    <row r="197" spans="1:23" ht="12.75" hidden="1" customHeight="1">
      <c r="A197" s="384"/>
      <c r="B197" s="385"/>
      <c r="C197" s="3034"/>
      <c r="D197" s="3034"/>
      <c r="E197" s="395"/>
      <c r="F197" s="396"/>
      <c r="G197" s="1095"/>
      <c r="H197" s="3035"/>
      <c r="I197" s="3035"/>
      <c r="J197" s="3035"/>
      <c r="K197" s="3035"/>
      <c r="L197" s="3035"/>
      <c r="M197" s="387"/>
      <c r="N197" s="3036" t="str">
        <f>IF(COUNTIF($R$14:$R$38,M197),INDEX($S$14:$S$38,MATCH(M197,$R$14:$R228,0)),"")</f>
        <v/>
      </c>
      <c r="O197" s="3036"/>
      <c r="P197" s="3036"/>
      <c r="Q197" s="388"/>
      <c r="R197" s="169"/>
      <c r="S197" s="169"/>
      <c r="T197" s="169"/>
      <c r="U197" s="169"/>
      <c r="V197" s="169"/>
      <c r="W197" s="169"/>
    </row>
    <row r="198" spans="1:23" ht="12.75" hidden="1" customHeight="1">
      <c r="A198" s="384"/>
      <c r="B198" s="385"/>
      <c r="C198" s="3034"/>
      <c r="D198" s="3034"/>
      <c r="E198" s="395"/>
      <c r="F198" s="396"/>
      <c r="G198" s="1095"/>
      <c r="H198" s="3035"/>
      <c r="I198" s="3035"/>
      <c r="J198" s="3035"/>
      <c r="K198" s="3035"/>
      <c r="L198" s="3035"/>
      <c r="M198" s="387"/>
      <c r="N198" s="3036" t="str">
        <f>IF(COUNTIF($R$14:$R$38,M198),INDEX($S$14:$S$38,MATCH(M198,$R$14:$R229,0)),"")</f>
        <v/>
      </c>
      <c r="O198" s="3036"/>
      <c r="P198" s="3036"/>
      <c r="Q198" s="388"/>
      <c r="R198" s="169"/>
      <c r="S198" s="169"/>
      <c r="T198" s="169"/>
      <c r="U198" s="169"/>
      <c r="V198" s="169"/>
      <c r="W198" s="169"/>
    </row>
    <row r="199" spans="1:23" ht="12.75" hidden="1" customHeight="1">
      <c r="A199" s="384"/>
      <c r="B199" s="385"/>
      <c r="C199" s="3034"/>
      <c r="D199" s="3034"/>
      <c r="E199" s="395"/>
      <c r="F199" s="396"/>
      <c r="G199" s="1095"/>
      <c r="H199" s="3035"/>
      <c r="I199" s="3035"/>
      <c r="J199" s="3035"/>
      <c r="K199" s="3035"/>
      <c r="L199" s="3035"/>
      <c r="M199" s="387"/>
      <c r="N199" s="3036" t="str">
        <f>IF(COUNTIF($R$14:$R$38,M199),INDEX($S$14:$S$38,MATCH(M199,$R$14:$R230,0)),"")</f>
        <v/>
      </c>
      <c r="O199" s="3036"/>
      <c r="P199" s="3036"/>
      <c r="Q199" s="388"/>
      <c r="R199" s="169"/>
      <c r="S199" s="169"/>
      <c r="T199" s="169"/>
      <c r="U199" s="169"/>
      <c r="V199" s="169"/>
      <c r="W199" s="169"/>
    </row>
    <row r="200" spans="1:23" ht="12.75" hidden="1" customHeight="1">
      <c r="A200" s="384"/>
      <c r="B200" s="385"/>
      <c r="C200" s="3034"/>
      <c r="D200" s="3034"/>
      <c r="E200" s="395"/>
      <c r="F200" s="396"/>
      <c r="G200" s="1095"/>
      <c r="H200" s="3035"/>
      <c r="I200" s="3035"/>
      <c r="J200" s="3035"/>
      <c r="K200" s="3035"/>
      <c r="L200" s="3035"/>
      <c r="M200" s="387"/>
      <c r="N200" s="3036" t="str">
        <f>IF(COUNTIF($R$14:$R$38,M200),INDEX($S$14:$S$38,MATCH(M200,$R$14:$R231,0)),"")</f>
        <v/>
      </c>
      <c r="O200" s="3036"/>
      <c r="P200" s="3036"/>
      <c r="Q200" s="388"/>
      <c r="R200" s="169"/>
      <c r="S200" s="169"/>
      <c r="T200" s="169"/>
      <c r="U200" s="169"/>
      <c r="V200" s="169"/>
      <c r="W200" s="169"/>
    </row>
    <row r="201" spans="1:23" ht="12.75" hidden="1" customHeight="1">
      <c r="A201" s="384"/>
      <c r="B201" s="385"/>
      <c r="C201" s="3034"/>
      <c r="D201" s="3034"/>
      <c r="E201" s="395"/>
      <c r="F201" s="396"/>
      <c r="G201" s="1095"/>
      <c r="H201" s="3035"/>
      <c r="I201" s="3035"/>
      <c r="J201" s="3035"/>
      <c r="K201" s="3035"/>
      <c r="L201" s="3035"/>
      <c r="M201" s="387"/>
      <c r="N201" s="3036" t="str">
        <f>IF(COUNTIF($R$14:$R$38,M201),INDEX($S$14:$S$38,MATCH(M201,$R$14:$R232,0)),"")</f>
        <v/>
      </c>
      <c r="O201" s="3036"/>
      <c r="P201" s="3036"/>
      <c r="Q201" s="388"/>
      <c r="R201" s="169"/>
      <c r="S201" s="169"/>
      <c r="T201" s="169"/>
      <c r="U201" s="169"/>
      <c r="V201" s="169"/>
      <c r="W201" s="169"/>
    </row>
    <row r="202" spans="1:23" ht="12.75" hidden="1" customHeight="1">
      <c r="A202" s="384"/>
      <c r="B202" s="385"/>
      <c r="C202" s="3034"/>
      <c r="D202" s="3034"/>
      <c r="E202" s="395"/>
      <c r="F202" s="396"/>
      <c r="G202" s="1095"/>
      <c r="H202" s="3035"/>
      <c r="I202" s="3035"/>
      <c r="J202" s="3035"/>
      <c r="K202" s="3035"/>
      <c r="L202" s="3035"/>
      <c r="M202" s="387"/>
      <c r="N202" s="3036" t="str">
        <f>IF(COUNTIF($R$14:$R$38,M202),INDEX($S$14:$S$38,MATCH(M202,$R$14:$R233,0)),"")</f>
        <v/>
      </c>
      <c r="O202" s="3036"/>
      <c r="P202" s="3036"/>
      <c r="Q202" s="388"/>
      <c r="R202" s="169"/>
      <c r="S202" s="169"/>
      <c r="T202" s="169"/>
      <c r="U202" s="169"/>
      <c r="V202" s="169"/>
      <c r="W202" s="169"/>
    </row>
    <row r="203" spans="1:23" ht="12.75" hidden="1" customHeight="1">
      <c r="A203" s="384"/>
      <c r="B203" s="385"/>
      <c r="C203" s="3034"/>
      <c r="D203" s="3034"/>
      <c r="E203" s="395"/>
      <c r="F203" s="396"/>
      <c r="G203" s="1095"/>
      <c r="H203" s="3035"/>
      <c r="I203" s="3035"/>
      <c r="J203" s="3035"/>
      <c r="K203" s="3035"/>
      <c r="L203" s="3035"/>
      <c r="M203" s="387"/>
      <c r="N203" s="3036" t="str">
        <f>IF(COUNTIF($R$14:$R$38,M203),INDEX($S$14:$S$38,MATCH(M203,$R$14:$R234,0)),"")</f>
        <v/>
      </c>
      <c r="O203" s="3036"/>
      <c r="P203" s="3036"/>
      <c r="Q203" s="388"/>
      <c r="R203" s="169"/>
      <c r="S203" s="169"/>
      <c r="T203" s="169"/>
      <c r="U203" s="169"/>
      <c r="V203" s="169"/>
      <c r="W203" s="169"/>
    </row>
    <row r="204" spans="1:23" ht="12.75" hidden="1" customHeight="1">
      <c r="A204" s="384"/>
      <c r="B204" s="385"/>
      <c r="C204" s="3034"/>
      <c r="D204" s="3034"/>
      <c r="E204" s="395"/>
      <c r="F204" s="396"/>
      <c r="G204" s="1095"/>
      <c r="H204" s="3035"/>
      <c r="I204" s="3035"/>
      <c r="J204" s="3035"/>
      <c r="K204" s="3035"/>
      <c r="L204" s="3035"/>
      <c r="M204" s="387"/>
      <c r="N204" s="3036" t="str">
        <f>IF(COUNTIF($R$14:$R$38,M204),INDEX($S$14:$S$38,MATCH(M204,$R$14:$R235,0)),"")</f>
        <v/>
      </c>
      <c r="O204" s="3036"/>
      <c r="P204" s="3036"/>
      <c r="Q204" s="388"/>
      <c r="R204" s="169"/>
      <c r="S204" s="169"/>
      <c r="T204" s="169"/>
      <c r="U204" s="169"/>
      <c r="V204" s="169"/>
      <c r="W204" s="169"/>
    </row>
    <row r="205" spans="1:23" ht="12.75" hidden="1" customHeight="1">
      <c r="A205" s="384"/>
      <c r="B205" s="385"/>
      <c r="C205" s="3034"/>
      <c r="D205" s="3034"/>
      <c r="E205" s="395"/>
      <c r="F205" s="396"/>
      <c r="G205" s="1095"/>
      <c r="H205" s="3035"/>
      <c r="I205" s="3035"/>
      <c r="J205" s="3035"/>
      <c r="K205" s="3035"/>
      <c r="L205" s="3035"/>
      <c r="M205" s="387"/>
      <c r="N205" s="3036" t="str">
        <f>IF(COUNTIF($R$14:$R$38,M205),INDEX($S$14:$S$38,MATCH(M205,$R$14:$R236,0)),"")</f>
        <v/>
      </c>
      <c r="O205" s="3036"/>
      <c r="P205" s="3036"/>
      <c r="Q205" s="398"/>
      <c r="R205" s="169"/>
      <c r="S205" s="169"/>
      <c r="T205" s="169"/>
      <c r="U205" s="169"/>
      <c r="V205" s="169"/>
      <c r="W205" s="169"/>
    </row>
    <row r="206" spans="1:23" ht="16.5" customHeight="1">
      <c r="A206" s="3021" t="s">
        <v>575</v>
      </c>
      <c r="B206" s="3021"/>
      <c r="C206" s="399">
        <v>1</v>
      </c>
      <c r="D206" s="3038" t="str">
        <f t="shared" ref="D206:D211" si="0">IF(ISERROR(VLOOKUP(C206,$R$14:$S$38,2,FALSE)),"",VLOOKUP(C206,$R$14:$S$38,2,FALSE)&amp;"： "&amp;DOLLAR(SUMIF($M$6:$M$205,C206,$G$6:$G$205),2)&amp;"元。")</f>
        <v>未取得合法有效票据的支出： ¥0.00元。</v>
      </c>
      <c r="E206" s="3038"/>
      <c r="F206" s="3038"/>
      <c r="G206" s="3038"/>
      <c r="H206" s="3038"/>
      <c r="I206" s="3038"/>
      <c r="J206" s="399">
        <v>7</v>
      </c>
      <c r="K206" s="3039" t="str">
        <f t="shared" ref="K206:K211" si="1">IF(ISERROR(VLOOKUP(J206,$R$14:$S$38,2,FALSE)),"",VLOOKUP(J206,$R$14:$S$38,2,FALSE)&amp;"： "&amp;DOLLAR(SUMIF($M$6:$M$205,J206,$G$6:$G$205),2)&amp;"元。")</f>
        <v>不属于应付福利费开支范围的支出： ¥0.00元。</v>
      </c>
      <c r="L206" s="3039"/>
      <c r="M206" s="3039"/>
      <c r="N206" s="3039"/>
      <c r="O206" s="3039"/>
      <c r="P206" s="3039"/>
      <c r="Q206" s="3039"/>
      <c r="R206" s="3040" t="s">
        <v>457</v>
      </c>
      <c r="S206" s="3040"/>
      <c r="T206" s="3040"/>
      <c r="U206" s="3040"/>
      <c r="V206" s="3040"/>
      <c r="W206" s="3040"/>
    </row>
    <row r="207" spans="1:23" ht="16.5" customHeight="1">
      <c r="A207" s="3021"/>
      <c r="B207" s="3021"/>
      <c r="C207" s="400">
        <v>2</v>
      </c>
      <c r="D207" s="3041" t="str">
        <f t="shared" si="0"/>
        <v>跨期扣除项目： ¥0.00元。</v>
      </c>
      <c r="E207" s="3041"/>
      <c r="F207" s="3041"/>
      <c r="G207" s="3041"/>
      <c r="H207" s="3041"/>
      <c r="I207" s="3041"/>
      <c r="J207" s="400">
        <v>8</v>
      </c>
      <c r="K207" s="3042" t="str">
        <f t="shared" si="1"/>
        <v>税收滞纳金： ¥0.00元。</v>
      </c>
      <c r="L207" s="3042"/>
      <c r="M207" s="3042"/>
      <c r="N207" s="3042"/>
      <c r="O207" s="3042"/>
      <c r="P207" s="3042"/>
      <c r="Q207" s="3042"/>
      <c r="R207" s="2683" t="s">
        <v>576</v>
      </c>
      <c r="S207" s="2683"/>
      <c r="T207" s="2683"/>
      <c r="U207" s="2683"/>
      <c r="V207" s="2683"/>
      <c r="W207" s="2683"/>
    </row>
    <row r="208" spans="1:23" ht="16.5" customHeight="1">
      <c r="A208" s="3021"/>
      <c r="B208" s="3021"/>
      <c r="C208" s="400">
        <v>3</v>
      </c>
      <c r="D208" s="3041" t="str">
        <f t="shared" si="0"/>
        <v>与取得收入无关的支出： ¥0.00元。</v>
      </c>
      <c r="E208" s="3041"/>
      <c r="F208" s="3041"/>
      <c r="G208" s="3041"/>
      <c r="H208" s="3041"/>
      <c r="I208" s="3041"/>
      <c r="J208" s="400">
        <v>9</v>
      </c>
      <c r="K208" s="3042" t="str">
        <f t="shared" si="1"/>
        <v>大额购物未附清单： ¥0.00元。</v>
      </c>
      <c r="L208" s="3042"/>
      <c r="M208" s="3042"/>
      <c r="N208" s="3042"/>
      <c r="O208" s="3042"/>
      <c r="P208" s="3042"/>
      <c r="Q208" s="3042"/>
      <c r="R208" s="3040" t="s">
        <v>577</v>
      </c>
      <c r="S208" s="3040"/>
      <c r="T208" s="3040"/>
      <c r="U208" s="3040"/>
      <c r="V208" s="3040"/>
      <c r="W208" s="3040"/>
    </row>
    <row r="209" spans="1:23" ht="16.5" customHeight="1">
      <c r="A209" s="3021"/>
      <c r="B209" s="3021"/>
      <c r="C209" s="400">
        <v>4</v>
      </c>
      <c r="D209" s="3041" t="str">
        <f t="shared" si="0"/>
        <v>非本公司费用： ¥0.00元。</v>
      </c>
      <c r="E209" s="3041"/>
      <c r="F209" s="3041"/>
      <c r="G209" s="3041"/>
      <c r="H209" s="3041"/>
      <c r="I209" s="3041"/>
      <c r="J209" s="400">
        <v>10</v>
      </c>
      <c r="K209" s="3042" t="str">
        <f t="shared" si="1"/>
        <v>罚金、违法经营罚款和被没收财物损失： ¥0.00元。</v>
      </c>
      <c r="L209" s="3042"/>
      <c r="M209" s="3042"/>
      <c r="N209" s="3042"/>
      <c r="O209" s="3042"/>
      <c r="P209" s="3042"/>
      <c r="Q209" s="3042"/>
      <c r="R209" s="3046" t="s">
        <v>578</v>
      </c>
      <c r="S209" s="3046"/>
      <c r="T209" s="3046"/>
      <c r="U209" s="3046"/>
      <c r="V209" s="3046"/>
      <c r="W209" s="3046"/>
    </row>
    <row r="210" spans="1:23" ht="16.5" customHeight="1">
      <c r="A210" s="3021"/>
      <c r="B210" s="3021"/>
      <c r="C210" s="400">
        <v>5</v>
      </c>
      <c r="D210" s="3041" t="str">
        <f t="shared" si="0"/>
        <v>应并入业务招待费的费用： ¥0.00元。</v>
      </c>
      <c r="E210" s="3041"/>
      <c r="F210" s="3041"/>
      <c r="G210" s="3041"/>
      <c r="H210" s="3041"/>
      <c r="I210" s="3041"/>
      <c r="J210" s="400">
        <v>11</v>
      </c>
      <c r="K210" s="3042" t="str">
        <f t="shared" si="1"/>
        <v>不允许直接在损益中列支的当年福利费： ¥0.00元。</v>
      </c>
      <c r="L210" s="3042"/>
      <c r="M210" s="3042"/>
      <c r="N210" s="3042"/>
      <c r="O210" s="3042"/>
      <c r="P210" s="3042"/>
      <c r="Q210" s="3042"/>
      <c r="R210" s="3046" t="s">
        <v>579</v>
      </c>
      <c r="S210" s="3046"/>
      <c r="T210" s="3046"/>
      <c r="U210" s="3046"/>
      <c r="V210" s="3046"/>
      <c r="W210" s="3046"/>
    </row>
    <row r="211" spans="1:23" ht="16.5" customHeight="1">
      <c r="A211" s="3021"/>
      <c r="B211" s="3021"/>
      <c r="C211" s="402">
        <v>6</v>
      </c>
      <c r="D211" s="3044" t="str">
        <f t="shared" si="0"/>
        <v>产权不属于公司的汽车费用： ¥0.00元。</v>
      </c>
      <c r="E211" s="3044"/>
      <c r="F211" s="3044"/>
      <c r="G211" s="3044"/>
      <c r="H211" s="3044"/>
      <c r="I211" s="3044"/>
      <c r="J211" s="402">
        <v>12</v>
      </c>
      <c r="K211" s="3045" t="str">
        <f t="shared" si="1"/>
        <v>跨期费用： ¥0.00元。</v>
      </c>
      <c r="L211" s="3045"/>
      <c r="M211" s="3045"/>
      <c r="N211" s="3045"/>
      <c r="O211" s="3045"/>
      <c r="P211" s="3045"/>
      <c r="Q211" s="3045"/>
      <c r="R211" s="2683" t="s">
        <v>580</v>
      </c>
      <c r="S211" s="2683"/>
      <c r="T211" s="2683"/>
      <c r="U211" s="2683"/>
      <c r="V211" s="2683"/>
      <c r="W211" s="2683"/>
    </row>
    <row r="212" spans="1:23">
      <c r="A212" s="403"/>
      <c r="Q212" s="404"/>
      <c r="R212" s="3043" t="s">
        <v>581</v>
      </c>
      <c r="S212" s="3043"/>
      <c r="T212" s="3043"/>
      <c r="U212" s="3043"/>
      <c r="V212" s="3043"/>
      <c r="W212" s="3043"/>
    </row>
    <row r="213" spans="1:23">
      <c r="A213" s="403" t="s">
        <v>582</v>
      </c>
      <c r="Q213" s="405"/>
      <c r="R213" s="3043" t="s">
        <v>583</v>
      </c>
      <c r="S213" s="3043"/>
      <c r="T213" s="3043"/>
      <c r="U213" s="3043"/>
      <c r="V213" s="3043"/>
      <c r="W213" s="3043"/>
    </row>
    <row r="214" spans="1:23">
      <c r="Q214" s="405"/>
      <c r="R214" s="3043" t="s">
        <v>584</v>
      </c>
      <c r="S214" s="3043"/>
      <c r="T214" s="3043"/>
      <c r="U214" s="3043"/>
      <c r="V214" s="3043"/>
      <c r="W214" s="3043"/>
    </row>
    <row r="215" spans="1:23">
      <c r="Q215" s="405"/>
      <c r="R215" s="3043" t="s">
        <v>585</v>
      </c>
      <c r="S215" s="3043"/>
      <c r="T215" s="3043"/>
      <c r="U215" s="3043"/>
      <c r="V215" s="3043"/>
      <c r="W215" s="3043"/>
    </row>
    <row r="216" spans="1:23">
      <c r="Q216" s="405"/>
      <c r="R216" s="3043" t="s">
        <v>586</v>
      </c>
      <c r="S216" s="3043"/>
      <c r="T216" s="3043"/>
      <c r="U216" s="3043"/>
      <c r="V216" s="3043"/>
      <c r="W216" s="3043"/>
    </row>
    <row r="217" spans="1:23">
      <c r="Q217" s="405"/>
      <c r="R217" s="3043" t="s">
        <v>587</v>
      </c>
      <c r="S217" s="3043"/>
      <c r="T217" s="3043"/>
      <c r="U217" s="3043"/>
      <c r="V217" s="3043"/>
      <c r="W217" s="3043"/>
    </row>
    <row r="218" spans="1:23">
      <c r="Q218" s="405"/>
      <c r="R218" s="3043" t="s">
        <v>588</v>
      </c>
      <c r="S218" s="3043"/>
      <c r="T218" s="3043"/>
      <c r="U218" s="3043"/>
      <c r="V218" s="3043"/>
      <c r="W218" s="3043"/>
    </row>
    <row r="219" spans="1:23">
      <c r="Q219" s="405"/>
      <c r="R219" s="3043" t="s">
        <v>589</v>
      </c>
      <c r="S219" s="3043"/>
      <c r="T219" s="3043"/>
      <c r="U219" s="3043"/>
      <c r="V219" s="3043"/>
      <c r="W219" s="3043"/>
    </row>
    <row r="220" spans="1:23">
      <c r="R220" s="3043" t="s">
        <v>590</v>
      </c>
      <c r="S220" s="3043"/>
      <c r="T220" s="3043"/>
      <c r="U220" s="3043"/>
      <c r="V220" s="3043"/>
      <c r="W220" s="3043"/>
    </row>
    <row r="221" spans="1:23">
      <c r="R221" s="3043" t="s">
        <v>591</v>
      </c>
      <c r="S221" s="3043"/>
      <c r="T221" s="3043"/>
      <c r="U221" s="3043"/>
      <c r="V221" s="3043"/>
      <c r="W221" s="3043"/>
    </row>
    <row r="222" spans="1:23">
      <c r="R222" s="3043" t="s">
        <v>592</v>
      </c>
      <c r="S222" s="3043"/>
      <c r="T222" s="3043"/>
      <c r="U222" s="3043"/>
      <c r="V222" s="3043"/>
      <c r="W222" s="3043"/>
    </row>
    <row r="223" spans="1:23" ht="14.25" customHeight="1">
      <c r="R223" s="3048" t="s">
        <v>593</v>
      </c>
      <c r="S223" s="3048"/>
      <c r="T223" s="3048"/>
      <c r="U223" s="3048"/>
      <c r="V223" s="3048"/>
      <c r="W223" s="3048"/>
    </row>
    <row r="224" spans="1:23">
      <c r="R224" s="3048"/>
      <c r="S224" s="3048"/>
      <c r="T224" s="3048"/>
      <c r="U224" s="3048"/>
      <c r="V224" s="3048"/>
      <c r="W224" s="3048"/>
    </row>
    <row r="225" spans="18:23">
      <c r="R225" s="3048"/>
      <c r="S225" s="3048"/>
      <c r="T225" s="3048"/>
      <c r="U225" s="3048"/>
      <c r="V225" s="3048"/>
      <c r="W225" s="3048"/>
    </row>
    <row r="226" spans="18:23">
      <c r="R226" s="3048"/>
      <c r="S226" s="3048"/>
      <c r="T226" s="3048"/>
      <c r="U226" s="3048"/>
      <c r="V226" s="3048"/>
      <c r="W226" s="3048"/>
    </row>
    <row r="227" spans="18:23">
      <c r="R227" s="3048"/>
      <c r="S227" s="3048"/>
      <c r="T227" s="3048"/>
      <c r="U227" s="3048"/>
      <c r="V227" s="3048"/>
      <c r="W227" s="3048"/>
    </row>
    <row r="228" spans="18:23">
      <c r="R228" s="406"/>
      <c r="S228" s="406"/>
      <c r="T228" s="406"/>
      <c r="U228" s="406"/>
      <c r="V228" s="406"/>
      <c r="W228" s="406"/>
    </row>
    <row r="229" spans="18:23">
      <c r="R229" s="3047"/>
      <c r="S229" s="3047"/>
      <c r="T229" s="3047"/>
      <c r="U229" s="3047"/>
      <c r="V229" s="3047"/>
      <c r="W229" s="3047"/>
    </row>
    <row r="230" spans="18:23">
      <c r="R230" s="3047"/>
      <c r="S230" s="3047"/>
      <c r="T230" s="3047"/>
      <c r="U230" s="3047"/>
      <c r="V230" s="3047"/>
      <c r="W230" s="3047"/>
    </row>
    <row r="231" spans="18:23">
      <c r="R231" s="3047"/>
      <c r="S231" s="3047"/>
      <c r="T231" s="3047"/>
      <c r="U231" s="3047"/>
      <c r="V231" s="3047"/>
      <c r="W231" s="3047"/>
    </row>
  </sheetData>
  <sheetProtection selectLockedCells="1" selectUnlockedCells="1"/>
  <autoFilter ref="A5:W227"/>
  <mergeCells count="655">
    <mergeCell ref="R230:W230"/>
    <mergeCell ref="R231:W231"/>
    <mergeCell ref="R221:W221"/>
    <mergeCell ref="R222:W222"/>
    <mergeCell ref="R223:W227"/>
    <mergeCell ref="R229:W229"/>
    <mergeCell ref="R219:W219"/>
    <mergeCell ref="R220:W220"/>
    <mergeCell ref="R217:W217"/>
    <mergeCell ref="R218:W218"/>
    <mergeCell ref="R213:W213"/>
    <mergeCell ref="R214:W214"/>
    <mergeCell ref="R215:W215"/>
    <mergeCell ref="R216:W216"/>
    <mergeCell ref="D211:I211"/>
    <mergeCell ref="K211:Q211"/>
    <mergeCell ref="R211:W211"/>
    <mergeCell ref="R212:W212"/>
    <mergeCell ref="D209:I209"/>
    <mergeCell ref="K209:Q209"/>
    <mergeCell ref="R209:W209"/>
    <mergeCell ref="D210:I210"/>
    <mergeCell ref="K210:Q210"/>
    <mergeCell ref="R210:W210"/>
    <mergeCell ref="A206:B211"/>
    <mergeCell ref="D206:I206"/>
    <mergeCell ref="K206:Q206"/>
    <mergeCell ref="R206:W206"/>
    <mergeCell ref="D207:I207"/>
    <mergeCell ref="K207:Q207"/>
    <mergeCell ref="R207:W207"/>
    <mergeCell ref="D208:I208"/>
    <mergeCell ref="K208:Q208"/>
    <mergeCell ref="R208:W208"/>
    <mergeCell ref="C204:D204"/>
    <mergeCell ref="H204:L204"/>
    <mergeCell ref="N204:P204"/>
    <mergeCell ref="C205:D205"/>
    <mergeCell ref="H205:L205"/>
    <mergeCell ref="N205:P205"/>
    <mergeCell ref="C202:D202"/>
    <mergeCell ref="H202:L202"/>
    <mergeCell ref="N202:P202"/>
    <mergeCell ref="C203:D203"/>
    <mergeCell ref="H203:L203"/>
    <mergeCell ref="N203:P203"/>
    <mergeCell ref="C200:D200"/>
    <mergeCell ref="H200:L200"/>
    <mergeCell ref="N200:P200"/>
    <mergeCell ref="C201:D201"/>
    <mergeCell ref="H201:L201"/>
    <mergeCell ref="N201:P201"/>
    <mergeCell ref="C198:D198"/>
    <mergeCell ref="H198:L198"/>
    <mergeCell ref="N198:P198"/>
    <mergeCell ref="C199:D199"/>
    <mergeCell ref="H199:L199"/>
    <mergeCell ref="N199:P199"/>
    <mergeCell ref="C196:D196"/>
    <mergeCell ref="H196:L196"/>
    <mergeCell ref="N196:P196"/>
    <mergeCell ref="C197:D197"/>
    <mergeCell ref="H197:L197"/>
    <mergeCell ref="N197:P197"/>
    <mergeCell ref="C194:D194"/>
    <mergeCell ref="H194:L194"/>
    <mergeCell ref="N194:P194"/>
    <mergeCell ref="C195:D195"/>
    <mergeCell ref="H195:L195"/>
    <mergeCell ref="N195:P195"/>
    <mergeCell ref="C192:D192"/>
    <mergeCell ref="H192:L192"/>
    <mergeCell ref="N192:P192"/>
    <mergeCell ref="C193:D193"/>
    <mergeCell ref="H193:L193"/>
    <mergeCell ref="N193:P193"/>
    <mergeCell ref="C190:D190"/>
    <mergeCell ref="H190:L190"/>
    <mergeCell ref="N190:P190"/>
    <mergeCell ref="C191:D191"/>
    <mergeCell ref="H191:L191"/>
    <mergeCell ref="N191:P191"/>
    <mergeCell ref="C188:D188"/>
    <mergeCell ref="H188:L188"/>
    <mergeCell ref="N188:P188"/>
    <mergeCell ref="C189:D189"/>
    <mergeCell ref="H189:L189"/>
    <mergeCell ref="N189:P189"/>
    <mergeCell ref="C186:D186"/>
    <mergeCell ref="H186:L186"/>
    <mergeCell ref="N186:P186"/>
    <mergeCell ref="C187:D187"/>
    <mergeCell ref="H187:L187"/>
    <mergeCell ref="N187:P187"/>
    <mergeCell ref="C184:D184"/>
    <mergeCell ref="H184:L184"/>
    <mergeCell ref="N184:P184"/>
    <mergeCell ref="C185:D185"/>
    <mergeCell ref="H185:L185"/>
    <mergeCell ref="N185:P185"/>
    <mergeCell ref="C182:D182"/>
    <mergeCell ref="H182:L182"/>
    <mergeCell ref="N182:P182"/>
    <mergeCell ref="C183:D183"/>
    <mergeCell ref="H183:L183"/>
    <mergeCell ref="N183:P183"/>
    <mergeCell ref="C180:D180"/>
    <mergeCell ref="H180:L180"/>
    <mergeCell ref="N180:P180"/>
    <mergeCell ref="C181:D181"/>
    <mergeCell ref="H181:L181"/>
    <mergeCell ref="N181:P181"/>
    <mergeCell ref="C178:D178"/>
    <mergeCell ref="H178:L178"/>
    <mergeCell ref="N178:P178"/>
    <mergeCell ref="C179:D179"/>
    <mergeCell ref="H179:L179"/>
    <mergeCell ref="N179:P179"/>
    <mergeCell ref="C176:D176"/>
    <mergeCell ref="H176:L176"/>
    <mergeCell ref="N176:P176"/>
    <mergeCell ref="C177:D177"/>
    <mergeCell ref="H177:L177"/>
    <mergeCell ref="N177:P177"/>
    <mergeCell ref="C174:D174"/>
    <mergeCell ref="H174:L174"/>
    <mergeCell ref="N174:P174"/>
    <mergeCell ref="C175:D175"/>
    <mergeCell ref="H175:L175"/>
    <mergeCell ref="N175:P175"/>
    <mergeCell ref="C172:D172"/>
    <mergeCell ref="H172:L172"/>
    <mergeCell ref="N172:P172"/>
    <mergeCell ref="C173:D173"/>
    <mergeCell ref="H173:L173"/>
    <mergeCell ref="N173:P173"/>
    <mergeCell ref="C170:D170"/>
    <mergeCell ref="H170:L170"/>
    <mergeCell ref="N170:P170"/>
    <mergeCell ref="C171:D171"/>
    <mergeCell ref="H171:L171"/>
    <mergeCell ref="N171:P171"/>
    <mergeCell ref="C168:D168"/>
    <mergeCell ref="H168:L168"/>
    <mergeCell ref="N168:P168"/>
    <mergeCell ref="C169:D169"/>
    <mergeCell ref="H169:L169"/>
    <mergeCell ref="N169:P169"/>
    <mergeCell ref="C166:D166"/>
    <mergeCell ref="H166:L166"/>
    <mergeCell ref="N166:P166"/>
    <mergeCell ref="C167:D167"/>
    <mergeCell ref="H167:L167"/>
    <mergeCell ref="N167:P167"/>
    <mergeCell ref="C164:D164"/>
    <mergeCell ref="H164:L164"/>
    <mergeCell ref="N164:P164"/>
    <mergeCell ref="C165:D165"/>
    <mergeCell ref="H165:L165"/>
    <mergeCell ref="N165:P165"/>
    <mergeCell ref="C162:D162"/>
    <mergeCell ref="H162:L162"/>
    <mergeCell ref="N162:P162"/>
    <mergeCell ref="C163:D163"/>
    <mergeCell ref="H163:L163"/>
    <mergeCell ref="N163:P163"/>
    <mergeCell ref="C160:D160"/>
    <mergeCell ref="H160:L160"/>
    <mergeCell ref="N160:P160"/>
    <mergeCell ref="C161:D161"/>
    <mergeCell ref="H161:L161"/>
    <mergeCell ref="N161:P161"/>
    <mergeCell ref="C158:D158"/>
    <mergeCell ref="H158:L158"/>
    <mergeCell ref="N158:P158"/>
    <mergeCell ref="C159:D159"/>
    <mergeCell ref="H159:L159"/>
    <mergeCell ref="N159:P159"/>
    <mergeCell ref="C156:D156"/>
    <mergeCell ref="H156:L156"/>
    <mergeCell ref="N156:P156"/>
    <mergeCell ref="C157:D157"/>
    <mergeCell ref="H157:L157"/>
    <mergeCell ref="N157:P157"/>
    <mergeCell ref="C154:D154"/>
    <mergeCell ref="H154:L154"/>
    <mergeCell ref="N154:P154"/>
    <mergeCell ref="C155:D155"/>
    <mergeCell ref="H155:L155"/>
    <mergeCell ref="N155:P155"/>
    <mergeCell ref="C152:D152"/>
    <mergeCell ref="H152:L152"/>
    <mergeCell ref="N152:P152"/>
    <mergeCell ref="C153:D153"/>
    <mergeCell ref="H153:L153"/>
    <mergeCell ref="N153:P153"/>
    <mergeCell ref="C150:D150"/>
    <mergeCell ref="H150:L150"/>
    <mergeCell ref="N150:P150"/>
    <mergeCell ref="C151:D151"/>
    <mergeCell ref="H151:L151"/>
    <mergeCell ref="N151:P151"/>
    <mergeCell ref="C148:D148"/>
    <mergeCell ref="H148:L148"/>
    <mergeCell ref="N148:P148"/>
    <mergeCell ref="C149:D149"/>
    <mergeCell ref="H149:L149"/>
    <mergeCell ref="N149:P149"/>
    <mergeCell ref="C146:D146"/>
    <mergeCell ref="H146:L146"/>
    <mergeCell ref="N146:P146"/>
    <mergeCell ref="C147:D147"/>
    <mergeCell ref="H147:L147"/>
    <mergeCell ref="N147:P147"/>
    <mergeCell ref="C144:D144"/>
    <mergeCell ref="H144:L144"/>
    <mergeCell ref="N144:P144"/>
    <mergeCell ref="C145:D145"/>
    <mergeCell ref="H145:L145"/>
    <mergeCell ref="N145:P145"/>
    <mergeCell ref="C142:D142"/>
    <mergeCell ref="H142:L142"/>
    <mergeCell ref="N142:P142"/>
    <mergeCell ref="C143:D143"/>
    <mergeCell ref="H143:L143"/>
    <mergeCell ref="N143:P143"/>
    <mergeCell ref="C140:D140"/>
    <mergeCell ref="H140:L140"/>
    <mergeCell ref="N140:P140"/>
    <mergeCell ref="C141:D141"/>
    <mergeCell ref="H141:L141"/>
    <mergeCell ref="N141:P141"/>
    <mergeCell ref="C138:D138"/>
    <mergeCell ref="H138:L138"/>
    <mergeCell ref="N138:P138"/>
    <mergeCell ref="C139:D139"/>
    <mergeCell ref="H139:L139"/>
    <mergeCell ref="N139:P139"/>
    <mergeCell ref="C136:D136"/>
    <mergeCell ref="H136:L136"/>
    <mergeCell ref="N136:P136"/>
    <mergeCell ref="C137:D137"/>
    <mergeCell ref="H137:L137"/>
    <mergeCell ref="N137:P137"/>
    <mergeCell ref="C134:D134"/>
    <mergeCell ref="H134:L134"/>
    <mergeCell ref="N134:P134"/>
    <mergeCell ref="C135:D135"/>
    <mergeCell ref="H135:L135"/>
    <mergeCell ref="N135:P135"/>
    <mergeCell ref="C132:D132"/>
    <mergeCell ref="H132:L132"/>
    <mergeCell ref="N132:P132"/>
    <mergeCell ref="C133:D133"/>
    <mergeCell ref="H133:L133"/>
    <mergeCell ref="N133:P133"/>
    <mergeCell ref="C130:D130"/>
    <mergeCell ref="H130:L130"/>
    <mergeCell ref="N130:P130"/>
    <mergeCell ref="C131:D131"/>
    <mergeCell ref="H131:L131"/>
    <mergeCell ref="N131:P131"/>
    <mergeCell ref="C128:D128"/>
    <mergeCell ref="H128:L128"/>
    <mergeCell ref="N128:P128"/>
    <mergeCell ref="C129:D129"/>
    <mergeCell ref="H129:L129"/>
    <mergeCell ref="N129:P129"/>
    <mergeCell ref="C126:D126"/>
    <mergeCell ref="H126:L126"/>
    <mergeCell ref="N126:P126"/>
    <mergeCell ref="C127:D127"/>
    <mergeCell ref="H127:L127"/>
    <mergeCell ref="N127:P127"/>
    <mergeCell ref="C124:D124"/>
    <mergeCell ref="H124:L124"/>
    <mergeCell ref="N124:P124"/>
    <mergeCell ref="C125:D125"/>
    <mergeCell ref="H125:L125"/>
    <mergeCell ref="N125:P125"/>
    <mergeCell ref="C122:D122"/>
    <mergeCell ref="H122:L122"/>
    <mergeCell ref="N122:P122"/>
    <mergeCell ref="C123:D123"/>
    <mergeCell ref="H123:L123"/>
    <mergeCell ref="N123:P123"/>
    <mergeCell ref="C120:D120"/>
    <mergeCell ref="H120:L120"/>
    <mergeCell ref="N120:P120"/>
    <mergeCell ref="C121:D121"/>
    <mergeCell ref="H121:L121"/>
    <mergeCell ref="N121:P121"/>
    <mergeCell ref="C118:D118"/>
    <mergeCell ref="H118:L118"/>
    <mergeCell ref="N118:P118"/>
    <mergeCell ref="C119:D119"/>
    <mergeCell ref="H119:L119"/>
    <mergeCell ref="N119:P119"/>
    <mergeCell ref="C116:D116"/>
    <mergeCell ref="H116:L116"/>
    <mergeCell ref="N116:P116"/>
    <mergeCell ref="C117:D117"/>
    <mergeCell ref="H117:L117"/>
    <mergeCell ref="N117:P117"/>
    <mergeCell ref="C114:D114"/>
    <mergeCell ref="H114:L114"/>
    <mergeCell ref="N114:P114"/>
    <mergeCell ref="C115:D115"/>
    <mergeCell ref="H115:L115"/>
    <mergeCell ref="N115:P115"/>
    <mergeCell ref="C112:D112"/>
    <mergeCell ref="H112:L112"/>
    <mergeCell ref="N112:P112"/>
    <mergeCell ref="C113:D113"/>
    <mergeCell ref="H113:L113"/>
    <mergeCell ref="N113:P113"/>
    <mergeCell ref="C110:D110"/>
    <mergeCell ref="H110:L110"/>
    <mergeCell ref="N110:P110"/>
    <mergeCell ref="C111:D111"/>
    <mergeCell ref="H111:L111"/>
    <mergeCell ref="N111:P111"/>
    <mergeCell ref="C108:D108"/>
    <mergeCell ref="H108:L108"/>
    <mergeCell ref="N108:P108"/>
    <mergeCell ref="C109:D109"/>
    <mergeCell ref="H109:L109"/>
    <mergeCell ref="N109:P109"/>
    <mergeCell ref="C106:D106"/>
    <mergeCell ref="H106:L106"/>
    <mergeCell ref="N106:P106"/>
    <mergeCell ref="C107:D107"/>
    <mergeCell ref="H107:L107"/>
    <mergeCell ref="N107:P107"/>
    <mergeCell ref="C104:D104"/>
    <mergeCell ref="H104:L104"/>
    <mergeCell ref="N104:P104"/>
    <mergeCell ref="C105:D105"/>
    <mergeCell ref="H105:L105"/>
    <mergeCell ref="N105:P105"/>
    <mergeCell ref="C102:D102"/>
    <mergeCell ref="H102:L102"/>
    <mergeCell ref="N102:P102"/>
    <mergeCell ref="C103:D103"/>
    <mergeCell ref="H103:L103"/>
    <mergeCell ref="N103:P103"/>
    <mergeCell ref="C100:D100"/>
    <mergeCell ref="H100:L100"/>
    <mergeCell ref="N100:P100"/>
    <mergeCell ref="C101:D101"/>
    <mergeCell ref="H101:L101"/>
    <mergeCell ref="N101:P101"/>
    <mergeCell ref="C98:D98"/>
    <mergeCell ref="H98:L98"/>
    <mergeCell ref="N98:P98"/>
    <mergeCell ref="C99:D99"/>
    <mergeCell ref="H99:L99"/>
    <mergeCell ref="N99:P99"/>
    <mergeCell ref="C96:D96"/>
    <mergeCell ref="H96:L96"/>
    <mergeCell ref="N96:P96"/>
    <mergeCell ref="C97:D97"/>
    <mergeCell ref="H97:L97"/>
    <mergeCell ref="N97:P97"/>
    <mergeCell ref="C94:D94"/>
    <mergeCell ref="H94:L94"/>
    <mergeCell ref="N94:P94"/>
    <mergeCell ref="C95:D95"/>
    <mergeCell ref="H95:L95"/>
    <mergeCell ref="N95:P95"/>
    <mergeCell ref="C92:D92"/>
    <mergeCell ref="H92:L92"/>
    <mergeCell ref="N92:P92"/>
    <mergeCell ref="C93:D93"/>
    <mergeCell ref="H93:L93"/>
    <mergeCell ref="N93:P93"/>
    <mergeCell ref="C90:D90"/>
    <mergeCell ref="H90:L90"/>
    <mergeCell ref="N90:P90"/>
    <mergeCell ref="C91:D91"/>
    <mergeCell ref="H91:L91"/>
    <mergeCell ref="N91:P91"/>
    <mergeCell ref="C88:D88"/>
    <mergeCell ref="H88:L88"/>
    <mergeCell ref="N88:P88"/>
    <mergeCell ref="C89:D89"/>
    <mergeCell ref="H89:L89"/>
    <mergeCell ref="N89:P89"/>
    <mergeCell ref="C86:D86"/>
    <mergeCell ref="H86:L86"/>
    <mergeCell ref="N86:P86"/>
    <mergeCell ref="C87:D87"/>
    <mergeCell ref="H87:L87"/>
    <mergeCell ref="N87:P87"/>
    <mergeCell ref="C84:D84"/>
    <mergeCell ref="H84:L84"/>
    <mergeCell ref="N84:P84"/>
    <mergeCell ref="C85:D85"/>
    <mergeCell ref="H85:L85"/>
    <mergeCell ref="N85:P85"/>
    <mergeCell ref="C82:D82"/>
    <mergeCell ref="H82:L82"/>
    <mergeCell ref="N82:P82"/>
    <mergeCell ref="C83:D83"/>
    <mergeCell ref="H83:L83"/>
    <mergeCell ref="N83:P83"/>
    <mergeCell ref="C80:D80"/>
    <mergeCell ref="H80:L80"/>
    <mergeCell ref="N80:P80"/>
    <mergeCell ref="C81:D81"/>
    <mergeCell ref="H81:L81"/>
    <mergeCell ref="N81:P81"/>
    <mergeCell ref="C78:D78"/>
    <mergeCell ref="H78:L78"/>
    <mergeCell ref="N78:P78"/>
    <mergeCell ref="C79:D79"/>
    <mergeCell ref="H79:L79"/>
    <mergeCell ref="N79:P79"/>
    <mergeCell ref="C76:D76"/>
    <mergeCell ref="H76:L76"/>
    <mergeCell ref="N76:P76"/>
    <mergeCell ref="C77:D77"/>
    <mergeCell ref="H77:L77"/>
    <mergeCell ref="N77:P77"/>
    <mergeCell ref="C74:D74"/>
    <mergeCell ref="H74:L74"/>
    <mergeCell ref="N74:P74"/>
    <mergeCell ref="C75:D75"/>
    <mergeCell ref="H75:L75"/>
    <mergeCell ref="N75:P75"/>
    <mergeCell ref="C72:D72"/>
    <mergeCell ref="H72:L72"/>
    <mergeCell ref="N72:P72"/>
    <mergeCell ref="C73:D73"/>
    <mergeCell ref="H73:L73"/>
    <mergeCell ref="N73:P73"/>
    <mergeCell ref="C70:D70"/>
    <mergeCell ref="H70:L70"/>
    <mergeCell ref="N70:P70"/>
    <mergeCell ref="C71:D71"/>
    <mergeCell ref="H71:L71"/>
    <mergeCell ref="N71:P71"/>
    <mergeCell ref="C68:D68"/>
    <mergeCell ref="H68:L68"/>
    <mergeCell ref="N68:P68"/>
    <mergeCell ref="C69:D69"/>
    <mergeCell ref="H69:L69"/>
    <mergeCell ref="N69:P69"/>
    <mergeCell ref="C66:D66"/>
    <mergeCell ref="H66:L66"/>
    <mergeCell ref="N66:P66"/>
    <mergeCell ref="C67:D67"/>
    <mergeCell ref="H67:L67"/>
    <mergeCell ref="N67:P67"/>
    <mergeCell ref="C64:D64"/>
    <mergeCell ref="H64:L64"/>
    <mergeCell ref="N64:P64"/>
    <mergeCell ref="C65:D65"/>
    <mergeCell ref="H65:L65"/>
    <mergeCell ref="N65:P65"/>
    <mergeCell ref="C62:D62"/>
    <mergeCell ref="H62:L62"/>
    <mergeCell ref="N62:P62"/>
    <mergeCell ref="C63:D63"/>
    <mergeCell ref="H63:L63"/>
    <mergeCell ref="N63:P63"/>
    <mergeCell ref="C60:D60"/>
    <mergeCell ref="H60:L60"/>
    <mergeCell ref="N60:P60"/>
    <mergeCell ref="C61:D61"/>
    <mergeCell ref="H61:L61"/>
    <mergeCell ref="N61:P61"/>
    <mergeCell ref="C58:D58"/>
    <mergeCell ref="H58:L58"/>
    <mergeCell ref="N58:P58"/>
    <mergeCell ref="C59:D59"/>
    <mergeCell ref="H59:L59"/>
    <mergeCell ref="N59:P59"/>
    <mergeCell ref="C56:D56"/>
    <mergeCell ref="H56:L56"/>
    <mergeCell ref="N56:P56"/>
    <mergeCell ref="C57:D57"/>
    <mergeCell ref="H57:L57"/>
    <mergeCell ref="N57:P57"/>
    <mergeCell ref="C54:D54"/>
    <mergeCell ref="H54:L54"/>
    <mergeCell ref="N54:P54"/>
    <mergeCell ref="C55:D55"/>
    <mergeCell ref="H55:L55"/>
    <mergeCell ref="N55:P55"/>
    <mergeCell ref="C52:D52"/>
    <mergeCell ref="H52:L52"/>
    <mergeCell ref="N52:P52"/>
    <mergeCell ref="C53:D53"/>
    <mergeCell ref="H53:L53"/>
    <mergeCell ref="N53:P53"/>
    <mergeCell ref="C50:D50"/>
    <mergeCell ref="H50:L50"/>
    <mergeCell ref="N50:P50"/>
    <mergeCell ref="C51:D51"/>
    <mergeCell ref="H51:L51"/>
    <mergeCell ref="N51:P51"/>
    <mergeCell ref="C48:D48"/>
    <mergeCell ref="H48:L48"/>
    <mergeCell ref="N48:P48"/>
    <mergeCell ref="C49:D49"/>
    <mergeCell ref="H49:L49"/>
    <mergeCell ref="N49:P49"/>
    <mergeCell ref="C46:D46"/>
    <mergeCell ref="H46:L46"/>
    <mergeCell ref="N46:P46"/>
    <mergeCell ref="C47:D47"/>
    <mergeCell ref="H47:L47"/>
    <mergeCell ref="N47:P47"/>
    <mergeCell ref="C44:D44"/>
    <mergeCell ref="H44:L44"/>
    <mergeCell ref="N44:P44"/>
    <mergeCell ref="C45:D45"/>
    <mergeCell ref="H45:L45"/>
    <mergeCell ref="N45:P45"/>
    <mergeCell ref="C42:D42"/>
    <mergeCell ref="H42:L42"/>
    <mergeCell ref="N42:P42"/>
    <mergeCell ref="C43:D43"/>
    <mergeCell ref="H43:L43"/>
    <mergeCell ref="N43:P43"/>
    <mergeCell ref="C40:D40"/>
    <mergeCell ref="H40:L40"/>
    <mergeCell ref="N40:P40"/>
    <mergeCell ref="C41:D41"/>
    <mergeCell ref="H41:L41"/>
    <mergeCell ref="N41:P41"/>
    <mergeCell ref="C38:D38"/>
    <mergeCell ref="H38:L38"/>
    <mergeCell ref="N38:P38"/>
    <mergeCell ref="C39:D39"/>
    <mergeCell ref="H39:L39"/>
    <mergeCell ref="N39:P39"/>
    <mergeCell ref="C36:D36"/>
    <mergeCell ref="H36:L36"/>
    <mergeCell ref="N36:P36"/>
    <mergeCell ref="C37:D37"/>
    <mergeCell ref="H37:L37"/>
    <mergeCell ref="N37:P37"/>
    <mergeCell ref="C34:D34"/>
    <mergeCell ref="H34:L34"/>
    <mergeCell ref="N34:P34"/>
    <mergeCell ref="C35:D35"/>
    <mergeCell ref="H35:L35"/>
    <mergeCell ref="N35:P35"/>
    <mergeCell ref="C32:D32"/>
    <mergeCell ref="H32:L32"/>
    <mergeCell ref="N32:P32"/>
    <mergeCell ref="C33:D33"/>
    <mergeCell ref="H33:L33"/>
    <mergeCell ref="N33:P33"/>
    <mergeCell ref="C30:D30"/>
    <mergeCell ref="H30:L30"/>
    <mergeCell ref="N30:P30"/>
    <mergeCell ref="C31:D31"/>
    <mergeCell ref="H31:L31"/>
    <mergeCell ref="N31:P31"/>
    <mergeCell ref="C28:D28"/>
    <mergeCell ref="H28:L28"/>
    <mergeCell ref="N28:P28"/>
    <mergeCell ref="C29:D29"/>
    <mergeCell ref="H29:L29"/>
    <mergeCell ref="N29:P29"/>
    <mergeCell ref="C26:D26"/>
    <mergeCell ref="H26:L26"/>
    <mergeCell ref="N26:P26"/>
    <mergeCell ref="C27:D27"/>
    <mergeCell ref="H27:L27"/>
    <mergeCell ref="N27:P27"/>
    <mergeCell ref="C24:D24"/>
    <mergeCell ref="H24:L24"/>
    <mergeCell ref="N24:P24"/>
    <mergeCell ref="C25:D25"/>
    <mergeCell ref="H25:L25"/>
    <mergeCell ref="N25:P25"/>
    <mergeCell ref="C22:D22"/>
    <mergeCell ref="H22:L22"/>
    <mergeCell ref="N22:P22"/>
    <mergeCell ref="C23:D23"/>
    <mergeCell ref="H23:L23"/>
    <mergeCell ref="N23:P23"/>
    <mergeCell ref="C20:D20"/>
    <mergeCell ref="H20:L20"/>
    <mergeCell ref="N20:P20"/>
    <mergeCell ref="C21:D21"/>
    <mergeCell ref="H21:L21"/>
    <mergeCell ref="N21:P21"/>
    <mergeCell ref="C18:D18"/>
    <mergeCell ref="H18:L18"/>
    <mergeCell ref="N18:P18"/>
    <mergeCell ref="C19:D19"/>
    <mergeCell ref="H19:L19"/>
    <mergeCell ref="N19:P19"/>
    <mergeCell ref="C16:D16"/>
    <mergeCell ref="H16:L16"/>
    <mergeCell ref="N16:P16"/>
    <mergeCell ref="C17:D17"/>
    <mergeCell ref="H17:L17"/>
    <mergeCell ref="N17:P17"/>
    <mergeCell ref="C14:D14"/>
    <mergeCell ref="H14:L14"/>
    <mergeCell ref="N14:P14"/>
    <mergeCell ref="C15:D15"/>
    <mergeCell ref="H15:L15"/>
    <mergeCell ref="N15:P15"/>
    <mergeCell ref="C11:D11"/>
    <mergeCell ref="H11:L11"/>
    <mergeCell ref="N11:P11"/>
    <mergeCell ref="C12:D12"/>
    <mergeCell ref="H12:L12"/>
    <mergeCell ref="N12:P12"/>
    <mergeCell ref="R12:W13"/>
    <mergeCell ref="C13:D13"/>
    <mergeCell ref="H13:L13"/>
    <mergeCell ref="N13:P13"/>
    <mergeCell ref="C9:D9"/>
    <mergeCell ref="H9:L9"/>
    <mergeCell ref="N9:P9"/>
    <mergeCell ref="C10:D10"/>
    <mergeCell ref="H10:L10"/>
    <mergeCell ref="N10:P10"/>
    <mergeCell ref="C7:D7"/>
    <mergeCell ref="H7:L7"/>
    <mergeCell ref="N7:P7"/>
    <mergeCell ref="C8:D8"/>
    <mergeCell ref="H8:L8"/>
    <mergeCell ref="N8:P8"/>
    <mergeCell ref="C6:D6"/>
    <mergeCell ref="H6:L6"/>
    <mergeCell ref="N6:P6"/>
    <mergeCell ref="N3:O3"/>
    <mergeCell ref="N4:P5"/>
    <mergeCell ref="H4:L5"/>
    <mergeCell ref="M4:M5"/>
    <mergeCell ref="Q4:Q5"/>
    <mergeCell ref="R5:T5"/>
    <mergeCell ref="A4:A5"/>
    <mergeCell ref="B4:B5"/>
    <mergeCell ref="C4:D5"/>
    <mergeCell ref="E4:G4"/>
    <mergeCell ref="A1:Q1"/>
    <mergeCell ref="A2:D2"/>
    <mergeCell ref="E2:H2"/>
    <mergeCell ref="J2:L2"/>
    <mergeCell ref="N2:O2"/>
    <mergeCell ref="P2:P3"/>
    <mergeCell ref="Q2:Q3"/>
    <mergeCell ref="A3:D3"/>
    <mergeCell ref="E3:H3"/>
    <mergeCell ref="J3:L3"/>
  </mergeCells>
  <phoneticPr fontId="51" type="noConversion"/>
  <dataValidations count="1">
    <dataValidation allowBlank="1" showErrorMessage="1" sqref="J2:L2">
      <formula1>0</formula1>
      <formula2>0</formula2>
    </dataValidation>
  </dataValidations>
  <hyperlinks>
    <hyperlink ref="R6" location="其他事项!B18" display="其他事项!B18"/>
    <hyperlink ref="R7" location="工资福利!A1" display="工资福利!A1"/>
    <hyperlink ref="R8" location="招待!A1" display="招待!A1"/>
    <hyperlink ref="R9" location="社保明细工资人数!A1" display="社保明细工资人数"/>
    <hyperlink ref="R10" location="纳税调整明细表!E45" display="纳税调整明细表!E45"/>
    <hyperlink ref="R11" location="事项说明!B55" display="事项说明!B55"/>
  </hyperlinks>
  <pageMargins left="0.78740157480314998" right="0.35433070866141703" top="0.511811023622047" bottom="0.11811023622047198" header="0.511811023622047" footer="0.511811023622047"/>
  <pageSetup paperSize="9" scale="95" firstPageNumber="0" orientation="landscape" blackAndWhite="1" r:id="rId1"/>
  <headerFooter alignWithMargins="0"/>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1"/>
  <dimension ref="B1:F19"/>
  <sheetViews>
    <sheetView workbookViewId="0">
      <selection activeCell="B12" sqref="B12"/>
    </sheetView>
  </sheetViews>
  <sheetFormatPr defaultColWidth="9" defaultRowHeight="15.6"/>
  <cols>
    <col min="1" max="1" width="9" style="407"/>
    <col min="2" max="2" width="107.59765625" style="408" customWidth="1"/>
    <col min="3" max="16384" width="9" style="407"/>
  </cols>
  <sheetData>
    <row r="1" spans="2:6" ht="48.75" customHeight="1">
      <c r="C1" s="409"/>
      <c r="D1" s="409"/>
    </row>
    <row r="2" spans="2:6" ht="15" customHeight="1">
      <c r="C2" s="409"/>
      <c r="D2" s="409"/>
    </row>
    <row r="3" spans="2:6" ht="30.75" customHeight="1">
      <c r="B3" s="410" t="s">
        <v>594</v>
      </c>
      <c r="C3" s="409"/>
      <c r="D3" s="409"/>
      <c r="E3" s="409"/>
    </row>
    <row r="4" spans="2:6" ht="37.5" customHeight="1">
      <c r="B4" s="408" t="s">
        <v>595</v>
      </c>
      <c r="C4" s="411"/>
      <c r="D4" s="411"/>
      <c r="E4" s="411"/>
      <c r="F4" s="411"/>
    </row>
    <row r="5" spans="2:6">
      <c r="B5" s="408" t="s">
        <v>596</v>
      </c>
      <c r="C5" s="411"/>
      <c r="D5" s="411"/>
      <c r="E5" s="411"/>
      <c r="F5" s="411"/>
    </row>
    <row r="6" spans="2:6">
      <c r="C6" s="411"/>
      <c r="D6" s="411"/>
      <c r="E6" s="411"/>
      <c r="F6" s="411"/>
    </row>
    <row r="7" spans="2:6" ht="31.5" customHeight="1">
      <c r="B7" s="412" t="s">
        <v>597</v>
      </c>
      <c r="C7" s="411"/>
      <c r="D7" s="411"/>
      <c r="E7" s="411"/>
      <c r="F7" s="411"/>
    </row>
    <row r="8" spans="2:6">
      <c r="B8" s="413" t="s">
        <v>598</v>
      </c>
      <c r="C8" s="411"/>
      <c r="D8" s="411"/>
      <c r="E8" s="411"/>
      <c r="F8" s="411"/>
    </row>
    <row r="9" spans="2:6">
      <c r="B9" s="414" t="s">
        <v>599</v>
      </c>
      <c r="C9" s="411"/>
      <c r="D9" s="411"/>
      <c r="E9" s="411"/>
      <c r="F9" s="411"/>
    </row>
    <row r="10" spans="2:6">
      <c r="B10" s="415" t="s">
        <v>600</v>
      </c>
      <c r="C10" s="411"/>
      <c r="D10" s="411"/>
      <c r="E10" s="411"/>
      <c r="F10" s="411"/>
    </row>
    <row r="11" spans="2:6">
      <c r="B11" s="416" t="s">
        <v>601</v>
      </c>
      <c r="C11" s="411"/>
      <c r="D11" s="411"/>
      <c r="E11" s="411"/>
      <c r="F11" s="411"/>
    </row>
    <row r="12" spans="2:6">
      <c r="B12" s="417" t="s">
        <v>602</v>
      </c>
      <c r="C12" s="411"/>
      <c r="D12" s="411"/>
      <c r="E12" s="411"/>
      <c r="F12" s="411"/>
    </row>
    <row r="13" spans="2:6">
      <c r="B13" s="418" t="s">
        <v>603</v>
      </c>
      <c r="C13" s="411"/>
      <c r="D13" s="411"/>
      <c r="E13" s="411"/>
      <c r="F13" s="411"/>
    </row>
    <row r="14" spans="2:6">
      <c r="B14" s="419" t="s">
        <v>604</v>
      </c>
      <c r="C14" s="411"/>
      <c r="D14" s="411"/>
      <c r="E14" s="411"/>
      <c r="F14" s="411"/>
    </row>
    <row r="15" spans="2:6">
      <c r="B15" s="420"/>
      <c r="C15" s="411"/>
      <c r="D15" s="411"/>
      <c r="E15" s="411"/>
      <c r="F15" s="411"/>
    </row>
    <row r="16" spans="2:6" ht="26.25" customHeight="1">
      <c r="B16" s="412" t="s">
        <v>605</v>
      </c>
      <c r="C16" s="411"/>
      <c r="D16" s="411"/>
      <c r="E16" s="411"/>
      <c r="F16" s="411"/>
    </row>
    <row r="17" spans="2:6">
      <c r="B17" s="421" t="s">
        <v>606</v>
      </c>
      <c r="C17" s="411"/>
      <c r="D17" s="411"/>
      <c r="E17" s="411"/>
      <c r="F17" s="411"/>
    </row>
    <row r="18" spans="2:6" ht="31.2">
      <c r="B18" s="408" t="s">
        <v>607</v>
      </c>
    </row>
    <row r="19" spans="2:6">
      <c r="B19" s="408" t="s">
        <v>608</v>
      </c>
    </row>
  </sheetData>
  <sheetProtection selectLockedCells="1" selectUnlockedCells="1"/>
  <phoneticPr fontId="51" type="noConversion"/>
  <hyperlinks>
    <hyperlink ref="B17" location="基本情况!A1" display="    1、填表顺序最好先从“基本情况”工作表填起，而后利润表、损益类底稿、凭证抽查、调整类底稿，各相关底稿填列后审核报告基本自动生成。"/>
  </hyperlinks>
  <pageMargins left="0.78740157480314998" right="0.35433070866141703" top="0.511811023622047" bottom="0.11811023622047198" header="0.511811023622047" footer="0.511811023622047"/>
  <pageSetup paperSize="9" firstPageNumber="0" orientation="landscape" r:id="rId1"/>
  <headerFooter alignWithMargins="0"/>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2"/>
  <dimension ref="A1:M47"/>
  <sheetViews>
    <sheetView workbookViewId="0">
      <selection activeCell="H21" sqref="H21"/>
    </sheetView>
  </sheetViews>
  <sheetFormatPr defaultColWidth="9" defaultRowHeight="20.100000000000001" customHeight="1"/>
  <cols>
    <col min="1" max="1" width="24.09765625" style="422" customWidth="1"/>
    <col min="2" max="2" width="5.59765625" style="422" customWidth="1"/>
    <col min="3" max="4" width="15.59765625" style="423" customWidth="1"/>
    <col min="5" max="5" width="27.5" style="422" customWidth="1"/>
    <col min="6" max="6" width="5.59765625" style="422" customWidth="1"/>
    <col min="7" max="8" width="15.59765625" style="423" customWidth="1"/>
    <col min="9" max="9" width="25.8984375" style="424" customWidth="1"/>
    <col min="10" max="16384" width="9" style="424"/>
  </cols>
  <sheetData>
    <row r="1" spans="1:13" ht="22.5" customHeight="1">
      <c r="A1" s="425"/>
      <c r="B1" s="3049" t="s">
        <v>609</v>
      </c>
      <c r="C1" s="3049"/>
      <c r="D1" s="3049"/>
      <c r="E1" s="3049"/>
      <c r="F1" s="3049"/>
      <c r="G1" s="3049"/>
      <c r="H1" s="426" t="s">
        <v>1552</v>
      </c>
      <c r="I1" s="427"/>
      <c r="J1" s="58"/>
      <c r="K1" s="58"/>
      <c r="L1" s="58"/>
      <c r="M1" s="58"/>
    </row>
    <row r="2" spans="1:13" ht="18" customHeight="1">
      <c r="A2" s="3050" t="str">
        <f>"编制单位："&amp;基本情况!B2</f>
        <v>编制单位：0</v>
      </c>
      <c r="B2" s="3050"/>
      <c r="C2" s="3050"/>
      <c r="D2" s="3051" t="str">
        <f>本年度&amp;"年"&amp;截止月&amp;"月"&amp;截止日&amp;"日"</f>
        <v>2016年12月31日</v>
      </c>
      <c r="E2" s="3051"/>
      <c r="F2" s="428"/>
      <c r="G2" s="2298" t="s">
        <v>6904</v>
      </c>
      <c r="H2" s="429" t="s">
        <v>610</v>
      </c>
      <c r="I2" s="427"/>
      <c r="J2" s="58"/>
      <c r="K2" s="58"/>
      <c r="L2" s="58"/>
      <c r="M2" s="58"/>
    </row>
    <row r="3" spans="1:13" s="435" customFormat="1" ht="18" customHeight="1">
      <c r="A3" s="430" t="s">
        <v>611</v>
      </c>
      <c r="B3" s="431" t="s">
        <v>612</v>
      </c>
      <c r="C3" s="432" t="s">
        <v>6902</v>
      </c>
      <c r="D3" s="432" t="s">
        <v>614</v>
      </c>
      <c r="E3" s="431" t="s">
        <v>6903</v>
      </c>
      <c r="F3" s="431" t="s">
        <v>612</v>
      </c>
      <c r="G3" s="432" t="s">
        <v>613</v>
      </c>
      <c r="H3" s="433" t="s">
        <v>614</v>
      </c>
      <c r="I3" s="427"/>
      <c r="J3" s="434"/>
      <c r="K3" s="434"/>
      <c r="L3" s="434"/>
      <c r="M3" s="434"/>
    </row>
    <row r="4" spans="1:13" s="435" customFormat="1" ht="15.75" customHeight="1">
      <c r="A4" s="436" t="s">
        <v>615</v>
      </c>
      <c r="B4" s="437"/>
      <c r="C4" s="438"/>
      <c r="D4" s="438"/>
      <c r="E4" s="2297" t="s">
        <v>616</v>
      </c>
      <c r="F4" s="437"/>
      <c r="G4" s="438"/>
      <c r="H4" s="439"/>
      <c r="I4" s="427"/>
      <c r="J4" s="434"/>
      <c r="K4" s="434"/>
      <c r="L4" s="434"/>
      <c r="M4" s="434"/>
    </row>
    <row r="5" spans="1:13" s="435" customFormat="1" ht="15.75" customHeight="1">
      <c r="A5" s="440" t="s">
        <v>617</v>
      </c>
      <c r="B5" s="437">
        <v>1</v>
      </c>
      <c r="C5" s="1096"/>
      <c r="D5" s="1096"/>
      <c r="E5" s="441" t="s">
        <v>618</v>
      </c>
      <c r="F5" s="437">
        <v>31</v>
      </c>
      <c r="G5" s="1097"/>
      <c r="H5" s="1099"/>
      <c r="I5" s="58" t="s">
        <v>396</v>
      </c>
      <c r="J5" s="434"/>
      <c r="K5" s="434"/>
      <c r="L5" s="434"/>
      <c r="M5" s="434"/>
    </row>
    <row r="6" spans="1:13" s="435" customFormat="1" ht="15.75" customHeight="1">
      <c r="A6" s="436" t="s">
        <v>619</v>
      </c>
      <c r="B6" s="437">
        <v>2</v>
      </c>
      <c r="C6" s="1097"/>
      <c r="D6" s="1097"/>
      <c r="E6" s="441" t="s">
        <v>6900</v>
      </c>
      <c r="F6" s="437">
        <v>32</v>
      </c>
      <c r="G6" s="1097"/>
      <c r="H6" s="1099"/>
      <c r="I6" s="442" t="s">
        <v>620</v>
      </c>
      <c r="J6" s="434"/>
      <c r="K6" s="434"/>
      <c r="L6" s="434"/>
      <c r="M6" s="434"/>
    </row>
    <row r="7" spans="1:13" s="435" customFormat="1" ht="15.75" customHeight="1">
      <c r="A7" s="436" t="s">
        <v>621</v>
      </c>
      <c r="B7" s="437">
        <v>3</v>
      </c>
      <c r="C7" s="1097"/>
      <c r="D7" s="1097"/>
      <c r="E7" s="443" t="s">
        <v>622</v>
      </c>
      <c r="F7" s="437">
        <v>33</v>
      </c>
      <c r="G7" s="1097"/>
      <c r="H7" s="1099"/>
      <c r="I7" s="434"/>
      <c r="J7" s="434"/>
      <c r="K7" s="434"/>
      <c r="L7" s="434"/>
      <c r="M7" s="434"/>
    </row>
    <row r="8" spans="1:13" s="435" customFormat="1" ht="15.75" customHeight="1">
      <c r="A8" s="440" t="s">
        <v>624</v>
      </c>
      <c r="B8" s="437">
        <v>4</v>
      </c>
      <c r="C8" s="1097"/>
      <c r="D8" s="1097"/>
      <c r="E8" s="443" t="s">
        <v>623</v>
      </c>
      <c r="F8" s="437">
        <v>34</v>
      </c>
      <c r="G8" s="1097"/>
      <c r="H8" s="1099"/>
      <c r="I8" s="2455" t="s">
        <v>7155</v>
      </c>
      <c r="J8" s="2455" t="s">
        <v>7156</v>
      </c>
      <c r="K8" s="434"/>
      <c r="L8" s="434"/>
      <c r="M8" s="434"/>
    </row>
    <row r="9" spans="1:13" s="435" customFormat="1" ht="15.75" customHeight="1">
      <c r="A9" s="440" t="s">
        <v>625</v>
      </c>
      <c r="B9" s="437">
        <v>5</v>
      </c>
      <c r="C9" s="1097"/>
      <c r="D9" s="1097"/>
      <c r="E9" s="443" t="s">
        <v>6898</v>
      </c>
      <c r="F9" s="437">
        <v>35</v>
      </c>
      <c r="G9" s="1098"/>
      <c r="H9" s="1099"/>
      <c r="I9" s="2456"/>
      <c r="J9" s="2455" t="s">
        <v>7157</v>
      </c>
      <c r="K9" s="434"/>
      <c r="L9" s="434"/>
      <c r="M9" s="434"/>
    </row>
    <row r="10" spans="1:13" s="435" customFormat="1" ht="15.75" customHeight="1">
      <c r="A10" s="2296" t="s">
        <v>6896</v>
      </c>
      <c r="B10" s="437">
        <v>6</v>
      </c>
      <c r="C10" s="1101"/>
      <c r="D10" s="1097"/>
      <c r="E10" s="443" t="s">
        <v>6899</v>
      </c>
      <c r="F10" s="437">
        <v>36</v>
      </c>
      <c r="G10" s="1098"/>
      <c r="H10" s="1099"/>
      <c r="I10" s="2457"/>
      <c r="J10" s="2455" t="s">
        <v>7158</v>
      </c>
      <c r="K10" s="434"/>
      <c r="L10" s="434"/>
      <c r="M10" s="434"/>
    </row>
    <row r="11" spans="1:13" s="435" customFormat="1" ht="15.75" customHeight="1">
      <c r="A11" s="2296" t="s">
        <v>6897</v>
      </c>
      <c r="B11" s="437">
        <v>7</v>
      </c>
      <c r="C11" s="1101"/>
      <c r="D11" s="1097"/>
      <c r="E11" s="2313" t="s">
        <v>6901</v>
      </c>
      <c r="F11" s="437">
        <v>37</v>
      </c>
      <c r="G11" s="1098"/>
      <c r="H11" s="1099"/>
      <c r="I11" s="2457"/>
      <c r="J11" s="2455" t="s">
        <v>7159</v>
      </c>
      <c r="K11" s="434"/>
      <c r="L11" s="434"/>
      <c r="M11" s="434"/>
    </row>
    <row r="12" spans="1:13" s="435" customFormat="1" ht="15.75" customHeight="1">
      <c r="A12" s="440" t="s">
        <v>626</v>
      </c>
      <c r="B12" s="437">
        <v>8</v>
      </c>
      <c r="C12" s="1097"/>
      <c r="D12" s="1097"/>
      <c r="E12" s="441" t="s">
        <v>627</v>
      </c>
      <c r="F12" s="437">
        <v>38</v>
      </c>
      <c r="G12" s="1098"/>
      <c r="H12" s="1099"/>
      <c r="I12" s="2457"/>
      <c r="J12" s="2455" t="s">
        <v>7160</v>
      </c>
      <c r="K12" s="434"/>
      <c r="L12" s="434"/>
      <c r="M12" s="434"/>
    </row>
    <row r="13" spans="1:13" s="435" customFormat="1" ht="15.75" customHeight="1">
      <c r="A13" s="440" t="s">
        <v>628</v>
      </c>
      <c r="B13" s="437">
        <v>9</v>
      </c>
      <c r="C13" s="1097"/>
      <c r="D13" s="1097"/>
      <c r="E13" s="443" t="s">
        <v>6966</v>
      </c>
      <c r="F13" s="437">
        <v>39</v>
      </c>
      <c r="G13" s="1098"/>
      <c r="H13" s="1099"/>
      <c r="I13" s="2457"/>
      <c r="J13" s="2455" t="s">
        <v>7161</v>
      </c>
      <c r="K13" s="434"/>
      <c r="L13" s="434"/>
      <c r="M13" s="434"/>
    </row>
    <row r="14" spans="1:13" s="435" customFormat="1" ht="15.75" customHeight="1">
      <c r="A14" s="2296" t="s">
        <v>6933</v>
      </c>
      <c r="B14" s="437">
        <v>10</v>
      </c>
      <c r="C14" s="1097"/>
      <c r="D14" s="1097"/>
      <c r="E14" s="441" t="s">
        <v>631</v>
      </c>
      <c r="F14" s="437">
        <v>40</v>
      </c>
      <c r="G14" s="1098"/>
      <c r="H14" s="1099"/>
      <c r="I14" s="2457"/>
      <c r="J14" s="2455" t="s">
        <v>7162</v>
      </c>
      <c r="K14" s="434"/>
      <c r="L14" s="434"/>
      <c r="M14" s="434"/>
    </row>
    <row r="15" spans="1:13" s="435" customFormat="1" ht="15.75" customHeight="1">
      <c r="A15" s="2296" t="s">
        <v>6934</v>
      </c>
      <c r="B15" s="437">
        <v>11</v>
      </c>
      <c r="C15" s="1097"/>
      <c r="D15" s="1097"/>
      <c r="E15" s="437"/>
      <c r="F15" s="437"/>
      <c r="G15" s="2429"/>
      <c r="H15" s="2308"/>
      <c r="I15" s="2457"/>
      <c r="J15" s="2455" t="s">
        <v>7163</v>
      </c>
      <c r="K15" s="434"/>
      <c r="L15" s="434"/>
      <c r="M15" s="434"/>
    </row>
    <row r="16" spans="1:13" s="435" customFormat="1" ht="15.75" customHeight="1">
      <c r="A16" s="2303" t="s">
        <v>6935</v>
      </c>
      <c r="B16" s="437">
        <v>12</v>
      </c>
      <c r="C16" s="1097"/>
      <c r="D16" s="1097"/>
      <c r="E16" s="1258"/>
      <c r="F16" s="437"/>
      <c r="G16" s="2428"/>
      <c r="H16" s="2308"/>
      <c r="I16" s="2457"/>
      <c r="J16" s="2455" t="s">
        <v>7164</v>
      </c>
      <c r="K16" s="434"/>
      <c r="L16" s="434"/>
      <c r="M16" s="434"/>
    </row>
    <row r="17" spans="1:13" s="435" customFormat="1" ht="15.75" customHeight="1">
      <c r="A17" s="436" t="s">
        <v>6936</v>
      </c>
      <c r="B17" s="437">
        <v>13</v>
      </c>
      <c r="C17" s="1097"/>
      <c r="D17" s="1097"/>
      <c r="E17" s="443"/>
      <c r="F17" s="437"/>
      <c r="G17" s="2429"/>
      <c r="H17" s="2308"/>
      <c r="I17" s="2457"/>
      <c r="J17" s="2455" t="s">
        <v>7165</v>
      </c>
      <c r="K17" s="434"/>
      <c r="L17" s="434"/>
      <c r="M17" s="434"/>
    </row>
    <row r="18" spans="1:13" s="435" customFormat="1" ht="15.75" customHeight="1">
      <c r="A18" s="436" t="s">
        <v>629</v>
      </c>
      <c r="B18" s="437">
        <v>14</v>
      </c>
      <c r="C18" s="1097"/>
      <c r="D18" s="1097"/>
      <c r="E18" s="444"/>
      <c r="F18" s="437"/>
      <c r="G18" s="2430"/>
      <c r="H18" s="2308"/>
      <c r="I18" s="2457"/>
      <c r="J18" s="2455" t="s">
        <v>7166</v>
      </c>
      <c r="K18" s="434"/>
      <c r="L18" s="434"/>
      <c r="M18" s="434"/>
    </row>
    <row r="19" spans="1:13" s="435" customFormat="1" ht="15.75" customHeight="1">
      <c r="A19" s="445" t="s">
        <v>630</v>
      </c>
      <c r="B19" s="437">
        <v>15</v>
      </c>
      <c r="C19" s="446">
        <f>SUM(C5:C13)+C18</f>
        <v>0</v>
      </c>
      <c r="D19" s="446">
        <f>SUM(D5:D13)+D18</f>
        <v>0</v>
      </c>
      <c r="E19" s="437" t="s">
        <v>633</v>
      </c>
      <c r="F19" s="437">
        <v>41</v>
      </c>
      <c r="G19" s="2424">
        <f>SUM(G5:G18)</f>
        <v>0</v>
      </c>
      <c r="H19" s="2425">
        <f>SUM(H5:H18)</f>
        <v>0</v>
      </c>
      <c r="I19" s="2457"/>
      <c r="J19" s="2455" t="s">
        <v>7167</v>
      </c>
      <c r="K19" s="434"/>
      <c r="L19" s="434"/>
      <c r="M19" s="434"/>
    </row>
    <row r="20" spans="1:13" s="435" customFormat="1" ht="15.75" customHeight="1">
      <c r="A20" s="2299" t="s">
        <v>6905</v>
      </c>
      <c r="B20" s="437"/>
      <c r="C20" s="441"/>
      <c r="D20" s="441"/>
      <c r="E20" s="441" t="s">
        <v>6912</v>
      </c>
      <c r="F20" s="437"/>
      <c r="G20" s="2300"/>
      <c r="H20" s="444"/>
      <c r="I20" s="2458">
        <f>SUM(I9:I19)</f>
        <v>0</v>
      </c>
      <c r="J20" s="434"/>
      <c r="K20" s="434"/>
      <c r="L20" s="434"/>
      <c r="M20" s="434"/>
    </row>
    <row r="21" spans="1:13" s="435" customFormat="1" ht="15.75" customHeight="1">
      <c r="A21" s="436" t="s">
        <v>6906</v>
      </c>
      <c r="B21" s="437">
        <v>16</v>
      </c>
      <c r="C21" s="1097"/>
      <c r="D21" s="1097"/>
      <c r="E21" s="441" t="s">
        <v>634</v>
      </c>
      <c r="F21" s="437">
        <v>42</v>
      </c>
      <c r="G21" s="1097"/>
      <c r="H21" s="1099"/>
      <c r="I21" s="434"/>
      <c r="J21" s="434"/>
      <c r="K21" s="434"/>
      <c r="L21" s="434"/>
      <c r="M21" s="434"/>
    </row>
    <row r="22" spans="1:13" s="435" customFormat="1" ht="15.75" customHeight="1">
      <c r="A22" s="436" t="s">
        <v>632</v>
      </c>
      <c r="B22" s="437">
        <v>17</v>
      </c>
      <c r="C22" s="1098"/>
      <c r="D22" s="1097"/>
      <c r="E22" s="441" t="s">
        <v>7047</v>
      </c>
      <c r="F22" s="437">
        <v>43</v>
      </c>
      <c r="G22" s="1097"/>
      <c r="H22" s="1099"/>
      <c r="I22" s="434"/>
      <c r="J22" s="434"/>
      <c r="K22" s="434"/>
      <c r="L22" s="434"/>
      <c r="M22" s="434"/>
    </row>
    <row r="23" spans="1:13" s="435" customFormat="1" ht="15.75" customHeight="1">
      <c r="A23" s="440" t="s">
        <v>635</v>
      </c>
      <c r="B23" s="437">
        <v>18</v>
      </c>
      <c r="C23" s="1098"/>
      <c r="D23" s="1098"/>
      <c r="E23" s="441" t="s">
        <v>6913</v>
      </c>
      <c r="F23" s="437">
        <v>44</v>
      </c>
      <c r="G23" s="1097"/>
      <c r="H23" s="1099"/>
      <c r="I23" s="434"/>
      <c r="J23" s="434"/>
      <c r="K23" s="434"/>
      <c r="L23" s="434"/>
      <c r="M23" s="434"/>
    </row>
    <row r="24" spans="1:13" s="435" customFormat="1" ht="15.75" customHeight="1">
      <c r="A24" s="440" t="s">
        <v>636</v>
      </c>
      <c r="B24" s="437">
        <v>19</v>
      </c>
      <c r="C24" s="1097"/>
      <c r="D24" s="1097"/>
      <c r="E24" s="441" t="s">
        <v>6914</v>
      </c>
      <c r="F24" s="437">
        <v>45</v>
      </c>
      <c r="G24" s="1098"/>
      <c r="H24" s="1099"/>
      <c r="I24" s="434"/>
      <c r="J24" s="434"/>
      <c r="K24" s="434"/>
      <c r="L24" s="434"/>
      <c r="M24" s="434"/>
    </row>
    <row r="25" spans="1:13" s="435" customFormat="1" ht="15.75" customHeight="1">
      <c r="A25" s="2296" t="s">
        <v>6907</v>
      </c>
      <c r="B25" s="437">
        <v>20</v>
      </c>
      <c r="C25" s="446">
        <f>C23-C24</f>
        <v>0</v>
      </c>
      <c r="D25" s="446">
        <f>D23-D24</f>
        <v>0</v>
      </c>
      <c r="E25" s="445" t="s">
        <v>6915</v>
      </c>
      <c r="F25" s="437">
        <v>46</v>
      </c>
      <c r="G25" s="446">
        <f>SUM(G21:G24)</f>
        <v>0</v>
      </c>
      <c r="H25" s="2423">
        <f>SUM(H21:H24)</f>
        <v>0</v>
      </c>
      <c r="I25" s="434"/>
      <c r="J25" s="434"/>
      <c r="K25" s="434"/>
      <c r="L25" s="434"/>
      <c r="M25" s="434"/>
    </row>
    <row r="26" spans="1:13" s="435" customFormat="1" ht="15.75" customHeight="1">
      <c r="A26" s="440" t="s">
        <v>7044</v>
      </c>
      <c r="B26" s="437">
        <v>21</v>
      </c>
      <c r="C26" s="1098"/>
      <c r="D26" s="1098"/>
      <c r="E26" s="437" t="s">
        <v>6917</v>
      </c>
      <c r="F26" s="437">
        <v>47</v>
      </c>
      <c r="G26" s="446">
        <f>G25+G19</f>
        <v>0</v>
      </c>
      <c r="H26" s="2301">
        <f>H25+H19</f>
        <v>0</v>
      </c>
      <c r="I26" s="434"/>
      <c r="J26" s="434"/>
      <c r="K26" s="434"/>
      <c r="L26" s="434"/>
      <c r="M26" s="434"/>
    </row>
    <row r="27" spans="1:13" s="435" customFormat="1" ht="15.75" customHeight="1">
      <c r="A27" s="2296" t="s">
        <v>7045</v>
      </c>
      <c r="B27" s="437">
        <v>22</v>
      </c>
      <c r="C27" s="1098"/>
      <c r="D27" s="1098"/>
      <c r="E27" s="437"/>
      <c r="F27" s="437"/>
      <c r="G27" s="2426"/>
      <c r="H27" s="2307"/>
      <c r="I27" s="434"/>
      <c r="J27" s="434"/>
      <c r="K27" s="434"/>
      <c r="L27" s="434"/>
      <c r="M27" s="434"/>
    </row>
    <row r="28" spans="1:13" s="435" customFormat="1" ht="15.75" customHeight="1">
      <c r="A28" s="436" t="s">
        <v>6908</v>
      </c>
      <c r="B28" s="437">
        <v>23</v>
      </c>
      <c r="C28" s="1098"/>
      <c r="D28" s="1098"/>
      <c r="E28" s="441"/>
      <c r="F28" s="437"/>
      <c r="G28" s="2300"/>
      <c r="H28" s="2427"/>
      <c r="I28" s="434"/>
      <c r="J28" s="434"/>
      <c r="K28" s="434"/>
      <c r="L28" s="434"/>
      <c r="M28" s="434"/>
    </row>
    <row r="29" spans="1:13" s="435" customFormat="1" ht="15.75" customHeight="1">
      <c r="A29" s="436" t="s">
        <v>6909</v>
      </c>
      <c r="B29" s="437">
        <v>24</v>
      </c>
      <c r="C29" s="1096"/>
      <c r="D29" s="1096"/>
      <c r="E29" s="441" t="s">
        <v>6920</v>
      </c>
      <c r="F29" s="437">
        <v>44</v>
      </c>
      <c r="G29" s="2428"/>
      <c r="H29" s="2308"/>
      <c r="I29" s="434"/>
      <c r="J29" s="434"/>
      <c r="K29" s="434"/>
      <c r="L29" s="434"/>
      <c r="M29" s="434"/>
    </row>
    <row r="30" spans="1:13" s="435" customFormat="1" ht="15.75" customHeight="1">
      <c r="A30" s="440" t="s">
        <v>639</v>
      </c>
      <c r="B30" s="437">
        <v>25</v>
      </c>
      <c r="C30" s="1101"/>
      <c r="D30" s="1101"/>
      <c r="E30" s="443" t="s">
        <v>6918</v>
      </c>
      <c r="F30" s="437">
        <v>48</v>
      </c>
      <c r="G30" s="1097"/>
      <c r="H30" s="1099"/>
      <c r="I30" s="434"/>
      <c r="J30" s="434"/>
      <c r="K30" s="434"/>
      <c r="L30" s="434"/>
      <c r="M30" s="434"/>
    </row>
    <row r="31" spans="1:13" s="435" customFormat="1" ht="15.75" customHeight="1">
      <c r="A31" s="2296" t="s">
        <v>7046</v>
      </c>
      <c r="B31" s="437">
        <v>26</v>
      </c>
      <c r="C31" s="1101"/>
      <c r="D31" s="1101"/>
      <c r="E31" s="443" t="s">
        <v>637</v>
      </c>
      <c r="F31" s="437">
        <v>49</v>
      </c>
      <c r="G31" s="1097"/>
      <c r="H31" s="1099"/>
      <c r="I31" s="434"/>
      <c r="J31" s="434"/>
      <c r="K31" s="434"/>
      <c r="L31" s="434"/>
      <c r="M31" s="434"/>
    </row>
    <row r="32" spans="1:13" s="435" customFormat="1" ht="15.75" customHeight="1">
      <c r="A32" s="440" t="s">
        <v>640</v>
      </c>
      <c r="B32" s="437">
        <v>27</v>
      </c>
      <c r="C32" s="1101"/>
      <c r="D32" s="1101"/>
      <c r="E32" s="443" t="s">
        <v>638</v>
      </c>
      <c r="F32" s="437">
        <v>50</v>
      </c>
      <c r="G32" s="1097"/>
      <c r="H32" s="1099"/>
      <c r="I32" s="434"/>
      <c r="J32" s="434"/>
      <c r="K32" s="434"/>
      <c r="L32" s="434"/>
      <c r="M32" s="434"/>
    </row>
    <row r="33" spans="1:13" s="435" customFormat="1" ht="15.75" customHeight="1">
      <c r="A33" s="2296" t="s">
        <v>6910</v>
      </c>
      <c r="B33" s="437">
        <v>28</v>
      </c>
      <c r="C33" s="1098"/>
      <c r="D33" s="1098"/>
      <c r="E33" s="443" t="s">
        <v>6919</v>
      </c>
      <c r="F33" s="437">
        <v>51</v>
      </c>
      <c r="G33" s="1097"/>
      <c r="H33" s="1099"/>
      <c r="I33" s="232" t="s">
        <v>641</v>
      </c>
      <c r="J33" s="434"/>
      <c r="K33" s="434"/>
      <c r="L33" s="434"/>
      <c r="M33" s="434"/>
    </row>
    <row r="34" spans="1:13" s="435" customFormat="1" ht="15.75" customHeight="1">
      <c r="A34" s="445" t="s">
        <v>6911</v>
      </c>
      <c r="B34" s="437">
        <v>29</v>
      </c>
      <c r="C34" s="446">
        <f>C21+C22+SUM(C25:C33)</f>
        <v>0</v>
      </c>
      <c r="D34" s="446">
        <f>D21+D22+SUM(D25:D33)</f>
        <v>0</v>
      </c>
      <c r="E34" s="437" t="s">
        <v>6921</v>
      </c>
      <c r="F34" s="437">
        <v>52</v>
      </c>
      <c r="G34" s="446">
        <f>SUM(G30:G33)</f>
        <v>0</v>
      </c>
      <c r="H34" s="2301">
        <f>SUM(H30:H33)</f>
        <v>0</v>
      </c>
      <c r="I34" s="434"/>
      <c r="J34" s="434"/>
      <c r="K34" s="434"/>
      <c r="L34" s="434"/>
      <c r="M34" s="434"/>
    </row>
    <row r="35" spans="1:13" s="435" customFormat="1" ht="15.75" customHeight="1">
      <c r="A35" s="448" t="s">
        <v>6916</v>
      </c>
      <c r="B35" s="437">
        <v>30</v>
      </c>
      <c r="C35" s="450">
        <f>C19+C34</f>
        <v>0</v>
      </c>
      <c r="D35" s="450">
        <f>D19+D34</f>
        <v>0</v>
      </c>
      <c r="E35" s="449" t="s">
        <v>6922</v>
      </c>
      <c r="F35" s="437">
        <v>53</v>
      </c>
      <c r="G35" s="450">
        <f>G26+G34</f>
        <v>0</v>
      </c>
      <c r="H35" s="2302">
        <f>H26+H34</f>
        <v>0</v>
      </c>
      <c r="I35" s="434"/>
      <c r="J35" s="434"/>
      <c r="K35" s="434"/>
      <c r="L35" s="434"/>
      <c r="M35" s="434"/>
    </row>
    <row r="36" spans="1:13" ht="18.75" customHeight="1">
      <c r="A36" s="3052" t="s">
        <v>642</v>
      </c>
      <c r="B36" s="3053" t="str">
        <f>IF(C35&lt;&gt;G35,"期初数不平，差额如右!!!","期初数平衡!!!")</f>
        <v>期初数平衡!!!</v>
      </c>
      <c r="C36" s="3053"/>
      <c r="D36" s="3053"/>
      <c r="E36" s="3053"/>
      <c r="F36" s="3053"/>
      <c r="G36" s="3053"/>
      <c r="H36" s="451">
        <f>C35-G35</f>
        <v>0</v>
      </c>
      <c r="I36" s="58"/>
      <c r="J36" s="58"/>
      <c r="K36" s="58"/>
      <c r="L36" s="58"/>
      <c r="M36" s="58"/>
    </row>
    <row r="37" spans="1:13" ht="18.75" customHeight="1">
      <c r="A37" s="3052"/>
      <c r="B37" s="3054" t="str">
        <f>IF(H37=0,"期末数平衡!!!","期末数不平，差额如右!!!")</f>
        <v>期末数平衡!!!</v>
      </c>
      <c r="C37" s="3054"/>
      <c r="D37" s="3054"/>
      <c r="E37" s="3054"/>
      <c r="F37" s="3054"/>
      <c r="G37" s="3054"/>
      <c r="H37" s="452">
        <f>D35-H35</f>
        <v>0</v>
      </c>
      <c r="I37" s="58"/>
      <c r="J37" s="58"/>
      <c r="K37" s="58"/>
      <c r="L37" s="58"/>
      <c r="M37" s="58"/>
    </row>
    <row r="38" spans="1:13" ht="18.75" customHeight="1">
      <c r="A38" s="3052"/>
      <c r="B38" s="3054" t="str">
        <f>IF(H33&lt;&gt;利润!$G$22,"资产负债表未分配利润期末余额与利润表期末未分配利润不平，差额如右！！！","资产负债表未分配利润期末余额与利润表期末未分配利润相符!!!")</f>
        <v>资产负债表未分配利润期末余额与利润表期末未分配利润相符!!!</v>
      </c>
      <c r="C38" s="3054"/>
      <c r="D38" s="3054"/>
      <c r="E38" s="3054"/>
      <c r="F38" s="3054"/>
      <c r="G38" s="3054"/>
      <c r="H38" s="452">
        <f>H33-利润!$G$22</f>
        <v>0</v>
      </c>
      <c r="I38" s="58"/>
      <c r="J38" s="58"/>
      <c r="K38" s="58"/>
      <c r="L38" s="58"/>
      <c r="M38" s="58"/>
    </row>
    <row r="39" spans="1:13" ht="24.9" customHeight="1">
      <c r="H39" s="453"/>
    </row>
    <row r="40" spans="1:13" ht="24.9" customHeight="1"/>
    <row r="41" spans="1:13" ht="24.9" customHeight="1"/>
    <row r="42" spans="1:13" ht="24.9" customHeight="1"/>
    <row r="43" spans="1:13" ht="24.9" customHeight="1"/>
    <row r="44" spans="1:13" ht="24.9" customHeight="1"/>
    <row r="45" spans="1:13" ht="24.9" customHeight="1"/>
    <row r="46" spans="1:13" ht="24.9" customHeight="1"/>
    <row r="47" spans="1:13" ht="24.9" customHeight="1"/>
  </sheetData>
  <sheetProtection selectLockedCells="1" selectUnlockedCells="1"/>
  <mergeCells count="7">
    <mergeCell ref="B1:G1"/>
    <mergeCell ref="A2:C2"/>
    <mergeCell ref="D2:E2"/>
    <mergeCell ref="A36:A38"/>
    <mergeCell ref="B36:G36"/>
    <mergeCell ref="B37:G37"/>
    <mergeCell ref="B38:G38"/>
  </mergeCells>
  <phoneticPr fontId="51" type="noConversion"/>
  <hyperlinks>
    <hyperlink ref="A5" location="货币资金!A1" display="  货币资金"/>
    <hyperlink ref="I6" location="资产折旧纳税调整表!A1" display="资产折旧纳税调整表"/>
    <hyperlink ref="E7" location="应付!A1" display="   应付帐款"/>
    <hyperlink ref="E8" location="预收!A1" display="   预收帐款"/>
    <hyperlink ref="E9" location="工资福利!A1" display="   应付工资"/>
    <hyperlink ref="E10" location="税费缴纳测算!A1" display="   应交税费"/>
    <hyperlink ref="A12" location="其他应收!A1" display="  其他应收款"/>
    <hyperlink ref="A13" location="存货!A1" display="  存货"/>
    <hyperlink ref="E33" location="未分利润!A1" display="   未分配利润"/>
    <hyperlink ref="I33" location="未分利润!C8" display="未分利润!C8"/>
    <hyperlink ref="A8" location="应收!A1" display="  应收帐款"/>
    <hyperlink ref="A9" location="预付!A1" display="  预付账款"/>
    <hyperlink ref="A23" location="固资折旧!A1" display="  固定资产原价"/>
    <hyperlink ref="A24" location="固资折旧!A1" display="  减：累计折旧"/>
    <hyperlink ref="A30" location="无形长摊!A1" display="  无形资产"/>
    <hyperlink ref="A32" location="无形长摊!A1" display="  长期待摊费用"/>
    <hyperlink ref="A33" location="无形长摊!A1" display="  长期待摊费用"/>
    <hyperlink ref="E32" location="实收公积!A1" display="   盈余公积"/>
    <hyperlink ref="E13" location="其他应付!A1" display="   其他应付款"/>
    <hyperlink ref="E30" location="实收公积!A1" display="   资本公积"/>
    <hyperlink ref="E31" location="实收公积!A1" display="   盈余公积"/>
    <hyperlink ref="A26" location="在建工程审核表!A1" display="  在建工程"/>
  </hyperlinks>
  <pageMargins left="0.78740157480314998" right="0.35433070866141703" top="0.511811023622047" bottom="0.11811023622047198" header="0.511811023622047" footer="0.511811023622047"/>
  <pageSetup paperSize="9" firstPageNumber="0" orientation="landscape" blackAndWhite="1" r:id="rId1"/>
  <headerFooter alignWithMargins="0"/>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3">
    <pageSetUpPr fitToPage="1"/>
  </sheetPr>
  <dimension ref="A1:L43"/>
  <sheetViews>
    <sheetView workbookViewId="0">
      <selection activeCell="D27" sqref="D27"/>
    </sheetView>
  </sheetViews>
  <sheetFormatPr defaultColWidth="9" defaultRowHeight="15.6"/>
  <cols>
    <col min="1" max="1" width="47.59765625" style="424" customWidth="1"/>
    <col min="2" max="2" width="5.09765625" style="424" customWidth="1"/>
    <col min="3" max="4" width="17" style="423" customWidth="1"/>
    <col min="5" max="5" width="28.8984375" style="424" customWidth="1"/>
    <col min="6" max="6" width="5.09765625" style="424" customWidth="1"/>
    <col min="7" max="8" width="17" style="423" customWidth="1"/>
    <col min="9" max="9" width="29" style="424" customWidth="1"/>
    <col min="10" max="16384" width="9" style="424"/>
  </cols>
  <sheetData>
    <row r="1" spans="1:12" ht="30" customHeight="1">
      <c r="A1" s="2684" t="s">
        <v>643</v>
      </c>
      <c r="B1" s="2684"/>
      <c r="C1" s="2684"/>
      <c r="D1" s="2684"/>
      <c r="E1" s="2684"/>
      <c r="F1" s="2684"/>
      <c r="G1" s="2684"/>
      <c r="H1" s="2684"/>
      <c r="I1" s="1334"/>
      <c r="J1" s="58"/>
      <c r="K1" s="58"/>
      <c r="L1" s="58"/>
    </row>
    <row r="2" spans="1:12" ht="15" customHeight="1">
      <c r="A2" s="454"/>
      <c r="B2" s="454"/>
      <c r="C2" s="454"/>
      <c r="D2" s="457"/>
      <c r="E2" s="457"/>
      <c r="F2" s="454"/>
      <c r="G2" s="455"/>
      <c r="H2" s="455" t="s">
        <v>1552</v>
      </c>
      <c r="I2" s="58"/>
      <c r="J2" s="58"/>
      <c r="K2" s="58"/>
      <c r="L2" s="58"/>
    </row>
    <row r="3" spans="1:12" ht="20.25" customHeight="1">
      <c r="A3" s="3055" t="str">
        <f>"编制单位："&amp;基本情况!B2</f>
        <v>编制单位：0</v>
      </c>
      <c r="B3" s="3055"/>
      <c r="C3" s="3056" t="str">
        <f>IF(OR(基本情况!B6&lt;&gt;"12月31日",基本情况!F5&lt;&gt;1,基本情况!G5&lt;&gt;1),基本情况!B7,基本情况!B4&amp;"年度")</f>
        <v>2016年01月01日至2016年12月31日</v>
      </c>
      <c r="D3" s="3056"/>
      <c r="E3" s="3056"/>
      <c r="F3" s="456"/>
      <c r="G3" s="457"/>
      <c r="H3" s="457" t="s">
        <v>644</v>
      </c>
      <c r="I3" s="58"/>
      <c r="J3" s="58"/>
      <c r="K3" s="58"/>
      <c r="L3" s="58"/>
    </row>
    <row r="4" spans="1:12" s="464" customFormat="1" ht="30" customHeight="1">
      <c r="A4" s="458" t="s">
        <v>645</v>
      </c>
      <c r="B4" s="459" t="s">
        <v>646</v>
      </c>
      <c r="C4" s="460" t="s">
        <v>6954</v>
      </c>
      <c r="D4" s="460" t="s">
        <v>6955</v>
      </c>
      <c r="E4" s="459" t="s">
        <v>647</v>
      </c>
      <c r="F4" s="459" t="s">
        <v>646</v>
      </c>
      <c r="G4" s="460" t="s">
        <v>6965</v>
      </c>
      <c r="H4" s="461" t="s">
        <v>6955</v>
      </c>
      <c r="I4" s="462" t="s">
        <v>396</v>
      </c>
      <c r="J4" s="463"/>
      <c r="K4" s="463"/>
      <c r="L4" s="463"/>
    </row>
    <row r="5" spans="1:12" ht="21" customHeight="1">
      <c r="A5" s="465" t="s">
        <v>6923</v>
      </c>
      <c r="B5" s="466">
        <v>1</v>
      </c>
      <c r="C5" s="1101"/>
      <c r="D5" s="1101"/>
      <c r="E5" s="467" t="s">
        <v>648</v>
      </c>
      <c r="F5" s="466">
        <v>36</v>
      </c>
      <c r="G5" s="446">
        <f>C39</f>
        <v>0</v>
      </c>
      <c r="H5" s="447">
        <f>D39</f>
        <v>0</v>
      </c>
      <c r="I5" s="442" t="s">
        <v>649</v>
      </c>
      <c r="J5" s="58"/>
      <c r="K5" s="58"/>
      <c r="L5" s="58"/>
    </row>
    <row r="6" spans="1:12" ht="21" customHeight="1">
      <c r="A6" s="465" t="s">
        <v>6924</v>
      </c>
      <c r="B6" s="466">
        <v>2</v>
      </c>
      <c r="C6" s="1097"/>
      <c r="D6" s="1097"/>
      <c r="E6" s="467" t="s">
        <v>6964</v>
      </c>
      <c r="F6" s="466">
        <v>37</v>
      </c>
      <c r="G6" s="1101"/>
      <c r="H6" s="1102"/>
      <c r="I6" s="442" t="s">
        <v>1539</v>
      </c>
      <c r="J6" s="58"/>
      <c r="K6" s="58"/>
      <c r="L6" s="58"/>
    </row>
    <row r="7" spans="1:12" ht="21" customHeight="1">
      <c r="A7" s="465" t="s">
        <v>6925</v>
      </c>
      <c r="B7" s="466">
        <v>3</v>
      </c>
      <c r="C7" s="1101"/>
      <c r="D7" s="1101"/>
      <c r="E7" s="467" t="s">
        <v>650</v>
      </c>
      <c r="F7" s="466">
        <v>38</v>
      </c>
      <c r="G7" s="2304">
        <f>资产负债!G33</f>
        <v>0</v>
      </c>
      <c r="H7" s="1100"/>
      <c r="I7" s="442" t="s">
        <v>651</v>
      </c>
      <c r="J7" s="58"/>
      <c r="K7" s="58"/>
      <c r="L7" s="58"/>
    </row>
    <row r="8" spans="1:12" ht="21" customHeight="1">
      <c r="A8" s="469" t="s">
        <v>6926</v>
      </c>
      <c r="B8" s="466">
        <v>4</v>
      </c>
      <c r="C8" s="1101"/>
      <c r="D8" s="1101"/>
      <c r="E8" s="467" t="s">
        <v>6961</v>
      </c>
      <c r="F8" s="466">
        <v>39</v>
      </c>
      <c r="G8" s="1098"/>
      <c r="H8" s="1100"/>
      <c r="I8" s="232" t="s">
        <v>652</v>
      </c>
      <c r="J8" s="58"/>
      <c r="K8" s="58"/>
      <c r="L8" s="58"/>
    </row>
    <row r="9" spans="1:12" ht="21" customHeight="1">
      <c r="A9" s="469" t="s">
        <v>6927</v>
      </c>
      <c r="B9" s="466">
        <v>5</v>
      </c>
      <c r="C9" s="1101"/>
      <c r="D9" s="1101"/>
      <c r="E9" s="467" t="s">
        <v>6962</v>
      </c>
      <c r="F9" s="466">
        <v>40</v>
      </c>
      <c r="G9" s="1098"/>
      <c r="H9" s="1100"/>
      <c r="I9" s="232" t="s">
        <v>376</v>
      </c>
      <c r="J9" s="58"/>
      <c r="K9" s="58"/>
      <c r="L9" s="58"/>
    </row>
    <row r="10" spans="1:12" ht="21" customHeight="1">
      <c r="A10" s="469" t="s">
        <v>6928</v>
      </c>
      <c r="B10" s="466">
        <v>6</v>
      </c>
      <c r="C10" s="1101"/>
      <c r="D10" s="1101"/>
      <c r="E10" s="467" t="s">
        <v>6963</v>
      </c>
      <c r="F10" s="466">
        <v>41</v>
      </c>
      <c r="G10" s="1098"/>
      <c r="H10" s="1100"/>
      <c r="I10" s="442"/>
      <c r="J10" s="58"/>
      <c r="K10" s="58"/>
      <c r="L10" s="58"/>
    </row>
    <row r="11" spans="1:12" ht="21" customHeight="1">
      <c r="A11" s="469" t="s">
        <v>6929</v>
      </c>
      <c r="B11" s="466">
        <v>7</v>
      </c>
      <c r="C11" s="1101"/>
      <c r="D11" s="1101"/>
      <c r="E11" s="467" t="s">
        <v>6956</v>
      </c>
      <c r="F11" s="466">
        <v>42</v>
      </c>
      <c r="G11" s="2305">
        <f>G5-G6+G7+G8+G9-G10</f>
        <v>0</v>
      </c>
      <c r="H11" s="2301">
        <f>H5-H6+H7+H8+H9-H10</f>
        <v>0</v>
      </c>
      <c r="I11" s="442"/>
      <c r="J11" s="58"/>
      <c r="K11" s="58"/>
      <c r="L11" s="58"/>
    </row>
    <row r="12" spans="1:12" ht="21" customHeight="1">
      <c r="A12" s="469" t="s">
        <v>6930</v>
      </c>
      <c r="B12" s="466">
        <v>8</v>
      </c>
      <c r="C12" s="1101"/>
      <c r="D12" s="1101"/>
      <c r="E12" s="465" t="s">
        <v>6972</v>
      </c>
      <c r="F12" s="466">
        <v>43</v>
      </c>
      <c r="G12" s="1098"/>
      <c r="H12" s="1100"/>
      <c r="I12" s="442"/>
      <c r="J12" s="58"/>
      <c r="K12" s="58"/>
      <c r="L12" s="58"/>
    </row>
    <row r="13" spans="1:12" ht="21" customHeight="1">
      <c r="A13" s="469" t="s">
        <v>6931</v>
      </c>
      <c r="B13" s="466">
        <v>9</v>
      </c>
      <c r="C13" s="1101"/>
      <c r="D13" s="1101"/>
      <c r="E13" s="465" t="s">
        <v>6973</v>
      </c>
      <c r="F13" s="466">
        <v>44</v>
      </c>
      <c r="G13" s="1098"/>
      <c r="H13" s="1100"/>
      <c r="I13" s="442"/>
      <c r="J13" s="58"/>
      <c r="K13" s="58"/>
      <c r="L13" s="58"/>
    </row>
    <row r="14" spans="1:12" ht="21" customHeight="1">
      <c r="A14" s="469" t="s">
        <v>6932</v>
      </c>
      <c r="B14" s="466">
        <v>10</v>
      </c>
      <c r="C14" s="1101"/>
      <c r="D14" s="1101"/>
      <c r="E14" s="465" t="s">
        <v>6971</v>
      </c>
      <c r="F14" s="466">
        <v>45</v>
      </c>
      <c r="G14" s="1098"/>
      <c r="H14" s="1100"/>
      <c r="I14" s="442"/>
      <c r="J14" s="58"/>
      <c r="K14" s="58"/>
      <c r="L14" s="58"/>
    </row>
    <row r="15" spans="1:12" ht="21" customHeight="1">
      <c r="A15" s="465" t="s">
        <v>6967</v>
      </c>
      <c r="B15" s="466">
        <v>11</v>
      </c>
      <c r="C15" s="1101"/>
      <c r="D15" s="1101"/>
      <c r="E15" s="465" t="s">
        <v>6974</v>
      </c>
      <c r="F15" s="466">
        <v>46</v>
      </c>
      <c r="G15" s="1098"/>
      <c r="H15" s="1100"/>
      <c r="I15" s="442"/>
      <c r="J15" s="58"/>
      <c r="K15" s="58"/>
      <c r="L15" s="58"/>
    </row>
    <row r="16" spans="1:12" ht="21" customHeight="1">
      <c r="A16" s="469" t="s">
        <v>6937</v>
      </c>
      <c r="B16" s="466">
        <v>12</v>
      </c>
      <c r="C16" s="1101"/>
      <c r="D16" s="1101"/>
      <c r="E16" s="465" t="s">
        <v>6975</v>
      </c>
      <c r="F16" s="466">
        <v>47</v>
      </c>
      <c r="G16" s="1098"/>
      <c r="H16" s="1100"/>
      <c r="I16" s="442"/>
      <c r="J16" s="58"/>
      <c r="K16" s="58"/>
      <c r="L16" s="58"/>
    </row>
    <row r="17" spans="1:12" ht="21" customHeight="1">
      <c r="A17" s="469" t="s">
        <v>6938</v>
      </c>
      <c r="B17" s="466">
        <v>13</v>
      </c>
      <c r="C17" s="1101"/>
      <c r="D17" s="1101"/>
      <c r="E17" s="465" t="s">
        <v>6976</v>
      </c>
      <c r="F17" s="466">
        <v>48</v>
      </c>
      <c r="G17" s="1098"/>
      <c r="H17" s="1100"/>
      <c r="I17" s="442"/>
      <c r="J17" s="58"/>
      <c r="K17" s="58"/>
      <c r="L17" s="58"/>
    </row>
    <row r="18" spans="1:12" ht="21" customHeight="1">
      <c r="A18" s="465" t="s">
        <v>6968</v>
      </c>
      <c r="B18" s="466">
        <v>14</v>
      </c>
      <c r="C18" s="1101"/>
      <c r="D18" s="1101"/>
      <c r="E18" s="465" t="s">
        <v>6977</v>
      </c>
      <c r="F18" s="466">
        <v>49</v>
      </c>
      <c r="G18" s="1098"/>
      <c r="H18" s="1100"/>
      <c r="I18" s="442"/>
      <c r="J18" s="58"/>
      <c r="K18" s="58"/>
      <c r="L18" s="58"/>
    </row>
    <row r="19" spans="1:12" ht="21" customHeight="1">
      <c r="A19" s="469" t="s">
        <v>6939</v>
      </c>
      <c r="B19" s="466">
        <v>15</v>
      </c>
      <c r="C19" s="1101"/>
      <c r="D19" s="1101"/>
      <c r="E19" s="467" t="s">
        <v>6957</v>
      </c>
      <c r="F19" s="466">
        <v>50</v>
      </c>
      <c r="G19" s="2305">
        <f>G11+G12-G13-G14-G15-G16-G17-G18</f>
        <v>0</v>
      </c>
      <c r="H19" s="2301">
        <f>H11+H12-H13-H14-H15-H16-H17-H18</f>
        <v>0</v>
      </c>
      <c r="I19" s="442"/>
      <c r="J19" s="58"/>
      <c r="K19" s="58"/>
      <c r="L19" s="58"/>
    </row>
    <row r="20" spans="1:12" ht="21" customHeight="1">
      <c r="A20" s="469" t="s">
        <v>6940</v>
      </c>
      <c r="B20" s="466">
        <v>16</v>
      </c>
      <c r="C20" s="1101"/>
      <c r="D20" s="1101"/>
      <c r="E20" s="467" t="s">
        <v>6959</v>
      </c>
      <c r="F20" s="466">
        <v>51</v>
      </c>
      <c r="G20" s="1098"/>
      <c r="H20" s="1100"/>
      <c r="I20" s="442"/>
      <c r="J20" s="58"/>
      <c r="K20" s="58"/>
      <c r="L20" s="58"/>
    </row>
    <row r="21" spans="1:12" ht="21" customHeight="1">
      <c r="A21" s="469" t="s">
        <v>6941</v>
      </c>
      <c r="B21" s="466">
        <v>17</v>
      </c>
      <c r="C21" s="1101"/>
      <c r="D21" s="1101"/>
      <c r="E21" s="467" t="s">
        <v>6960</v>
      </c>
      <c r="F21" s="466">
        <v>52</v>
      </c>
      <c r="G21" s="1101"/>
      <c r="H21" s="1102"/>
      <c r="J21" s="58"/>
      <c r="K21" s="58"/>
      <c r="L21" s="58"/>
    </row>
    <row r="22" spans="1:12" ht="21" customHeight="1">
      <c r="A22" s="465" t="s">
        <v>6942</v>
      </c>
      <c r="B22" s="466">
        <v>18</v>
      </c>
      <c r="C22" s="1097"/>
      <c r="D22" s="1097"/>
      <c r="E22" s="467" t="s">
        <v>6958</v>
      </c>
      <c r="F22" s="466">
        <v>53</v>
      </c>
      <c r="G22" s="2305">
        <f>G19-G20-G21</f>
        <v>0</v>
      </c>
      <c r="H22" s="2301">
        <f>H19-H20-H21</f>
        <v>0</v>
      </c>
      <c r="I22" s="424" t="str">
        <f>"与资产负债表相差"&amp;DOLLAR(G22-资产负债!H33,2)</f>
        <v>与资产负债表相差¥0.00</v>
      </c>
      <c r="J22" s="58"/>
      <c r="K22" s="58"/>
      <c r="L22" s="58"/>
    </row>
    <row r="23" spans="1:12" ht="21" customHeight="1">
      <c r="A23" s="469" t="s">
        <v>6943</v>
      </c>
      <c r="B23" s="466">
        <v>19</v>
      </c>
      <c r="C23" s="1101"/>
      <c r="D23" s="1101"/>
      <c r="E23" s="467"/>
      <c r="F23" s="467"/>
      <c r="G23" s="2306"/>
      <c r="H23" s="2307"/>
      <c r="I23" s="462"/>
      <c r="J23" s="58"/>
      <c r="K23" s="58"/>
      <c r="L23" s="58"/>
    </row>
    <row r="24" spans="1:12" ht="21" customHeight="1">
      <c r="A24" s="469" t="s">
        <v>7145</v>
      </c>
      <c r="B24" s="466">
        <v>20</v>
      </c>
      <c r="C24" s="1101"/>
      <c r="D24" s="1101"/>
      <c r="E24" s="467"/>
      <c r="F24" s="467"/>
      <c r="G24" s="2306"/>
      <c r="H24" s="2307"/>
      <c r="I24" s="462"/>
      <c r="J24" s="58"/>
      <c r="K24" s="58"/>
      <c r="L24" s="58"/>
    </row>
    <row r="25" spans="1:12" ht="21" customHeight="1">
      <c r="A25" s="465" t="s">
        <v>7146</v>
      </c>
      <c r="B25" s="466">
        <v>21</v>
      </c>
      <c r="C25" s="1101"/>
      <c r="D25" s="1101"/>
      <c r="E25" s="467"/>
      <c r="F25" s="467"/>
      <c r="G25" s="2306"/>
      <c r="H25" s="2307"/>
      <c r="I25" s="462"/>
      <c r="J25" s="58"/>
      <c r="K25" s="58"/>
      <c r="L25" s="58"/>
    </row>
    <row r="26" spans="1:12" ht="21" customHeight="1">
      <c r="A26" s="465" t="s">
        <v>7148</v>
      </c>
      <c r="B26" s="466">
        <v>22</v>
      </c>
      <c r="C26" s="1101"/>
      <c r="D26" s="1101"/>
      <c r="E26" s="467"/>
      <c r="F26" s="467"/>
      <c r="G26" s="2306"/>
      <c r="H26" s="2308"/>
      <c r="I26" s="58"/>
      <c r="J26" s="58"/>
      <c r="K26" s="58"/>
      <c r="L26" s="58"/>
    </row>
    <row r="27" spans="1:12" ht="21" customHeight="1">
      <c r="A27" s="468" t="s">
        <v>7147</v>
      </c>
      <c r="B27" s="466">
        <v>23</v>
      </c>
      <c r="C27" s="446">
        <f>C5-C6-C7-C15-C18-C22+C26-C24+C25</f>
        <v>0</v>
      </c>
      <c r="D27" s="446">
        <f>D5-D6-D7-D15-D18-D22+D26-D24+D25</f>
        <v>0</v>
      </c>
      <c r="E27" s="467"/>
      <c r="F27" s="467"/>
      <c r="G27" s="2306"/>
      <c r="H27" s="2308"/>
      <c r="I27" s="58"/>
      <c r="J27" s="58"/>
      <c r="K27" s="58"/>
      <c r="L27" s="58"/>
    </row>
    <row r="28" spans="1:12" ht="21" customHeight="1">
      <c r="A28" s="465" t="s">
        <v>6969</v>
      </c>
      <c r="B28" s="466">
        <v>24</v>
      </c>
      <c r="C28" s="1097"/>
      <c r="D28" s="1097"/>
      <c r="E28" s="467"/>
      <c r="F28" s="467"/>
      <c r="G28" s="2306"/>
      <c r="H28" s="2309"/>
      <c r="I28" s="58"/>
      <c r="J28" s="58"/>
      <c r="K28" s="58"/>
      <c r="L28" s="58"/>
    </row>
    <row r="29" spans="1:12" ht="21" customHeight="1">
      <c r="A29" s="469" t="s">
        <v>6944</v>
      </c>
      <c r="B29" s="466">
        <v>25</v>
      </c>
      <c r="C29" s="1097"/>
      <c r="D29" s="1097"/>
      <c r="E29" s="467"/>
      <c r="F29" s="467"/>
      <c r="G29" s="2306"/>
      <c r="H29" s="2308"/>
      <c r="I29" s="58"/>
      <c r="J29" s="58"/>
      <c r="K29" s="58"/>
      <c r="L29" s="58"/>
    </row>
    <row r="30" spans="1:12" ht="21" customHeight="1">
      <c r="A30" s="465" t="s">
        <v>6970</v>
      </c>
      <c r="B30" s="466">
        <v>26</v>
      </c>
      <c r="C30" s="1097"/>
      <c r="D30" s="1097"/>
      <c r="E30" s="467"/>
      <c r="F30" s="467"/>
      <c r="G30" s="2306"/>
      <c r="H30" s="2308"/>
      <c r="I30" s="58"/>
      <c r="J30" s="58"/>
      <c r="K30" s="58"/>
      <c r="L30" s="58"/>
    </row>
    <row r="31" spans="1:12" ht="21" customHeight="1">
      <c r="A31" s="469" t="s">
        <v>6945</v>
      </c>
      <c r="B31" s="466">
        <v>27</v>
      </c>
      <c r="C31" s="1097"/>
      <c r="D31" s="1097"/>
      <c r="E31" s="467"/>
      <c r="F31" s="467"/>
      <c r="G31" s="2306"/>
      <c r="H31" s="2308"/>
      <c r="I31" s="58"/>
      <c r="J31" s="58"/>
      <c r="K31" s="58"/>
      <c r="L31" s="58"/>
    </row>
    <row r="32" spans="1:12" ht="21" customHeight="1">
      <c r="A32" s="469" t="s">
        <v>6946</v>
      </c>
      <c r="B32" s="466">
        <v>28</v>
      </c>
      <c r="C32" s="1097"/>
      <c r="D32" s="1097"/>
      <c r="E32" s="467"/>
      <c r="F32" s="467"/>
      <c r="G32" s="2306"/>
      <c r="H32" s="2308"/>
      <c r="I32" s="58"/>
      <c r="J32" s="58"/>
      <c r="K32" s="58"/>
      <c r="L32" s="58"/>
    </row>
    <row r="33" spans="1:12" ht="21" customHeight="1">
      <c r="A33" s="469" t="s">
        <v>6947</v>
      </c>
      <c r="B33" s="466">
        <v>29</v>
      </c>
      <c r="C33" s="1097"/>
      <c r="D33" s="1097"/>
      <c r="E33" s="467"/>
      <c r="F33" s="467"/>
      <c r="G33" s="2306"/>
      <c r="H33" s="2308"/>
      <c r="I33" s="58"/>
      <c r="J33" s="58"/>
      <c r="K33" s="58"/>
      <c r="L33" s="58"/>
    </row>
    <row r="34" spans="1:12" ht="21" customHeight="1">
      <c r="A34" s="469" t="s">
        <v>6948</v>
      </c>
      <c r="B34" s="466">
        <v>30</v>
      </c>
      <c r="C34" s="1097"/>
      <c r="D34" s="1097"/>
      <c r="E34" s="467"/>
      <c r="F34" s="467"/>
      <c r="G34" s="2306"/>
      <c r="H34" s="2308"/>
      <c r="I34" s="58"/>
      <c r="J34" s="58"/>
      <c r="K34" s="58"/>
      <c r="L34" s="58"/>
    </row>
    <row r="35" spans="1:12" ht="21" customHeight="1">
      <c r="A35" s="469" t="s">
        <v>6949</v>
      </c>
      <c r="B35" s="466">
        <v>31</v>
      </c>
      <c r="C35" s="1097"/>
      <c r="D35" s="1097"/>
      <c r="E35" s="467"/>
      <c r="F35" s="467"/>
      <c r="G35" s="2306"/>
      <c r="H35" s="2308"/>
      <c r="I35" s="58"/>
      <c r="J35" s="58"/>
      <c r="K35" s="58"/>
      <c r="L35" s="58"/>
    </row>
    <row r="36" spans="1:12" ht="21" customHeight="1">
      <c r="A36" s="469" t="s">
        <v>6950</v>
      </c>
      <c r="B36" s="466">
        <v>32</v>
      </c>
      <c r="C36" s="1097"/>
      <c r="D36" s="1097"/>
      <c r="E36" s="467"/>
      <c r="F36" s="467"/>
      <c r="G36" s="2306"/>
      <c r="H36" s="2310"/>
      <c r="I36" s="58"/>
      <c r="J36" s="58"/>
      <c r="K36" s="58"/>
      <c r="L36" s="58"/>
    </row>
    <row r="37" spans="1:12" ht="21" customHeight="1">
      <c r="A37" s="468" t="s">
        <v>6951</v>
      </c>
      <c r="B37" s="466">
        <v>33</v>
      </c>
      <c r="C37" s="446">
        <f>C27+C28-C30</f>
        <v>0</v>
      </c>
      <c r="D37" s="446">
        <f>D27+D28-D30</f>
        <v>0</v>
      </c>
      <c r="E37" s="467"/>
      <c r="F37" s="467"/>
      <c r="G37" s="2306"/>
      <c r="H37" s="2308"/>
      <c r="I37" s="58"/>
      <c r="J37" s="58"/>
      <c r="K37" s="58"/>
      <c r="L37" s="58"/>
    </row>
    <row r="38" spans="1:12" ht="21" customHeight="1">
      <c r="A38" s="468" t="s">
        <v>6952</v>
      </c>
      <c r="B38" s="466">
        <v>34</v>
      </c>
      <c r="C38" s="1097"/>
      <c r="D38" s="1097"/>
      <c r="E38" s="467"/>
      <c r="F38" s="467"/>
      <c r="G38" s="2306"/>
      <c r="H38" s="2308"/>
      <c r="I38" s="471"/>
      <c r="J38" s="58"/>
      <c r="K38" s="58"/>
      <c r="L38" s="58"/>
    </row>
    <row r="39" spans="1:12" ht="21" customHeight="1">
      <c r="A39" s="472" t="s">
        <v>6953</v>
      </c>
      <c r="B39" s="473">
        <v>35</v>
      </c>
      <c r="C39" s="450">
        <f>C37-C38</f>
        <v>0</v>
      </c>
      <c r="D39" s="450">
        <f>D37-D38</f>
        <v>0</v>
      </c>
      <c r="E39" s="474"/>
      <c r="F39" s="473"/>
      <c r="G39" s="2311"/>
      <c r="H39" s="2312"/>
      <c r="I39" s="475"/>
      <c r="J39" s="58"/>
      <c r="K39" s="58"/>
      <c r="L39" s="58"/>
    </row>
    <row r="40" spans="1:12" ht="13.5" customHeight="1">
      <c r="E40" s="476"/>
      <c r="F40" s="477"/>
      <c r="G40" s="478"/>
      <c r="H40" s="478"/>
    </row>
    <row r="41" spans="1:12" ht="13.5" customHeight="1">
      <c r="A41" s="435"/>
    </row>
    <row r="42" spans="1:12" ht="13.5" customHeight="1"/>
    <row r="43" spans="1:12" ht="13.5" customHeight="1">
      <c r="E43" s="479"/>
    </row>
  </sheetData>
  <sheetProtection selectLockedCells="1" selectUnlockedCells="1"/>
  <mergeCells count="3">
    <mergeCell ref="A3:B3"/>
    <mergeCell ref="C3:E3"/>
    <mergeCell ref="A1:H1"/>
  </mergeCells>
  <phoneticPr fontId="51" type="noConversion"/>
  <hyperlinks>
    <hyperlink ref="A5" location="主营收支!A1" display="一、主营业务收入"/>
    <hyperlink ref="I5" location="申报主表!A1" display="申报主表"/>
    <hyperlink ref="A6" location="主营收支!A1" display="    减: 主营业务成本"/>
    <hyperlink ref="I6" location="事项说明!A1" display="事项说明"/>
    <hyperlink ref="A7" location="主营税金!A1" display="        主营业务税金及附加"/>
    <hyperlink ref="I7" location="报告正文!A1" display="报告正文"/>
    <hyperlink ref="I8" location="未分利润!C13" display="未分利润!C13"/>
    <hyperlink ref="I9" location="补亏!A1" display="弥补亏损审核表"/>
    <hyperlink ref="A15" location="营业费用!A1" display="    销售费用"/>
    <hyperlink ref="A18" location="管理费用!A1" display="    管理费用"/>
    <hyperlink ref="A22" location="财务费用!A1" display="        财务费用"/>
    <hyperlink ref="A26" location="投资收益审核表!A1" display="加：投资收益（损失以“-”号填列）"/>
    <hyperlink ref="A28" location="营外收支!A1" display="加: 营业外收入"/>
    <hyperlink ref="A30" location="营外收支!A1" display="减: 营业外支出"/>
    <hyperlink ref="E12" location="实收公积!A1" display="加：盈余公积补亏"/>
    <hyperlink ref="E13:E18" location="实收公积!A1" display="减：提取法定盈余公积"/>
    <hyperlink ref="A25" location="公允价值变动审定表!A1" display="加：公允价值变动收益（亏损以“-”号填列）"/>
  </hyperlinks>
  <pageMargins left="0.78740157480314998" right="0.35433070866141703" top="0.511811023622047" bottom="0.11811023622047198" header="0.511811023622047" footer="0.511811023622047"/>
  <pageSetup paperSize="9" scale="69" firstPageNumber="0" fitToWidth="0" orientation="landscape" blackAndWhite="1" r:id="rId1"/>
  <headerFooter alignWithMargins="0"/>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4"/>
  <dimension ref="A1:P152"/>
  <sheetViews>
    <sheetView workbookViewId="0">
      <selection activeCell="H10" sqref="H10"/>
    </sheetView>
  </sheetViews>
  <sheetFormatPr defaultRowHeight="15.6"/>
  <cols>
    <col min="1" max="1" width="3.09765625" customWidth="1"/>
    <col min="2" max="2" width="29.69921875" customWidth="1"/>
    <col min="3" max="3" width="5.09765625" customWidth="1"/>
    <col min="4" max="4" width="12.19921875" customWidth="1"/>
    <col min="5" max="5" width="7.09765625" customWidth="1"/>
    <col min="6" max="9" width="10.3984375" customWidth="1"/>
    <col min="10" max="10" width="20.3984375" customWidth="1"/>
    <col min="11" max="11" width="12" customWidth="1"/>
    <col min="12" max="12" width="25" customWidth="1"/>
  </cols>
  <sheetData>
    <row r="1" spans="1:16" ht="39" customHeight="1">
      <c r="A1" s="2707" t="s">
        <v>654</v>
      </c>
      <c r="B1" s="2707"/>
      <c r="C1" s="2707"/>
      <c r="D1" s="2707"/>
      <c r="E1" s="2707"/>
      <c r="F1" s="2707"/>
      <c r="G1" s="2707"/>
      <c r="H1" s="2707"/>
      <c r="I1" s="2707"/>
      <c r="J1" s="2707"/>
      <c r="K1" s="2707"/>
      <c r="L1" s="480"/>
      <c r="M1" s="84"/>
      <c r="N1" s="84"/>
      <c r="O1" s="84"/>
      <c r="P1" s="84"/>
    </row>
    <row r="2" spans="1:16">
      <c r="A2" s="3050" t="str">
        <f>"纳税人名称："&amp;基本情况!B2</f>
        <v>纳税人名称：0</v>
      </c>
      <c r="B2" s="3050"/>
      <c r="C2" s="3050"/>
      <c r="D2" s="3050"/>
      <c r="E2" s="3050"/>
      <c r="F2" s="3050"/>
      <c r="G2" s="3050"/>
      <c r="H2" s="481"/>
      <c r="I2" s="482"/>
      <c r="J2" s="483"/>
      <c r="K2" s="484" t="s">
        <v>1552</v>
      </c>
      <c r="L2" s="480"/>
      <c r="M2" s="84"/>
      <c r="N2" s="84"/>
      <c r="O2" s="84"/>
      <c r="P2" s="84"/>
    </row>
    <row r="3" spans="1:16" ht="24" customHeight="1">
      <c r="A3" s="3024" t="s">
        <v>655</v>
      </c>
      <c r="B3" s="3024"/>
      <c r="C3" s="3024"/>
      <c r="D3" s="3024"/>
      <c r="E3" s="2898" t="s">
        <v>656</v>
      </c>
      <c r="F3" s="2898"/>
      <c r="G3" s="2898"/>
      <c r="H3" s="2898"/>
      <c r="I3" s="2898"/>
      <c r="J3" s="3057" t="s">
        <v>657</v>
      </c>
      <c r="K3" s="3057"/>
      <c r="L3" s="84"/>
      <c r="M3" s="84"/>
      <c r="N3" s="84"/>
      <c r="O3" s="84"/>
      <c r="P3" s="84"/>
    </row>
    <row r="4" spans="1:16" ht="16.5" customHeight="1">
      <c r="A4" s="2903" t="s">
        <v>658</v>
      </c>
      <c r="B4" s="2903"/>
      <c r="C4" s="3059" t="s">
        <v>659</v>
      </c>
      <c r="D4" s="2906" t="s">
        <v>660</v>
      </c>
      <c r="E4" s="2906" t="s">
        <v>661</v>
      </c>
      <c r="F4" s="2906" t="s">
        <v>662</v>
      </c>
      <c r="G4" s="2906"/>
      <c r="H4" s="2906" t="s">
        <v>663</v>
      </c>
      <c r="I4" s="2906"/>
      <c r="J4" s="3057"/>
      <c r="K4" s="3057"/>
      <c r="L4" s="84" t="s">
        <v>396</v>
      </c>
      <c r="M4" s="84"/>
      <c r="N4" s="84"/>
      <c r="O4" s="84"/>
      <c r="P4" s="84"/>
    </row>
    <row r="5" spans="1:16" ht="22.5" customHeight="1">
      <c r="A5" s="2903"/>
      <c r="B5" s="2903"/>
      <c r="C5" s="3059"/>
      <c r="D5" s="2906"/>
      <c r="E5" s="2906"/>
      <c r="F5" s="486" t="s">
        <v>664</v>
      </c>
      <c r="G5" s="486" t="s">
        <v>665</v>
      </c>
      <c r="H5" s="486" t="s">
        <v>664</v>
      </c>
      <c r="I5" s="486" t="s">
        <v>665</v>
      </c>
      <c r="J5" s="486" t="s">
        <v>666</v>
      </c>
      <c r="K5" s="487" t="s">
        <v>558</v>
      </c>
      <c r="L5" s="232" t="s">
        <v>296</v>
      </c>
      <c r="M5" s="84"/>
      <c r="N5" s="84"/>
      <c r="O5" s="84"/>
      <c r="P5" s="84"/>
    </row>
    <row r="6" spans="1:16" ht="20.25" customHeight="1">
      <c r="A6" s="3060" t="s">
        <v>664</v>
      </c>
      <c r="B6" s="489" t="s">
        <v>667</v>
      </c>
      <c r="C6" s="486">
        <v>1</v>
      </c>
      <c r="D6" s="1103"/>
      <c r="E6" s="490" t="s">
        <v>668</v>
      </c>
      <c r="F6" s="1105"/>
      <c r="G6" s="491">
        <f>ROUND(F6*2%,2)</f>
        <v>0</v>
      </c>
      <c r="H6" s="1105"/>
      <c r="I6" s="491">
        <f>ROUND(H6*3%,2)</f>
        <v>0</v>
      </c>
      <c r="J6" s="492" t="s">
        <v>669</v>
      </c>
      <c r="K6" s="1106"/>
      <c r="L6" s="493" t="s">
        <v>5925</v>
      </c>
      <c r="M6" s="84"/>
      <c r="N6" s="84"/>
      <c r="O6" s="84"/>
      <c r="P6" s="84"/>
    </row>
    <row r="7" spans="1:16" ht="20.25" customHeight="1">
      <c r="A7" s="3060"/>
      <c r="B7" s="489" t="s">
        <v>671</v>
      </c>
      <c r="C7" s="486">
        <v>5</v>
      </c>
      <c r="D7" s="1103"/>
      <c r="E7" s="490" t="s">
        <v>672</v>
      </c>
      <c r="F7" s="1105"/>
      <c r="G7" s="491">
        <f>ROUND(F7*2%,2)</f>
        <v>0</v>
      </c>
      <c r="H7" s="1105"/>
      <c r="I7" s="491">
        <f>ROUND(H7*3%,2)</f>
        <v>0</v>
      </c>
      <c r="J7" s="492" t="s">
        <v>673</v>
      </c>
      <c r="K7" s="1106"/>
      <c r="L7" s="232" t="s">
        <v>674</v>
      </c>
      <c r="M7" s="84"/>
      <c r="N7" s="84"/>
      <c r="O7" s="84"/>
      <c r="P7" s="84"/>
    </row>
    <row r="8" spans="1:16" ht="20.25" customHeight="1">
      <c r="A8" s="3060"/>
      <c r="B8" s="489" t="s">
        <v>675</v>
      </c>
      <c r="C8" s="486">
        <v>7</v>
      </c>
      <c r="D8" s="1103"/>
      <c r="E8" s="490" t="s">
        <v>676</v>
      </c>
      <c r="F8" s="1105"/>
      <c r="G8" s="491">
        <f t="shared" ref="G8:G18" si="0">ROUND(F8*2%,2)</f>
        <v>0</v>
      </c>
      <c r="H8" s="1105"/>
      <c r="I8" s="491">
        <f t="shared" ref="I8:I18" si="1">ROUND(H8*3%,2)</f>
        <v>0</v>
      </c>
      <c r="J8" s="949"/>
      <c r="K8" s="1107"/>
      <c r="L8" s="493" t="s">
        <v>677</v>
      </c>
      <c r="M8" s="84"/>
      <c r="N8" s="84"/>
      <c r="O8" s="84"/>
      <c r="P8" s="84"/>
    </row>
    <row r="9" spans="1:16" ht="20.25" customHeight="1">
      <c r="A9" s="3060"/>
      <c r="B9" s="489" t="s">
        <v>678</v>
      </c>
      <c r="C9" s="486">
        <v>8</v>
      </c>
      <c r="D9" s="1103"/>
      <c r="E9" s="490" t="s">
        <v>679</v>
      </c>
      <c r="F9" s="1105"/>
      <c r="G9" s="491">
        <f t="shared" si="0"/>
        <v>0</v>
      </c>
      <c r="H9" s="1105"/>
      <c r="I9" s="491">
        <f t="shared" si="1"/>
        <v>0</v>
      </c>
      <c r="J9" s="163"/>
      <c r="K9" s="1107"/>
      <c r="L9" s="232" t="s">
        <v>680</v>
      </c>
      <c r="M9" s="84"/>
      <c r="N9" s="84"/>
      <c r="O9" s="84"/>
      <c r="P9" s="84"/>
    </row>
    <row r="10" spans="1:16" ht="20.25" customHeight="1">
      <c r="A10" s="3060"/>
      <c r="B10" s="489" t="s">
        <v>681</v>
      </c>
      <c r="C10" s="486"/>
      <c r="D10" s="495">
        <f>SUM(D6:D9)</f>
        <v>0</v>
      </c>
      <c r="E10" s="490" t="s">
        <v>682</v>
      </c>
      <c r="F10" s="1105"/>
      <c r="G10" s="491">
        <f t="shared" si="0"/>
        <v>0</v>
      </c>
      <c r="H10" s="1105"/>
      <c r="I10" s="491">
        <f t="shared" si="1"/>
        <v>0</v>
      </c>
      <c r="J10" s="158" t="s">
        <v>683</v>
      </c>
      <c r="K10" s="496">
        <f>IF(K7&lt;0,K6,K6+K7)</f>
        <v>0</v>
      </c>
      <c r="L10" s="1266" t="s">
        <v>684</v>
      </c>
      <c r="M10" s="84"/>
      <c r="N10" s="84"/>
      <c r="O10" s="84"/>
      <c r="P10" s="84"/>
    </row>
    <row r="11" spans="1:16" ht="20.25" customHeight="1">
      <c r="A11" s="3060" t="s">
        <v>685</v>
      </c>
      <c r="B11" s="489" t="s">
        <v>665</v>
      </c>
      <c r="C11" s="486">
        <v>19</v>
      </c>
      <c r="D11" s="1103"/>
      <c r="E11" s="490" t="s">
        <v>686</v>
      </c>
      <c r="F11" s="1105"/>
      <c r="G11" s="491">
        <f t="shared" si="0"/>
        <v>0</v>
      </c>
      <c r="H11" s="1105"/>
      <c r="I11" s="491">
        <f t="shared" si="1"/>
        <v>0</v>
      </c>
      <c r="J11" s="3065" t="s">
        <v>6504</v>
      </c>
      <c r="K11" s="3066"/>
      <c r="L11" s="144" t="s">
        <v>457</v>
      </c>
      <c r="M11" s="84"/>
      <c r="N11" s="84"/>
      <c r="O11" s="84"/>
      <c r="P11" s="84"/>
    </row>
    <row r="12" spans="1:16" ht="20.25" customHeight="1">
      <c r="A12" s="3060"/>
      <c r="B12" s="489" t="s">
        <v>687</v>
      </c>
      <c r="C12" s="486">
        <v>21</v>
      </c>
      <c r="D12" s="1103"/>
      <c r="E12" s="490" t="s">
        <v>688</v>
      </c>
      <c r="F12" s="1105"/>
      <c r="G12" s="491">
        <f t="shared" si="0"/>
        <v>0</v>
      </c>
      <c r="H12" s="1105"/>
      <c r="I12" s="491">
        <f t="shared" si="1"/>
        <v>0</v>
      </c>
      <c r="J12" s="3065"/>
      <c r="K12" s="3066"/>
      <c r="L12" s="144" t="s">
        <v>689</v>
      </c>
      <c r="M12" s="84"/>
      <c r="N12" s="84"/>
      <c r="O12" s="84"/>
      <c r="P12" s="84"/>
    </row>
    <row r="13" spans="1:16" ht="20.25" customHeight="1">
      <c r="A13" s="3060"/>
      <c r="B13" s="489" t="s">
        <v>690</v>
      </c>
      <c r="C13" s="486">
        <v>22</v>
      </c>
      <c r="D13" s="1103"/>
      <c r="E13" s="490" t="s">
        <v>691</v>
      </c>
      <c r="F13" s="1105"/>
      <c r="G13" s="491">
        <f t="shared" si="0"/>
        <v>0</v>
      </c>
      <c r="H13" s="1105"/>
      <c r="I13" s="491">
        <f t="shared" si="1"/>
        <v>0</v>
      </c>
      <c r="J13" s="3065" t="s">
        <v>6506</v>
      </c>
      <c r="K13" s="3066"/>
      <c r="L13" s="497" t="s">
        <v>692</v>
      </c>
      <c r="M13" s="84"/>
      <c r="N13" s="84"/>
      <c r="O13" s="84"/>
      <c r="P13" s="84"/>
    </row>
    <row r="14" spans="1:16" ht="20.25" customHeight="1">
      <c r="A14" s="3060"/>
      <c r="B14" s="489" t="s">
        <v>693</v>
      </c>
      <c r="C14" s="486">
        <v>23</v>
      </c>
      <c r="D14" s="1103"/>
      <c r="E14" s="490" t="s">
        <v>694</v>
      </c>
      <c r="F14" s="1105"/>
      <c r="G14" s="491">
        <f t="shared" si="0"/>
        <v>0</v>
      </c>
      <c r="H14" s="1105"/>
      <c r="I14" s="491">
        <f t="shared" si="1"/>
        <v>0</v>
      </c>
      <c r="J14" s="3065"/>
      <c r="K14" s="3066"/>
      <c r="L14" s="84"/>
      <c r="M14" s="84"/>
      <c r="N14" s="84"/>
      <c r="O14" s="84"/>
      <c r="P14" s="84"/>
    </row>
    <row r="15" spans="1:16" ht="20.25" customHeight="1">
      <c r="A15" s="3060"/>
      <c r="B15" s="489" t="s">
        <v>695</v>
      </c>
      <c r="C15" s="486">
        <v>24</v>
      </c>
      <c r="D15" s="495">
        <f>D11+D12-D14</f>
        <v>0</v>
      </c>
      <c r="E15" s="490" t="s">
        <v>696</v>
      </c>
      <c r="F15" s="1105"/>
      <c r="G15" s="491">
        <f t="shared" si="0"/>
        <v>0</v>
      </c>
      <c r="H15" s="1105"/>
      <c r="I15" s="491">
        <f t="shared" si="1"/>
        <v>0</v>
      </c>
      <c r="J15" s="3061"/>
      <c r="K15" s="3062"/>
      <c r="L15" s="84"/>
      <c r="M15" s="84"/>
      <c r="N15" s="84"/>
      <c r="O15" s="84"/>
      <c r="P15" s="84"/>
    </row>
    <row r="16" spans="1:16" ht="20.25" customHeight="1">
      <c r="A16" s="488"/>
      <c r="B16" s="489" t="s">
        <v>697</v>
      </c>
      <c r="C16" s="486"/>
      <c r="D16" s="1104"/>
      <c r="E16" s="490" t="s">
        <v>698</v>
      </c>
      <c r="F16" s="1105"/>
      <c r="G16" s="491">
        <f t="shared" si="0"/>
        <v>0</v>
      </c>
      <c r="H16" s="1105"/>
      <c r="I16" s="491">
        <f t="shared" si="1"/>
        <v>0</v>
      </c>
      <c r="J16" s="3061"/>
      <c r="K16" s="3062"/>
      <c r="L16" s="84"/>
      <c r="M16" s="84"/>
      <c r="N16" s="84"/>
      <c r="O16" s="84"/>
      <c r="P16" s="84"/>
    </row>
    <row r="17" spans="1:16" ht="20.25" customHeight="1">
      <c r="A17" s="3058" t="s">
        <v>699</v>
      </c>
      <c r="B17" s="489" t="s">
        <v>700</v>
      </c>
      <c r="C17" s="486"/>
      <c r="D17" s="498">
        <f>IF(ISERROR(D11/D6),0,D11/D6)</f>
        <v>0</v>
      </c>
      <c r="E17" s="490" t="s">
        <v>701</v>
      </c>
      <c r="F17" s="1105"/>
      <c r="G17" s="491">
        <f t="shared" si="0"/>
        <v>0</v>
      </c>
      <c r="H17" s="1104"/>
      <c r="I17" s="491">
        <f t="shared" si="1"/>
        <v>0</v>
      </c>
      <c r="J17" s="3061"/>
      <c r="K17" s="3062"/>
      <c r="L17" s="84"/>
      <c r="M17" s="84"/>
      <c r="N17" s="84"/>
      <c r="O17" s="84"/>
      <c r="P17" s="84"/>
    </row>
    <row r="18" spans="1:16" ht="20.25" customHeight="1">
      <c r="A18" s="3058"/>
      <c r="B18" s="489" t="s">
        <v>5919</v>
      </c>
      <c r="C18" s="1644"/>
      <c r="D18" s="1665"/>
      <c r="E18" s="3070" t="s">
        <v>702</v>
      </c>
      <c r="F18" s="3071"/>
      <c r="G18" s="3072">
        <f t="shared" si="0"/>
        <v>0</v>
      </c>
      <c r="H18" s="3071"/>
      <c r="I18" s="3072">
        <f t="shared" si="1"/>
        <v>0</v>
      </c>
      <c r="J18" s="3061"/>
      <c r="K18" s="3062"/>
      <c r="L18" s="84"/>
      <c r="M18" s="84"/>
      <c r="N18" s="84"/>
      <c r="O18" s="84"/>
      <c r="P18" s="84"/>
    </row>
    <row r="19" spans="1:16" ht="20.25" customHeight="1">
      <c r="A19" s="3058"/>
      <c r="B19" s="489" t="s">
        <v>7150</v>
      </c>
      <c r="C19" s="2446"/>
      <c r="D19" s="2449"/>
      <c r="E19" s="3070"/>
      <c r="F19" s="3071"/>
      <c r="G19" s="3072"/>
      <c r="H19" s="3071"/>
      <c r="I19" s="3072"/>
      <c r="J19" s="3061"/>
      <c r="K19" s="3062"/>
      <c r="L19" s="84"/>
      <c r="M19" s="84"/>
      <c r="N19" s="84"/>
      <c r="O19" s="84"/>
      <c r="P19" s="84"/>
    </row>
    <row r="20" spans="1:16" ht="35.25" customHeight="1">
      <c r="A20" s="3058"/>
      <c r="B20" s="1659"/>
      <c r="C20" s="1660"/>
      <c r="D20" s="1661"/>
      <c r="E20" s="2450" t="s">
        <v>7151</v>
      </c>
      <c r="F20" s="2451"/>
      <c r="G20" s="491">
        <f>ROUND(F20*2%,2)</f>
        <v>0</v>
      </c>
      <c r="H20" s="2451"/>
      <c r="I20" s="491">
        <f>ROUND(H20*3%,2)</f>
        <v>0</v>
      </c>
      <c r="J20" s="3061"/>
      <c r="K20" s="3062"/>
      <c r="L20" s="84"/>
      <c r="M20" s="84"/>
      <c r="N20" s="84"/>
      <c r="O20" s="84"/>
      <c r="P20" s="84"/>
    </row>
    <row r="21" spans="1:16" ht="20.25" customHeight="1">
      <c r="A21" s="3058"/>
      <c r="B21" s="1659"/>
      <c r="C21" s="1660"/>
      <c r="D21" s="1661"/>
      <c r="E21" s="3073" t="s">
        <v>7152</v>
      </c>
      <c r="F21" s="3075"/>
      <c r="G21" s="3077">
        <f>ROUND(F21*2%,2)</f>
        <v>0</v>
      </c>
      <c r="H21" s="3075"/>
      <c r="I21" s="3077">
        <f>ROUND(H21*3%,2)</f>
        <v>0</v>
      </c>
      <c r="J21" s="3061"/>
      <c r="K21" s="3062"/>
      <c r="L21" s="84"/>
      <c r="M21" s="84"/>
      <c r="N21" s="84"/>
      <c r="O21" s="84"/>
      <c r="P21" s="84"/>
    </row>
    <row r="22" spans="1:16" ht="20.25" customHeight="1">
      <c r="A22" s="3058"/>
      <c r="B22" s="1659"/>
      <c r="C22" s="1660"/>
      <c r="D22" s="1661"/>
      <c r="E22" s="3074"/>
      <c r="F22" s="3076"/>
      <c r="G22" s="3078"/>
      <c r="H22" s="3076"/>
      <c r="I22" s="3078"/>
      <c r="J22" s="3061"/>
      <c r="K22" s="3062"/>
      <c r="L22" s="84"/>
      <c r="M22" s="84"/>
      <c r="N22" s="84"/>
      <c r="O22" s="84"/>
      <c r="P22" s="84"/>
    </row>
    <row r="23" spans="1:16" ht="20.25" customHeight="1">
      <c r="A23" s="3058"/>
      <c r="B23" s="1662"/>
      <c r="C23" s="1663"/>
      <c r="D23" s="1664"/>
      <c r="E23" s="499" t="s">
        <v>703</v>
      </c>
      <c r="F23" s="495">
        <f>SUM(F6:F17)+F21</f>
        <v>0</v>
      </c>
      <c r="G23" s="495">
        <f>SUM(G6:G17)+G21</f>
        <v>0</v>
      </c>
      <c r="H23" s="495">
        <f>SUM(H6:H17)+H22</f>
        <v>0</v>
      </c>
      <c r="I23" s="495">
        <f>SUM(I6:I17)+I21</f>
        <v>0</v>
      </c>
      <c r="J23" s="3063"/>
      <c r="K23" s="3064"/>
      <c r="L23" s="84"/>
      <c r="M23" s="84"/>
      <c r="N23" s="84"/>
      <c r="O23" s="84"/>
      <c r="P23" s="84"/>
    </row>
    <row r="24" spans="1:16" ht="20.25" customHeight="1">
      <c r="A24" s="3068" t="s">
        <v>456</v>
      </c>
      <c r="B24" s="3069"/>
      <c r="C24" s="3069"/>
      <c r="D24" s="3069"/>
      <c r="E24" s="3069"/>
      <c r="F24" s="3069"/>
      <c r="G24" s="3069"/>
      <c r="H24" s="3069"/>
      <c r="I24" s="3069"/>
      <c r="J24" s="3069"/>
      <c r="K24" s="3069"/>
      <c r="L24" s="84"/>
      <c r="M24" s="84"/>
      <c r="N24" s="84"/>
      <c r="O24" s="84"/>
      <c r="P24" s="84"/>
    </row>
    <row r="25" spans="1:16" ht="20.25" customHeight="1">
      <c r="A25" s="3068"/>
      <c r="B25" s="3069"/>
      <c r="C25" s="3069"/>
      <c r="D25" s="3069"/>
      <c r="E25" s="3069"/>
      <c r="F25" s="3069"/>
      <c r="G25" s="3069"/>
      <c r="H25" s="3069"/>
      <c r="I25" s="3069"/>
      <c r="J25" s="3069"/>
      <c r="K25" s="3069"/>
      <c r="L25" s="84"/>
      <c r="M25" s="84"/>
      <c r="N25" s="84"/>
      <c r="O25" s="84"/>
      <c r="P25" s="84"/>
    </row>
    <row r="26" spans="1:16" ht="20.25" customHeight="1">
      <c r="A26" s="3068"/>
      <c r="B26" s="3069"/>
      <c r="C26" s="3069"/>
      <c r="D26" s="3069"/>
      <c r="E26" s="3069"/>
      <c r="F26" s="3069"/>
      <c r="G26" s="3069"/>
      <c r="H26" s="3069"/>
      <c r="I26" s="3069"/>
      <c r="J26" s="3069"/>
      <c r="K26" s="3069"/>
      <c r="L26" s="84"/>
      <c r="M26" s="84"/>
      <c r="N26" s="84"/>
      <c r="O26" s="84"/>
      <c r="P26" s="84"/>
    </row>
    <row r="27" spans="1:16">
      <c r="A27" s="500"/>
      <c r="B27" s="500"/>
      <c r="C27" s="500"/>
      <c r="D27" s="500"/>
      <c r="E27" s="500"/>
      <c r="F27" s="500"/>
      <c r="G27" s="500"/>
      <c r="H27" s="500"/>
      <c r="I27" s="500"/>
      <c r="J27" s="500"/>
      <c r="K27" s="500"/>
    </row>
    <row r="28" spans="1:16" s="501" customFormat="1">
      <c r="A28" s="3067"/>
      <c r="B28" s="3067"/>
      <c r="C28" s="3067"/>
      <c r="D28" s="3067"/>
      <c r="E28" s="3067"/>
      <c r="F28" s="3067"/>
      <c r="G28" s="3067"/>
      <c r="H28" s="3067"/>
      <c r="I28" s="3067"/>
      <c r="J28" s="3067"/>
      <c r="K28" s="3067"/>
    </row>
    <row r="29" spans="1:16" s="501" customFormat="1">
      <c r="A29" s="3067"/>
      <c r="B29" s="3067"/>
      <c r="C29" s="3067"/>
      <c r="D29" s="3067"/>
      <c r="E29" s="3067"/>
      <c r="F29" s="3067"/>
      <c r="G29" s="3067"/>
      <c r="H29" s="3067"/>
      <c r="I29" s="3067"/>
      <c r="J29" s="3067"/>
      <c r="K29" s="3067"/>
    </row>
    <row r="30" spans="1:16" s="501" customFormat="1">
      <c r="A30" s="3067"/>
      <c r="B30" s="3067"/>
      <c r="C30" s="3067"/>
      <c r="D30" s="3067"/>
      <c r="E30" s="3067"/>
      <c r="F30" s="3067"/>
      <c r="G30" s="3067"/>
      <c r="H30" s="3067"/>
      <c r="I30" s="3067"/>
      <c r="J30" s="3067"/>
      <c r="K30" s="3067"/>
    </row>
    <row r="31" spans="1:16" s="501" customFormat="1">
      <c r="A31" s="3067"/>
      <c r="B31" s="3067"/>
      <c r="C31" s="3067"/>
      <c r="D31" s="3067"/>
      <c r="E31" s="3067"/>
      <c r="F31" s="3067"/>
      <c r="G31" s="3067"/>
      <c r="H31" s="3067"/>
      <c r="I31" s="3067"/>
      <c r="J31" s="3067"/>
      <c r="K31" s="3067"/>
    </row>
    <row r="32" spans="1:16" s="501" customFormat="1">
      <c r="A32" s="3067"/>
      <c r="B32" s="3067"/>
      <c r="C32" s="3067"/>
      <c r="D32" s="3067"/>
      <c r="E32" s="3067"/>
      <c r="F32" s="3067"/>
      <c r="G32" s="3067"/>
      <c r="H32" s="3067"/>
      <c r="I32" s="3067"/>
      <c r="J32" s="3067"/>
      <c r="K32" s="3067"/>
    </row>
    <row r="33" spans="1:11" s="501" customFormat="1">
      <c r="A33" s="3067"/>
      <c r="B33" s="3067"/>
      <c r="C33" s="3067"/>
      <c r="D33" s="3067"/>
      <c r="E33" s="3067"/>
      <c r="F33" s="3067"/>
      <c r="G33" s="3067"/>
      <c r="H33" s="3067"/>
      <c r="I33" s="3067"/>
      <c r="J33" s="3067"/>
      <c r="K33" s="3067"/>
    </row>
    <row r="34" spans="1:11" s="501" customFormat="1">
      <c r="A34" s="3067"/>
      <c r="B34" s="3067"/>
      <c r="C34" s="3067"/>
      <c r="D34" s="3067"/>
      <c r="E34" s="3067"/>
      <c r="F34" s="3067"/>
      <c r="G34" s="3067"/>
      <c r="H34" s="3067"/>
      <c r="I34" s="3067"/>
      <c r="J34" s="3067"/>
      <c r="K34" s="3067"/>
    </row>
    <row r="35" spans="1:11" s="501" customFormat="1">
      <c r="A35" s="3067"/>
      <c r="B35" s="3067"/>
      <c r="C35" s="3067"/>
      <c r="D35" s="3067"/>
      <c r="E35" s="3067"/>
      <c r="F35" s="3067"/>
      <c r="G35" s="3067"/>
      <c r="H35" s="3067"/>
      <c r="I35" s="3067"/>
      <c r="J35" s="3067"/>
      <c r="K35" s="3067"/>
    </row>
    <row r="36" spans="1:11" s="501" customFormat="1">
      <c r="A36" s="3067"/>
      <c r="B36" s="3067"/>
      <c r="C36" s="3067"/>
      <c r="D36" s="3067"/>
      <c r="E36" s="3067"/>
      <c r="F36" s="3067"/>
      <c r="G36" s="3067"/>
      <c r="H36" s="3067"/>
      <c r="I36" s="3067"/>
      <c r="J36" s="3067"/>
      <c r="K36" s="3067"/>
    </row>
    <row r="37" spans="1:11" s="501" customFormat="1">
      <c r="A37" s="3067"/>
      <c r="B37" s="3067"/>
      <c r="C37" s="3067"/>
      <c r="D37" s="3067"/>
      <c r="E37" s="3067"/>
      <c r="F37" s="3067"/>
      <c r="G37" s="3067"/>
      <c r="H37" s="3067"/>
      <c r="I37" s="3067"/>
      <c r="J37" s="3067"/>
      <c r="K37" s="3067"/>
    </row>
    <row r="38" spans="1:11" s="501" customFormat="1">
      <c r="A38" s="3067"/>
      <c r="B38" s="3067"/>
      <c r="C38" s="3067"/>
      <c r="D38" s="3067"/>
      <c r="E38" s="3067"/>
      <c r="F38" s="3067"/>
      <c r="G38" s="3067"/>
      <c r="H38" s="3067"/>
      <c r="I38" s="3067"/>
      <c r="J38" s="3067"/>
      <c r="K38" s="3067"/>
    </row>
    <row r="39" spans="1:11" s="501" customFormat="1">
      <c r="A39" s="3067"/>
      <c r="B39" s="3067"/>
      <c r="C39" s="3067"/>
      <c r="D39" s="3067"/>
      <c r="E39" s="3067"/>
      <c r="F39" s="3067"/>
      <c r="G39" s="3067"/>
      <c r="H39" s="3067"/>
      <c r="I39" s="3067"/>
      <c r="J39" s="3067"/>
      <c r="K39" s="3067"/>
    </row>
    <row r="40" spans="1:11" s="501" customFormat="1">
      <c r="A40" s="3067"/>
      <c r="B40" s="3067"/>
      <c r="C40" s="3067"/>
      <c r="D40" s="3067"/>
      <c r="E40" s="3067"/>
      <c r="F40" s="3067"/>
      <c r="G40" s="3067"/>
      <c r="H40" s="3067"/>
      <c r="I40" s="3067"/>
      <c r="J40" s="3067"/>
      <c r="K40" s="3067"/>
    </row>
    <row r="41" spans="1:11" s="501" customFormat="1">
      <c r="A41" s="3067"/>
      <c r="B41" s="3067"/>
      <c r="C41" s="3067"/>
      <c r="D41" s="3067"/>
      <c r="E41" s="3067"/>
      <c r="F41" s="3067"/>
      <c r="G41" s="3067"/>
      <c r="H41" s="3067"/>
      <c r="I41" s="3067"/>
      <c r="J41" s="3067"/>
      <c r="K41" s="3067"/>
    </row>
    <row r="42" spans="1:11" s="501" customFormat="1">
      <c r="A42" s="3067"/>
      <c r="B42" s="3067"/>
      <c r="C42" s="3067"/>
      <c r="D42" s="3067"/>
      <c r="E42" s="3067"/>
      <c r="F42" s="3067"/>
      <c r="G42" s="3067"/>
      <c r="H42" s="3067"/>
      <c r="I42" s="3067"/>
      <c r="J42" s="3067"/>
      <c r="K42" s="3067"/>
    </row>
    <row r="43" spans="1:11" s="501" customFormat="1">
      <c r="A43" s="3067"/>
      <c r="B43" s="3067"/>
      <c r="C43" s="3067"/>
      <c r="D43" s="3067"/>
      <c r="E43" s="3067"/>
      <c r="F43" s="3067"/>
      <c r="G43" s="3067"/>
      <c r="H43" s="3067"/>
      <c r="I43" s="3067"/>
      <c r="J43" s="3067"/>
      <c r="K43" s="3067"/>
    </row>
    <row r="44" spans="1:11" s="501" customFormat="1">
      <c r="A44" s="3067"/>
      <c r="B44" s="3067"/>
      <c r="C44" s="3067"/>
      <c r="D44" s="3067"/>
      <c r="E44" s="3067"/>
      <c r="F44" s="3067"/>
      <c r="G44" s="3067"/>
      <c r="H44" s="3067"/>
      <c r="I44" s="3067"/>
      <c r="J44" s="3067"/>
      <c r="K44" s="3067"/>
    </row>
    <row r="45" spans="1:11" s="501" customFormat="1">
      <c r="A45" s="3067"/>
      <c r="B45" s="3067"/>
      <c r="C45" s="3067"/>
      <c r="D45" s="3067"/>
      <c r="E45" s="3067"/>
      <c r="F45" s="3067"/>
      <c r="G45" s="3067"/>
      <c r="H45" s="3067"/>
      <c r="I45" s="3067"/>
      <c r="J45" s="3067"/>
      <c r="K45" s="3067"/>
    </row>
    <row r="46" spans="1:11" s="501" customFormat="1">
      <c r="A46" s="3067"/>
      <c r="B46" s="3067"/>
      <c r="C46" s="3067"/>
      <c r="D46" s="3067"/>
      <c r="E46" s="3067"/>
      <c r="F46" s="3067"/>
      <c r="G46" s="3067"/>
      <c r="H46" s="3067"/>
      <c r="I46" s="3067"/>
      <c r="J46" s="3067"/>
      <c r="K46" s="3067"/>
    </row>
    <row r="47" spans="1:11" s="501" customFormat="1">
      <c r="A47" s="3067"/>
      <c r="B47" s="3067"/>
      <c r="C47" s="3067"/>
      <c r="D47" s="3067"/>
      <c r="E47" s="3067"/>
      <c r="F47" s="3067"/>
      <c r="G47" s="3067"/>
      <c r="H47" s="3067"/>
      <c r="I47" s="3067"/>
      <c r="J47" s="3067"/>
      <c r="K47" s="3067"/>
    </row>
    <row r="48" spans="1:11" s="501" customFormat="1">
      <c r="A48" s="3067"/>
      <c r="B48" s="3067"/>
      <c r="C48" s="3067"/>
      <c r="D48" s="3067"/>
      <c r="E48" s="3067"/>
      <c r="F48" s="3067"/>
      <c r="G48" s="3067"/>
      <c r="H48" s="3067"/>
      <c r="I48" s="3067"/>
      <c r="J48" s="3067"/>
      <c r="K48" s="3067"/>
    </row>
    <row r="49" spans="1:11" s="501" customFormat="1">
      <c r="A49" s="3067"/>
      <c r="B49" s="3067"/>
      <c r="C49" s="3067"/>
      <c r="D49" s="3067"/>
      <c r="E49" s="3067"/>
      <c r="F49" s="3067"/>
      <c r="G49" s="3067"/>
      <c r="H49" s="3067"/>
      <c r="I49" s="3067"/>
      <c r="J49" s="3067"/>
      <c r="K49" s="3067"/>
    </row>
    <row r="50" spans="1:11" s="501" customFormat="1">
      <c r="A50" s="3067"/>
      <c r="B50" s="3067"/>
      <c r="C50" s="3067"/>
      <c r="D50" s="3067"/>
      <c r="E50" s="3067"/>
      <c r="F50" s="3067"/>
      <c r="G50" s="3067"/>
      <c r="H50" s="3067"/>
      <c r="I50" s="3067"/>
      <c r="J50" s="3067"/>
      <c r="K50" s="3067"/>
    </row>
    <row r="51" spans="1:11" s="501" customFormat="1">
      <c r="A51" s="3067"/>
      <c r="B51" s="3067"/>
      <c r="C51" s="3067"/>
      <c r="D51" s="3067"/>
      <c r="E51" s="3067"/>
      <c r="F51" s="3067"/>
      <c r="G51" s="3067"/>
      <c r="H51" s="3067"/>
      <c r="I51" s="3067"/>
      <c r="J51" s="3067"/>
      <c r="K51" s="3067"/>
    </row>
    <row r="52" spans="1:11" s="501" customFormat="1">
      <c r="A52" s="3067"/>
      <c r="B52" s="3067"/>
      <c r="C52" s="3067"/>
      <c r="D52" s="3067"/>
      <c r="E52" s="3067"/>
      <c r="F52" s="3067"/>
      <c r="G52" s="3067"/>
      <c r="H52" s="3067"/>
      <c r="I52" s="3067"/>
      <c r="J52" s="3067"/>
      <c r="K52" s="3067"/>
    </row>
    <row r="53" spans="1:11" s="501" customFormat="1">
      <c r="A53" s="3067"/>
      <c r="B53" s="3067"/>
      <c r="C53" s="3067"/>
      <c r="D53" s="3067"/>
      <c r="E53" s="3067"/>
      <c r="F53" s="3067"/>
      <c r="G53" s="3067"/>
      <c r="H53" s="3067"/>
      <c r="I53" s="3067"/>
      <c r="J53" s="3067"/>
      <c r="K53" s="3067"/>
    </row>
    <row r="54" spans="1:11" s="501" customFormat="1">
      <c r="A54" s="3067"/>
      <c r="B54" s="3067"/>
      <c r="C54" s="3067"/>
      <c r="D54" s="3067"/>
      <c r="E54" s="3067"/>
      <c r="F54" s="3067"/>
      <c r="G54" s="3067"/>
      <c r="H54" s="3067"/>
      <c r="I54" s="3067"/>
      <c r="J54" s="3067"/>
      <c r="K54" s="3067"/>
    </row>
    <row r="55" spans="1:11" s="501" customFormat="1">
      <c r="A55" s="3067"/>
      <c r="B55" s="3067"/>
      <c r="C55" s="3067"/>
      <c r="D55" s="3067"/>
      <c r="E55" s="3067"/>
      <c r="F55" s="3067"/>
      <c r="G55" s="3067"/>
      <c r="H55" s="3067"/>
      <c r="I55" s="3067"/>
      <c r="J55" s="3067"/>
      <c r="K55" s="3067"/>
    </row>
    <row r="56" spans="1:11" s="501" customFormat="1">
      <c r="A56" s="3067"/>
      <c r="B56" s="3067"/>
      <c r="C56" s="3067"/>
      <c r="D56" s="3067"/>
      <c r="E56" s="3067"/>
      <c r="F56" s="3067"/>
      <c r="G56" s="3067"/>
      <c r="H56" s="3067"/>
      <c r="I56" s="3067"/>
      <c r="J56" s="3067"/>
      <c r="K56" s="3067"/>
    </row>
    <row r="57" spans="1:11" s="501" customFormat="1">
      <c r="A57" s="3067"/>
      <c r="B57" s="3067"/>
      <c r="C57" s="3067"/>
      <c r="D57" s="3067"/>
      <c r="E57" s="3067"/>
      <c r="F57" s="3067"/>
      <c r="G57" s="3067"/>
      <c r="H57" s="3067"/>
      <c r="I57" s="3067"/>
      <c r="J57" s="3067"/>
      <c r="K57" s="3067"/>
    </row>
    <row r="58" spans="1:11" s="501" customFormat="1">
      <c r="A58" s="3067"/>
      <c r="B58" s="3067"/>
      <c r="C58" s="3067"/>
      <c r="D58" s="3067"/>
      <c r="E58" s="3067"/>
      <c r="F58" s="3067"/>
      <c r="G58" s="3067"/>
      <c r="H58" s="3067"/>
      <c r="I58" s="3067"/>
      <c r="J58" s="3067"/>
      <c r="K58" s="3067"/>
    </row>
    <row r="59" spans="1:11" s="501" customFormat="1">
      <c r="A59" s="3067"/>
      <c r="B59" s="3067"/>
      <c r="C59" s="3067"/>
      <c r="D59" s="3067"/>
      <c r="E59" s="3067"/>
      <c r="F59" s="3067"/>
      <c r="G59" s="3067"/>
      <c r="H59" s="3067"/>
      <c r="I59" s="3067"/>
      <c r="J59" s="3067"/>
      <c r="K59" s="3067"/>
    </row>
    <row r="60" spans="1:11" s="501" customFormat="1">
      <c r="A60" s="3067"/>
      <c r="B60" s="3067"/>
      <c r="C60" s="3067"/>
      <c r="D60" s="3067"/>
      <c r="E60" s="3067"/>
      <c r="F60" s="3067"/>
      <c r="G60" s="3067"/>
      <c r="H60" s="3067"/>
      <c r="I60" s="3067"/>
      <c r="J60" s="3067"/>
      <c r="K60" s="3067"/>
    </row>
    <row r="61" spans="1:11" s="501" customFormat="1">
      <c r="A61" s="3067"/>
      <c r="B61" s="3067"/>
      <c r="C61" s="3067"/>
      <c r="D61" s="3067"/>
      <c r="E61" s="3067"/>
      <c r="F61" s="3067"/>
      <c r="G61" s="3067"/>
      <c r="H61" s="3067"/>
      <c r="I61" s="3067"/>
      <c r="J61" s="3067"/>
      <c r="K61" s="3067"/>
    </row>
    <row r="62" spans="1:11" s="501" customFormat="1">
      <c r="A62" s="3067"/>
      <c r="B62" s="3067"/>
      <c r="C62" s="3067"/>
      <c r="D62" s="3067"/>
      <c r="E62" s="3067"/>
      <c r="F62" s="3067"/>
      <c r="G62" s="3067"/>
      <c r="H62" s="3067"/>
      <c r="I62" s="3067"/>
      <c r="J62" s="3067"/>
      <c r="K62" s="3067"/>
    </row>
    <row r="63" spans="1:11" s="501" customFormat="1">
      <c r="A63" s="3067"/>
      <c r="B63" s="3067"/>
      <c r="C63" s="3067"/>
      <c r="D63" s="3067"/>
      <c r="E63" s="3067"/>
      <c r="F63" s="3067"/>
      <c r="G63" s="3067"/>
      <c r="H63" s="3067"/>
      <c r="I63" s="3067"/>
      <c r="J63" s="3067"/>
      <c r="K63" s="3067"/>
    </row>
    <row r="64" spans="1:11" s="501" customFormat="1">
      <c r="A64" s="3067"/>
      <c r="B64" s="3067"/>
      <c r="C64" s="3067"/>
      <c r="D64" s="3067"/>
      <c r="E64" s="3067"/>
      <c r="F64" s="3067"/>
      <c r="G64" s="3067"/>
      <c r="H64" s="3067"/>
      <c r="I64" s="3067"/>
      <c r="J64" s="3067"/>
      <c r="K64" s="3067"/>
    </row>
    <row r="65" spans="1:11" s="501" customFormat="1">
      <c r="A65" s="3067"/>
      <c r="B65" s="3067"/>
      <c r="C65" s="3067"/>
      <c r="D65" s="3067"/>
      <c r="E65" s="3067"/>
      <c r="F65" s="3067"/>
      <c r="G65" s="3067"/>
      <c r="H65" s="3067"/>
      <c r="I65" s="3067"/>
      <c r="J65" s="3067"/>
      <c r="K65" s="3067"/>
    </row>
    <row r="66" spans="1:11" s="501" customFormat="1">
      <c r="A66" s="3067"/>
      <c r="B66" s="3067"/>
      <c r="C66" s="3067"/>
      <c r="D66" s="3067"/>
      <c r="E66" s="3067"/>
      <c r="F66" s="3067"/>
      <c r="G66" s="3067"/>
      <c r="H66" s="3067"/>
      <c r="I66" s="3067"/>
      <c r="J66" s="3067"/>
      <c r="K66" s="3067"/>
    </row>
    <row r="67" spans="1:11" s="501" customFormat="1">
      <c r="A67" s="3067"/>
      <c r="B67" s="3067"/>
      <c r="C67" s="3067"/>
      <c r="D67" s="3067"/>
      <c r="E67" s="3067"/>
      <c r="F67" s="3067"/>
      <c r="G67" s="3067"/>
      <c r="H67" s="3067"/>
      <c r="I67" s="3067"/>
      <c r="J67" s="3067"/>
      <c r="K67" s="3067"/>
    </row>
    <row r="68" spans="1:11" s="501" customFormat="1">
      <c r="A68" s="3067"/>
      <c r="B68" s="3067"/>
      <c r="C68" s="3067"/>
      <c r="D68" s="3067"/>
      <c r="E68" s="3067"/>
      <c r="F68" s="3067"/>
      <c r="G68" s="3067"/>
      <c r="H68" s="3067"/>
      <c r="I68" s="3067"/>
      <c r="J68" s="3067"/>
      <c r="K68" s="3067"/>
    </row>
    <row r="69" spans="1:11" s="501" customFormat="1">
      <c r="A69" s="3067"/>
      <c r="B69" s="3067"/>
      <c r="C69" s="3067"/>
      <c r="D69" s="3067"/>
      <c r="E69" s="3067"/>
      <c r="F69" s="3067"/>
      <c r="G69" s="3067"/>
      <c r="H69" s="3067"/>
      <c r="I69" s="3067"/>
      <c r="J69" s="3067"/>
      <c r="K69" s="3067"/>
    </row>
    <row r="70" spans="1:11" s="501" customFormat="1">
      <c r="A70" s="3067"/>
      <c r="B70" s="3067"/>
      <c r="C70" s="3067"/>
      <c r="D70" s="3067"/>
      <c r="E70" s="3067"/>
      <c r="F70" s="3067"/>
      <c r="G70" s="3067"/>
      <c r="H70" s="3067"/>
      <c r="I70" s="3067"/>
      <c r="J70" s="3067"/>
      <c r="K70" s="3067"/>
    </row>
    <row r="71" spans="1:11" s="501" customFormat="1">
      <c r="A71" s="3067"/>
      <c r="B71" s="3067"/>
      <c r="C71" s="3067"/>
      <c r="D71" s="3067"/>
      <c r="E71" s="3067"/>
      <c r="F71" s="3067"/>
      <c r="G71" s="3067"/>
      <c r="H71" s="3067"/>
      <c r="I71" s="3067"/>
      <c r="J71" s="3067"/>
      <c r="K71" s="3067"/>
    </row>
    <row r="72" spans="1:11" s="501" customFormat="1">
      <c r="A72" s="3067"/>
      <c r="B72" s="3067"/>
      <c r="C72" s="3067"/>
      <c r="D72" s="3067"/>
      <c r="E72" s="3067"/>
      <c r="F72" s="3067"/>
      <c r="G72" s="3067"/>
      <c r="H72" s="3067"/>
      <c r="I72" s="3067"/>
      <c r="J72" s="3067"/>
      <c r="K72" s="3067"/>
    </row>
    <row r="73" spans="1:11" s="501" customFormat="1">
      <c r="A73" s="3067"/>
      <c r="B73" s="3067"/>
      <c r="C73" s="3067"/>
      <c r="D73" s="3067"/>
      <c r="E73" s="3067"/>
      <c r="F73" s="3067"/>
      <c r="G73" s="3067"/>
      <c r="H73" s="3067"/>
      <c r="I73" s="3067"/>
      <c r="J73" s="3067"/>
      <c r="K73" s="3067"/>
    </row>
    <row r="74" spans="1:11" s="501" customFormat="1">
      <c r="A74" s="3067"/>
      <c r="B74" s="3067"/>
      <c r="C74" s="3067"/>
      <c r="D74" s="3067"/>
      <c r="E74" s="3067"/>
      <c r="F74" s="3067"/>
      <c r="G74" s="3067"/>
      <c r="H74" s="3067"/>
      <c r="I74" s="3067"/>
      <c r="J74" s="3067"/>
      <c r="K74" s="3067"/>
    </row>
    <row r="75" spans="1:11" s="501" customFormat="1">
      <c r="A75" s="3067"/>
      <c r="B75" s="3067"/>
      <c r="C75" s="3067"/>
      <c r="D75" s="3067"/>
      <c r="E75" s="3067"/>
      <c r="F75" s="3067"/>
      <c r="G75" s="3067"/>
      <c r="H75" s="3067"/>
      <c r="I75" s="3067"/>
      <c r="J75" s="3067"/>
      <c r="K75" s="3067"/>
    </row>
    <row r="76" spans="1:11" s="501" customFormat="1">
      <c r="A76" s="3067"/>
      <c r="B76" s="3067"/>
      <c r="C76" s="3067"/>
      <c r="D76" s="3067"/>
      <c r="E76" s="3067"/>
      <c r="F76" s="3067"/>
      <c r="G76" s="3067"/>
      <c r="H76" s="3067"/>
      <c r="I76" s="3067"/>
      <c r="J76" s="3067"/>
      <c r="K76" s="3067"/>
    </row>
    <row r="77" spans="1:11" s="501" customFormat="1">
      <c r="A77" s="3067"/>
      <c r="B77" s="3067"/>
      <c r="C77" s="3067"/>
      <c r="D77" s="3067"/>
      <c r="E77" s="3067"/>
      <c r="F77" s="3067"/>
      <c r="G77" s="3067"/>
      <c r="H77" s="3067"/>
      <c r="I77" s="3067"/>
      <c r="J77" s="3067"/>
      <c r="K77" s="3067"/>
    </row>
    <row r="78" spans="1:11" s="501" customFormat="1">
      <c r="A78" s="3067"/>
      <c r="B78" s="3067"/>
      <c r="C78" s="3067"/>
      <c r="D78" s="3067"/>
      <c r="E78" s="3067"/>
      <c r="F78" s="3067"/>
      <c r="G78" s="3067"/>
      <c r="H78" s="3067"/>
      <c r="I78" s="3067"/>
      <c r="J78" s="3067"/>
      <c r="K78" s="3067"/>
    </row>
    <row r="79" spans="1:11" s="501" customFormat="1">
      <c r="A79" s="3067"/>
      <c r="B79" s="3067"/>
      <c r="C79" s="3067"/>
      <c r="D79" s="3067"/>
      <c r="E79" s="3067"/>
      <c r="F79" s="3067"/>
      <c r="G79" s="3067"/>
      <c r="H79" s="3067"/>
      <c r="I79" s="3067"/>
      <c r="J79" s="3067"/>
      <c r="K79" s="3067"/>
    </row>
    <row r="80" spans="1:11" s="501" customFormat="1">
      <c r="A80" s="3067"/>
      <c r="B80" s="3067"/>
      <c r="C80" s="3067"/>
      <c r="D80" s="3067"/>
      <c r="E80" s="3067"/>
      <c r="F80" s="3067"/>
      <c r="G80" s="3067"/>
      <c r="H80" s="3067"/>
      <c r="I80" s="3067"/>
      <c r="J80" s="3067"/>
      <c r="K80" s="3067"/>
    </row>
    <row r="81" spans="1:11" s="501" customFormat="1">
      <c r="A81" s="3067"/>
      <c r="B81" s="3067"/>
      <c r="C81" s="3067"/>
      <c r="D81" s="3067"/>
      <c r="E81" s="3067"/>
      <c r="F81" s="3067"/>
      <c r="G81" s="3067"/>
      <c r="H81" s="3067"/>
      <c r="I81" s="3067"/>
      <c r="J81" s="3067"/>
      <c r="K81" s="3067"/>
    </row>
    <row r="82" spans="1:11" s="501" customFormat="1">
      <c r="A82" s="3067"/>
      <c r="B82" s="3067"/>
      <c r="C82" s="3067"/>
      <c r="D82" s="3067"/>
      <c r="E82" s="3067"/>
      <c r="F82" s="3067"/>
      <c r="G82" s="3067"/>
      <c r="H82" s="3067"/>
      <c r="I82" s="3067"/>
      <c r="J82" s="3067"/>
      <c r="K82" s="3067"/>
    </row>
    <row r="83" spans="1:11" s="501" customFormat="1">
      <c r="A83" s="3067"/>
      <c r="B83" s="3067"/>
      <c r="C83" s="3067"/>
      <c r="D83" s="3067"/>
      <c r="E83" s="3067"/>
      <c r="F83" s="3067"/>
      <c r="G83" s="3067"/>
      <c r="H83" s="3067"/>
      <c r="I83" s="3067"/>
      <c r="J83" s="3067"/>
      <c r="K83" s="3067"/>
    </row>
    <row r="84" spans="1:11" s="501" customFormat="1">
      <c r="A84" s="3067"/>
      <c r="B84" s="3067"/>
      <c r="C84" s="3067"/>
      <c r="D84" s="3067"/>
      <c r="E84" s="3067"/>
      <c r="F84" s="3067"/>
      <c r="G84" s="3067"/>
      <c r="H84" s="3067"/>
      <c r="I84" s="3067"/>
      <c r="J84" s="3067"/>
      <c r="K84" s="3067"/>
    </row>
    <row r="85" spans="1:11" s="501" customFormat="1">
      <c r="A85" s="3067"/>
      <c r="B85" s="3067"/>
      <c r="C85" s="3067"/>
      <c r="D85" s="3067"/>
      <c r="E85" s="3067"/>
      <c r="F85" s="3067"/>
      <c r="G85" s="3067"/>
      <c r="H85" s="3067"/>
      <c r="I85" s="3067"/>
      <c r="J85" s="3067"/>
      <c r="K85" s="3067"/>
    </row>
    <row r="86" spans="1:11" s="501" customFormat="1">
      <c r="A86" s="3067"/>
      <c r="B86" s="3067"/>
      <c r="C86" s="3067"/>
      <c r="D86" s="3067"/>
      <c r="E86" s="3067"/>
      <c r="F86" s="3067"/>
      <c r="G86" s="3067"/>
      <c r="H86" s="3067"/>
      <c r="I86" s="3067"/>
      <c r="J86" s="3067"/>
      <c r="K86" s="3067"/>
    </row>
    <row r="87" spans="1:11" s="501" customFormat="1">
      <c r="A87" s="3067"/>
      <c r="B87" s="3067"/>
      <c r="C87" s="3067"/>
      <c r="D87" s="3067"/>
      <c r="E87" s="3067"/>
      <c r="F87" s="3067"/>
      <c r="G87" s="3067"/>
      <c r="H87" s="3067"/>
      <c r="I87" s="3067"/>
      <c r="J87" s="3067"/>
      <c r="K87" s="3067"/>
    </row>
    <row r="88" spans="1:11" s="501" customFormat="1">
      <c r="A88" s="3067"/>
      <c r="B88" s="3067"/>
      <c r="C88" s="3067"/>
      <c r="D88" s="3067"/>
      <c r="E88" s="3067"/>
      <c r="F88" s="3067"/>
      <c r="G88" s="3067"/>
      <c r="H88" s="3067"/>
      <c r="I88" s="3067"/>
      <c r="J88" s="3067"/>
      <c r="K88" s="3067"/>
    </row>
    <row r="89" spans="1:11" s="501" customFormat="1">
      <c r="A89" s="3067"/>
      <c r="B89" s="3067"/>
      <c r="C89" s="3067"/>
      <c r="D89" s="3067"/>
      <c r="E89" s="3067"/>
      <c r="F89" s="3067"/>
      <c r="G89" s="3067"/>
      <c r="H89" s="3067"/>
      <c r="I89" s="3067"/>
      <c r="J89" s="3067"/>
      <c r="K89" s="3067"/>
    </row>
    <row r="90" spans="1:11" s="501" customFormat="1">
      <c r="A90" s="3067"/>
      <c r="B90" s="3067"/>
      <c r="C90" s="3067"/>
      <c r="D90" s="3067"/>
      <c r="E90" s="3067"/>
      <c r="F90" s="3067"/>
      <c r="G90" s="3067"/>
      <c r="H90" s="3067"/>
      <c r="I90" s="3067"/>
      <c r="J90" s="3067"/>
      <c r="K90" s="3067"/>
    </row>
    <row r="91" spans="1:11" s="501" customFormat="1">
      <c r="A91" s="3067"/>
      <c r="B91" s="3067"/>
      <c r="C91" s="3067"/>
      <c r="D91" s="3067"/>
      <c r="E91" s="3067"/>
      <c r="F91" s="3067"/>
      <c r="G91" s="3067"/>
      <c r="H91" s="3067"/>
      <c r="I91" s="3067"/>
      <c r="J91" s="3067"/>
      <c r="K91" s="3067"/>
    </row>
    <row r="92" spans="1:11" s="501" customFormat="1">
      <c r="A92" s="3067"/>
      <c r="B92" s="3067"/>
      <c r="C92" s="3067"/>
      <c r="D92" s="3067"/>
      <c r="E92" s="3067"/>
      <c r="F92" s="3067"/>
      <c r="G92" s="3067"/>
      <c r="H92" s="3067"/>
      <c r="I92" s="3067"/>
      <c r="J92" s="3067"/>
      <c r="K92" s="3067"/>
    </row>
    <row r="93" spans="1:11" s="501" customFormat="1">
      <c r="A93" s="3067"/>
      <c r="B93" s="3067"/>
      <c r="C93" s="3067"/>
      <c r="D93" s="3067"/>
      <c r="E93" s="3067"/>
      <c r="F93" s="3067"/>
      <c r="G93" s="3067"/>
      <c r="H93" s="3067"/>
      <c r="I93" s="3067"/>
      <c r="J93" s="3067"/>
      <c r="K93" s="3067"/>
    </row>
    <row r="94" spans="1:11" s="501" customFormat="1">
      <c r="A94" s="3067"/>
      <c r="B94" s="3067"/>
      <c r="C94" s="3067"/>
      <c r="D94" s="3067"/>
      <c r="E94" s="3067"/>
      <c r="F94" s="3067"/>
      <c r="G94" s="3067"/>
      <c r="H94" s="3067"/>
      <c r="I94" s="3067"/>
      <c r="J94" s="3067"/>
      <c r="K94" s="3067"/>
    </row>
    <row r="95" spans="1:11" s="501" customFormat="1">
      <c r="A95" s="3067"/>
      <c r="B95" s="3067"/>
      <c r="C95" s="3067"/>
      <c r="D95" s="3067"/>
      <c r="E95" s="3067"/>
      <c r="F95" s="3067"/>
      <c r="G95" s="3067"/>
      <c r="H95" s="3067"/>
      <c r="I95" s="3067"/>
      <c r="J95" s="3067"/>
      <c r="K95" s="3067"/>
    </row>
    <row r="96" spans="1:11" s="501" customFormat="1">
      <c r="A96" s="3067"/>
      <c r="B96" s="3067"/>
      <c r="C96" s="3067"/>
      <c r="D96" s="3067"/>
      <c r="E96" s="3067"/>
      <c r="F96" s="3067"/>
      <c r="G96" s="3067"/>
      <c r="H96" s="3067"/>
      <c r="I96" s="3067"/>
      <c r="J96" s="3067"/>
      <c r="K96" s="3067"/>
    </row>
    <row r="97" spans="1:11" s="501" customFormat="1">
      <c r="A97" s="3067"/>
      <c r="B97" s="3067"/>
      <c r="C97" s="3067"/>
      <c r="D97" s="3067"/>
      <c r="E97" s="3067"/>
      <c r="F97" s="3067"/>
      <c r="G97" s="3067"/>
      <c r="H97" s="3067"/>
      <c r="I97" s="3067"/>
      <c r="J97" s="3067"/>
      <c r="K97" s="3067"/>
    </row>
    <row r="98" spans="1:11" s="501" customFormat="1">
      <c r="A98" s="3067"/>
      <c r="B98" s="3067"/>
      <c r="C98" s="3067"/>
      <c r="D98" s="3067"/>
      <c r="E98" s="3067"/>
      <c r="F98" s="3067"/>
      <c r="G98" s="3067"/>
      <c r="H98" s="3067"/>
      <c r="I98" s="3067"/>
      <c r="J98" s="3067"/>
      <c r="K98" s="3067"/>
    </row>
    <row r="99" spans="1:11" s="501" customFormat="1">
      <c r="A99" s="3067"/>
      <c r="B99" s="3067"/>
      <c r="C99" s="3067"/>
      <c r="D99" s="3067"/>
      <c r="E99" s="3067"/>
      <c r="F99" s="3067"/>
      <c r="G99" s="3067"/>
      <c r="H99" s="3067"/>
      <c r="I99" s="3067"/>
      <c r="J99" s="3067"/>
      <c r="K99" s="3067"/>
    </row>
    <row r="100" spans="1:11" s="501" customFormat="1">
      <c r="A100" s="3067"/>
      <c r="B100" s="3067"/>
      <c r="C100" s="3067"/>
      <c r="D100" s="3067"/>
      <c r="E100" s="3067"/>
      <c r="F100" s="3067"/>
      <c r="G100" s="3067"/>
      <c r="H100" s="3067"/>
      <c r="I100" s="3067"/>
      <c r="J100" s="3067"/>
      <c r="K100" s="3067"/>
    </row>
    <row r="101" spans="1:11" s="501" customFormat="1">
      <c r="A101" s="3067"/>
      <c r="B101" s="3067"/>
      <c r="C101" s="3067"/>
      <c r="D101" s="3067"/>
      <c r="E101" s="3067"/>
      <c r="F101" s="3067"/>
      <c r="G101" s="3067"/>
      <c r="H101" s="3067"/>
      <c r="I101" s="3067"/>
      <c r="J101" s="3067"/>
      <c r="K101" s="3067"/>
    </row>
    <row r="102" spans="1:11" s="501" customFormat="1">
      <c r="A102" s="3067"/>
      <c r="B102" s="3067"/>
      <c r="C102" s="3067"/>
      <c r="D102" s="3067"/>
      <c r="E102" s="3067"/>
      <c r="F102" s="3067"/>
      <c r="G102" s="3067"/>
      <c r="H102" s="3067"/>
      <c r="I102" s="3067"/>
      <c r="J102" s="3067"/>
      <c r="K102" s="3067"/>
    </row>
    <row r="103" spans="1:11" s="501" customFormat="1">
      <c r="A103" s="3067"/>
      <c r="B103" s="3067"/>
      <c r="C103" s="3067"/>
      <c r="D103" s="3067"/>
      <c r="E103" s="3067"/>
      <c r="F103" s="3067"/>
      <c r="G103" s="3067"/>
      <c r="H103" s="3067"/>
      <c r="I103" s="3067"/>
      <c r="J103" s="3067"/>
      <c r="K103" s="3067"/>
    </row>
    <row r="104" spans="1:11" s="501" customFormat="1">
      <c r="A104" s="3067"/>
      <c r="B104" s="3067"/>
      <c r="C104" s="3067"/>
      <c r="D104" s="3067"/>
      <c r="E104" s="3067"/>
      <c r="F104" s="3067"/>
      <c r="G104" s="3067"/>
      <c r="H104" s="3067"/>
      <c r="I104" s="3067"/>
      <c r="J104" s="3067"/>
      <c r="K104" s="3067"/>
    </row>
    <row r="105" spans="1:11" s="501" customFormat="1">
      <c r="A105" s="3067"/>
      <c r="B105" s="3067"/>
      <c r="C105" s="3067"/>
      <c r="D105" s="3067"/>
      <c r="E105" s="3067"/>
      <c r="F105" s="3067"/>
      <c r="G105" s="3067"/>
      <c r="H105" s="3067"/>
      <c r="I105" s="3067"/>
      <c r="J105" s="3067"/>
      <c r="K105" s="3067"/>
    </row>
    <row r="106" spans="1:11" s="501" customFormat="1">
      <c r="A106" s="3067"/>
      <c r="B106" s="3067"/>
      <c r="C106" s="3067"/>
      <c r="D106" s="3067"/>
      <c r="E106" s="3067"/>
      <c r="F106" s="3067"/>
      <c r="G106" s="3067"/>
      <c r="H106" s="3067"/>
      <c r="I106" s="3067"/>
      <c r="J106" s="3067"/>
      <c r="K106" s="3067"/>
    </row>
    <row r="107" spans="1:11" s="501" customFormat="1">
      <c r="A107" s="3067"/>
      <c r="B107" s="3067"/>
      <c r="C107" s="3067"/>
      <c r="D107" s="3067"/>
      <c r="E107" s="3067"/>
      <c r="F107" s="3067"/>
      <c r="G107" s="3067"/>
      <c r="H107" s="3067"/>
      <c r="I107" s="3067"/>
      <c r="J107" s="3067"/>
      <c r="K107" s="3067"/>
    </row>
    <row r="108" spans="1:11" s="501" customFormat="1">
      <c r="A108" s="3067"/>
      <c r="B108" s="3067"/>
      <c r="C108" s="3067"/>
      <c r="D108" s="3067"/>
      <c r="E108" s="3067"/>
      <c r="F108" s="3067"/>
      <c r="G108" s="3067"/>
      <c r="H108" s="3067"/>
      <c r="I108" s="3067"/>
      <c r="J108" s="3067"/>
      <c r="K108" s="3067"/>
    </row>
    <row r="109" spans="1:11" s="501" customFormat="1">
      <c r="A109" s="3067"/>
      <c r="B109" s="3067"/>
      <c r="C109" s="3067"/>
      <c r="D109" s="3067"/>
      <c r="E109" s="3067"/>
      <c r="F109" s="3067"/>
      <c r="G109" s="3067"/>
      <c r="H109" s="3067"/>
      <c r="I109" s="3067"/>
      <c r="J109" s="3067"/>
      <c r="K109" s="3067"/>
    </row>
    <row r="110" spans="1:11" s="501" customFormat="1">
      <c r="A110" s="3067"/>
      <c r="B110" s="3067"/>
      <c r="C110" s="3067"/>
      <c r="D110" s="3067"/>
      <c r="E110" s="3067"/>
      <c r="F110" s="3067"/>
      <c r="G110" s="3067"/>
      <c r="H110" s="3067"/>
      <c r="I110" s="3067"/>
      <c r="J110" s="3067"/>
      <c r="K110" s="3067"/>
    </row>
    <row r="111" spans="1:11" s="501" customFormat="1">
      <c r="A111" s="3067"/>
      <c r="B111" s="3067"/>
      <c r="C111" s="3067"/>
      <c r="D111" s="3067"/>
      <c r="E111" s="3067"/>
      <c r="F111" s="3067"/>
      <c r="G111" s="3067"/>
      <c r="H111" s="3067"/>
      <c r="I111" s="3067"/>
      <c r="J111" s="3067"/>
      <c r="K111" s="3067"/>
    </row>
    <row r="112" spans="1:11" s="501" customFormat="1">
      <c r="A112" s="3067"/>
      <c r="B112" s="3067"/>
      <c r="C112" s="3067"/>
      <c r="D112" s="3067"/>
      <c r="E112" s="3067"/>
      <c r="F112" s="3067"/>
      <c r="G112" s="3067"/>
      <c r="H112" s="3067"/>
      <c r="I112" s="3067"/>
      <c r="J112" s="3067"/>
      <c r="K112" s="3067"/>
    </row>
    <row r="113" spans="1:11" s="501" customFormat="1">
      <c r="A113" s="3067"/>
      <c r="B113" s="3067"/>
      <c r="C113" s="3067"/>
      <c r="D113" s="3067"/>
      <c r="E113" s="3067"/>
      <c r="F113" s="3067"/>
      <c r="G113" s="3067"/>
      <c r="H113" s="3067"/>
      <c r="I113" s="3067"/>
      <c r="J113" s="3067"/>
      <c r="K113" s="3067"/>
    </row>
    <row r="114" spans="1:11" s="501" customFormat="1">
      <c r="A114" s="3067"/>
      <c r="B114" s="3067"/>
      <c r="C114" s="3067"/>
      <c r="D114" s="3067"/>
      <c r="E114" s="3067"/>
      <c r="F114" s="3067"/>
      <c r="G114" s="3067"/>
      <c r="H114" s="3067"/>
      <c r="I114" s="3067"/>
      <c r="J114" s="3067"/>
      <c r="K114" s="3067"/>
    </row>
    <row r="115" spans="1:11" s="501" customFormat="1">
      <c r="A115" s="3067"/>
      <c r="B115" s="3067"/>
      <c r="C115" s="3067"/>
      <c r="D115" s="3067"/>
      <c r="E115" s="3067"/>
      <c r="F115" s="3067"/>
      <c r="G115" s="3067"/>
      <c r="H115" s="3067"/>
      <c r="I115" s="3067"/>
      <c r="J115" s="3067"/>
      <c r="K115" s="3067"/>
    </row>
    <row r="116" spans="1:11" s="501" customFormat="1">
      <c r="A116" s="3067"/>
      <c r="B116" s="3067"/>
      <c r="C116" s="3067"/>
      <c r="D116" s="3067"/>
      <c r="E116" s="3067"/>
      <c r="F116" s="3067"/>
      <c r="G116" s="3067"/>
      <c r="H116" s="3067"/>
      <c r="I116" s="3067"/>
      <c r="J116" s="3067"/>
      <c r="K116" s="3067"/>
    </row>
    <row r="117" spans="1:11" s="501" customFormat="1">
      <c r="A117" s="3067"/>
      <c r="B117" s="3067"/>
      <c r="C117" s="3067"/>
      <c r="D117" s="3067"/>
      <c r="E117" s="3067"/>
      <c r="F117" s="3067"/>
      <c r="G117" s="3067"/>
      <c r="H117" s="3067"/>
      <c r="I117" s="3067"/>
      <c r="J117" s="3067"/>
      <c r="K117" s="3067"/>
    </row>
    <row r="118" spans="1:11" s="501" customFormat="1">
      <c r="A118" s="3067"/>
      <c r="B118" s="3067"/>
      <c r="C118" s="3067"/>
      <c r="D118" s="3067"/>
      <c r="E118" s="3067"/>
      <c r="F118" s="3067"/>
      <c r="G118" s="3067"/>
      <c r="H118" s="3067"/>
      <c r="I118" s="3067"/>
      <c r="J118" s="3067"/>
      <c r="K118" s="3067"/>
    </row>
    <row r="119" spans="1:11" s="501" customFormat="1">
      <c r="A119" s="3067"/>
      <c r="B119" s="3067"/>
      <c r="C119" s="3067"/>
      <c r="D119" s="3067"/>
      <c r="E119" s="3067"/>
      <c r="F119" s="3067"/>
      <c r="G119" s="3067"/>
      <c r="H119" s="3067"/>
      <c r="I119" s="3067"/>
      <c r="J119" s="3067"/>
      <c r="K119" s="3067"/>
    </row>
    <row r="120" spans="1:11" s="501" customFormat="1">
      <c r="A120" s="3067"/>
      <c r="B120" s="3067"/>
      <c r="C120" s="3067"/>
      <c r="D120" s="3067"/>
      <c r="E120" s="3067"/>
      <c r="F120" s="3067"/>
      <c r="G120" s="3067"/>
      <c r="H120" s="3067"/>
      <c r="I120" s="3067"/>
      <c r="J120" s="3067"/>
      <c r="K120" s="3067"/>
    </row>
    <row r="121" spans="1:11" s="501" customFormat="1">
      <c r="A121" s="3067"/>
      <c r="B121" s="3067"/>
      <c r="C121" s="3067"/>
      <c r="D121" s="3067"/>
      <c r="E121" s="3067"/>
      <c r="F121" s="3067"/>
      <c r="G121" s="3067"/>
      <c r="H121" s="3067"/>
      <c r="I121" s="3067"/>
      <c r="J121" s="3067"/>
      <c r="K121" s="3067"/>
    </row>
    <row r="122" spans="1:11" s="501" customFormat="1">
      <c r="A122" s="3067"/>
      <c r="B122" s="3067"/>
      <c r="C122" s="3067"/>
      <c r="D122" s="3067"/>
      <c r="E122" s="3067"/>
      <c r="F122" s="3067"/>
      <c r="G122" s="3067"/>
      <c r="H122" s="3067"/>
      <c r="I122" s="3067"/>
      <c r="J122" s="3067"/>
      <c r="K122" s="3067"/>
    </row>
    <row r="123" spans="1:11" s="501" customFormat="1">
      <c r="A123" s="3067"/>
      <c r="B123" s="3067"/>
      <c r="C123" s="3067"/>
      <c r="D123" s="3067"/>
      <c r="E123" s="3067"/>
      <c r="F123" s="3067"/>
      <c r="G123" s="3067"/>
      <c r="H123" s="3067"/>
      <c r="I123" s="3067"/>
      <c r="J123" s="3067"/>
      <c r="K123" s="3067"/>
    </row>
    <row r="124" spans="1:11" s="501" customFormat="1">
      <c r="A124" s="3067"/>
      <c r="B124" s="3067"/>
      <c r="C124" s="3067"/>
      <c r="D124" s="3067"/>
      <c r="E124" s="3067"/>
      <c r="F124" s="3067"/>
      <c r="G124" s="3067"/>
      <c r="H124" s="3067"/>
      <c r="I124" s="3067"/>
      <c r="J124" s="3067"/>
      <c r="K124" s="3067"/>
    </row>
    <row r="125" spans="1:11" s="501" customFormat="1">
      <c r="A125" s="3067"/>
      <c r="B125" s="3067"/>
      <c r="C125" s="3067"/>
      <c r="D125" s="3067"/>
      <c r="E125" s="3067"/>
      <c r="F125" s="3067"/>
      <c r="G125" s="3067"/>
      <c r="H125" s="3067"/>
      <c r="I125" s="3067"/>
      <c r="J125" s="3067"/>
      <c r="K125" s="3067"/>
    </row>
    <row r="126" spans="1:11" s="501" customFormat="1">
      <c r="A126" s="3067"/>
      <c r="B126" s="3067"/>
      <c r="C126" s="3067"/>
      <c r="D126" s="3067"/>
      <c r="E126" s="3067"/>
      <c r="F126" s="3067"/>
      <c r="G126" s="3067"/>
      <c r="H126" s="3067"/>
      <c r="I126" s="3067"/>
      <c r="J126" s="3067"/>
      <c r="K126" s="3067"/>
    </row>
    <row r="127" spans="1:11" s="501" customFormat="1">
      <c r="A127" s="3067"/>
      <c r="B127" s="3067"/>
      <c r="C127" s="3067"/>
      <c r="D127" s="3067"/>
      <c r="E127" s="3067"/>
      <c r="F127" s="3067"/>
      <c r="G127" s="3067"/>
      <c r="H127" s="3067"/>
      <c r="I127" s="3067"/>
      <c r="J127" s="3067"/>
      <c r="K127" s="3067"/>
    </row>
    <row r="128" spans="1:11" s="501" customFormat="1">
      <c r="A128" s="3067"/>
      <c r="B128" s="3067"/>
      <c r="C128" s="3067"/>
      <c r="D128" s="3067"/>
      <c r="E128" s="3067"/>
      <c r="F128" s="3067"/>
      <c r="G128" s="3067"/>
      <c r="H128" s="3067"/>
      <c r="I128" s="3067"/>
      <c r="J128" s="3067"/>
      <c r="K128" s="3067"/>
    </row>
    <row r="129" spans="1:11" s="501" customFormat="1">
      <c r="A129" s="3067"/>
      <c r="B129" s="3067"/>
      <c r="C129" s="3067"/>
      <c r="D129" s="3067"/>
      <c r="E129" s="3067"/>
      <c r="F129" s="3067"/>
      <c r="G129" s="3067"/>
      <c r="H129" s="3067"/>
      <c r="I129" s="3067"/>
      <c r="J129" s="3067"/>
      <c r="K129" s="3067"/>
    </row>
    <row r="130" spans="1:11" s="501" customFormat="1"/>
    <row r="131" spans="1:11" s="501" customFormat="1"/>
    <row r="132" spans="1:11" s="501" customFormat="1"/>
    <row r="133" spans="1:11" s="501" customFormat="1"/>
    <row r="134" spans="1:11" s="501" customFormat="1"/>
    <row r="135" spans="1:11" s="501" customFormat="1"/>
    <row r="136" spans="1:11" s="501" customFormat="1"/>
    <row r="137" spans="1:11" s="501" customFormat="1"/>
    <row r="138" spans="1:11" s="501" customFormat="1"/>
    <row r="139" spans="1:11" s="501" customFormat="1"/>
    <row r="140" spans="1:11" s="501" customFormat="1"/>
    <row r="141" spans="1:11" s="501" customFormat="1"/>
    <row r="142" spans="1:11" s="501" customFormat="1"/>
    <row r="143" spans="1:11" s="501" customFormat="1"/>
    <row r="144" spans="1:11" s="501" customFormat="1"/>
    <row r="145" s="501" customFormat="1"/>
    <row r="146" s="501" customFormat="1"/>
    <row r="147" s="501" customFormat="1"/>
    <row r="148" s="501" customFormat="1"/>
    <row r="149" s="501" customFormat="1"/>
    <row r="150" s="501" customFormat="1"/>
    <row r="151" s="501" customFormat="1"/>
    <row r="152" s="501" customFormat="1"/>
  </sheetData>
  <sheetProtection selectLockedCells="1" selectUnlockedCells="1"/>
  <mergeCells count="133">
    <mergeCell ref="A118:K118"/>
    <mergeCell ref="A119:K119"/>
    <mergeCell ref="A114:K114"/>
    <mergeCell ref="A115:K115"/>
    <mergeCell ref="A116:K116"/>
    <mergeCell ref="A117:K117"/>
    <mergeCell ref="A128:K128"/>
    <mergeCell ref="A129:K129"/>
    <mergeCell ref="A120:K120"/>
    <mergeCell ref="A121:K121"/>
    <mergeCell ref="A122:K122"/>
    <mergeCell ref="A123:K123"/>
    <mergeCell ref="A124:K124"/>
    <mergeCell ref="A125:K125"/>
    <mergeCell ref="A126:K126"/>
    <mergeCell ref="A127:K127"/>
    <mergeCell ref="A96:K96"/>
    <mergeCell ref="A97:K97"/>
    <mergeCell ref="A100:K100"/>
    <mergeCell ref="A101:K101"/>
    <mergeCell ref="A108:K108"/>
    <mergeCell ref="A109:K109"/>
    <mergeCell ref="A98:K98"/>
    <mergeCell ref="A99:K99"/>
    <mergeCell ref="A112:K112"/>
    <mergeCell ref="A113:K113"/>
    <mergeCell ref="A102:K102"/>
    <mergeCell ref="A103:K103"/>
    <mergeCell ref="A104:K104"/>
    <mergeCell ref="A105:K105"/>
    <mergeCell ref="A110:K110"/>
    <mergeCell ref="A111:K111"/>
    <mergeCell ref="A106:K106"/>
    <mergeCell ref="A107:K107"/>
    <mergeCell ref="A94:K94"/>
    <mergeCell ref="A95:K95"/>
    <mergeCell ref="A92:K92"/>
    <mergeCell ref="A93:K93"/>
    <mergeCell ref="A88:K88"/>
    <mergeCell ref="A89:K89"/>
    <mergeCell ref="A90:K90"/>
    <mergeCell ref="A91:K91"/>
    <mergeCell ref="A72:K72"/>
    <mergeCell ref="A73:K73"/>
    <mergeCell ref="A84:K84"/>
    <mergeCell ref="A85:K85"/>
    <mergeCell ref="A70:K70"/>
    <mergeCell ref="A71:K71"/>
    <mergeCell ref="A74:K74"/>
    <mergeCell ref="A75:K75"/>
    <mergeCell ref="A80:K80"/>
    <mergeCell ref="A81:K81"/>
    <mergeCell ref="A86:K86"/>
    <mergeCell ref="A87:K87"/>
    <mergeCell ref="A76:K76"/>
    <mergeCell ref="A77:K77"/>
    <mergeCell ref="A78:K78"/>
    <mergeCell ref="A79:K79"/>
    <mergeCell ref="A82:K82"/>
    <mergeCell ref="A83:K83"/>
    <mergeCell ref="A62:K62"/>
    <mergeCell ref="A63:K63"/>
    <mergeCell ref="A64:K64"/>
    <mergeCell ref="A65:K65"/>
    <mergeCell ref="A68:K68"/>
    <mergeCell ref="A69:K69"/>
    <mergeCell ref="A66:K66"/>
    <mergeCell ref="A67:K67"/>
    <mergeCell ref="A54:K54"/>
    <mergeCell ref="A55:K55"/>
    <mergeCell ref="A56:K56"/>
    <mergeCell ref="A57:K57"/>
    <mergeCell ref="A58:K58"/>
    <mergeCell ref="A59:K59"/>
    <mergeCell ref="A60:K60"/>
    <mergeCell ref="A61:K61"/>
    <mergeCell ref="A53:K53"/>
    <mergeCell ref="A38:K38"/>
    <mergeCell ref="A39:K39"/>
    <mergeCell ref="A40:K40"/>
    <mergeCell ref="A41:K41"/>
    <mergeCell ref="A42:K42"/>
    <mergeCell ref="A43:K43"/>
    <mergeCell ref="A44:K44"/>
    <mergeCell ref="A52:K52"/>
    <mergeCell ref="A48:K48"/>
    <mergeCell ref="A49:K49"/>
    <mergeCell ref="A50:K50"/>
    <mergeCell ref="A47:K47"/>
    <mergeCell ref="A45:K45"/>
    <mergeCell ref="A28:K28"/>
    <mergeCell ref="A11:A15"/>
    <mergeCell ref="A24:A26"/>
    <mergeCell ref="B24:K26"/>
    <mergeCell ref="E18:E19"/>
    <mergeCell ref="F18:F19"/>
    <mergeCell ref="G18:G19"/>
    <mergeCell ref="H18:H19"/>
    <mergeCell ref="I18:I19"/>
    <mergeCell ref="E21:E22"/>
    <mergeCell ref="F21:F22"/>
    <mergeCell ref="G21:G22"/>
    <mergeCell ref="H21:H22"/>
    <mergeCell ref="I21:I22"/>
    <mergeCell ref="A32:K32"/>
    <mergeCell ref="A31:K31"/>
    <mergeCell ref="A29:K29"/>
    <mergeCell ref="A30:K30"/>
    <mergeCell ref="A46:K46"/>
    <mergeCell ref="A51:K51"/>
    <mergeCell ref="A36:K36"/>
    <mergeCell ref="A37:K37"/>
    <mergeCell ref="A33:K33"/>
    <mergeCell ref="A34:K34"/>
    <mergeCell ref="A35:K35"/>
    <mergeCell ref="A1:K1"/>
    <mergeCell ref="A2:G2"/>
    <mergeCell ref="A3:D3"/>
    <mergeCell ref="E3:I3"/>
    <mergeCell ref="J3:K4"/>
    <mergeCell ref="A4:B5"/>
    <mergeCell ref="F4:G4"/>
    <mergeCell ref="A17:A23"/>
    <mergeCell ref="D4:D5"/>
    <mergeCell ref="E4:E5"/>
    <mergeCell ref="H4:I4"/>
    <mergeCell ref="C4:C5"/>
    <mergeCell ref="A6:A10"/>
    <mergeCell ref="J15:K23"/>
    <mergeCell ref="J11:J12"/>
    <mergeCell ref="J13:J14"/>
    <mergeCell ref="K11:K12"/>
    <mergeCell ref="K13:K14"/>
  </mergeCells>
  <phoneticPr fontId="51" type="noConversion"/>
  <hyperlinks>
    <hyperlink ref="L5" location="主营收支!A1" display="主营业务收支审核表"/>
    <hyperlink ref="L6" location="收入与申报核对表!A1" display="收入与申报核对表"/>
    <hyperlink ref="L7" location="主营税金!A1" display="主营税金审核表"/>
    <hyperlink ref="L8" location="企业各税审核汇总表!A1" display="企业各税审核汇总表"/>
    <hyperlink ref="L9" location="其他业务!A1" display="其他业务利润审核表"/>
    <hyperlink ref="L10" location="税费缴纳测算!A1" display="税费"/>
  </hyperlinks>
  <pageMargins left="0.78740157480314998" right="0.35433070866141703" top="0.511811023622047" bottom="0.11811023622047198" header="0.511811023622047" footer="0.511811023622047"/>
  <pageSetup paperSize="9" firstPageNumber="0" orientation="landscape" blackAndWhite="1" r:id="rId1"/>
  <headerFooter alignWithMargins="0"/>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6"/>
  <dimension ref="A1:J52"/>
  <sheetViews>
    <sheetView workbookViewId="0">
      <selection activeCell="G35" sqref="G35:H35"/>
    </sheetView>
  </sheetViews>
  <sheetFormatPr defaultColWidth="9" defaultRowHeight="12"/>
  <cols>
    <col min="1" max="1" width="10.59765625" style="502" customWidth="1"/>
    <col min="2" max="2" width="13.19921875" style="502" customWidth="1"/>
    <col min="3" max="3" width="10.69921875" style="502" customWidth="1"/>
    <col min="4" max="4" width="4.5" style="502" customWidth="1"/>
    <col min="5" max="8" width="10.69921875" style="502" customWidth="1"/>
    <col min="9" max="9" width="55.59765625" style="502" customWidth="1"/>
    <col min="10" max="16384" width="9" style="502"/>
  </cols>
  <sheetData>
    <row r="1" spans="1:10" ht="33" customHeight="1">
      <c r="A1" s="3079" t="s">
        <v>341</v>
      </c>
      <c r="B1" s="3079"/>
      <c r="C1" s="3079"/>
      <c r="D1" s="3079"/>
      <c r="E1" s="3079"/>
      <c r="F1" s="3079"/>
      <c r="G1" s="3079"/>
      <c r="H1" s="3079"/>
      <c r="I1" s="144"/>
      <c r="J1" s="144"/>
    </row>
    <row r="2" spans="1:10" ht="17.25" customHeight="1">
      <c r="A2" s="3080" t="str">
        <f>"委托单位："&amp;基本情况!B2</f>
        <v>委托单位：0</v>
      </c>
      <c r="B2" s="3080"/>
      <c r="C2" s="3080"/>
      <c r="D2" s="3080"/>
      <c r="E2" s="509"/>
      <c r="F2" s="136" t="s">
        <v>1283</v>
      </c>
      <c r="G2" s="136" t="s">
        <v>1054</v>
      </c>
      <c r="H2" s="485" t="s">
        <v>283</v>
      </c>
      <c r="I2" s="144"/>
      <c r="J2" s="144"/>
    </row>
    <row r="3" spans="1:10" ht="17.25" customHeight="1">
      <c r="A3" s="3080"/>
      <c r="B3" s="3080"/>
      <c r="C3" s="3080"/>
      <c r="D3" s="3080"/>
      <c r="E3" s="158" t="s">
        <v>451</v>
      </c>
      <c r="F3" s="510">
        <f>基本情况!B12</f>
        <v>0</v>
      </c>
      <c r="G3" s="511" t="str">
        <f>TEXT(基本情况!B21,"yyyy-mm-dd")</f>
        <v>2017-03-16</v>
      </c>
      <c r="H3" s="3081" t="str">
        <f>档案索引!A35</f>
        <v>2A-15</v>
      </c>
      <c r="I3" s="144"/>
      <c r="J3" s="144"/>
    </row>
    <row r="4" spans="1:10" ht="17.25" customHeight="1">
      <c r="A4" s="3082" t="str">
        <f>"会计期间:"&amp;基本情况!B7</f>
        <v>会计期间:2016年01月01日至2016年12月31日</v>
      </c>
      <c r="B4" s="3082"/>
      <c r="C4" s="3082"/>
      <c r="D4" s="3082"/>
      <c r="E4" s="140" t="s">
        <v>453</v>
      </c>
      <c r="F4" s="513">
        <f>基本情况!B11</f>
        <v>0</v>
      </c>
      <c r="G4" s="514" t="str">
        <f>TEXT(基本情况!B22,"yyyy-mm-dd")</f>
        <v>2017-05-04</v>
      </c>
      <c r="H4" s="3081"/>
      <c r="I4" s="144"/>
      <c r="J4" s="144"/>
    </row>
    <row r="5" spans="1:10" ht="7.5" customHeight="1">
      <c r="A5" s="3085"/>
      <c r="B5" s="3085"/>
      <c r="C5" s="3085"/>
      <c r="D5" s="3085"/>
      <c r="E5" s="3085"/>
      <c r="F5" s="3085"/>
      <c r="G5" s="3085"/>
      <c r="H5" s="3085"/>
      <c r="I5" s="144"/>
      <c r="J5" s="144"/>
    </row>
    <row r="6" spans="1:10" ht="22.5" customHeight="1">
      <c r="A6" s="3024" t="s">
        <v>666</v>
      </c>
      <c r="B6" s="3024"/>
      <c r="C6" s="3086" t="s">
        <v>1284</v>
      </c>
      <c r="D6" s="3086"/>
      <c r="E6" s="515" t="s">
        <v>1285</v>
      </c>
      <c r="F6" s="515" t="s">
        <v>1286</v>
      </c>
      <c r="G6" s="515" t="s">
        <v>1287</v>
      </c>
      <c r="H6" s="485" t="s">
        <v>6489</v>
      </c>
      <c r="I6" s="1332" t="s">
        <v>6090</v>
      </c>
      <c r="J6" s="144"/>
    </row>
    <row r="7" spans="1:10" ht="18" customHeight="1">
      <c r="A7" s="2903" t="s">
        <v>1288</v>
      </c>
      <c r="B7" s="2903"/>
      <c r="C7" s="3083">
        <f>制造费用、生产成本!C11+制造费用、生产成本!C15</f>
        <v>0</v>
      </c>
      <c r="D7" s="3083"/>
      <c r="E7" s="1108"/>
      <c r="F7" s="1109"/>
      <c r="G7" s="1110"/>
      <c r="H7" s="517"/>
      <c r="I7" s="493" t="s">
        <v>1289</v>
      </c>
      <c r="J7" s="144"/>
    </row>
    <row r="8" spans="1:10" ht="18" customHeight="1">
      <c r="A8" s="2903" t="s">
        <v>1290</v>
      </c>
      <c r="B8" s="2903"/>
      <c r="C8" s="3083">
        <f>制造费用、生产成本!C22</f>
        <v>0</v>
      </c>
      <c r="D8" s="3083"/>
      <c r="E8" s="518">
        <f>制造费用、生产成本!C23</f>
        <v>0</v>
      </c>
      <c r="F8" s="518">
        <f>制造费用、生产成本!C24</f>
        <v>0</v>
      </c>
      <c r="G8" s="1111"/>
      <c r="H8" s="519"/>
      <c r="I8" s="493" t="s">
        <v>643</v>
      </c>
      <c r="J8" s="144"/>
    </row>
    <row r="9" spans="1:10" ht="18" customHeight="1">
      <c r="A9" s="3058" t="s">
        <v>1291</v>
      </c>
      <c r="B9" s="3058"/>
      <c r="C9" s="3083">
        <f>营业费用!H6</f>
        <v>0</v>
      </c>
      <c r="D9" s="3083"/>
      <c r="E9" s="518">
        <f>营业费用!H7</f>
        <v>0</v>
      </c>
      <c r="F9" s="518">
        <f>营业费用!H8</f>
        <v>0</v>
      </c>
      <c r="G9" s="520">
        <f>营业费用!H9</f>
        <v>0</v>
      </c>
      <c r="H9" s="519"/>
      <c r="I9" s="493" t="s">
        <v>1292</v>
      </c>
      <c r="J9" s="144"/>
    </row>
    <row r="10" spans="1:10" ht="18" customHeight="1">
      <c r="A10" s="3058" t="s">
        <v>1293</v>
      </c>
      <c r="B10" s="3058"/>
      <c r="C10" s="3083">
        <f>管理费用!H6</f>
        <v>0</v>
      </c>
      <c r="D10" s="3083"/>
      <c r="E10" s="518">
        <f>管理费用!H7</f>
        <v>0</v>
      </c>
      <c r="F10" s="518">
        <f>管理费用!H8</f>
        <v>0</v>
      </c>
      <c r="G10" s="520">
        <f>管理费用!H9</f>
        <v>0</v>
      </c>
      <c r="H10" s="519"/>
      <c r="I10" s="493" t="s">
        <v>320</v>
      </c>
      <c r="J10" s="144"/>
    </row>
    <row r="11" spans="1:10" ht="18" customHeight="1">
      <c r="A11" s="3058" t="s">
        <v>1294</v>
      </c>
      <c r="B11" s="3058"/>
      <c r="C11" s="3084"/>
      <c r="D11" s="3084"/>
      <c r="E11" s="1110"/>
      <c r="F11" s="1110"/>
      <c r="G11" s="1112"/>
      <c r="H11" s="519"/>
      <c r="I11" s="493" t="s">
        <v>324</v>
      </c>
      <c r="J11" s="144"/>
    </row>
    <row r="12" spans="1:10" ht="18" customHeight="1">
      <c r="A12" s="2903" t="s">
        <v>1285</v>
      </c>
      <c r="B12" s="2903"/>
      <c r="C12" s="3084"/>
      <c r="D12" s="3084"/>
      <c r="E12" s="1113"/>
      <c r="F12" s="1113"/>
      <c r="G12" s="1112"/>
      <c r="H12" s="519"/>
      <c r="I12" s="232" t="s">
        <v>1295</v>
      </c>
      <c r="J12" s="144"/>
    </row>
    <row r="13" spans="1:10" ht="18" customHeight="1">
      <c r="A13" s="2903" t="s">
        <v>1296</v>
      </c>
      <c r="B13" s="2903"/>
      <c r="C13" s="3084"/>
      <c r="D13" s="3084"/>
      <c r="E13" s="1113"/>
      <c r="F13" s="1113"/>
      <c r="G13" s="1112"/>
      <c r="H13" s="519"/>
      <c r="I13" s="232" t="s">
        <v>1297</v>
      </c>
      <c r="J13" s="144"/>
    </row>
    <row r="14" spans="1:10" ht="18" customHeight="1">
      <c r="A14" s="2903" t="s">
        <v>1298</v>
      </c>
      <c r="B14" s="2903"/>
      <c r="C14" s="3088">
        <f>SUM(C7:D13)</f>
        <v>0</v>
      </c>
      <c r="D14" s="3088"/>
      <c r="E14" s="522">
        <f>SUM(E7:E13)</f>
        <v>0</v>
      </c>
      <c r="F14" s="522">
        <f>SUM(F7:F13)</f>
        <v>0</v>
      </c>
      <c r="G14" s="522">
        <f>SUM(G7:G13)</f>
        <v>0</v>
      </c>
      <c r="H14" s="519"/>
      <c r="I14" s="232" t="s">
        <v>1299</v>
      </c>
      <c r="J14" s="144"/>
    </row>
    <row r="15" spans="1:10" ht="18" customHeight="1">
      <c r="A15" s="2903" t="s">
        <v>10087</v>
      </c>
      <c r="B15" s="2903"/>
      <c r="C15" s="3084"/>
      <c r="D15" s="3084"/>
      <c r="E15" s="1108"/>
      <c r="F15" s="1108"/>
      <c r="G15" s="1114"/>
      <c r="H15" s="519"/>
      <c r="I15" s="3090" t="s">
        <v>1300</v>
      </c>
      <c r="J15" s="144"/>
    </row>
    <row r="16" spans="1:10" ht="18" customHeight="1">
      <c r="A16" s="2903" t="s">
        <v>10088</v>
      </c>
      <c r="B16" s="2903"/>
      <c r="C16" s="3089">
        <f>C14+C15</f>
        <v>0</v>
      </c>
      <c r="D16" s="3089"/>
      <c r="E16" s="525">
        <f>E14+E15</f>
        <v>0</v>
      </c>
      <c r="F16" s="525">
        <f>F14+F15</f>
        <v>0</v>
      </c>
      <c r="G16" s="525">
        <f>G14+G15</f>
        <v>0</v>
      </c>
      <c r="H16" s="519"/>
      <c r="I16" s="3090"/>
      <c r="J16" s="144"/>
    </row>
    <row r="17" spans="1:10" ht="18" customHeight="1">
      <c r="A17" s="2903" t="s">
        <v>1301</v>
      </c>
      <c r="B17" s="2903"/>
      <c r="C17" s="3089">
        <f>IF(C18&gt;0,C16-C18,C16)</f>
        <v>0</v>
      </c>
      <c r="D17" s="3089"/>
      <c r="E17" s="525">
        <f>IF(E18&gt;0,E16-E18,E16)</f>
        <v>0</v>
      </c>
      <c r="F17" s="525">
        <f>MIN(C17*G34,F16+F20)</f>
        <v>0</v>
      </c>
      <c r="G17" s="525">
        <f>IF(G18&gt;0,G16-G18,G16)</f>
        <v>0</v>
      </c>
      <c r="H17" s="519"/>
      <c r="I17" s="3090"/>
      <c r="J17" s="144"/>
    </row>
    <row r="18" spans="1:10" ht="18" customHeight="1">
      <c r="A18" s="3058" t="s">
        <v>1302</v>
      </c>
      <c r="B18" s="3058"/>
      <c r="C18" s="3089">
        <f>G27+G28</f>
        <v>0</v>
      </c>
      <c r="D18" s="3089"/>
      <c r="E18" s="525">
        <f>G29+G30+G31+G32</f>
        <v>0</v>
      </c>
      <c r="F18" s="525">
        <f>F16-F17</f>
        <v>0</v>
      </c>
      <c r="G18" s="525">
        <f>G35+G36+G37</f>
        <v>0</v>
      </c>
      <c r="H18" s="519"/>
      <c r="I18" s="3090"/>
      <c r="J18" s="144"/>
    </row>
    <row r="19" spans="1:10" ht="18" customHeight="1">
      <c r="A19" s="3058" t="s">
        <v>1303</v>
      </c>
      <c r="B19" s="3058"/>
      <c r="C19" s="3087" t="s">
        <v>510</v>
      </c>
      <c r="D19" s="3087"/>
      <c r="E19" s="526" t="s">
        <v>510</v>
      </c>
      <c r="F19" s="524">
        <f>F18</f>
        <v>0</v>
      </c>
      <c r="G19" s="526" t="s">
        <v>510</v>
      </c>
      <c r="H19" s="519"/>
      <c r="I19" s="3090"/>
      <c r="J19" s="144"/>
    </row>
    <row r="20" spans="1:10" ht="18" customHeight="1">
      <c r="A20" s="3058" t="s">
        <v>1304</v>
      </c>
      <c r="B20" s="3058"/>
      <c r="C20" s="3087" t="s">
        <v>510</v>
      </c>
      <c r="D20" s="3087"/>
      <c r="E20" s="526" t="s">
        <v>510</v>
      </c>
      <c r="F20" s="1115"/>
      <c r="G20" s="526" t="s">
        <v>510</v>
      </c>
      <c r="H20" s="519"/>
      <c r="I20" s="3090"/>
      <c r="J20" s="144"/>
    </row>
    <row r="21" spans="1:10" ht="18" customHeight="1">
      <c r="A21" s="3058" t="s">
        <v>1305</v>
      </c>
      <c r="B21" s="3058"/>
      <c r="C21" s="3087" t="s">
        <v>510</v>
      </c>
      <c r="D21" s="3087"/>
      <c r="E21" s="526" t="s">
        <v>510</v>
      </c>
      <c r="F21" s="524">
        <f>IF(F20&gt;0,IF(F16&lt;ROUND(C16*0.025,2),MIN(F20,ROUND(C16*0.025,2)-F16),0),0)</f>
        <v>0</v>
      </c>
      <c r="G21" s="526" t="s">
        <v>510</v>
      </c>
      <c r="H21" s="519"/>
      <c r="I21" s="3090"/>
      <c r="J21" s="144"/>
    </row>
    <row r="22" spans="1:10" ht="18" customHeight="1">
      <c r="A22" s="3058" t="s">
        <v>1306</v>
      </c>
      <c r="B22" s="3058"/>
      <c r="C22" s="3087" t="s">
        <v>510</v>
      </c>
      <c r="D22" s="3087"/>
      <c r="E22" s="526" t="s">
        <v>510</v>
      </c>
      <c r="F22" s="1682">
        <f>F21</f>
        <v>0</v>
      </c>
      <c r="G22" s="526" t="s">
        <v>510</v>
      </c>
      <c r="H22" s="519"/>
      <c r="I22" s="3090"/>
      <c r="J22" s="144"/>
    </row>
    <row r="23" spans="1:10" ht="18" customHeight="1">
      <c r="A23" s="3058" t="s">
        <v>1307</v>
      </c>
      <c r="B23" s="3058"/>
      <c r="C23" s="3087" t="s">
        <v>510</v>
      </c>
      <c r="D23" s="3087"/>
      <c r="E23" s="526" t="s">
        <v>510</v>
      </c>
      <c r="F23" s="1682">
        <f>F16+F20-F17</f>
        <v>0</v>
      </c>
      <c r="G23" s="526" t="s">
        <v>510</v>
      </c>
      <c r="H23" s="519"/>
      <c r="I23" s="3090"/>
      <c r="J23" s="144"/>
    </row>
    <row r="24" spans="1:10" ht="18" customHeight="1">
      <c r="A24" s="3058" t="s">
        <v>6097</v>
      </c>
      <c r="B24" s="3058"/>
      <c r="C24" s="3098"/>
      <c r="D24" s="3099"/>
      <c r="E24" s="1692" t="s">
        <v>510</v>
      </c>
      <c r="F24" s="1692" t="s">
        <v>510</v>
      </c>
      <c r="G24" s="1693" t="s">
        <v>510</v>
      </c>
      <c r="H24" s="519"/>
      <c r="I24" s="3090"/>
      <c r="J24" s="144"/>
    </row>
    <row r="25" spans="1:10" ht="18" customHeight="1">
      <c r="A25" s="3097" t="s">
        <v>6096</v>
      </c>
      <c r="B25" s="3097"/>
      <c r="C25" s="3100" t="s">
        <v>6098</v>
      </c>
      <c r="D25" s="3101"/>
      <c r="E25" s="1692" t="s">
        <v>510</v>
      </c>
      <c r="F25" s="1694"/>
      <c r="G25" s="1693" t="s">
        <v>510</v>
      </c>
      <c r="H25" s="1773">
        <f>F25</f>
        <v>0</v>
      </c>
      <c r="I25" s="3090"/>
      <c r="J25" s="144"/>
    </row>
    <row r="26" spans="1:10" ht="24.75" customHeight="1">
      <c r="A26" s="3024" t="s">
        <v>1308</v>
      </c>
      <c r="B26" s="3024"/>
      <c r="C26" s="2898" t="s">
        <v>1309</v>
      </c>
      <c r="D26" s="2898"/>
      <c r="E26" s="2898"/>
      <c r="F26" s="2898"/>
      <c r="G26" s="3091" t="s">
        <v>1310</v>
      </c>
      <c r="H26" s="3091"/>
      <c r="I26" s="3090"/>
      <c r="J26" s="144"/>
    </row>
    <row r="27" spans="1:10" ht="18" customHeight="1">
      <c r="A27" s="3092" t="s">
        <v>1311</v>
      </c>
      <c r="B27" s="3092"/>
      <c r="C27" s="3094" t="s">
        <v>1312</v>
      </c>
      <c r="D27" s="3094"/>
      <c r="E27" s="3094"/>
      <c r="F27" s="3094"/>
      <c r="G27" s="3096"/>
      <c r="H27" s="3096"/>
      <c r="I27" s="3090"/>
      <c r="J27" s="144"/>
    </row>
    <row r="28" spans="1:10" ht="18" customHeight="1">
      <c r="A28" s="3092" t="s">
        <v>1311</v>
      </c>
      <c r="B28" s="3092"/>
      <c r="C28" s="3094" t="s">
        <v>1313</v>
      </c>
      <c r="D28" s="3094"/>
      <c r="E28" s="3094"/>
      <c r="F28" s="3094"/>
      <c r="G28" s="3093"/>
      <c r="H28" s="3093"/>
      <c r="I28" s="3090"/>
      <c r="J28" s="144"/>
    </row>
    <row r="29" spans="1:10" ht="18" customHeight="1">
      <c r="A29" s="3092" t="s">
        <v>1314</v>
      </c>
      <c r="B29" s="3092"/>
      <c r="C29" s="3094" t="s">
        <v>1315</v>
      </c>
      <c r="D29" s="3094"/>
      <c r="E29" s="3094"/>
      <c r="F29" s="3094"/>
      <c r="G29" s="3095"/>
      <c r="H29" s="3095"/>
      <c r="I29" s="3090"/>
      <c r="J29" s="144"/>
    </row>
    <row r="30" spans="1:10" ht="18" customHeight="1">
      <c r="A30" s="3092" t="s">
        <v>1314</v>
      </c>
      <c r="B30" s="3092"/>
      <c r="C30" s="3094" t="s">
        <v>1316</v>
      </c>
      <c r="D30" s="3094"/>
      <c r="E30" s="3094"/>
      <c r="F30" s="3094"/>
      <c r="G30" s="3093"/>
      <c r="H30" s="3093"/>
      <c r="I30" s="3090"/>
      <c r="J30" s="144"/>
    </row>
    <row r="31" spans="1:10" ht="18" customHeight="1">
      <c r="A31" s="3092" t="s">
        <v>1314</v>
      </c>
      <c r="B31" s="3092"/>
      <c r="C31" s="3094" t="s">
        <v>1317</v>
      </c>
      <c r="D31" s="3094"/>
      <c r="E31" s="3094"/>
      <c r="F31" s="3094"/>
      <c r="G31" s="3102">
        <f>IF(E16&gt;ROUND(C17*0.14,2),E16-ROUND(C17*0.14,2),0)</f>
        <v>0</v>
      </c>
      <c r="H31" s="3102"/>
      <c r="I31" s="3090"/>
      <c r="J31" s="144"/>
    </row>
    <row r="32" spans="1:10" ht="18" customHeight="1">
      <c r="A32" s="3092" t="s">
        <v>1314</v>
      </c>
      <c r="B32" s="3092"/>
      <c r="C32" s="3094" t="s">
        <v>574</v>
      </c>
      <c r="D32" s="3094"/>
      <c r="E32" s="3094"/>
      <c r="F32" s="3094"/>
      <c r="G32" s="3103">
        <f>SUMIF(凭证检查!M6:M205,凭证检查!R24,凭证检查!G6:G205)</f>
        <v>0</v>
      </c>
      <c r="H32" s="3103"/>
      <c r="I32" s="3090"/>
      <c r="J32" s="144"/>
    </row>
    <row r="33" spans="1:10" ht="18" customHeight="1">
      <c r="A33" s="3092" t="s">
        <v>1286</v>
      </c>
      <c r="B33" s="3092"/>
      <c r="C33" s="3094" t="s">
        <v>1318</v>
      </c>
      <c r="D33" s="3094"/>
      <c r="E33" s="3094"/>
      <c r="F33" s="3094"/>
      <c r="G33" s="3093"/>
      <c r="H33" s="3093"/>
      <c r="I33" s="3090"/>
      <c r="J33" s="144"/>
    </row>
    <row r="34" spans="1:10" ht="18" customHeight="1">
      <c r="A34" s="3092" t="s">
        <v>1286</v>
      </c>
      <c r="B34" s="3092"/>
      <c r="C34" s="3094" t="s">
        <v>6104</v>
      </c>
      <c r="D34" s="3094"/>
      <c r="E34" s="3094"/>
      <c r="F34" s="3094"/>
      <c r="G34" s="3104">
        <v>2.5000000000000001E-2</v>
      </c>
      <c r="H34" s="3104"/>
      <c r="I34" s="3090"/>
      <c r="J34" s="144"/>
    </row>
    <row r="35" spans="1:10" ht="18" customHeight="1">
      <c r="A35" s="3092" t="s">
        <v>1319</v>
      </c>
      <c r="B35" s="3092"/>
      <c r="C35" s="3094" t="s">
        <v>1320</v>
      </c>
      <c r="D35" s="3094"/>
      <c r="E35" s="3094"/>
      <c r="F35" s="3094"/>
      <c r="G35" s="3102">
        <f>IF(G16&gt;ROUND(C17*0.02,2),G16-ROUND(C17*0.02,2),0)</f>
        <v>0</v>
      </c>
      <c r="H35" s="3102"/>
      <c r="I35" s="523"/>
      <c r="J35" s="144"/>
    </row>
    <row r="36" spans="1:10" ht="18" customHeight="1">
      <c r="A36" s="3092" t="s">
        <v>1319</v>
      </c>
      <c r="B36" s="3092"/>
      <c r="C36" s="3094" t="s">
        <v>1321</v>
      </c>
      <c r="D36" s="3094"/>
      <c r="E36" s="3094"/>
      <c r="F36" s="3094"/>
      <c r="G36" s="3093"/>
      <c r="H36" s="3093"/>
      <c r="I36" s="3090" t="s">
        <v>1322</v>
      </c>
      <c r="J36" s="144"/>
    </row>
    <row r="37" spans="1:10" ht="18" customHeight="1">
      <c r="A37" s="3105" t="s">
        <v>1319</v>
      </c>
      <c r="B37" s="3105"/>
      <c r="C37" s="3106" t="s">
        <v>1323</v>
      </c>
      <c r="D37" s="3106"/>
      <c r="E37" s="3106"/>
      <c r="F37" s="3106"/>
      <c r="G37" s="3093"/>
      <c r="H37" s="3093"/>
      <c r="I37" s="3090"/>
      <c r="J37" s="144"/>
    </row>
    <row r="38" spans="1:10" ht="18" customHeight="1">
      <c r="A38" s="3021" t="s">
        <v>703</v>
      </c>
      <c r="B38" s="3021"/>
      <c r="C38" s="3021"/>
      <c r="D38" s="3021"/>
      <c r="E38" s="3021"/>
      <c r="F38" s="3021"/>
      <c r="G38" s="3107">
        <f>SUM(G27:G37)-G34</f>
        <v>0</v>
      </c>
      <c r="H38" s="3107"/>
      <c r="I38" s="3090"/>
      <c r="J38" s="144"/>
    </row>
    <row r="39" spans="1:10" ht="15" customHeight="1">
      <c r="A39" s="3110" t="s">
        <v>1324</v>
      </c>
      <c r="B39" s="3110"/>
      <c r="C39" s="3116" t="s">
        <v>1325</v>
      </c>
      <c r="D39" s="3117"/>
      <c r="E39" s="3117"/>
      <c r="F39" s="3117"/>
      <c r="G39" s="3108" t="str">
        <f>IF(G38&lt;&gt;0,"、E","")</f>
        <v/>
      </c>
      <c r="H39" s="3109"/>
      <c r="I39" s="3090" t="s">
        <v>1326</v>
      </c>
      <c r="J39" s="144"/>
    </row>
    <row r="40" spans="1:10" ht="48.75" customHeight="1">
      <c r="A40" s="3110"/>
      <c r="B40" s="3110"/>
      <c r="C40" s="3114"/>
      <c r="D40" s="3114"/>
      <c r="E40" s="3114"/>
      <c r="F40" s="3114"/>
      <c r="G40" s="3114"/>
      <c r="H40" s="3114"/>
      <c r="I40" s="3090"/>
      <c r="J40" s="144"/>
    </row>
    <row r="41" spans="1:10" ht="22.5" customHeight="1">
      <c r="A41" s="3115" t="s">
        <v>575</v>
      </c>
      <c r="B41" s="3115"/>
      <c r="C41" s="3113" t="str">
        <f>IF(G38&lt;&gt;0,"纳税调整后认可！","不存在调整事项，认可！")</f>
        <v>不存在调整事项，认可！</v>
      </c>
      <c r="D41" s="3113"/>
      <c r="E41" s="3113"/>
      <c r="F41" s="3113"/>
      <c r="G41" s="3113"/>
      <c r="H41" s="3113"/>
      <c r="I41" s="3090"/>
      <c r="J41" s="144"/>
    </row>
    <row r="42" spans="1:10" ht="14.25" customHeight="1">
      <c r="A42" s="144"/>
      <c r="B42" s="144"/>
      <c r="C42" s="144"/>
      <c r="D42" s="144"/>
      <c r="E42" s="144"/>
      <c r="F42" s="144"/>
      <c r="G42" s="144"/>
      <c r="H42" s="144"/>
      <c r="I42" s="3111" t="s">
        <v>1327</v>
      </c>
      <c r="J42" s="144"/>
    </row>
    <row r="43" spans="1:10" ht="12" customHeight="1">
      <c r="A43" s="534"/>
      <c r="B43" s="144"/>
      <c r="C43" s="144"/>
      <c r="D43" s="144"/>
      <c r="E43" s="144"/>
      <c r="F43" s="144"/>
      <c r="G43" s="144"/>
      <c r="H43" s="144"/>
      <c r="I43" s="3111"/>
      <c r="J43" s="144"/>
    </row>
    <row r="44" spans="1:10" ht="15.15" customHeight="1">
      <c r="A44" s="84"/>
      <c r="B44" s="144"/>
      <c r="C44" s="144"/>
      <c r="D44" s="144"/>
      <c r="E44" s="144"/>
      <c r="F44" s="144"/>
      <c r="G44" s="144"/>
      <c r="H44" s="144"/>
      <c r="I44" s="3111" t="s">
        <v>1328</v>
      </c>
      <c r="J44" s="144"/>
    </row>
    <row r="45" spans="1:10">
      <c r="A45" s="534"/>
      <c r="B45" s="144"/>
      <c r="C45" s="144"/>
      <c r="D45" s="144"/>
      <c r="E45" s="144"/>
      <c r="F45" s="144"/>
      <c r="G45" s="144"/>
      <c r="H45" s="144"/>
      <c r="I45" s="3111"/>
      <c r="J45" s="144"/>
    </row>
    <row r="46" spans="1:10" ht="169.35" customHeight="1">
      <c r="A46"/>
      <c r="I46" s="3111"/>
      <c r="J46" s="144"/>
    </row>
    <row r="47" spans="1:10" ht="15.15" customHeight="1">
      <c r="A47" s="535"/>
      <c r="I47" s="3112" t="s">
        <v>1329</v>
      </c>
      <c r="J47" s="144"/>
    </row>
    <row r="48" spans="1:10" ht="15.6">
      <c r="A48"/>
      <c r="I48" s="3112"/>
      <c r="J48" s="144"/>
    </row>
    <row r="49" spans="1:10">
      <c r="A49" s="535"/>
      <c r="I49" s="3112"/>
      <c r="J49" s="144"/>
    </row>
    <row r="50" spans="1:10">
      <c r="I50" s="3112"/>
    </row>
    <row r="51" spans="1:10">
      <c r="I51" s="3112"/>
    </row>
    <row r="52" spans="1:10">
      <c r="I52" s="3112"/>
    </row>
  </sheetData>
  <sheetProtection selectLockedCells="1" selectUnlockedCells="1"/>
  <mergeCells count="95">
    <mergeCell ref="G39:H39"/>
    <mergeCell ref="A39:B40"/>
    <mergeCell ref="I44:I46"/>
    <mergeCell ref="I47:I52"/>
    <mergeCell ref="C41:H41"/>
    <mergeCell ref="I39:I41"/>
    <mergeCell ref="C40:H40"/>
    <mergeCell ref="A41:B41"/>
    <mergeCell ref="I42:I43"/>
    <mergeCell ref="C39:F39"/>
    <mergeCell ref="I36:I38"/>
    <mergeCell ref="A37:B37"/>
    <mergeCell ref="C37:F37"/>
    <mergeCell ref="G37:H37"/>
    <mergeCell ref="A38:F38"/>
    <mergeCell ref="G38:H38"/>
    <mergeCell ref="A36:B36"/>
    <mergeCell ref="C36:F36"/>
    <mergeCell ref="G36:H36"/>
    <mergeCell ref="A34:B34"/>
    <mergeCell ref="C34:F34"/>
    <mergeCell ref="G34:H34"/>
    <mergeCell ref="A35:B35"/>
    <mergeCell ref="C35:F35"/>
    <mergeCell ref="G35:H35"/>
    <mergeCell ref="A32:B32"/>
    <mergeCell ref="C32:F32"/>
    <mergeCell ref="G32:H32"/>
    <mergeCell ref="A33:B33"/>
    <mergeCell ref="C33:F33"/>
    <mergeCell ref="G33:H33"/>
    <mergeCell ref="A30:B30"/>
    <mergeCell ref="C30:F30"/>
    <mergeCell ref="G30:H30"/>
    <mergeCell ref="A31:B31"/>
    <mergeCell ref="C31:F31"/>
    <mergeCell ref="G31:H31"/>
    <mergeCell ref="A28:B28"/>
    <mergeCell ref="C28:F28"/>
    <mergeCell ref="G27:H27"/>
    <mergeCell ref="A23:B23"/>
    <mergeCell ref="C27:F27"/>
    <mergeCell ref="C23:D23"/>
    <mergeCell ref="A26:B26"/>
    <mergeCell ref="A25:B25"/>
    <mergeCell ref="A24:B24"/>
    <mergeCell ref="C24:D24"/>
    <mergeCell ref="C25:D25"/>
    <mergeCell ref="I15:I34"/>
    <mergeCell ref="A16:B16"/>
    <mergeCell ref="C16:D16"/>
    <mergeCell ref="A17:B17"/>
    <mergeCell ref="C17:D17"/>
    <mergeCell ref="G26:H26"/>
    <mergeCell ref="A27:B27"/>
    <mergeCell ref="G28:H28"/>
    <mergeCell ref="A29:B29"/>
    <mergeCell ref="C29:F29"/>
    <mergeCell ref="C26:F26"/>
    <mergeCell ref="A21:B21"/>
    <mergeCell ref="C21:D21"/>
    <mergeCell ref="G29:H29"/>
    <mergeCell ref="A22:B22"/>
    <mergeCell ref="C22:D22"/>
    <mergeCell ref="A13:B13"/>
    <mergeCell ref="C13:D13"/>
    <mergeCell ref="A15:B15"/>
    <mergeCell ref="C15:D15"/>
    <mergeCell ref="C20:D20"/>
    <mergeCell ref="A19:B19"/>
    <mergeCell ref="C19:D19"/>
    <mergeCell ref="A20:B20"/>
    <mergeCell ref="A14:B14"/>
    <mergeCell ref="C14:D14"/>
    <mergeCell ref="A18:B18"/>
    <mergeCell ref="C18:D18"/>
    <mergeCell ref="C12:D12"/>
    <mergeCell ref="A5:H5"/>
    <mergeCell ref="A6:B6"/>
    <mergeCell ref="C6:D6"/>
    <mergeCell ref="A7:B7"/>
    <mergeCell ref="C7:D7"/>
    <mergeCell ref="A8:B8"/>
    <mergeCell ref="C8:D8"/>
    <mergeCell ref="A9:B9"/>
    <mergeCell ref="C9:D9"/>
    <mergeCell ref="A11:B11"/>
    <mergeCell ref="C11:D11"/>
    <mergeCell ref="A12:B12"/>
    <mergeCell ref="A1:H1"/>
    <mergeCell ref="A2:D3"/>
    <mergeCell ref="H3:H4"/>
    <mergeCell ref="A4:D4"/>
    <mergeCell ref="A10:B10"/>
    <mergeCell ref="C10:D10"/>
  </mergeCells>
  <phoneticPr fontId="51" type="noConversion"/>
  <dataValidations disablePrompts="1" count="1">
    <dataValidation allowBlank="1" showErrorMessage="1" sqref="F3">
      <formula1>0</formula1>
      <formula2>0</formula2>
    </dataValidation>
  </dataValidations>
  <hyperlinks>
    <hyperlink ref="I7" location="资产负债!A1" display="资产负债表"/>
    <hyperlink ref="I8" location="利润!A1" display="利润及利润分配表"/>
    <hyperlink ref="I9" location="纳税调整明细表!D27" display="纳税调整明细表"/>
    <hyperlink ref="I10" location="营业费用!A1" display="营业费用审核表"/>
    <hyperlink ref="I11" location="管理费用!A1" display="管理费用审核表"/>
    <hyperlink ref="I12" location="其他事项!D32" display="其他事项!D32"/>
    <hyperlink ref="I13" location="制造费用、生产成本!A1" display="制造费用、生产成本审核表"/>
    <hyperlink ref="I14" location="凭证检查!A1" display="凭证检查!A1"/>
  </hyperlinks>
  <pageMargins left="0.78740157480314998" right="0.35433070866141703" top="0.511811023622047" bottom="0.11811023622047198" header="0.511811023622047" footer="0.511811023622047"/>
  <pageSetup paperSize="9" firstPageNumber="0" orientation="portrait" blackAndWhite="1" r:id="rId1"/>
  <headerFooter alignWithMargins="0"/>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7"/>
  <dimension ref="A1:W40"/>
  <sheetViews>
    <sheetView workbookViewId="0">
      <selection activeCell="J7" sqref="J7:K7"/>
    </sheetView>
  </sheetViews>
  <sheetFormatPr defaultColWidth="9" defaultRowHeight="15.6"/>
  <cols>
    <col min="1" max="1" width="7.59765625" style="168" customWidth="1"/>
    <col min="2" max="2" width="5.09765625" style="168" customWidth="1"/>
    <col min="3" max="6" width="7.09765625" style="168" customWidth="1"/>
    <col min="7" max="7" width="5.59765625" style="168" customWidth="1"/>
    <col min="8" max="8" width="9.8984375" style="168" customWidth="1"/>
    <col min="9" max="9" width="0" style="168" hidden="1" customWidth="1"/>
    <col min="10" max="10" width="4.3984375" style="168" customWidth="1"/>
    <col min="11" max="11" width="9.8984375" style="168" customWidth="1"/>
    <col min="12" max="12" width="2.3984375" style="168" customWidth="1"/>
    <col min="13" max="13" width="6.69921875" style="168" customWidth="1"/>
    <col min="14" max="16384" width="9" style="168"/>
  </cols>
  <sheetData>
    <row r="1" spans="1:21" ht="22.2">
      <c r="A1" s="2684" t="s">
        <v>1330</v>
      </c>
      <c r="B1" s="2684"/>
      <c r="C1" s="2684"/>
      <c r="D1" s="2684"/>
      <c r="E1" s="2684"/>
      <c r="F1" s="2684"/>
      <c r="G1" s="2684"/>
      <c r="H1" s="2684"/>
      <c r="I1" s="2684"/>
      <c r="J1" s="2684"/>
      <c r="K1" s="2684"/>
      <c r="L1" s="2684"/>
      <c r="M1" s="2684"/>
      <c r="N1" s="536"/>
      <c r="O1" s="169"/>
      <c r="P1" s="169"/>
      <c r="Q1" s="169"/>
      <c r="R1" s="169"/>
      <c r="S1" s="169"/>
      <c r="T1" s="169"/>
      <c r="U1" s="169"/>
    </row>
    <row r="2" spans="1:21" ht="7.5" customHeight="1">
      <c r="A2" s="170"/>
      <c r="B2" s="170"/>
      <c r="C2" s="170"/>
      <c r="D2" s="170"/>
      <c r="E2" s="170"/>
      <c r="F2" s="170"/>
      <c r="G2" s="170"/>
      <c r="H2" s="170"/>
      <c r="I2" s="170"/>
      <c r="J2" s="170"/>
      <c r="K2" s="170"/>
      <c r="L2" s="170"/>
      <c r="M2" s="170"/>
      <c r="N2" s="536"/>
      <c r="O2" s="169"/>
      <c r="P2" s="169"/>
      <c r="Q2" s="169"/>
      <c r="R2" s="169"/>
      <c r="S2" s="169"/>
      <c r="T2" s="169"/>
      <c r="U2" s="169"/>
    </row>
    <row r="3" spans="1:21" ht="21.75" customHeight="1">
      <c r="A3" s="3024" t="s">
        <v>448</v>
      </c>
      <c r="B3" s="3024"/>
      <c r="C3" s="3118">
        <f>基本情况!B2</f>
        <v>0</v>
      </c>
      <c r="D3" s="3118"/>
      <c r="E3" s="3118"/>
      <c r="F3" s="3118"/>
      <c r="G3" s="537"/>
      <c r="H3" s="369" t="s">
        <v>1331</v>
      </c>
      <c r="I3" s="537"/>
      <c r="J3" s="2898" t="s">
        <v>450</v>
      </c>
      <c r="K3" s="2898"/>
      <c r="L3" s="3057" t="s">
        <v>283</v>
      </c>
      <c r="M3" s="3057"/>
      <c r="N3" s="536"/>
      <c r="O3" s="169"/>
      <c r="P3" s="169"/>
      <c r="Q3" s="169"/>
      <c r="R3" s="169"/>
      <c r="S3" s="169"/>
      <c r="T3" s="169"/>
      <c r="U3" s="169"/>
    </row>
    <row r="4" spans="1:21" ht="19.5" customHeight="1">
      <c r="A4" s="3024"/>
      <c r="B4" s="3024"/>
      <c r="C4" s="3118"/>
      <c r="D4" s="3118"/>
      <c r="E4" s="3118"/>
      <c r="F4" s="3118"/>
      <c r="G4" s="538" t="s">
        <v>451</v>
      </c>
      <c r="H4" s="539">
        <f>基本情况!B12</f>
        <v>0</v>
      </c>
      <c r="I4" s="540"/>
      <c r="J4" s="3119" t="str">
        <f>TEXT(基本情况!B21,"yyyy-mm-dd")</f>
        <v>2017-03-16</v>
      </c>
      <c r="K4" s="3119"/>
      <c r="L4" s="3081" t="str">
        <f>档案索引!A36</f>
        <v>2A-16</v>
      </c>
      <c r="M4" s="3081"/>
      <c r="N4" s="536"/>
      <c r="O4" s="169"/>
      <c r="P4" s="169"/>
      <c r="Q4" s="169"/>
      <c r="R4" s="169"/>
      <c r="S4" s="169"/>
      <c r="T4" s="169"/>
      <c r="U4" s="169"/>
    </row>
    <row r="5" spans="1:21" ht="19.5" customHeight="1">
      <c r="A5" s="2904" t="s">
        <v>452</v>
      </c>
      <c r="B5" s="2904"/>
      <c r="C5" s="2899" t="str">
        <f>基本情况!B7</f>
        <v>2016年01月01日至2016年12月31日</v>
      </c>
      <c r="D5" s="2899"/>
      <c r="E5" s="2899"/>
      <c r="F5" s="2899"/>
      <c r="G5" s="373" t="s">
        <v>453</v>
      </c>
      <c r="H5" s="374">
        <f>基本情况!B11</f>
        <v>0</v>
      </c>
      <c r="I5" s="542"/>
      <c r="J5" s="3120" t="str">
        <f>TEXT(基本情况!B22,"yyyy-mm-dd")</f>
        <v>2017-05-04</v>
      </c>
      <c r="K5" s="3120"/>
      <c r="L5" s="3081"/>
      <c r="M5" s="3081"/>
      <c r="N5" s="543"/>
      <c r="O5" s="169"/>
      <c r="P5" s="169"/>
      <c r="Q5" s="169"/>
      <c r="R5" s="169"/>
      <c r="S5" s="169"/>
      <c r="T5" s="169"/>
      <c r="U5" s="169"/>
    </row>
    <row r="6" spans="1:21" ht="7.5" customHeight="1">
      <c r="A6" s="2894"/>
      <c r="B6" s="2894"/>
      <c r="C6" s="2894"/>
      <c r="D6" s="2894"/>
      <c r="E6" s="2894"/>
      <c r="F6" s="2894"/>
      <c r="G6" s="2894"/>
      <c r="H6" s="2894"/>
      <c r="I6" s="2894"/>
      <c r="J6" s="2894"/>
      <c r="K6" s="2894"/>
      <c r="L6" s="2894"/>
      <c r="M6" s="2894"/>
      <c r="N6" s="84"/>
      <c r="O6" s="169"/>
      <c r="P6" s="169"/>
      <c r="Q6" s="169"/>
      <c r="R6" s="169"/>
      <c r="S6" s="169"/>
      <c r="T6" s="169"/>
      <c r="U6" s="169"/>
    </row>
    <row r="7" spans="1:21" ht="36" customHeight="1">
      <c r="A7" s="3128" t="s">
        <v>666</v>
      </c>
      <c r="B7" s="3128"/>
      <c r="C7" s="3128"/>
      <c r="D7" s="3128"/>
      <c r="E7" s="3023" t="s">
        <v>1332</v>
      </c>
      <c r="F7" s="3023"/>
      <c r="G7" s="3023" t="s">
        <v>1492</v>
      </c>
      <c r="H7" s="3023"/>
      <c r="I7" s="3023"/>
      <c r="J7" s="3023" t="s">
        <v>1493</v>
      </c>
      <c r="K7" s="3023"/>
      <c r="L7" s="3129" t="s">
        <v>456</v>
      </c>
      <c r="M7" s="3129"/>
      <c r="N7" s="84" t="s">
        <v>396</v>
      </c>
      <c r="O7" s="169"/>
      <c r="P7" s="169"/>
      <c r="Q7" s="169"/>
      <c r="R7" s="169"/>
      <c r="S7" s="169"/>
      <c r="T7" s="169"/>
      <c r="U7" s="169"/>
    </row>
    <row r="8" spans="1:21" ht="24" customHeight="1">
      <c r="A8" s="3024" t="s">
        <v>1333</v>
      </c>
      <c r="B8" s="3024"/>
      <c r="C8" s="3024"/>
      <c r="D8" s="3024"/>
      <c r="E8" s="3126">
        <f>营业费用!H10</f>
        <v>0</v>
      </c>
      <c r="F8" s="3126"/>
      <c r="G8" s="3127"/>
      <c r="H8" s="3127"/>
      <c r="I8" s="3127"/>
      <c r="J8" s="3131">
        <f t="shared" ref="J8:J15" si="0">E8+G8</f>
        <v>0</v>
      </c>
      <c r="K8" s="3131"/>
      <c r="L8" s="3130"/>
      <c r="M8" s="3130"/>
      <c r="N8" s="3121" t="s">
        <v>1334</v>
      </c>
      <c r="O8" s="3121"/>
      <c r="P8" s="3121"/>
      <c r="Q8" s="169"/>
      <c r="R8" s="169"/>
      <c r="S8" s="169"/>
      <c r="T8" s="169"/>
      <c r="U8" s="169"/>
    </row>
    <row r="9" spans="1:21" ht="24" customHeight="1">
      <c r="A9" s="2903" t="s">
        <v>1335</v>
      </c>
      <c r="B9" s="2903"/>
      <c r="C9" s="2903"/>
      <c r="D9" s="2903"/>
      <c r="E9" s="3122">
        <f>管理费用!H10</f>
        <v>0</v>
      </c>
      <c r="F9" s="3122"/>
      <c r="G9" s="3123"/>
      <c r="H9" s="3123"/>
      <c r="I9" s="3123"/>
      <c r="J9" s="3124">
        <f t="shared" si="0"/>
        <v>0</v>
      </c>
      <c r="K9" s="3124"/>
      <c r="L9" s="3125"/>
      <c r="M9" s="3125"/>
      <c r="N9" s="442" t="s">
        <v>1336</v>
      </c>
      <c r="O9" s="169"/>
      <c r="P9" s="169"/>
      <c r="Q9" s="169"/>
      <c r="R9" s="169"/>
      <c r="S9" s="169"/>
      <c r="T9" s="169"/>
      <c r="U9" s="169"/>
    </row>
    <row r="10" spans="1:21" ht="24" customHeight="1">
      <c r="A10" s="2903" t="s">
        <v>1337</v>
      </c>
      <c r="B10" s="2903"/>
      <c r="C10" s="2903"/>
      <c r="D10" s="2903"/>
      <c r="E10" s="3122">
        <f>制造费用、生产成本!C25</f>
        <v>0</v>
      </c>
      <c r="F10" s="3122"/>
      <c r="G10" s="3123"/>
      <c r="H10" s="3123"/>
      <c r="I10" s="3123"/>
      <c r="J10" s="3124">
        <f t="shared" si="0"/>
        <v>0</v>
      </c>
      <c r="K10" s="3124"/>
      <c r="L10" s="3125"/>
      <c r="M10" s="3125"/>
      <c r="N10" s="232" t="s">
        <v>1297</v>
      </c>
      <c r="O10" s="169"/>
      <c r="P10" s="169"/>
      <c r="Q10" s="169"/>
      <c r="R10" s="169"/>
      <c r="S10" s="169"/>
      <c r="T10" s="169"/>
      <c r="U10" s="169"/>
    </row>
    <row r="11" spans="1:21" ht="24" customHeight="1">
      <c r="A11" s="2903" t="s">
        <v>1338</v>
      </c>
      <c r="B11" s="2903"/>
      <c r="C11" s="2903"/>
      <c r="D11" s="2903"/>
      <c r="E11" s="3123"/>
      <c r="F11" s="3123"/>
      <c r="G11" s="3123"/>
      <c r="H11" s="3123"/>
      <c r="I11" s="3123"/>
      <c r="J11" s="3124">
        <f t="shared" si="0"/>
        <v>0</v>
      </c>
      <c r="K11" s="3124"/>
      <c r="L11" s="3125"/>
      <c r="M11" s="3125"/>
      <c r="N11" s="442"/>
      <c r="O11" s="169"/>
      <c r="P11" s="169"/>
      <c r="Q11" s="169"/>
      <c r="R11" s="169"/>
      <c r="S11" s="169"/>
      <c r="T11" s="169"/>
      <c r="U11" s="169"/>
    </row>
    <row r="12" spans="1:21" ht="24" customHeight="1">
      <c r="A12" s="2903" t="s">
        <v>1339</v>
      </c>
      <c r="B12" s="2903"/>
      <c r="C12" s="2903"/>
      <c r="D12" s="2903"/>
      <c r="E12" s="3123"/>
      <c r="F12" s="3123"/>
      <c r="G12" s="3123"/>
      <c r="H12" s="3123"/>
      <c r="I12" s="3123"/>
      <c r="J12" s="3124">
        <f t="shared" si="0"/>
        <v>0</v>
      </c>
      <c r="K12" s="3124"/>
      <c r="L12" s="3125"/>
      <c r="M12" s="3125"/>
      <c r="N12" s="442"/>
      <c r="O12" s="169"/>
      <c r="P12" s="169"/>
      <c r="Q12" s="169"/>
      <c r="R12" s="169"/>
      <c r="S12" s="169"/>
      <c r="T12" s="169"/>
      <c r="U12" s="169"/>
    </row>
    <row r="13" spans="1:21" ht="24" customHeight="1">
      <c r="A13" s="2903" t="s">
        <v>1340</v>
      </c>
      <c r="B13" s="2903"/>
      <c r="C13" s="2903"/>
      <c r="D13" s="2903"/>
      <c r="E13" s="3123"/>
      <c r="F13" s="3123"/>
      <c r="G13" s="3123"/>
      <c r="H13" s="3123"/>
      <c r="I13" s="3123"/>
      <c r="J13" s="3124">
        <f t="shared" si="0"/>
        <v>0</v>
      </c>
      <c r="K13" s="3124"/>
      <c r="L13" s="3125"/>
      <c r="M13" s="3125"/>
      <c r="N13" s="442"/>
      <c r="O13" s="169"/>
      <c r="P13" s="169"/>
      <c r="Q13" s="169"/>
      <c r="R13" s="169"/>
      <c r="S13" s="169"/>
      <c r="T13" s="169"/>
      <c r="U13" s="169"/>
    </row>
    <row r="14" spans="1:21" ht="24" customHeight="1">
      <c r="A14" s="2903" t="s">
        <v>1341</v>
      </c>
      <c r="B14" s="2903"/>
      <c r="C14" s="2903"/>
      <c r="D14" s="2903"/>
      <c r="E14" s="3123"/>
      <c r="F14" s="3123"/>
      <c r="G14" s="3124"/>
      <c r="H14" s="3124"/>
      <c r="I14" s="3124"/>
      <c r="J14" s="3124">
        <f t="shared" si="0"/>
        <v>0</v>
      </c>
      <c r="K14" s="3124"/>
      <c r="L14" s="3125"/>
      <c r="M14" s="3125"/>
      <c r="N14" s="3121" t="s">
        <v>324</v>
      </c>
      <c r="O14" s="3121"/>
      <c r="P14" s="3121"/>
      <c r="Q14" s="169"/>
      <c r="R14" s="169"/>
      <c r="S14" s="169"/>
      <c r="T14" s="169"/>
      <c r="U14" s="169"/>
    </row>
    <row r="15" spans="1:21" ht="24" customHeight="1">
      <c r="A15" s="2903" t="s">
        <v>1342</v>
      </c>
      <c r="B15" s="2903"/>
      <c r="C15" s="2903"/>
      <c r="D15" s="2903"/>
      <c r="E15" s="3124">
        <f>SUM(E8:F14)</f>
        <v>0</v>
      </c>
      <c r="F15" s="3124"/>
      <c r="G15" s="3124">
        <f>SUM(G8:I14)</f>
        <v>0</v>
      </c>
      <c r="H15" s="3124"/>
      <c r="I15" s="3124"/>
      <c r="J15" s="3124">
        <f t="shared" si="0"/>
        <v>0</v>
      </c>
      <c r="K15" s="3124"/>
      <c r="L15" s="3125"/>
      <c r="M15" s="3125"/>
      <c r="N15" s="232" t="s">
        <v>1343</v>
      </c>
      <c r="O15" s="169"/>
      <c r="P15" s="169"/>
      <c r="Q15" s="169"/>
      <c r="R15" s="169"/>
      <c r="S15" s="169"/>
      <c r="T15" s="169"/>
      <c r="U15" s="169"/>
    </row>
    <row r="16" spans="1:21" ht="24" customHeight="1">
      <c r="A16" s="3132" t="s">
        <v>1344</v>
      </c>
      <c r="B16" s="3132"/>
      <c r="C16" s="3132"/>
      <c r="D16" s="3132"/>
      <c r="E16" s="3087" t="s">
        <v>510</v>
      </c>
      <c r="F16" s="3087"/>
      <c r="G16" s="3087" t="s">
        <v>510</v>
      </c>
      <c r="H16" s="3087"/>
      <c r="I16" s="3087"/>
      <c r="J16" s="3124">
        <f>ROUND(J15*0.6,2)</f>
        <v>0</v>
      </c>
      <c r="K16" s="3124"/>
      <c r="L16" s="3125"/>
      <c r="M16" s="3125"/>
      <c r="N16" s="232" t="s">
        <v>1345</v>
      </c>
      <c r="O16" s="169"/>
      <c r="P16" s="169"/>
      <c r="Q16" s="169"/>
      <c r="R16" s="169"/>
      <c r="S16" s="169"/>
      <c r="T16" s="169"/>
      <c r="U16" s="169"/>
    </row>
    <row r="17" spans="1:23" ht="24" customHeight="1">
      <c r="A17" s="3132" t="s">
        <v>10089</v>
      </c>
      <c r="B17" s="3132"/>
      <c r="C17" s="3132"/>
      <c r="D17" s="3132"/>
      <c r="E17" s="3087" t="s">
        <v>510</v>
      </c>
      <c r="F17" s="3087"/>
      <c r="G17" s="3087" t="s">
        <v>510</v>
      </c>
      <c r="H17" s="3087"/>
      <c r="I17" s="3087"/>
      <c r="J17" s="3122">
        <f>主营收支!H23</f>
        <v>0</v>
      </c>
      <c r="K17" s="3122"/>
      <c r="L17" s="3125"/>
      <c r="M17" s="3125"/>
      <c r="N17" s="232" t="s">
        <v>1346</v>
      </c>
      <c r="O17" s="169"/>
      <c r="P17" s="169"/>
      <c r="Q17" s="169"/>
      <c r="R17" s="169"/>
      <c r="S17" s="169"/>
      <c r="T17" s="169"/>
      <c r="U17" s="169"/>
    </row>
    <row r="18" spans="1:23" ht="24" customHeight="1">
      <c r="A18" s="3132" t="s">
        <v>10090</v>
      </c>
      <c r="B18" s="3132"/>
      <c r="C18" s="3132"/>
      <c r="D18" s="3132"/>
      <c r="E18" s="3087" t="s">
        <v>510</v>
      </c>
      <c r="F18" s="3087"/>
      <c r="G18" s="3087" t="s">
        <v>510</v>
      </c>
      <c r="H18" s="3087"/>
      <c r="I18" s="3087"/>
      <c r="J18" s="3122">
        <f>其他业务!E18</f>
        <v>0</v>
      </c>
      <c r="K18" s="3122"/>
      <c r="L18" s="3125"/>
      <c r="M18" s="3125"/>
      <c r="N18" s="169"/>
      <c r="O18" s="169"/>
      <c r="P18" s="169"/>
      <c r="Q18" s="169"/>
      <c r="R18" s="169"/>
      <c r="S18" s="169"/>
      <c r="T18" s="169"/>
      <c r="U18" s="169"/>
      <c r="V18" s="546"/>
      <c r="W18" s="546"/>
    </row>
    <row r="19" spans="1:23" ht="24" customHeight="1">
      <c r="A19" s="3132" t="s">
        <v>10091</v>
      </c>
      <c r="B19" s="3132"/>
      <c r="C19" s="3132"/>
      <c r="D19" s="3132"/>
      <c r="E19" s="3087" t="s">
        <v>510</v>
      </c>
      <c r="F19" s="3087"/>
      <c r="G19" s="3087" t="s">
        <v>510</v>
      </c>
      <c r="H19" s="3087"/>
      <c r="I19" s="3087"/>
      <c r="J19" s="3122">
        <f>A105010视同销售和房地产开发企业特定业务纳税调整明细表!C5</f>
        <v>0</v>
      </c>
      <c r="K19" s="3122"/>
      <c r="L19" s="3125"/>
      <c r="M19" s="3125"/>
      <c r="V19" s="546"/>
      <c r="W19" s="546"/>
    </row>
    <row r="20" spans="1:23" ht="24" customHeight="1">
      <c r="A20" s="3132" t="s">
        <v>10092</v>
      </c>
      <c r="B20" s="3132"/>
      <c r="C20" s="3132"/>
      <c r="D20" s="3132"/>
      <c r="E20" s="3087" t="s">
        <v>510</v>
      </c>
      <c r="F20" s="3087"/>
      <c r="G20" s="3087" t="s">
        <v>510</v>
      </c>
      <c r="H20" s="3087"/>
      <c r="I20" s="3087"/>
      <c r="J20" s="3124">
        <f>SUM(J17:K19)+J24</f>
        <v>0</v>
      </c>
      <c r="K20" s="3124"/>
      <c r="L20" s="3125"/>
      <c r="M20" s="3125"/>
      <c r="N20" s="3090" t="s">
        <v>1244</v>
      </c>
      <c r="O20" s="3090"/>
      <c r="P20" s="3090"/>
      <c r="Q20" s="3090"/>
      <c r="R20" s="3090"/>
      <c r="S20" s="3090"/>
      <c r="T20" s="3090"/>
      <c r="U20" s="3090"/>
      <c r="V20" s="546"/>
      <c r="W20" s="546"/>
    </row>
    <row r="21" spans="1:23" ht="24" customHeight="1">
      <c r="A21" s="3132" t="s">
        <v>10093</v>
      </c>
      <c r="B21" s="3132"/>
      <c r="C21" s="3132"/>
      <c r="D21" s="3132"/>
      <c r="E21" s="3087" t="s">
        <v>510</v>
      </c>
      <c r="F21" s="3087"/>
      <c r="G21" s="3087" t="s">
        <v>510</v>
      </c>
      <c r="H21" s="3087"/>
      <c r="I21" s="3087"/>
      <c r="J21" s="3124">
        <f>ROUND(J20*0.005,2)</f>
        <v>0</v>
      </c>
      <c r="K21" s="3124"/>
      <c r="L21" s="3125"/>
      <c r="M21" s="3125"/>
      <c r="N21" s="3090"/>
      <c r="O21" s="3090"/>
      <c r="P21" s="3090"/>
      <c r="Q21" s="3090"/>
      <c r="R21" s="3090"/>
      <c r="S21" s="3090"/>
      <c r="T21" s="3090"/>
      <c r="U21" s="3090"/>
      <c r="V21" s="546"/>
      <c r="W21" s="546"/>
    </row>
    <row r="22" spans="1:23" ht="24" customHeight="1">
      <c r="A22" s="3132" t="s">
        <v>1245</v>
      </c>
      <c r="B22" s="3132"/>
      <c r="C22" s="3132"/>
      <c r="D22" s="3132"/>
      <c r="E22" s="3087" t="s">
        <v>510</v>
      </c>
      <c r="F22" s="3087"/>
      <c r="G22" s="3087" t="s">
        <v>510</v>
      </c>
      <c r="H22" s="3087"/>
      <c r="I22" s="3087"/>
      <c r="J22" s="3124">
        <f>MIN(J16,J21)</f>
        <v>0</v>
      </c>
      <c r="K22" s="3124"/>
      <c r="L22" s="3125"/>
      <c r="M22" s="3125"/>
      <c r="N22" s="3090"/>
      <c r="O22" s="3090"/>
      <c r="P22" s="3090"/>
      <c r="Q22" s="3090"/>
      <c r="R22" s="3090"/>
      <c r="S22" s="3090"/>
      <c r="T22" s="3090"/>
      <c r="U22" s="3090"/>
      <c r="V22" s="546"/>
      <c r="W22" s="546"/>
    </row>
    <row r="23" spans="1:23" ht="24" customHeight="1">
      <c r="A23" s="3144" t="s">
        <v>1246</v>
      </c>
      <c r="B23" s="3144"/>
      <c r="C23" s="3144"/>
      <c r="D23" s="3144"/>
      <c r="E23" s="3133" t="s">
        <v>510</v>
      </c>
      <c r="F23" s="3133"/>
      <c r="G23" s="3133" t="s">
        <v>510</v>
      </c>
      <c r="H23" s="3133"/>
      <c r="I23" s="3133"/>
      <c r="J23" s="3145">
        <f>J15-J22</f>
        <v>0</v>
      </c>
      <c r="K23" s="3145"/>
      <c r="L23" s="3146"/>
      <c r="M23" s="3146"/>
      <c r="N23" s="3090"/>
      <c r="O23" s="3090"/>
      <c r="P23" s="3090"/>
      <c r="Q23" s="3090"/>
      <c r="R23" s="3090"/>
      <c r="S23" s="3090"/>
      <c r="T23" s="3090"/>
      <c r="U23" s="3090"/>
      <c r="V23" s="546"/>
      <c r="W23" s="546"/>
    </row>
    <row r="24" spans="1:23" ht="24" customHeight="1">
      <c r="A24" s="3147" t="s">
        <v>1247</v>
      </c>
      <c r="B24" s="3147"/>
      <c r="C24" s="3147"/>
      <c r="D24" s="3147"/>
      <c r="E24" s="3133" t="s">
        <v>510</v>
      </c>
      <c r="F24" s="3133"/>
      <c r="G24" s="3133" t="s">
        <v>510</v>
      </c>
      <c r="H24" s="3133"/>
      <c r="I24" s="548"/>
      <c r="J24" s="3148">
        <f>视同销售和房地产开发企业特定业务审核表!C30-视同销售和房地产开发企业特定业务审核表!C34</f>
        <v>0</v>
      </c>
      <c r="K24" s="3148"/>
      <c r="L24" s="3149"/>
      <c r="M24" s="3149"/>
      <c r="N24" s="3090"/>
      <c r="O24" s="3090"/>
      <c r="P24" s="3090"/>
      <c r="Q24" s="3090"/>
      <c r="R24" s="3090"/>
      <c r="S24" s="3090"/>
      <c r="T24" s="3090"/>
      <c r="U24" s="3090"/>
      <c r="V24" s="546"/>
      <c r="W24" s="546"/>
    </row>
    <row r="25" spans="1:23" ht="24" hidden="1" customHeight="1">
      <c r="A25" s="3137" t="s">
        <v>1248</v>
      </c>
      <c r="B25" s="3137"/>
      <c r="C25" s="3137"/>
      <c r="D25" s="3137"/>
      <c r="E25" s="3138" t="s">
        <v>510</v>
      </c>
      <c r="F25" s="3138"/>
      <c r="G25" s="3138" t="s">
        <v>510</v>
      </c>
      <c r="H25" s="3138"/>
      <c r="I25" s="549"/>
      <c r="J25" s="3139"/>
      <c r="K25" s="3139"/>
      <c r="L25" s="3140"/>
      <c r="M25" s="3140"/>
      <c r="N25" s="3090"/>
      <c r="O25" s="3090"/>
      <c r="P25" s="3090"/>
      <c r="Q25" s="3090"/>
      <c r="R25" s="3090"/>
      <c r="S25" s="3090"/>
      <c r="T25" s="3090"/>
      <c r="U25" s="3090"/>
      <c r="V25" s="546"/>
      <c r="W25" s="546"/>
    </row>
    <row r="26" spans="1:23" ht="15" customHeight="1">
      <c r="A26" s="3141" t="s">
        <v>1324</v>
      </c>
      <c r="B26" s="3141"/>
      <c r="C26" s="3142" t="s">
        <v>1249</v>
      </c>
      <c r="D26" s="3142"/>
      <c r="E26" s="3109" t="str">
        <f>IF(J23&lt;&gt;0,"、E","")</f>
        <v/>
      </c>
      <c r="F26" s="3109"/>
      <c r="G26" s="3109"/>
      <c r="H26" s="3109"/>
      <c r="I26" s="3109"/>
      <c r="J26" s="3109"/>
      <c r="K26" s="3109"/>
      <c r="L26" s="3109"/>
      <c r="M26" s="3109"/>
      <c r="N26" s="3090"/>
      <c r="O26" s="3090"/>
      <c r="P26" s="3090"/>
      <c r="Q26" s="3090"/>
      <c r="R26" s="3090"/>
      <c r="S26" s="3090"/>
      <c r="T26" s="3090"/>
      <c r="U26" s="3090"/>
    </row>
    <row r="27" spans="1:23" ht="24" customHeight="1">
      <c r="A27" s="3141"/>
      <c r="B27" s="3141"/>
      <c r="C27" s="3143"/>
      <c r="D27" s="3143"/>
      <c r="E27" s="3143"/>
      <c r="F27" s="3143"/>
      <c r="G27" s="3143"/>
      <c r="H27" s="3143"/>
      <c r="I27" s="3143"/>
      <c r="J27" s="3143"/>
      <c r="K27" s="3143"/>
      <c r="L27" s="3143"/>
      <c r="M27" s="3143"/>
      <c r="N27" s="3090"/>
      <c r="O27" s="3090"/>
      <c r="P27" s="3090"/>
      <c r="Q27" s="3090"/>
      <c r="R27" s="3090"/>
      <c r="S27" s="3090"/>
      <c r="T27" s="3090"/>
      <c r="U27" s="3090"/>
    </row>
    <row r="28" spans="1:23" ht="84.75" customHeight="1">
      <c r="A28" s="3141"/>
      <c r="B28" s="3141"/>
      <c r="C28" s="3143"/>
      <c r="D28" s="3143"/>
      <c r="E28" s="3143"/>
      <c r="F28" s="3143"/>
      <c r="G28" s="3143"/>
      <c r="H28" s="3143"/>
      <c r="I28" s="3143"/>
      <c r="J28" s="3143"/>
      <c r="K28" s="3143"/>
      <c r="L28" s="3143"/>
      <c r="M28" s="3143"/>
      <c r="N28" s="547"/>
      <c r="O28" s="551"/>
      <c r="P28" s="551"/>
      <c r="Q28" s="551"/>
      <c r="R28" s="551"/>
      <c r="S28" s="551"/>
      <c r="T28" s="551"/>
      <c r="U28" s="551"/>
    </row>
    <row r="29" spans="1:23" ht="18.75" customHeight="1">
      <c r="A29" s="3134" t="s">
        <v>575</v>
      </c>
      <c r="B29" s="3134"/>
      <c r="C29" s="3135" t="str">
        <f>IF(J23=0,"不存在调整事项，认可！","实际列支招待费大于税法允许列支的限额,应予纳税调整增加"&amp;DOLLAR(J23,2)&amp;"元！")</f>
        <v>不存在调整事项，认可！</v>
      </c>
      <c r="D29" s="3135"/>
      <c r="E29" s="3135"/>
      <c r="F29" s="3135"/>
      <c r="G29" s="3135"/>
      <c r="H29" s="3135"/>
      <c r="I29" s="3135"/>
      <c r="J29" s="3135"/>
      <c r="K29" s="3135"/>
      <c r="L29" s="3135"/>
      <c r="M29" s="3135"/>
      <c r="N29" s="547"/>
      <c r="O29" s="551"/>
      <c r="P29" s="551"/>
      <c r="Q29" s="551"/>
      <c r="R29" s="551"/>
      <c r="S29" s="551"/>
      <c r="T29" s="551"/>
      <c r="U29" s="551"/>
    </row>
    <row r="30" spans="1:23" ht="18.75" customHeight="1">
      <c r="A30" s="3134"/>
      <c r="B30" s="3134"/>
      <c r="C30" s="3135"/>
      <c r="D30" s="3135"/>
      <c r="E30" s="3135"/>
      <c r="F30" s="3135"/>
      <c r="G30" s="3135"/>
      <c r="H30" s="3135"/>
      <c r="I30" s="3135"/>
      <c r="J30" s="3135"/>
      <c r="K30" s="3135"/>
      <c r="L30" s="3135"/>
      <c r="M30" s="3135"/>
      <c r="N30" s="547"/>
      <c r="O30" s="551"/>
      <c r="P30" s="551"/>
      <c r="Q30" s="551"/>
      <c r="R30" s="551"/>
      <c r="S30" s="551"/>
      <c r="T30" s="551"/>
      <c r="U30" s="551"/>
    </row>
    <row r="31" spans="1:23" ht="18.75" customHeight="1">
      <c r="A31" s="3134"/>
      <c r="B31" s="3134"/>
      <c r="C31" s="3135"/>
      <c r="D31" s="3135"/>
      <c r="E31" s="3135"/>
      <c r="F31" s="3135"/>
      <c r="G31" s="3135"/>
      <c r="H31" s="3135"/>
      <c r="I31" s="3135"/>
      <c r="J31" s="3135"/>
      <c r="K31" s="3135"/>
      <c r="L31" s="3135"/>
      <c r="M31" s="3135"/>
      <c r="N31" s="3136" t="s">
        <v>1250</v>
      </c>
      <c r="O31" s="3136"/>
      <c r="P31" s="3136"/>
      <c r="Q31" s="3136"/>
      <c r="R31" s="3136"/>
      <c r="S31" s="3136"/>
      <c r="T31" s="3136"/>
      <c r="U31" s="3136"/>
    </row>
    <row r="32" spans="1:23">
      <c r="A32" s="169"/>
      <c r="B32" s="169"/>
      <c r="C32" s="169"/>
      <c r="D32" s="169"/>
      <c r="E32" s="169"/>
      <c r="F32" s="169"/>
      <c r="G32" s="169"/>
      <c r="H32" s="169"/>
      <c r="I32" s="169"/>
      <c r="J32" s="169"/>
      <c r="K32" s="552"/>
      <c r="L32" s="552"/>
      <c r="M32" s="552"/>
      <c r="N32" s="3136"/>
      <c r="O32" s="3136"/>
      <c r="P32" s="3136"/>
      <c r="Q32" s="3136"/>
      <c r="R32" s="3136"/>
      <c r="S32" s="3136"/>
      <c r="T32" s="3136"/>
      <c r="U32" s="3136"/>
    </row>
    <row r="33" spans="1:21">
      <c r="A33" s="169"/>
      <c r="B33" s="169"/>
      <c r="C33" s="169"/>
      <c r="D33" s="169"/>
      <c r="E33" s="169"/>
      <c r="F33" s="169"/>
      <c r="G33" s="169"/>
      <c r="H33" s="169"/>
      <c r="I33" s="169"/>
      <c r="J33" s="169"/>
      <c r="K33" s="553"/>
      <c r="L33" s="553"/>
      <c r="M33" s="553"/>
      <c r="N33" s="3136"/>
      <c r="O33" s="3136"/>
      <c r="P33" s="3136"/>
      <c r="Q33" s="3136"/>
      <c r="R33" s="3136"/>
      <c r="S33" s="3136"/>
      <c r="T33" s="3136"/>
      <c r="U33" s="3136"/>
    </row>
    <row r="34" spans="1:21">
      <c r="A34" s="169"/>
      <c r="B34" s="169"/>
      <c r="C34" s="169"/>
      <c r="D34" s="169"/>
      <c r="E34" s="169"/>
      <c r="F34" s="169"/>
      <c r="G34" s="169"/>
      <c r="H34" s="169"/>
      <c r="I34" s="169"/>
      <c r="J34" s="169"/>
      <c r="K34" s="553"/>
      <c r="L34" s="553"/>
      <c r="M34" s="553"/>
      <c r="N34" s="3136"/>
      <c r="O34" s="3136"/>
      <c r="P34" s="3136"/>
      <c r="Q34" s="3136"/>
      <c r="R34" s="3136"/>
      <c r="S34" s="3136"/>
      <c r="T34" s="3136"/>
      <c r="U34" s="3136"/>
    </row>
    <row r="35" spans="1:21">
      <c r="A35" s="169"/>
      <c r="B35" s="169"/>
      <c r="C35" s="169"/>
      <c r="D35" s="169"/>
      <c r="E35" s="169"/>
      <c r="F35" s="169"/>
      <c r="G35" s="169"/>
      <c r="H35" s="169"/>
      <c r="I35" s="169"/>
      <c r="J35" s="169"/>
      <c r="K35" s="553"/>
      <c r="L35" s="553"/>
      <c r="M35" s="553"/>
    </row>
    <row r="36" spans="1:21" ht="14.25" customHeight="1">
      <c r="A36" s="169"/>
      <c r="B36" s="169"/>
      <c r="C36" s="169"/>
      <c r="D36" s="169"/>
      <c r="E36" s="169"/>
      <c r="F36" s="169"/>
      <c r="G36" s="169"/>
      <c r="H36" s="169"/>
      <c r="I36" s="169"/>
      <c r="J36" s="169"/>
      <c r="K36" s="169"/>
      <c r="L36" s="169"/>
      <c r="M36" s="169"/>
    </row>
    <row r="37" spans="1:21">
      <c r="A37" s="169"/>
      <c r="B37" s="169"/>
      <c r="C37" s="169"/>
      <c r="D37" s="169"/>
      <c r="E37" s="169"/>
      <c r="F37" s="169"/>
      <c r="G37" s="169"/>
      <c r="H37" s="169"/>
      <c r="I37" s="169"/>
      <c r="J37" s="169"/>
      <c r="K37" s="169"/>
      <c r="L37" s="169"/>
      <c r="M37" s="169"/>
    </row>
    <row r="38" spans="1:21">
      <c r="A38" s="169"/>
      <c r="B38" s="169"/>
      <c r="C38" s="169"/>
      <c r="D38" s="169"/>
      <c r="E38" s="169"/>
      <c r="F38" s="169"/>
      <c r="G38" s="169"/>
      <c r="H38" s="169"/>
      <c r="I38" s="169"/>
      <c r="J38" s="169"/>
      <c r="K38" s="169"/>
      <c r="L38" s="169"/>
      <c r="M38" s="169"/>
    </row>
    <row r="39" spans="1:21">
      <c r="A39" s="169"/>
      <c r="B39" s="169"/>
      <c r="C39" s="169"/>
      <c r="D39" s="169"/>
      <c r="E39" s="169"/>
      <c r="F39" s="169"/>
      <c r="G39" s="169"/>
      <c r="H39" s="169"/>
      <c r="I39" s="169"/>
      <c r="J39" s="169"/>
      <c r="K39" s="169"/>
      <c r="L39" s="169"/>
      <c r="M39" s="169"/>
    </row>
    <row r="40" spans="1:21">
      <c r="A40" s="169"/>
      <c r="B40" s="169"/>
      <c r="C40" s="169"/>
      <c r="D40" s="169"/>
      <c r="E40" s="169"/>
      <c r="F40" s="169"/>
      <c r="G40" s="169"/>
      <c r="H40" s="169"/>
      <c r="I40" s="169"/>
      <c r="J40" s="169"/>
      <c r="K40" s="169"/>
      <c r="L40" s="169"/>
      <c r="M40" s="169"/>
    </row>
  </sheetData>
  <sheetProtection selectLockedCells="1" selectUnlockedCells="1"/>
  <mergeCells count="116">
    <mergeCell ref="A29:B31"/>
    <mergeCell ref="C29:M31"/>
    <mergeCell ref="N31:U34"/>
    <mergeCell ref="A25:D25"/>
    <mergeCell ref="E25:F25"/>
    <mergeCell ref="G25:H25"/>
    <mergeCell ref="J25:K25"/>
    <mergeCell ref="L25:M25"/>
    <mergeCell ref="A26:B28"/>
    <mergeCell ref="C26:D26"/>
    <mergeCell ref="N20:U27"/>
    <mergeCell ref="E26:M26"/>
    <mergeCell ref="C27:M28"/>
    <mergeCell ref="A23:D23"/>
    <mergeCell ref="E23:F23"/>
    <mergeCell ref="G23:I23"/>
    <mergeCell ref="J23:K23"/>
    <mergeCell ref="L23:M23"/>
    <mergeCell ref="A24:D24"/>
    <mergeCell ref="J24:K24"/>
    <mergeCell ref="L24:M24"/>
    <mergeCell ref="L21:M21"/>
    <mergeCell ref="A22:D22"/>
    <mergeCell ref="E22:F22"/>
    <mergeCell ref="G22:I22"/>
    <mergeCell ref="J22:K22"/>
    <mergeCell ref="L22:M22"/>
    <mergeCell ref="E24:F24"/>
    <mergeCell ref="G24:H24"/>
    <mergeCell ref="A21:D21"/>
    <mergeCell ref="E21:F21"/>
    <mergeCell ref="G21:I21"/>
    <mergeCell ref="J21:K21"/>
    <mergeCell ref="A20:D20"/>
    <mergeCell ref="E20:F20"/>
    <mergeCell ref="G20:I20"/>
    <mergeCell ref="J20:K20"/>
    <mergeCell ref="L20:M20"/>
    <mergeCell ref="L18:M18"/>
    <mergeCell ref="A19:D19"/>
    <mergeCell ref="E19:F19"/>
    <mergeCell ref="G19:I19"/>
    <mergeCell ref="J19:K19"/>
    <mergeCell ref="L19:M19"/>
    <mergeCell ref="A18:D18"/>
    <mergeCell ref="E18:F18"/>
    <mergeCell ref="G18:I18"/>
    <mergeCell ref="J18:K18"/>
    <mergeCell ref="L16:M16"/>
    <mergeCell ref="A17:D17"/>
    <mergeCell ref="E17:F17"/>
    <mergeCell ref="G17:I17"/>
    <mergeCell ref="J17:K17"/>
    <mergeCell ref="L17:M17"/>
    <mergeCell ref="A16:D16"/>
    <mergeCell ref="E16:F16"/>
    <mergeCell ref="G16:I16"/>
    <mergeCell ref="J16:K16"/>
    <mergeCell ref="N14:P14"/>
    <mergeCell ref="L14:M14"/>
    <mergeCell ref="A15:D15"/>
    <mergeCell ref="E15:F15"/>
    <mergeCell ref="G15:I15"/>
    <mergeCell ref="J15:K15"/>
    <mergeCell ref="L15:M15"/>
    <mergeCell ref="A14:D14"/>
    <mergeCell ref="E14:F14"/>
    <mergeCell ref="G14:I14"/>
    <mergeCell ref="J14:K14"/>
    <mergeCell ref="L12:M12"/>
    <mergeCell ref="A13:D13"/>
    <mergeCell ref="E13:F13"/>
    <mergeCell ref="G13:I13"/>
    <mergeCell ref="J13:K13"/>
    <mergeCell ref="L13:M13"/>
    <mergeCell ref="A12:D12"/>
    <mergeCell ref="E12:F12"/>
    <mergeCell ref="G12:I12"/>
    <mergeCell ref="J12:K12"/>
    <mergeCell ref="A11:D11"/>
    <mergeCell ref="E11:F11"/>
    <mergeCell ref="G11:I11"/>
    <mergeCell ref="L11:M11"/>
    <mergeCell ref="A10:D10"/>
    <mergeCell ref="E10:F10"/>
    <mergeCell ref="G10:I10"/>
    <mergeCell ref="J10:K10"/>
    <mergeCell ref="J11:K11"/>
    <mergeCell ref="A6:M6"/>
    <mergeCell ref="A7:D7"/>
    <mergeCell ref="E7:F7"/>
    <mergeCell ref="G7:I7"/>
    <mergeCell ref="J7:K7"/>
    <mergeCell ref="L7:M7"/>
    <mergeCell ref="L8:M8"/>
    <mergeCell ref="J8:K8"/>
    <mergeCell ref="L10:M10"/>
    <mergeCell ref="N8:P8"/>
    <mergeCell ref="A9:D9"/>
    <mergeCell ref="E9:F9"/>
    <mergeCell ref="G9:I9"/>
    <mergeCell ref="J9:K9"/>
    <mergeCell ref="L9:M9"/>
    <mergeCell ref="A8:D8"/>
    <mergeCell ref="E8:F8"/>
    <mergeCell ref="G8:I8"/>
    <mergeCell ref="A1:M1"/>
    <mergeCell ref="A3:B4"/>
    <mergeCell ref="C3:F4"/>
    <mergeCell ref="J3:K3"/>
    <mergeCell ref="L3:M3"/>
    <mergeCell ref="J4:K4"/>
    <mergeCell ref="L4:M5"/>
    <mergeCell ref="A5:B5"/>
    <mergeCell ref="C5:F5"/>
    <mergeCell ref="J5:K5"/>
  </mergeCells>
  <phoneticPr fontId="51" type="noConversion"/>
  <dataValidations count="2">
    <dataValidation allowBlank="1" showErrorMessage="1" sqref="H4 C29">
      <formula1>0</formula1>
      <formula2>0</formula2>
    </dataValidation>
    <dataValidation allowBlank="1" showErrorMessage="1" promptTitle="存在调整事项时" prompt="_x000a_选择 “E”" sqref="E26:M26">
      <formula1>0</formula1>
      <formula2>0</formula2>
    </dataValidation>
  </dataValidations>
  <hyperlinks>
    <hyperlink ref="N8" location="纳税调整明细表!C31" display="纳税调整明细表!C31"/>
    <hyperlink ref="N9" location="凭证检查!A1" display="凭证检查"/>
    <hyperlink ref="N10" location="制造费用、生产成本!A1" display="制造费用、生产成本审核表"/>
    <hyperlink ref="N14" location="管理费用!A1" display="管理费用审核表"/>
    <hyperlink ref="N15" location="收入明细表!D17" display="收入明细表!D17"/>
    <hyperlink ref="N16" location="其他事项!E10" display="其他事项!E10"/>
    <hyperlink ref="N17" location="广宣!J32" display="广宣!J32"/>
  </hyperlinks>
  <pageMargins left="0.78740157480314998" right="0.35433070866141703" top="0.511811023622047" bottom="0.11811023622047198" header="0.511811023622047" footer="0.511811023622047"/>
  <pageSetup paperSize="9" firstPageNumber="0" orientation="portrait" blackAndWhite="1" r:id="rId1"/>
  <headerFooter alignWithMargins="0"/>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8">
    <pageSetUpPr fitToPage="1"/>
  </sheetPr>
  <dimension ref="A1:J87"/>
  <sheetViews>
    <sheetView workbookViewId="0">
      <selection sqref="A1:G1"/>
    </sheetView>
  </sheetViews>
  <sheetFormatPr defaultColWidth="9" defaultRowHeight="15.6"/>
  <cols>
    <col min="1" max="1" width="7.09765625" style="502" customWidth="1"/>
    <col min="2" max="2" width="13.69921875" style="502" customWidth="1"/>
    <col min="3" max="7" width="12.8984375" style="502" customWidth="1"/>
    <col min="8" max="8" width="55.5" style="554" customWidth="1"/>
    <col min="9" max="16384" width="9" style="554"/>
  </cols>
  <sheetData>
    <row r="1" spans="1:9" ht="30" customHeight="1">
      <c r="A1" s="3150" t="s">
        <v>349</v>
      </c>
      <c r="B1" s="3150"/>
      <c r="C1" s="3150"/>
      <c r="D1" s="3150"/>
      <c r="E1" s="3150"/>
      <c r="F1" s="3150"/>
      <c r="G1" s="3150"/>
      <c r="H1" s="3151"/>
      <c r="I1" s="90"/>
    </row>
    <row r="2" spans="1:9" s="558" customFormat="1" ht="20.100000000000001" customHeight="1">
      <c r="A2" s="3080" t="str">
        <f>"委托单位："&amp;基本情况!B2</f>
        <v>委托单位：0</v>
      </c>
      <c r="B2" s="3080"/>
      <c r="C2" s="3080"/>
      <c r="D2" s="556"/>
      <c r="E2" s="136" t="s">
        <v>1283</v>
      </c>
      <c r="F2" s="136" t="s">
        <v>1054</v>
      </c>
      <c r="G2" s="485" t="s">
        <v>283</v>
      </c>
      <c r="H2" s="3151"/>
      <c r="I2" s="557"/>
    </row>
    <row r="3" spans="1:9" s="558" customFormat="1" ht="20.100000000000001" customHeight="1">
      <c r="A3" s="3080"/>
      <c r="B3" s="3080"/>
      <c r="C3" s="3080"/>
      <c r="D3" s="158" t="s">
        <v>451</v>
      </c>
      <c r="E3" s="510">
        <f>基本情况!B12</f>
        <v>0</v>
      </c>
      <c r="F3" s="559" t="str">
        <f>TEXT(基本情况!B21,"yyyy-mm-dd")</f>
        <v>2017-03-16</v>
      </c>
      <c r="G3" s="3081" t="str">
        <f>档案索引!A37</f>
        <v>2A-17</v>
      </c>
      <c r="H3" s="3151"/>
      <c r="I3" s="557"/>
    </row>
    <row r="4" spans="1:9" s="558" customFormat="1" ht="20.100000000000001" customHeight="1">
      <c r="A4" s="3152" t="str">
        <f>"会计期间："&amp;基本情况!B7</f>
        <v>会计期间：2016年01月01日至2016年12月31日</v>
      </c>
      <c r="B4" s="3152"/>
      <c r="C4" s="3152"/>
      <c r="D4" s="140" t="s">
        <v>453</v>
      </c>
      <c r="E4" s="513">
        <f>基本情况!B11</f>
        <v>0</v>
      </c>
      <c r="F4" s="513" t="str">
        <f>TEXT(基本情况!B22,"yyyy-mm-dd")</f>
        <v>2017-05-04</v>
      </c>
      <c r="G4" s="3081"/>
      <c r="H4" s="3151"/>
      <c r="I4" s="557"/>
    </row>
    <row r="5" spans="1:9" s="565" customFormat="1" ht="7.5" customHeight="1">
      <c r="A5" s="560"/>
      <c r="B5" s="561"/>
      <c r="C5" s="562"/>
      <c r="D5" s="563"/>
      <c r="E5" s="561"/>
      <c r="F5" s="561"/>
      <c r="G5" s="564"/>
      <c r="H5" s="543"/>
      <c r="I5" s="543"/>
    </row>
    <row r="6" spans="1:9" s="558" customFormat="1" ht="28.5" customHeight="1">
      <c r="A6" s="566"/>
      <c r="B6" s="567" t="s">
        <v>1251</v>
      </c>
      <c r="C6" s="567" t="s">
        <v>1252</v>
      </c>
      <c r="D6" s="567" t="s">
        <v>1253</v>
      </c>
      <c r="E6" s="567" t="s">
        <v>1254</v>
      </c>
      <c r="F6" s="567" t="s">
        <v>1255</v>
      </c>
      <c r="G6" s="568" t="s">
        <v>1256</v>
      </c>
      <c r="H6" s="84" t="s">
        <v>396</v>
      </c>
      <c r="I6" s="557"/>
    </row>
    <row r="7" spans="1:9" s="558" customFormat="1" ht="23.25" customHeight="1">
      <c r="A7" s="1747" t="s">
        <v>6418</v>
      </c>
      <c r="B7" s="569" t="s">
        <v>1257</v>
      </c>
      <c r="C7" s="569"/>
      <c r="D7" s="509"/>
      <c r="E7" s="509"/>
      <c r="F7" s="509"/>
      <c r="G7" s="570"/>
      <c r="H7" s="493" t="s">
        <v>1289</v>
      </c>
      <c r="I7" s="144"/>
    </row>
    <row r="8" spans="1:9" s="558" customFormat="1" ht="23.25" customHeight="1">
      <c r="A8" s="1743"/>
      <c r="B8" s="571" t="s">
        <v>1258</v>
      </c>
      <c r="C8" s="572">
        <f t="array" ref="C8">SUM(IF(YEAR(购入日期)&lt;本年度,IF(资产类别=B8,资产原值)))</f>
        <v>0</v>
      </c>
      <c r="D8" s="573">
        <f t="array" ref="D8">SUM(IF(YEAR(购入日期)=本年度,IF(资产类别=B8,资产购入金额)))</f>
        <v>0</v>
      </c>
      <c r="E8" s="572">
        <f t="array" ref="E8">SUM(IF(YEAR(减少日期)=本年度,IF(资产类别=B8,资产减少金额)))</f>
        <v>0</v>
      </c>
      <c r="F8" s="572">
        <f>C8+D8-E8</f>
        <v>0</v>
      </c>
      <c r="G8" s="574">
        <f>F8</f>
        <v>0</v>
      </c>
      <c r="H8" s="575" t="s">
        <v>620</v>
      </c>
      <c r="I8" s="144"/>
    </row>
    <row r="9" spans="1:9" s="558" customFormat="1" ht="23.25" customHeight="1">
      <c r="A9" s="1745"/>
      <c r="B9" s="577" t="s">
        <v>1259</v>
      </c>
      <c r="C9" s="573">
        <f t="array" ref="C9">SUM(IF(YEAR(购入日期)&lt;本年度,IF(资产类别=B9,资产原值)))</f>
        <v>0</v>
      </c>
      <c r="D9" s="573">
        <f t="array" ref="D9">SUM(IF(YEAR(购入日期)=本年度,IF(资产类别=B9,资产购入金额)))</f>
        <v>0</v>
      </c>
      <c r="E9" s="572">
        <f t="array" ref="E9">SUM(IF(YEAR(减少日期)=本年度,IF(资产类别=B9,资产减少金额)))</f>
        <v>0</v>
      </c>
      <c r="F9" s="572">
        <f>C9+D9-E9</f>
        <v>0</v>
      </c>
      <c r="G9" s="574">
        <f>F9</f>
        <v>0</v>
      </c>
      <c r="H9" s="575" t="s">
        <v>1260</v>
      </c>
      <c r="I9" s="144"/>
    </row>
    <row r="10" spans="1:9" s="558" customFormat="1" ht="23.25" customHeight="1">
      <c r="A10" s="1745"/>
      <c r="B10" s="577" t="s">
        <v>1261</v>
      </c>
      <c r="C10" s="573">
        <f t="array" ref="C10">SUM(IF(YEAR(购入日期)&lt;本年度,IF(资产类别=B10,资产原值)))</f>
        <v>0</v>
      </c>
      <c r="D10" s="573">
        <f t="array" ref="D10">SUM(IF(YEAR(购入日期)=本年度,IF(资产类别=B10,资产购入金额)))</f>
        <v>0</v>
      </c>
      <c r="E10" s="572">
        <f t="array" ref="E10">SUM(IF(YEAR(减少日期)=本年度,IF(资产类别=B10,资产减少金额)))</f>
        <v>0</v>
      </c>
      <c r="F10" s="572">
        <f>C10+D10-E10</f>
        <v>0</v>
      </c>
      <c r="G10" s="574">
        <f>F10</f>
        <v>0</v>
      </c>
      <c r="H10" s="575" t="s">
        <v>1292</v>
      </c>
      <c r="I10" s="144"/>
    </row>
    <row r="11" spans="1:9" s="558" customFormat="1" ht="23.25" customHeight="1">
      <c r="A11" s="1745"/>
      <c r="B11" s="577" t="s">
        <v>1262</v>
      </c>
      <c r="C11" s="573">
        <f t="array" ref="C11">SUM(IF(YEAR(购入日期)&lt;本年度,IF(资产类别=B11,资产原值)))</f>
        <v>0</v>
      </c>
      <c r="D11" s="573">
        <f t="array" ref="D11">SUM(IF(YEAR(购入日期)=本年度,IF(资产类别=B11,资产购入金额)))</f>
        <v>0</v>
      </c>
      <c r="E11" s="572">
        <f t="array" ref="E11">SUM(IF(YEAR(减少日期)=本年度,IF(资产类别=B11,资产减少金额)))</f>
        <v>0</v>
      </c>
      <c r="F11" s="572">
        <f>C11+D11-E11</f>
        <v>0</v>
      </c>
      <c r="G11" s="574">
        <f>F11</f>
        <v>0</v>
      </c>
      <c r="H11" s="232" t="s">
        <v>320</v>
      </c>
      <c r="I11" s="557"/>
    </row>
    <row r="12" spans="1:9" s="558" customFormat="1" ht="23.25" customHeight="1">
      <c r="A12" s="1746"/>
      <c r="B12" s="578" t="s">
        <v>1263</v>
      </c>
      <c r="C12" s="579">
        <f t="array" ref="C12">SUM(IF(YEAR(购入日期)&lt;本年度,IF(资产类别=B12,资产原值)))</f>
        <v>0</v>
      </c>
      <c r="D12" s="573">
        <f t="array" ref="D12">SUM(IF(YEAR(购入日期)=本年度,IF(资产类别=B12,资产购入金额)))</f>
        <v>0</v>
      </c>
      <c r="E12" s="572">
        <f t="array" ref="E12">SUM(IF(YEAR(减少日期)=本年度,IF(资产类别=B12,资产减少金额)))</f>
        <v>0</v>
      </c>
      <c r="F12" s="580">
        <f>C12+D12-E12</f>
        <v>0</v>
      </c>
      <c r="G12" s="574">
        <f>F12</f>
        <v>0</v>
      </c>
      <c r="H12" s="575" t="s">
        <v>324</v>
      </c>
      <c r="I12" s="557"/>
    </row>
    <row r="13" spans="1:9" s="558" customFormat="1" ht="23.25" customHeight="1">
      <c r="A13" s="1747" t="s">
        <v>6418</v>
      </c>
      <c r="B13" s="582" t="s">
        <v>703</v>
      </c>
      <c r="C13" s="583">
        <f>SUM(C8:C12)</f>
        <v>0</v>
      </c>
      <c r="D13" s="583">
        <f>SUM(D8:D12)</f>
        <v>0</v>
      </c>
      <c r="E13" s="583">
        <f>SUM(E8:E12)</f>
        <v>0</v>
      </c>
      <c r="F13" s="583">
        <f>SUM(F8:F12)</f>
        <v>0</v>
      </c>
      <c r="G13" s="584">
        <f>SUM(G8:G12)</f>
        <v>0</v>
      </c>
      <c r="H13" s="575" t="s">
        <v>1264</v>
      </c>
      <c r="I13" s="557"/>
    </row>
    <row r="14" spans="1:9" s="558" customFormat="1" ht="23.25" customHeight="1">
      <c r="A14" s="1743"/>
      <c r="B14" s="1711" t="s">
        <v>6411</v>
      </c>
      <c r="C14" s="1730"/>
      <c r="D14" s="1730"/>
      <c r="E14" s="1730"/>
      <c r="F14" s="1731">
        <f>C14+D14-E14</f>
        <v>0</v>
      </c>
      <c r="G14" s="1732">
        <f>F14</f>
        <v>0</v>
      </c>
      <c r="H14" s="1266" t="s">
        <v>6444</v>
      </c>
      <c r="I14" s="557"/>
    </row>
    <row r="15" spans="1:9" s="558" customFormat="1" ht="23.25" customHeight="1">
      <c r="A15" s="1744"/>
      <c r="B15" s="615" t="s">
        <v>6413</v>
      </c>
      <c r="C15" s="1728"/>
      <c r="D15" s="1728"/>
      <c r="E15" s="1728"/>
      <c r="F15" s="527">
        <f>C15+D15-E15</f>
        <v>0</v>
      </c>
      <c r="G15" s="1729">
        <f>F15</f>
        <v>0</v>
      </c>
      <c r="H15" s="1266" t="s">
        <v>6443</v>
      </c>
      <c r="I15" s="557"/>
    </row>
    <row r="16" spans="1:9" s="558" customFormat="1" ht="23.25" customHeight="1">
      <c r="A16" s="581"/>
      <c r="B16" s="1714" t="s">
        <v>6416</v>
      </c>
      <c r="C16" s="1713">
        <f>C14+C15</f>
        <v>0</v>
      </c>
      <c r="D16" s="1713">
        <f>D14+D15</f>
        <v>0</v>
      </c>
      <c r="E16" s="1713">
        <f>E14+E15</f>
        <v>0</v>
      </c>
      <c r="F16" s="1713">
        <f>F14+F15</f>
        <v>0</v>
      </c>
      <c r="G16" s="794"/>
      <c r="H16" s="1266" t="s">
        <v>6414</v>
      </c>
      <c r="I16" s="557"/>
    </row>
    <row r="17" spans="1:10" s="558" customFormat="1" ht="36" customHeight="1">
      <c r="A17" s="837" t="s">
        <v>6417</v>
      </c>
      <c r="B17" s="569" t="s">
        <v>1265</v>
      </c>
      <c r="C17" s="136" t="s">
        <v>1252</v>
      </c>
      <c r="D17" s="136" t="s">
        <v>1253</v>
      </c>
      <c r="E17" s="136" t="s">
        <v>1254</v>
      </c>
      <c r="F17" s="136" t="s">
        <v>1255</v>
      </c>
      <c r="G17" s="505" t="s">
        <v>1266</v>
      </c>
      <c r="H17" s="557"/>
      <c r="I17" s="557"/>
    </row>
    <row r="18" spans="1:10" s="558" customFormat="1" ht="23.25" customHeight="1">
      <c r="A18" s="1742"/>
      <c r="B18" s="571" t="s">
        <v>1258</v>
      </c>
      <c r="C18" s="1118"/>
      <c r="D18" s="572">
        <f>SUMIF(资产类别,B18,本年折旧)</f>
        <v>0</v>
      </c>
      <c r="E18" s="1119"/>
      <c r="F18" s="585">
        <f>C18+D18-E18</f>
        <v>0</v>
      </c>
      <c r="G18" s="586">
        <f ca="1">SUMIF(折旧明细,B18,税收折旧)</f>
        <v>0</v>
      </c>
      <c r="H18" s="3090" t="s">
        <v>851</v>
      </c>
      <c r="I18" s="3090"/>
      <c r="J18" s="587"/>
    </row>
    <row r="19" spans="1:10" s="558" customFormat="1" ht="23.25" customHeight="1">
      <c r="A19" s="732"/>
      <c r="B19" s="577" t="s">
        <v>1259</v>
      </c>
      <c r="C19" s="1120"/>
      <c r="D19" s="573">
        <f>SUMIF(资产类别,B19,本年折旧)</f>
        <v>0</v>
      </c>
      <c r="E19" s="1121"/>
      <c r="F19" s="588">
        <f>C19+D19-E19</f>
        <v>0</v>
      </c>
      <c r="G19" s="586">
        <f ca="1">SUMIF(折旧明细,B19,税收折旧)</f>
        <v>0</v>
      </c>
      <c r="H19" s="3090"/>
      <c r="I19" s="3090"/>
      <c r="J19" s="587"/>
    </row>
    <row r="20" spans="1:10" s="558" customFormat="1" ht="23.25" customHeight="1">
      <c r="A20" s="732"/>
      <c r="B20" s="577" t="s">
        <v>1261</v>
      </c>
      <c r="C20" s="1120"/>
      <c r="D20" s="573">
        <f>SUMIF(资产类别,B20,本年折旧)</f>
        <v>0</v>
      </c>
      <c r="E20" s="1121"/>
      <c r="F20" s="588">
        <f>C20+D20-E20</f>
        <v>0</v>
      </c>
      <c r="G20" s="586">
        <f ca="1">SUMIF(折旧明细,B20,税收折旧)</f>
        <v>0</v>
      </c>
      <c r="H20" s="3090"/>
      <c r="I20" s="3090"/>
      <c r="J20" s="587"/>
    </row>
    <row r="21" spans="1:10" s="558" customFormat="1" ht="23.25" customHeight="1">
      <c r="A21" s="732"/>
      <c r="B21" s="577" t="s">
        <v>1262</v>
      </c>
      <c r="C21" s="1120"/>
      <c r="D21" s="573">
        <f>SUMIF(资产类别,B21,本年折旧)</f>
        <v>0</v>
      </c>
      <c r="E21" s="1121"/>
      <c r="F21" s="588">
        <f>C21+D21-E21</f>
        <v>0</v>
      </c>
      <c r="G21" s="586">
        <f ca="1">SUMIF(折旧明细,B21,税收折旧)</f>
        <v>0</v>
      </c>
      <c r="H21" s="3090"/>
      <c r="I21" s="3090"/>
      <c r="J21" s="587"/>
    </row>
    <row r="22" spans="1:10" s="558" customFormat="1" ht="23.25" customHeight="1">
      <c r="A22" s="737"/>
      <c r="B22" s="578" t="s">
        <v>1263</v>
      </c>
      <c r="C22" s="1122"/>
      <c r="D22" s="579">
        <f>SUMIF(资产类别,B22,本年折旧)</f>
        <v>0</v>
      </c>
      <c r="E22" s="1123"/>
      <c r="F22" s="589">
        <f>C22+D22-E22</f>
        <v>0</v>
      </c>
      <c r="G22" s="586">
        <f ca="1">SUMIF(折旧明细,B22,税收折旧)</f>
        <v>0</v>
      </c>
      <c r="H22" s="3090"/>
      <c r="I22" s="3090"/>
    </row>
    <row r="23" spans="1:10" s="558" customFormat="1" ht="23.25" customHeight="1">
      <c r="A23" s="837" t="s">
        <v>6417</v>
      </c>
      <c r="B23" s="582" t="s">
        <v>703</v>
      </c>
      <c r="C23" s="590">
        <f>SUM(C18:C22)</f>
        <v>0</v>
      </c>
      <c r="D23" s="590">
        <f>SUM(D18:D22)</f>
        <v>0</v>
      </c>
      <c r="E23" s="590">
        <f>SUM(E18:E22)</f>
        <v>0</v>
      </c>
      <c r="F23" s="590">
        <f>SUM(F18:F22)</f>
        <v>0</v>
      </c>
      <c r="G23" s="533">
        <f ca="1">SUM(G18:G22)</f>
        <v>0</v>
      </c>
      <c r="H23" s="591" t="s">
        <v>852</v>
      </c>
      <c r="I23" s="592"/>
    </row>
    <row r="24" spans="1:10" s="558" customFormat="1" ht="23.25" customHeight="1">
      <c r="A24" s="1740"/>
      <c r="B24" s="1710" t="s">
        <v>6410</v>
      </c>
      <c r="C24" s="1736"/>
      <c r="D24" s="1736"/>
      <c r="E24" s="1736"/>
      <c r="F24" s="985">
        <f t="shared" ref="F24:F25" si="0">C24+D24-E24</f>
        <v>0</v>
      </c>
      <c r="G24" s="1738"/>
      <c r="H24" s="484"/>
      <c r="I24" s="592"/>
    </row>
    <row r="25" spans="1:10" s="558" customFormat="1" ht="23.25" customHeight="1">
      <c r="A25" s="1741"/>
      <c r="B25" s="1734" t="s">
        <v>6412</v>
      </c>
      <c r="C25" s="1735"/>
      <c r="D25" s="1735"/>
      <c r="E25" s="1735"/>
      <c r="F25" s="1731">
        <f t="shared" si="0"/>
        <v>0</v>
      </c>
      <c r="G25" s="1739"/>
      <c r="H25" s="484"/>
      <c r="I25" s="592"/>
    </row>
    <row r="26" spans="1:10" s="558" customFormat="1" ht="23.25" customHeight="1">
      <c r="A26" s="1733"/>
      <c r="B26" s="1712" t="s">
        <v>6415</v>
      </c>
      <c r="C26" s="1727">
        <f>C24+C25</f>
        <v>0</v>
      </c>
      <c r="D26" s="1727">
        <f>D24+D25</f>
        <v>0</v>
      </c>
      <c r="E26" s="1727">
        <f>E24+E25</f>
        <v>0</v>
      </c>
      <c r="F26" s="1713">
        <f>F24+F25</f>
        <v>0</v>
      </c>
      <c r="G26" s="1737"/>
      <c r="H26" s="484"/>
      <c r="I26" s="592"/>
    </row>
    <row r="27" spans="1:10" s="558" customFormat="1" ht="20.25" customHeight="1">
      <c r="A27" s="2895" t="s">
        <v>853</v>
      </c>
      <c r="B27" s="2895"/>
      <c r="C27" s="2895"/>
      <c r="D27" s="2895"/>
      <c r="E27" s="2895"/>
      <c r="F27" s="2895"/>
      <c r="G27" s="2895"/>
      <c r="H27" s="557"/>
      <c r="I27" s="557"/>
    </row>
    <row r="28" spans="1:10" s="558" customFormat="1" ht="26.25" customHeight="1">
      <c r="A28" s="3153" t="s">
        <v>854</v>
      </c>
      <c r="B28" s="3153"/>
      <c r="C28" s="593" t="s">
        <v>855</v>
      </c>
      <c r="D28" s="593" t="s">
        <v>856</v>
      </c>
      <c r="E28" s="593" t="s">
        <v>1293</v>
      </c>
      <c r="F28" s="593" t="s">
        <v>857</v>
      </c>
      <c r="G28" s="594" t="s">
        <v>703</v>
      </c>
      <c r="H28" s="557"/>
      <c r="I28" s="557"/>
    </row>
    <row r="29" spans="1:10" s="558" customFormat="1" ht="26.25" customHeight="1">
      <c r="A29" s="2904" t="s">
        <v>558</v>
      </c>
      <c r="B29" s="2904"/>
      <c r="C29" s="1124"/>
      <c r="D29" s="595">
        <f>营业费用!H20</f>
        <v>0</v>
      </c>
      <c r="E29" s="595">
        <f>管理费用!H20</f>
        <v>0</v>
      </c>
      <c r="F29" s="1125"/>
      <c r="G29" s="596">
        <f>SUM(C29:F29)</f>
        <v>0</v>
      </c>
      <c r="H29" s="557"/>
      <c r="I29" s="557"/>
    </row>
    <row r="30" spans="1:10" s="558" customFormat="1" ht="24" customHeight="1">
      <c r="A30" s="3128" t="s">
        <v>642</v>
      </c>
      <c r="B30" s="3128"/>
      <c r="C30" s="3154" t="str">
        <f>IF(F13&lt;&gt;资产负债!D23,"固定资产原值账载数与报表数相差"&amp;DOLLAR(F13-资产负债!D23,2)&amp;"元！","固定资产原值账载数与报表数相符！")</f>
        <v>固定资产原值账载数与报表数相符！</v>
      </c>
      <c r="D30" s="3154"/>
      <c r="E30" s="3154"/>
      <c r="F30" s="3154"/>
      <c r="G30" s="3154"/>
      <c r="H30" s="557"/>
      <c r="I30" s="557"/>
    </row>
    <row r="31" spans="1:10" s="558" customFormat="1" ht="24" customHeight="1">
      <c r="A31" s="3128"/>
      <c r="B31" s="3128"/>
      <c r="C31" s="3155" t="str">
        <f>IF(F23&lt;&gt;资产负债!D24,"累计折旧账载数与报表数相差"&amp;DOLLAR(F23-资产负债!D24,2)&amp;"元！","累计折旧账载数与报表数相符！")</f>
        <v>累计折旧账载数与报表数相符！</v>
      </c>
      <c r="D31" s="3155"/>
      <c r="E31" s="3155"/>
      <c r="F31" s="3155"/>
      <c r="G31" s="3155"/>
      <c r="H31" s="557"/>
      <c r="I31" s="557"/>
    </row>
    <row r="32" spans="1:10" s="558" customFormat="1" ht="24" customHeight="1">
      <c r="A32" s="3128"/>
      <c r="B32" s="3128"/>
      <c r="C32" s="3135" t="str">
        <f>IF(G29&lt;&gt;D23,"对应科目折旧发生额与本期折旧额相差"&amp;DOLLAR(G29-D23,2)&amp;"元！","对应科目折旧发生额与本期折旧额相符！")</f>
        <v>对应科目折旧发生额与本期折旧额相符！</v>
      </c>
      <c r="D32" s="3135"/>
      <c r="E32" s="3135"/>
      <c r="F32" s="3135"/>
      <c r="G32" s="3135"/>
      <c r="H32" s="557"/>
      <c r="I32" s="557"/>
    </row>
    <row r="33" spans="1:9" s="558" customFormat="1" ht="15" customHeight="1">
      <c r="A33" s="3141" t="s">
        <v>1324</v>
      </c>
      <c r="B33" s="3141"/>
      <c r="C33" s="3157" t="s">
        <v>858</v>
      </c>
      <c r="D33" s="3157"/>
      <c r="E33" s="3158" t="str">
        <f ca="1">IF(D23-G23&gt;0,"、E","")</f>
        <v/>
      </c>
      <c r="F33" s="3158"/>
      <c r="G33" s="3158"/>
      <c r="H33" s="557"/>
      <c r="I33" s="557"/>
    </row>
    <row r="34" spans="1:9" s="558" customFormat="1" ht="43.5" customHeight="1">
      <c r="A34" s="3141"/>
      <c r="B34" s="3141"/>
      <c r="C34" s="3159"/>
      <c r="D34" s="3159"/>
      <c r="E34" s="3159"/>
      <c r="F34" s="3159"/>
      <c r="G34" s="3159"/>
      <c r="H34" s="557"/>
      <c r="I34" s="557"/>
    </row>
    <row r="35" spans="1:9" s="558" customFormat="1" ht="28.5" customHeight="1">
      <c r="A35" s="3156" t="s">
        <v>575</v>
      </c>
      <c r="B35" s="3156"/>
      <c r="C35" s="3135" t="str">
        <f ca="1">IF(D23-G23&gt;0,"会计折旧大于税法允许计提的折旧额,应予纳税调整增加"&amp;DOLLAR(D23-G23,2)&amp;"元！",IF(D23-G23&lt;0,"会计折旧小于税法允许计提的折旧额,应予纳税调整减少"&amp;DOLLAR(G23-D23,2)&amp;"元！","折旧计提未超过税法允许的数额,认可！"))</f>
        <v>折旧计提未超过税法允许的数额,认可！</v>
      </c>
      <c r="D35" s="3135"/>
      <c r="E35" s="3135"/>
      <c r="F35" s="3135"/>
      <c r="G35" s="3135"/>
      <c r="H35" s="598"/>
      <c r="I35" s="557"/>
    </row>
    <row r="36" spans="1:9" s="130" customFormat="1" ht="13.5" customHeight="1">
      <c r="A36" s="502"/>
      <c r="B36" s="502"/>
      <c r="C36" s="502"/>
      <c r="D36" s="502"/>
      <c r="E36" s="599"/>
      <c r="F36" s="599"/>
      <c r="G36" s="599"/>
    </row>
    <row r="37" spans="1:9" ht="20.100000000000001" customHeight="1"/>
    <row r="38" spans="1:9" ht="20.100000000000001" customHeight="1"/>
    <row r="39" spans="1:9" ht="20.100000000000001" customHeight="1"/>
    <row r="40" spans="1:9" ht="20.100000000000001" customHeight="1"/>
    <row r="41" spans="1:9" ht="20.100000000000001" customHeight="1"/>
    <row r="42" spans="1:9" ht="20.100000000000001" customHeight="1"/>
    <row r="43" spans="1:9" ht="20.100000000000001" customHeight="1"/>
    <row r="44" spans="1:9" ht="20.100000000000001" customHeight="1"/>
    <row r="45" spans="1:9" ht="20.100000000000001" customHeight="1"/>
    <row r="46" spans="1:9" ht="20.100000000000001" customHeight="1"/>
    <row r="47" spans="1:9" ht="20.100000000000001" customHeight="1"/>
    <row r="48" spans="1:9" ht="20.100000000000001" customHeight="1"/>
    <row r="49" ht="20.100000000000001" customHeight="1"/>
    <row r="50" ht="20.100000000000001" customHeight="1"/>
    <row r="51" ht="20.100000000000001" customHeight="1"/>
    <row r="52" ht="20.100000000000001" customHeight="1"/>
    <row r="53" ht="20.100000000000001" customHeight="1"/>
    <row r="54" ht="20.100000000000001" customHeight="1"/>
    <row r="55" ht="20.100000000000001" customHeight="1"/>
    <row r="56" ht="20.100000000000001" customHeight="1"/>
    <row r="57" ht="20.100000000000001" customHeight="1"/>
    <row r="58" ht="20.100000000000001" customHeight="1"/>
    <row r="59" ht="20.100000000000001" customHeight="1"/>
    <row r="60" ht="20.100000000000001" customHeight="1"/>
    <row r="61" ht="20.100000000000001" customHeight="1"/>
    <row r="62" ht="20.100000000000001" customHeight="1"/>
    <row r="63" ht="20.100000000000001" customHeight="1"/>
    <row r="64" ht="20.100000000000001" customHeight="1"/>
    <row r="65" ht="20.100000000000001" customHeight="1"/>
    <row r="66" ht="20.100000000000001" customHeight="1"/>
    <row r="67" ht="20.100000000000001" customHeight="1"/>
    <row r="68" ht="20.100000000000001" customHeight="1"/>
    <row r="69" ht="20.100000000000001" customHeight="1"/>
    <row r="70" ht="20.100000000000001" customHeight="1"/>
    <row r="71" ht="20.100000000000001" customHeight="1"/>
    <row r="72" ht="20.100000000000001" customHeight="1"/>
    <row r="73" ht="20.100000000000001" customHeight="1"/>
    <row r="74" ht="20.100000000000001" customHeight="1"/>
    <row r="75" ht="20.100000000000001" customHeight="1"/>
    <row r="76" ht="20.100000000000001" customHeight="1"/>
    <row r="77" ht="20.100000000000001" customHeight="1"/>
    <row r="78" ht="20.100000000000001" customHeight="1"/>
    <row r="79" ht="20.100000000000001" customHeight="1"/>
    <row r="80" ht="20.100000000000001" customHeight="1"/>
    <row r="81" ht="20.100000000000001" customHeight="1"/>
    <row r="82" ht="20.100000000000001" customHeight="1"/>
    <row r="83" ht="20.100000000000001" customHeight="1"/>
    <row r="84" ht="20.100000000000001" customHeight="1"/>
    <row r="85" ht="20.100000000000001" customHeight="1"/>
    <row r="86" ht="20.100000000000001" customHeight="1"/>
    <row r="87" ht="20.100000000000001" customHeight="1"/>
  </sheetData>
  <sheetProtection selectLockedCells="1" selectUnlockedCells="1"/>
  <mergeCells count="19">
    <mergeCell ref="A35:B35"/>
    <mergeCell ref="C35:G35"/>
    <mergeCell ref="A33:B34"/>
    <mergeCell ref="C33:D33"/>
    <mergeCell ref="E33:G33"/>
    <mergeCell ref="C34:G34"/>
    <mergeCell ref="A27:G27"/>
    <mergeCell ref="A28:B28"/>
    <mergeCell ref="A29:B29"/>
    <mergeCell ref="A30:B32"/>
    <mergeCell ref="C30:G30"/>
    <mergeCell ref="C31:G31"/>
    <mergeCell ref="C32:G32"/>
    <mergeCell ref="H18:I22"/>
    <mergeCell ref="A1:G1"/>
    <mergeCell ref="H1:H4"/>
    <mergeCell ref="A2:C3"/>
    <mergeCell ref="G3:G4"/>
    <mergeCell ref="A4:C4"/>
  </mergeCells>
  <phoneticPr fontId="51" type="noConversion"/>
  <dataValidations count="2">
    <dataValidation allowBlank="1" showErrorMessage="1" sqref="E3">
      <formula1>0</formula1>
      <formula2>0</formula2>
    </dataValidation>
    <dataValidation allowBlank="1" showErrorMessage="1" promptTitle="存在调整事项时" prompt="_x000a_选择 “E”" sqref="E33:G33">
      <formula1>0</formula1>
      <formula2>0</formula2>
    </dataValidation>
  </dataValidations>
  <hyperlinks>
    <hyperlink ref="H7" location="资产负债!A1" display="资产负债表"/>
    <hyperlink ref="H8" location="资产折旧纳税调整表!A1" display="资产折旧纳税调整表"/>
    <hyperlink ref="H9" location="折旧测算!A1" display="折旧验算表"/>
    <hyperlink ref="H10" location="纳税调整明细表!A1" display="纳税调整明细表"/>
    <hyperlink ref="H11" location="营业费用!A1" display="营业费用审核表"/>
    <hyperlink ref="H12" location="管理费用!A1" display="管理费用审核表"/>
    <hyperlink ref="H13" location="在建工程审核表!A1" display="在建工程审核表"/>
    <hyperlink ref="H16" location="A105081固定资产加速折旧、扣除明细表!A1" display="A105081固定资产加速折旧、扣除明细表!A1"/>
    <hyperlink ref="H14" location="固定资产加速折旧审核表!A1" display="固定资产加速折旧审核表!A1"/>
    <hyperlink ref="H15" location="A105080资产折旧、摊销情况及纳税调整明细表!A1" display="A105080资产折旧、摊销情况及纳税调整明细表!A1"/>
  </hyperlinks>
  <pageMargins left="0.78740157480314998" right="0.35433070866141703" top="0.511811023622047" bottom="0.11811023622047198" header="0.511811023622047" footer="0.511811023622047"/>
  <pageSetup paperSize="9" firstPageNumber="0" fitToWidth="0" orientation="portrait" blackAndWhite="1" r:id="rId1"/>
  <headerFooter alignWithMargins="0"/>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9"/>
  <dimension ref="A1:S1015"/>
  <sheetViews>
    <sheetView workbookViewId="0">
      <selection activeCell="P11" sqref="P11"/>
    </sheetView>
  </sheetViews>
  <sheetFormatPr defaultColWidth="9" defaultRowHeight="12"/>
  <cols>
    <col min="1" max="1" width="7" style="502" customWidth="1"/>
    <col min="2" max="2" width="7.09765625" style="502" customWidth="1"/>
    <col min="3" max="3" width="9.5" style="600" customWidth="1"/>
    <col min="4" max="4" width="8.19921875" style="601" customWidth="1"/>
    <col min="5" max="6" width="9.5" style="601" customWidth="1"/>
    <col min="7" max="7" width="8.19921875" style="601" customWidth="1"/>
    <col min="8" max="11" width="9.5" style="601" customWidth="1"/>
    <col min="12" max="13" width="9.5" style="600" customWidth="1"/>
    <col min="14" max="14" width="9.5" style="502" customWidth="1"/>
    <col min="15" max="15" width="7.69921875" style="502" customWidth="1"/>
    <col min="16" max="16" width="27.09765625" style="502" customWidth="1"/>
    <col min="17" max="16384" width="9" style="502"/>
  </cols>
  <sheetData>
    <row r="1" spans="1:19" ht="26.25" customHeight="1">
      <c r="A1" s="2742" t="s">
        <v>859</v>
      </c>
      <c r="B1" s="2742"/>
      <c r="C1" s="2742"/>
      <c r="D1" s="2742"/>
      <c r="E1" s="2742"/>
      <c r="F1" s="2742"/>
      <c r="G1" s="2742"/>
      <c r="H1" s="2742"/>
      <c r="I1" s="2742"/>
      <c r="J1" s="2742"/>
      <c r="K1" s="2742"/>
      <c r="L1" s="2742"/>
      <c r="M1" s="2742"/>
      <c r="N1" s="2742"/>
      <c r="O1" s="2742"/>
      <c r="P1" s="3151"/>
      <c r="Q1" s="144"/>
      <c r="R1" s="144"/>
      <c r="S1" s="144"/>
    </row>
    <row r="2" spans="1:19" ht="22.5" customHeight="1">
      <c r="A2" s="3163" t="str">
        <f>"委托单位："&amp;基本情况!B2</f>
        <v>委托单位：0</v>
      </c>
      <c r="B2" s="3163"/>
      <c r="C2" s="3163"/>
      <c r="D2" s="3163"/>
      <c r="E2" s="3163"/>
      <c r="F2" s="3163"/>
      <c r="G2" s="602" t="s">
        <v>451</v>
      </c>
      <c r="H2" s="3164">
        <f>基本情况!B12</f>
        <v>0</v>
      </c>
      <c r="I2" s="3164"/>
      <c r="J2" s="136" t="s">
        <v>450</v>
      </c>
      <c r="K2" s="3165" t="str">
        <f>TEXT(基本情况!B21,"yyyy-mm-dd")</f>
        <v>2017-03-16</v>
      </c>
      <c r="L2" s="3165"/>
      <c r="M2" s="1685"/>
      <c r="N2" s="3166" t="s">
        <v>283</v>
      </c>
      <c r="O2" s="3167"/>
      <c r="P2" s="3151"/>
      <c r="Q2" s="144"/>
      <c r="R2" s="144"/>
      <c r="S2" s="144"/>
    </row>
    <row r="3" spans="1:19" ht="22.5" customHeight="1">
      <c r="A3" s="3161" t="str">
        <f>"会计期间："&amp;基本情况!B7</f>
        <v>会计期间：2016年01月01日至2016年12月31日</v>
      </c>
      <c r="B3" s="3161"/>
      <c r="C3" s="3161"/>
      <c r="D3" s="3161"/>
      <c r="E3" s="3161"/>
      <c r="F3" s="3161"/>
      <c r="G3" s="604" t="s">
        <v>453</v>
      </c>
      <c r="H3" s="3162">
        <f>基本情况!B11</f>
        <v>0</v>
      </c>
      <c r="I3" s="3162"/>
      <c r="J3" s="605" t="s">
        <v>450</v>
      </c>
      <c r="K3" s="3162" t="str">
        <f>TEXT(基本情况!B22,"yyyy-mm-dd")</f>
        <v>2017-05-04</v>
      </c>
      <c r="L3" s="3162"/>
      <c r="M3" s="1686"/>
      <c r="N3" s="3166"/>
      <c r="O3" s="3167"/>
      <c r="P3" s="3151"/>
      <c r="Q3" s="144"/>
      <c r="R3" s="144"/>
      <c r="S3" s="144"/>
    </row>
    <row r="4" spans="1:19" s="607" customFormat="1" ht="7.5" customHeight="1">
      <c r="A4" s="2894"/>
      <c r="B4" s="2894"/>
      <c r="C4" s="2894"/>
      <c r="D4" s="2894"/>
      <c r="E4" s="2894"/>
      <c r="F4" s="2894"/>
      <c r="G4" s="2894"/>
      <c r="H4" s="2894"/>
      <c r="I4" s="2894"/>
      <c r="J4" s="2894"/>
      <c r="K4" s="2894"/>
      <c r="L4" s="2894"/>
      <c r="M4" s="2894"/>
      <c r="N4" s="2894"/>
      <c r="O4" s="2894"/>
      <c r="P4" s="3151"/>
      <c r="Q4" s="606"/>
      <c r="R4" s="606"/>
      <c r="S4" s="606"/>
    </row>
    <row r="5" spans="1:19" s="607" customFormat="1" ht="18" customHeight="1">
      <c r="A5" s="3141" t="s">
        <v>1251</v>
      </c>
      <c r="B5" s="3170" t="s">
        <v>860</v>
      </c>
      <c r="C5" s="3171" t="s">
        <v>861</v>
      </c>
      <c r="D5" s="3168" t="s">
        <v>1253</v>
      </c>
      <c r="E5" s="3168"/>
      <c r="F5" s="3168"/>
      <c r="G5" s="3168" t="s">
        <v>1254</v>
      </c>
      <c r="H5" s="3168"/>
      <c r="I5" s="3168"/>
      <c r="J5" s="3160" t="s">
        <v>862</v>
      </c>
      <c r="K5" s="3160" t="s">
        <v>863</v>
      </c>
      <c r="L5" s="3171" t="s">
        <v>864</v>
      </c>
      <c r="M5" s="3172" t="s">
        <v>6091</v>
      </c>
      <c r="N5" s="3170" t="s">
        <v>865</v>
      </c>
      <c r="O5" s="3091" t="s">
        <v>866</v>
      </c>
      <c r="P5" s="555"/>
      <c r="Q5" s="606"/>
      <c r="R5" s="606"/>
      <c r="S5" s="606"/>
    </row>
    <row r="6" spans="1:19" ht="21" customHeight="1">
      <c r="A6" s="3141"/>
      <c r="B6" s="3170"/>
      <c r="C6" s="3171"/>
      <c r="D6" s="609" t="s">
        <v>867</v>
      </c>
      <c r="E6" s="609" t="s">
        <v>558</v>
      </c>
      <c r="F6" s="609" t="s">
        <v>868</v>
      </c>
      <c r="G6" s="609" t="s">
        <v>869</v>
      </c>
      <c r="H6" s="609" t="s">
        <v>558</v>
      </c>
      <c r="I6" s="609" t="s">
        <v>870</v>
      </c>
      <c r="J6" s="3160"/>
      <c r="K6" s="3160"/>
      <c r="L6" s="3171"/>
      <c r="M6" s="3173"/>
      <c r="N6" s="3170"/>
      <c r="O6" s="3091"/>
      <c r="P6" s="543"/>
      <c r="Q6" s="144"/>
      <c r="R6" s="144"/>
      <c r="S6" s="144"/>
    </row>
    <row r="7" spans="1:19" ht="46.5" customHeight="1">
      <c r="A7" s="610" t="s">
        <v>871</v>
      </c>
      <c r="B7" s="611" t="s">
        <v>872</v>
      </c>
      <c r="C7" s="612">
        <v>1</v>
      </c>
      <c r="D7" s="613" t="s">
        <v>873</v>
      </c>
      <c r="E7" s="614">
        <v>2</v>
      </c>
      <c r="F7" s="613" t="s">
        <v>874</v>
      </c>
      <c r="G7" s="613" t="s">
        <v>875</v>
      </c>
      <c r="H7" s="614">
        <v>4</v>
      </c>
      <c r="I7" s="613" t="s">
        <v>876</v>
      </c>
      <c r="J7" s="615" t="s">
        <v>877</v>
      </c>
      <c r="K7" s="615" t="s">
        <v>878</v>
      </c>
      <c r="L7" s="616">
        <v>8</v>
      </c>
      <c r="M7" s="616" t="s">
        <v>6092</v>
      </c>
      <c r="N7" s="617" t="s">
        <v>6093</v>
      </c>
      <c r="O7" s="618" t="s">
        <v>879</v>
      </c>
      <c r="P7" s="543"/>
      <c r="Q7" s="144"/>
      <c r="R7" s="144"/>
      <c r="S7" s="144"/>
    </row>
    <row r="8" spans="1:19" ht="18" customHeight="1">
      <c r="A8" s="3128" t="s">
        <v>703</v>
      </c>
      <c r="B8" s="3128"/>
      <c r="C8" s="619">
        <f>SUM(C9:C1004)</f>
        <v>0</v>
      </c>
      <c r="D8" s="620"/>
      <c r="E8" s="619">
        <f>SUM(E9:E1004)</f>
        <v>0</v>
      </c>
      <c r="F8" s="619">
        <f>SUM(F9:F1004)</f>
        <v>0</v>
      </c>
      <c r="G8" s="620"/>
      <c r="H8" s="621">
        <f t="shared" ref="H8:O8" si="0">SUM(H9:H1004)</f>
        <v>0</v>
      </c>
      <c r="I8" s="621">
        <f t="shared" si="0"/>
        <v>0</v>
      </c>
      <c r="J8" s="621">
        <f t="shared" si="0"/>
        <v>0</v>
      </c>
      <c r="K8" s="621">
        <f t="shared" si="0"/>
        <v>0</v>
      </c>
      <c r="L8" s="621">
        <f t="shared" si="0"/>
        <v>0</v>
      </c>
      <c r="M8" s="621">
        <f t="shared" si="0"/>
        <v>0</v>
      </c>
      <c r="N8" s="622">
        <f t="shared" si="0"/>
        <v>0</v>
      </c>
      <c r="O8" s="623">
        <f t="shared" si="0"/>
        <v>0</v>
      </c>
      <c r="P8" s="84" t="s">
        <v>396</v>
      </c>
      <c r="Q8" s="144"/>
      <c r="R8" s="144"/>
      <c r="S8" s="144"/>
    </row>
    <row r="9" spans="1:19" ht="14.25" customHeight="1">
      <c r="A9" s="624" t="s">
        <v>1262</v>
      </c>
      <c r="B9" s="625"/>
      <c r="C9" s="1126"/>
      <c r="D9" s="626"/>
      <c r="E9" s="1126"/>
      <c r="F9" s="627">
        <f>E9*(12-MONTH(D9))/12</f>
        <v>0</v>
      </c>
      <c r="G9" s="628"/>
      <c r="H9" s="1129"/>
      <c r="I9" s="629">
        <f>H9*(12-MONTH(G9))/12</f>
        <v>0</v>
      </c>
      <c r="J9" s="627">
        <f t="shared" ref="J9:J17" si="1">C9+E9-H9</f>
        <v>0</v>
      </c>
      <c r="K9" s="627">
        <f t="shared" ref="K9:K17" si="2">C9+F9-I9</f>
        <v>0</v>
      </c>
      <c r="L9" s="1126"/>
      <c r="M9" s="1687"/>
      <c r="N9" s="1689">
        <f>IF(M9&lt;&gt;0,ROUND(B9*K9,2)+M9,IF(ABS(ROUND(K9*B9,2)-L9)&lt;3,L9,MIN(ROUND(K9*B9,2),L9)))</f>
        <v>0</v>
      </c>
      <c r="O9" s="1690">
        <f>IF(ISERROR(L9-N9),"",IF(ABS(L9-N9)&lt;3,0,L9-N9))</f>
        <v>0</v>
      </c>
      <c r="P9" s="493" t="s">
        <v>1289</v>
      </c>
      <c r="Q9" s="144"/>
      <c r="R9" s="144"/>
      <c r="S9" s="144"/>
    </row>
    <row r="10" spans="1:19" ht="14.25" customHeight="1">
      <c r="A10" s="630"/>
      <c r="B10" s="631"/>
      <c r="C10" s="1127"/>
      <c r="D10" s="632"/>
      <c r="E10" s="1127"/>
      <c r="F10" s="633">
        <f>E10*(12-MONTH(D10))/12</f>
        <v>0</v>
      </c>
      <c r="G10" s="632"/>
      <c r="H10" s="1127"/>
      <c r="I10" s="633">
        <f>H10*(12-MONTH(G10))/12</f>
        <v>0</v>
      </c>
      <c r="J10" s="633">
        <f t="shared" si="1"/>
        <v>0</v>
      </c>
      <c r="K10" s="633">
        <f t="shared" si="2"/>
        <v>0</v>
      </c>
      <c r="L10" s="1127"/>
      <c r="M10" s="1127"/>
      <c r="N10" s="1691">
        <f t="shared" ref="N10:N73" si="3">IF(M10&lt;&gt;0,ROUND(B10*K10,2)+M10,IF(ABS(ROUND(K10*B10,2)-L10)&lt;3,L10,MIN(ROUND(K10*B10,2),L10)))</f>
        <v>0</v>
      </c>
      <c r="O10" s="634">
        <f t="shared" ref="O10:O73" si="4">IF(ISERROR(L10-N10),"",IF(ABS(L10-N10)&lt;3,0,L10-N10))</f>
        <v>0</v>
      </c>
      <c r="P10" s="575" t="s">
        <v>620</v>
      </c>
      <c r="Q10" s="144"/>
      <c r="R10" s="144"/>
      <c r="S10" s="144"/>
    </row>
    <row r="11" spans="1:19" ht="14.25" customHeight="1">
      <c r="A11" s="630"/>
      <c r="B11" s="631"/>
      <c r="C11" s="1127"/>
      <c r="D11" s="632"/>
      <c r="E11" s="1127"/>
      <c r="F11" s="633">
        <f t="shared" ref="F11:F74" si="5">E11*(12-MONTH(D11))/12</f>
        <v>0</v>
      </c>
      <c r="G11" s="632"/>
      <c r="H11" s="1127"/>
      <c r="I11" s="633">
        <f t="shared" ref="I11:I74" si="6">H11*(12-MONTH(G11))/12</f>
        <v>0</v>
      </c>
      <c r="J11" s="633">
        <f t="shared" si="1"/>
        <v>0</v>
      </c>
      <c r="K11" s="633">
        <f t="shared" si="2"/>
        <v>0</v>
      </c>
      <c r="L11" s="1127"/>
      <c r="M11" s="1127"/>
      <c r="N11" s="1691">
        <f t="shared" si="3"/>
        <v>0</v>
      </c>
      <c r="O11" s="634">
        <f t="shared" si="4"/>
        <v>0</v>
      </c>
      <c r="P11" s="575" t="s">
        <v>880</v>
      </c>
      <c r="Q11" s="144"/>
      <c r="R11" s="144"/>
      <c r="S11" s="144"/>
    </row>
    <row r="12" spans="1:19" ht="14.25" customHeight="1">
      <c r="A12" s="630"/>
      <c r="B12" s="631"/>
      <c r="C12" s="1127"/>
      <c r="D12" s="632"/>
      <c r="E12" s="1127"/>
      <c r="F12" s="633">
        <f t="shared" si="5"/>
        <v>0</v>
      </c>
      <c r="G12" s="632"/>
      <c r="H12" s="1127"/>
      <c r="I12" s="633">
        <f t="shared" si="6"/>
        <v>0</v>
      </c>
      <c r="J12" s="633">
        <f t="shared" si="1"/>
        <v>0</v>
      </c>
      <c r="K12" s="633">
        <f t="shared" si="2"/>
        <v>0</v>
      </c>
      <c r="L12" s="1127"/>
      <c r="M12" s="1127"/>
      <c r="N12" s="1691">
        <f t="shared" si="3"/>
        <v>0</v>
      </c>
      <c r="O12" s="634">
        <f t="shared" si="4"/>
        <v>0</v>
      </c>
      <c r="P12" s="1266" t="s">
        <v>6444</v>
      </c>
      <c r="Q12" s="144"/>
      <c r="R12" s="144"/>
      <c r="S12" s="144"/>
    </row>
    <row r="13" spans="1:19" ht="14.25" customHeight="1">
      <c r="A13" s="630"/>
      <c r="B13" s="631"/>
      <c r="C13" s="1127"/>
      <c r="D13" s="632"/>
      <c r="E13" s="1127"/>
      <c r="F13" s="633">
        <f t="shared" si="5"/>
        <v>0</v>
      </c>
      <c r="G13" s="632"/>
      <c r="H13" s="1127"/>
      <c r="I13" s="633">
        <f t="shared" si="6"/>
        <v>0</v>
      </c>
      <c r="J13" s="633">
        <f t="shared" si="1"/>
        <v>0</v>
      </c>
      <c r="K13" s="633">
        <f t="shared" si="2"/>
        <v>0</v>
      </c>
      <c r="L13" s="1127"/>
      <c r="M13" s="1127"/>
      <c r="N13" s="1691">
        <f t="shared" si="3"/>
        <v>0</v>
      </c>
      <c r="O13" s="634">
        <f t="shared" si="4"/>
        <v>0</v>
      </c>
      <c r="P13" s="575"/>
      <c r="Q13" s="144"/>
      <c r="R13" s="144"/>
      <c r="S13" s="144"/>
    </row>
    <row r="14" spans="1:19" ht="14.25" customHeight="1">
      <c r="A14" s="630"/>
      <c r="B14" s="631"/>
      <c r="C14" s="1127"/>
      <c r="D14" s="632"/>
      <c r="E14" s="1127"/>
      <c r="F14" s="633">
        <f t="shared" si="5"/>
        <v>0</v>
      </c>
      <c r="G14" s="632"/>
      <c r="H14" s="1127"/>
      <c r="I14" s="633">
        <f t="shared" si="6"/>
        <v>0</v>
      </c>
      <c r="J14" s="633">
        <f t="shared" si="1"/>
        <v>0</v>
      </c>
      <c r="K14" s="633">
        <f t="shared" si="2"/>
        <v>0</v>
      </c>
      <c r="L14" s="1127"/>
      <c r="M14" s="1127"/>
      <c r="N14" s="1691">
        <f t="shared" si="3"/>
        <v>0</v>
      </c>
      <c r="O14" s="634">
        <f t="shared" si="4"/>
        <v>0</v>
      </c>
      <c r="P14" s="575"/>
      <c r="Q14" s="144"/>
      <c r="R14" s="144"/>
      <c r="S14" s="144"/>
    </row>
    <row r="15" spans="1:19" ht="14.25" customHeight="1">
      <c r="A15" s="630"/>
      <c r="B15" s="631"/>
      <c r="C15" s="1127"/>
      <c r="D15" s="632"/>
      <c r="E15" s="1127"/>
      <c r="F15" s="633">
        <f t="shared" si="5"/>
        <v>0</v>
      </c>
      <c r="G15" s="632"/>
      <c r="H15" s="1127"/>
      <c r="I15" s="633">
        <f t="shared" si="6"/>
        <v>0</v>
      </c>
      <c r="J15" s="633">
        <f t="shared" si="1"/>
        <v>0</v>
      </c>
      <c r="K15" s="633">
        <f t="shared" si="2"/>
        <v>0</v>
      </c>
      <c r="L15" s="1127"/>
      <c r="M15" s="1127"/>
      <c r="N15" s="1691">
        <f t="shared" si="3"/>
        <v>0</v>
      </c>
      <c r="O15" s="634">
        <f t="shared" si="4"/>
        <v>0</v>
      </c>
      <c r="P15" s="3169" t="s">
        <v>881</v>
      </c>
      <c r="Q15" s="3169"/>
      <c r="R15" s="3169"/>
      <c r="S15" s="3169"/>
    </row>
    <row r="16" spans="1:19" ht="14.25" customHeight="1">
      <c r="A16" s="630"/>
      <c r="B16" s="631"/>
      <c r="C16" s="1127"/>
      <c r="D16" s="632"/>
      <c r="E16" s="1127"/>
      <c r="F16" s="633">
        <f t="shared" si="5"/>
        <v>0</v>
      </c>
      <c r="G16" s="632"/>
      <c r="H16" s="1127"/>
      <c r="I16" s="633">
        <f t="shared" si="6"/>
        <v>0</v>
      </c>
      <c r="J16" s="633">
        <f t="shared" si="1"/>
        <v>0</v>
      </c>
      <c r="K16" s="633">
        <f t="shared" si="2"/>
        <v>0</v>
      </c>
      <c r="L16" s="1127"/>
      <c r="M16" s="1127"/>
      <c r="N16" s="1691">
        <f t="shared" si="3"/>
        <v>0</v>
      </c>
      <c r="O16" s="634">
        <f t="shared" si="4"/>
        <v>0</v>
      </c>
      <c r="P16" s="3169"/>
      <c r="Q16" s="3169"/>
      <c r="R16" s="3169"/>
      <c r="S16" s="3169"/>
    </row>
    <row r="17" spans="1:19" ht="14.25" customHeight="1">
      <c r="A17" s="630"/>
      <c r="B17" s="631"/>
      <c r="C17" s="1127"/>
      <c r="D17" s="632"/>
      <c r="E17" s="1127"/>
      <c r="F17" s="633">
        <f t="shared" si="5"/>
        <v>0</v>
      </c>
      <c r="G17" s="632"/>
      <c r="H17" s="1127"/>
      <c r="I17" s="633">
        <f t="shared" si="6"/>
        <v>0</v>
      </c>
      <c r="J17" s="633">
        <f t="shared" si="1"/>
        <v>0</v>
      </c>
      <c r="K17" s="633">
        <f t="shared" si="2"/>
        <v>0</v>
      </c>
      <c r="L17" s="1127"/>
      <c r="M17" s="1127"/>
      <c r="N17" s="1691">
        <f t="shared" si="3"/>
        <v>0</v>
      </c>
      <c r="O17" s="634">
        <f t="shared" si="4"/>
        <v>0</v>
      </c>
      <c r="P17" s="3169"/>
      <c r="Q17" s="3169"/>
      <c r="R17" s="3169"/>
      <c r="S17" s="3169"/>
    </row>
    <row r="18" spans="1:19" ht="14.25" customHeight="1">
      <c r="A18" s="630"/>
      <c r="B18" s="631"/>
      <c r="C18" s="1127"/>
      <c r="D18" s="632"/>
      <c r="E18" s="1127"/>
      <c r="F18" s="633">
        <f t="shared" si="5"/>
        <v>0</v>
      </c>
      <c r="G18" s="632"/>
      <c r="H18" s="1127"/>
      <c r="I18" s="633">
        <f t="shared" si="6"/>
        <v>0</v>
      </c>
      <c r="J18" s="633">
        <f t="shared" ref="J18:J74" si="7">C18+E18-H18</f>
        <v>0</v>
      </c>
      <c r="K18" s="633">
        <f t="shared" ref="K18:K74" si="8">C18+F18-I18</f>
        <v>0</v>
      </c>
      <c r="L18" s="1127"/>
      <c r="M18" s="1127"/>
      <c r="N18" s="1691">
        <f t="shared" si="3"/>
        <v>0</v>
      </c>
      <c r="O18" s="634">
        <f t="shared" si="4"/>
        <v>0</v>
      </c>
      <c r="P18" s="635"/>
      <c r="Q18" s="144"/>
      <c r="R18" s="144"/>
      <c r="S18" s="144"/>
    </row>
    <row r="19" spans="1:19" ht="14.25" customHeight="1">
      <c r="A19" s="630"/>
      <c r="B19" s="631"/>
      <c r="C19" s="1127"/>
      <c r="D19" s="632"/>
      <c r="E19" s="1127"/>
      <c r="F19" s="633">
        <f t="shared" si="5"/>
        <v>0</v>
      </c>
      <c r="G19" s="632"/>
      <c r="H19" s="1127"/>
      <c r="I19" s="633">
        <f t="shared" si="6"/>
        <v>0</v>
      </c>
      <c r="J19" s="633">
        <f t="shared" si="7"/>
        <v>0</v>
      </c>
      <c r="K19" s="633">
        <f t="shared" si="8"/>
        <v>0</v>
      </c>
      <c r="L19" s="1127"/>
      <c r="M19" s="1127"/>
      <c r="N19" s="1691">
        <f t="shared" si="3"/>
        <v>0</v>
      </c>
      <c r="O19" s="634">
        <f t="shared" si="4"/>
        <v>0</v>
      </c>
      <c r="P19" s="636" t="s">
        <v>882</v>
      </c>
      <c r="Q19" s="144"/>
      <c r="R19" s="144"/>
      <c r="S19" s="144"/>
    </row>
    <row r="20" spans="1:19" ht="14.25" customHeight="1">
      <c r="A20" s="630"/>
      <c r="B20" s="631"/>
      <c r="C20" s="1127"/>
      <c r="D20" s="632"/>
      <c r="E20" s="1127"/>
      <c r="F20" s="633">
        <f t="shared" si="5"/>
        <v>0</v>
      </c>
      <c r="G20" s="632"/>
      <c r="H20" s="1127"/>
      <c r="I20" s="633">
        <f t="shared" si="6"/>
        <v>0</v>
      </c>
      <c r="J20" s="633">
        <f t="shared" si="7"/>
        <v>0</v>
      </c>
      <c r="K20" s="633">
        <f t="shared" si="8"/>
        <v>0</v>
      </c>
      <c r="L20" s="1127"/>
      <c r="M20" s="1127"/>
      <c r="N20" s="1691">
        <f t="shared" si="3"/>
        <v>0</v>
      </c>
      <c r="O20" s="634">
        <f t="shared" si="4"/>
        <v>0</v>
      </c>
      <c r="P20" s="637"/>
      <c r="Q20" s="144"/>
      <c r="R20" s="144"/>
      <c r="S20" s="144"/>
    </row>
    <row r="21" spans="1:19" ht="14.25" customHeight="1">
      <c r="A21" s="630"/>
      <c r="B21" s="631"/>
      <c r="C21" s="1127"/>
      <c r="D21" s="632"/>
      <c r="E21" s="1127"/>
      <c r="F21" s="633">
        <f t="shared" si="5"/>
        <v>0</v>
      </c>
      <c r="G21" s="632"/>
      <c r="H21" s="1127"/>
      <c r="I21" s="633">
        <f t="shared" si="6"/>
        <v>0</v>
      </c>
      <c r="J21" s="633">
        <f t="shared" si="7"/>
        <v>0</v>
      </c>
      <c r="K21" s="633">
        <f t="shared" si="8"/>
        <v>0</v>
      </c>
      <c r="L21" s="1127"/>
      <c r="M21" s="1127"/>
      <c r="N21" s="1691">
        <f t="shared" si="3"/>
        <v>0</v>
      </c>
      <c r="O21" s="634">
        <f t="shared" si="4"/>
        <v>0</v>
      </c>
      <c r="P21" s="144"/>
      <c r="Q21" s="144"/>
      <c r="R21" s="144"/>
      <c r="S21" s="144"/>
    </row>
    <row r="22" spans="1:19" ht="14.25" customHeight="1">
      <c r="A22" s="630"/>
      <c r="B22" s="631"/>
      <c r="C22" s="1127"/>
      <c r="D22" s="632"/>
      <c r="E22" s="1127"/>
      <c r="F22" s="633">
        <f t="shared" si="5"/>
        <v>0</v>
      </c>
      <c r="G22" s="632"/>
      <c r="H22" s="1127"/>
      <c r="I22" s="633">
        <f t="shared" si="6"/>
        <v>0</v>
      </c>
      <c r="J22" s="633">
        <f t="shared" si="7"/>
        <v>0</v>
      </c>
      <c r="K22" s="633">
        <f t="shared" si="8"/>
        <v>0</v>
      </c>
      <c r="L22" s="1127"/>
      <c r="M22" s="1127"/>
      <c r="N22" s="1691">
        <f t="shared" si="3"/>
        <v>0</v>
      </c>
      <c r="O22" s="634">
        <f t="shared" si="4"/>
        <v>0</v>
      </c>
      <c r="P22" s="144"/>
      <c r="Q22" s="144"/>
      <c r="R22" s="144"/>
      <c r="S22" s="144"/>
    </row>
    <row r="23" spans="1:19" ht="14.25" customHeight="1">
      <c r="A23" s="630"/>
      <c r="B23" s="631"/>
      <c r="C23" s="1127"/>
      <c r="D23" s="632"/>
      <c r="E23" s="1127"/>
      <c r="F23" s="633">
        <f t="shared" si="5"/>
        <v>0</v>
      </c>
      <c r="G23" s="632"/>
      <c r="H23" s="1127"/>
      <c r="I23" s="633">
        <f t="shared" si="6"/>
        <v>0</v>
      </c>
      <c r="J23" s="633">
        <f t="shared" si="7"/>
        <v>0</v>
      </c>
      <c r="K23" s="633">
        <f t="shared" si="8"/>
        <v>0</v>
      </c>
      <c r="L23" s="1127"/>
      <c r="M23" s="1127"/>
      <c r="N23" s="1691">
        <f t="shared" si="3"/>
        <v>0</v>
      </c>
      <c r="O23" s="634">
        <f t="shared" si="4"/>
        <v>0</v>
      </c>
      <c r="P23" s="144"/>
      <c r="Q23" s="144"/>
      <c r="R23" s="144"/>
      <c r="S23" s="144"/>
    </row>
    <row r="24" spans="1:19" ht="14.25" customHeight="1">
      <c r="A24" s="630"/>
      <c r="B24" s="631"/>
      <c r="C24" s="1127"/>
      <c r="D24" s="632"/>
      <c r="E24" s="1127"/>
      <c r="F24" s="633">
        <f t="shared" si="5"/>
        <v>0</v>
      </c>
      <c r="G24" s="632"/>
      <c r="H24" s="1127"/>
      <c r="I24" s="633">
        <f t="shared" si="6"/>
        <v>0</v>
      </c>
      <c r="J24" s="633">
        <f t="shared" si="7"/>
        <v>0</v>
      </c>
      <c r="K24" s="633">
        <f t="shared" si="8"/>
        <v>0</v>
      </c>
      <c r="L24" s="1127"/>
      <c r="M24" s="1127"/>
      <c r="N24" s="1691">
        <f t="shared" si="3"/>
        <v>0</v>
      </c>
      <c r="O24" s="634">
        <f t="shared" si="4"/>
        <v>0</v>
      </c>
      <c r="P24" s="144"/>
      <c r="Q24" s="144"/>
      <c r="R24" s="144"/>
      <c r="S24" s="144"/>
    </row>
    <row r="25" spans="1:19" ht="14.25" customHeight="1">
      <c r="A25" s="630"/>
      <c r="B25" s="631"/>
      <c r="C25" s="1127"/>
      <c r="D25" s="632"/>
      <c r="E25" s="1127"/>
      <c r="F25" s="633">
        <f t="shared" si="5"/>
        <v>0</v>
      </c>
      <c r="G25" s="632"/>
      <c r="H25" s="1127"/>
      <c r="I25" s="633">
        <f t="shared" si="6"/>
        <v>0</v>
      </c>
      <c r="J25" s="633">
        <f t="shared" si="7"/>
        <v>0</v>
      </c>
      <c r="K25" s="633">
        <f t="shared" si="8"/>
        <v>0</v>
      </c>
      <c r="L25" s="1127"/>
      <c r="M25" s="1127"/>
      <c r="N25" s="1691">
        <f t="shared" si="3"/>
        <v>0</v>
      </c>
      <c r="O25" s="634">
        <f t="shared" si="4"/>
        <v>0</v>
      </c>
      <c r="P25" s="144"/>
      <c r="Q25" s="144"/>
      <c r="R25" s="144"/>
      <c r="S25" s="144"/>
    </row>
    <row r="26" spans="1:19" ht="14.25" customHeight="1">
      <c r="A26" s="630"/>
      <c r="B26" s="631"/>
      <c r="C26" s="1127"/>
      <c r="D26" s="632"/>
      <c r="E26" s="1127"/>
      <c r="F26" s="633">
        <f t="shared" si="5"/>
        <v>0</v>
      </c>
      <c r="G26" s="632"/>
      <c r="H26" s="1127"/>
      <c r="I26" s="633">
        <f t="shared" si="6"/>
        <v>0</v>
      </c>
      <c r="J26" s="633">
        <f t="shared" si="7"/>
        <v>0</v>
      </c>
      <c r="K26" s="633">
        <f t="shared" si="8"/>
        <v>0</v>
      </c>
      <c r="L26" s="1127"/>
      <c r="M26" s="1127"/>
      <c r="N26" s="1691">
        <f t="shared" si="3"/>
        <v>0</v>
      </c>
      <c r="O26" s="634">
        <f t="shared" si="4"/>
        <v>0</v>
      </c>
      <c r="P26" s="144"/>
      <c r="Q26" s="144"/>
      <c r="R26" s="144"/>
      <c r="S26" s="144"/>
    </row>
    <row r="27" spans="1:19" ht="14.25" customHeight="1">
      <c r="A27" s="630"/>
      <c r="B27" s="631"/>
      <c r="C27" s="1127"/>
      <c r="D27" s="632"/>
      <c r="E27" s="1127"/>
      <c r="F27" s="633">
        <f t="shared" si="5"/>
        <v>0</v>
      </c>
      <c r="G27" s="632"/>
      <c r="H27" s="1127"/>
      <c r="I27" s="633">
        <f t="shared" si="6"/>
        <v>0</v>
      </c>
      <c r="J27" s="633">
        <f t="shared" si="7"/>
        <v>0</v>
      </c>
      <c r="K27" s="633">
        <f t="shared" si="8"/>
        <v>0</v>
      </c>
      <c r="L27" s="1127"/>
      <c r="M27" s="1127"/>
      <c r="N27" s="1691">
        <f t="shared" si="3"/>
        <v>0</v>
      </c>
      <c r="O27" s="634">
        <f t="shared" si="4"/>
        <v>0</v>
      </c>
      <c r="P27" s="144"/>
      <c r="Q27" s="144"/>
      <c r="R27" s="144"/>
      <c r="S27" s="144"/>
    </row>
    <row r="28" spans="1:19" ht="14.25" customHeight="1">
      <c r="A28" s="630"/>
      <c r="B28" s="631"/>
      <c r="C28" s="1127"/>
      <c r="D28" s="632"/>
      <c r="E28" s="1127"/>
      <c r="F28" s="633">
        <f t="shared" si="5"/>
        <v>0</v>
      </c>
      <c r="G28" s="632"/>
      <c r="H28" s="1127"/>
      <c r="I28" s="633">
        <f t="shared" si="6"/>
        <v>0</v>
      </c>
      <c r="J28" s="633">
        <f t="shared" si="7"/>
        <v>0</v>
      </c>
      <c r="K28" s="633">
        <f t="shared" si="8"/>
        <v>0</v>
      </c>
      <c r="L28" s="1127"/>
      <c r="M28" s="1127"/>
      <c r="N28" s="1691">
        <f t="shared" si="3"/>
        <v>0</v>
      </c>
      <c r="O28" s="634">
        <f t="shared" si="4"/>
        <v>0</v>
      </c>
      <c r="P28" s="144"/>
      <c r="Q28" s="144"/>
      <c r="R28" s="144"/>
      <c r="S28" s="144"/>
    </row>
    <row r="29" spans="1:19" ht="14.25" customHeight="1">
      <c r="A29" s="630"/>
      <c r="B29" s="631"/>
      <c r="C29" s="1127"/>
      <c r="D29" s="632"/>
      <c r="E29" s="1127"/>
      <c r="F29" s="633">
        <f t="shared" si="5"/>
        <v>0</v>
      </c>
      <c r="G29" s="632"/>
      <c r="H29" s="1127"/>
      <c r="I29" s="633">
        <f t="shared" si="6"/>
        <v>0</v>
      </c>
      <c r="J29" s="633">
        <f t="shared" si="7"/>
        <v>0</v>
      </c>
      <c r="K29" s="633">
        <f t="shared" si="8"/>
        <v>0</v>
      </c>
      <c r="L29" s="1127"/>
      <c r="M29" s="1127"/>
      <c r="N29" s="1691">
        <f t="shared" si="3"/>
        <v>0</v>
      </c>
      <c r="O29" s="634">
        <f t="shared" si="4"/>
        <v>0</v>
      </c>
      <c r="P29" s="144"/>
      <c r="Q29" s="144"/>
      <c r="R29" s="144"/>
      <c r="S29" s="144"/>
    </row>
    <row r="30" spans="1:19" ht="14.25" customHeight="1">
      <c r="A30" s="630"/>
      <c r="B30" s="631"/>
      <c r="C30" s="1127"/>
      <c r="D30" s="632"/>
      <c r="E30" s="1127"/>
      <c r="F30" s="633">
        <f t="shared" si="5"/>
        <v>0</v>
      </c>
      <c r="G30" s="632"/>
      <c r="H30" s="1127"/>
      <c r="I30" s="633">
        <f t="shared" si="6"/>
        <v>0</v>
      </c>
      <c r="J30" s="633">
        <f t="shared" si="7"/>
        <v>0</v>
      </c>
      <c r="K30" s="633">
        <f t="shared" si="8"/>
        <v>0</v>
      </c>
      <c r="L30" s="1127"/>
      <c r="M30" s="1127"/>
      <c r="N30" s="1691">
        <f t="shared" si="3"/>
        <v>0</v>
      </c>
      <c r="O30" s="634">
        <f t="shared" si="4"/>
        <v>0</v>
      </c>
      <c r="P30" s="144"/>
      <c r="Q30" s="144"/>
      <c r="R30" s="144"/>
      <c r="S30" s="144"/>
    </row>
    <row r="31" spans="1:19" ht="14.25" customHeight="1">
      <c r="A31" s="630"/>
      <c r="B31" s="631"/>
      <c r="C31" s="1127"/>
      <c r="D31" s="632"/>
      <c r="E31" s="1127"/>
      <c r="F31" s="633">
        <f t="shared" si="5"/>
        <v>0</v>
      </c>
      <c r="G31" s="632"/>
      <c r="H31" s="1127"/>
      <c r="I31" s="633">
        <f t="shared" si="6"/>
        <v>0</v>
      </c>
      <c r="J31" s="633">
        <f t="shared" si="7"/>
        <v>0</v>
      </c>
      <c r="K31" s="633">
        <f t="shared" si="8"/>
        <v>0</v>
      </c>
      <c r="L31" s="1127"/>
      <c r="M31" s="1127"/>
      <c r="N31" s="1691">
        <f t="shared" si="3"/>
        <v>0</v>
      </c>
      <c r="O31" s="634">
        <f t="shared" si="4"/>
        <v>0</v>
      </c>
      <c r="P31" s="144"/>
      <c r="Q31" s="144"/>
      <c r="R31" s="144"/>
      <c r="S31" s="144"/>
    </row>
    <row r="32" spans="1:19" ht="14.25" customHeight="1">
      <c r="A32" s="630"/>
      <c r="B32" s="631"/>
      <c r="C32" s="1127"/>
      <c r="D32" s="632"/>
      <c r="E32" s="1127"/>
      <c r="F32" s="633">
        <f t="shared" si="5"/>
        <v>0</v>
      </c>
      <c r="G32" s="632"/>
      <c r="H32" s="1127"/>
      <c r="I32" s="633">
        <f t="shared" si="6"/>
        <v>0</v>
      </c>
      <c r="J32" s="633">
        <f t="shared" si="7"/>
        <v>0</v>
      </c>
      <c r="K32" s="633">
        <f t="shared" si="8"/>
        <v>0</v>
      </c>
      <c r="L32" s="1127"/>
      <c r="M32" s="1127"/>
      <c r="N32" s="1691">
        <f t="shared" si="3"/>
        <v>0</v>
      </c>
      <c r="O32" s="634">
        <f t="shared" si="4"/>
        <v>0</v>
      </c>
      <c r="P32" s="144"/>
      <c r="Q32" s="144"/>
      <c r="R32" s="144"/>
      <c r="S32" s="144"/>
    </row>
    <row r="33" spans="1:19" ht="14.25" customHeight="1">
      <c r="A33" s="630"/>
      <c r="B33" s="631"/>
      <c r="C33" s="1127"/>
      <c r="D33" s="632"/>
      <c r="E33" s="1127"/>
      <c r="F33" s="633">
        <f t="shared" si="5"/>
        <v>0</v>
      </c>
      <c r="G33" s="632"/>
      <c r="H33" s="1127"/>
      <c r="I33" s="633">
        <f t="shared" si="6"/>
        <v>0</v>
      </c>
      <c r="J33" s="633">
        <f t="shared" si="7"/>
        <v>0</v>
      </c>
      <c r="K33" s="633">
        <f t="shared" si="8"/>
        <v>0</v>
      </c>
      <c r="L33" s="1127"/>
      <c r="M33" s="1127"/>
      <c r="N33" s="1691">
        <f t="shared" si="3"/>
        <v>0</v>
      </c>
      <c r="O33" s="634">
        <f t="shared" si="4"/>
        <v>0</v>
      </c>
      <c r="P33" s="144"/>
      <c r="Q33" s="144"/>
      <c r="R33" s="144"/>
      <c r="S33" s="144"/>
    </row>
    <row r="34" spans="1:19" ht="14.25" customHeight="1">
      <c r="A34" s="630"/>
      <c r="B34" s="631"/>
      <c r="C34" s="1127"/>
      <c r="D34" s="632"/>
      <c r="E34" s="1127"/>
      <c r="F34" s="633">
        <f t="shared" si="5"/>
        <v>0</v>
      </c>
      <c r="G34" s="632"/>
      <c r="H34" s="1127"/>
      <c r="I34" s="633">
        <f t="shared" si="6"/>
        <v>0</v>
      </c>
      <c r="J34" s="633">
        <f t="shared" si="7"/>
        <v>0</v>
      </c>
      <c r="K34" s="633">
        <f t="shared" si="8"/>
        <v>0</v>
      </c>
      <c r="L34" s="1127"/>
      <c r="M34" s="1127"/>
      <c r="N34" s="1691">
        <f t="shared" si="3"/>
        <v>0</v>
      </c>
      <c r="O34" s="634">
        <f t="shared" si="4"/>
        <v>0</v>
      </c>
      <c r="P34" s="144"/>
      <c r="Q34" s="144"/>
      <c r="R34" s="144"/>
      <c r="S34" s="144"/>
    </row>
    <row r="35" spans="1:19" ht="14.25" customHeight="1">
      <c r="A35" s="630"/>
      <c r="B35" s="631"/>
      <c r="C35" s="1127"/>
      <c r="D35" s="632"/>
      <c r="E35" s="1127"/>
      <c r="F35" s="633">
        <f t="shared" si="5"/>
        <v>0</v>
      </c>
      <c r="G35" s="632"/>
      <c r="H35" s="1127"/>
      <c r="I35" s="633">
        <f t="shared" si="6"/>
        <v>0</v>
      </c>
      <c r="J35" s="633">
        <f t="shared" si="7"/>
        <v>0</v>
      </c>
      <c r="K35" s="633">
        <f t="shared" si="8"/>
        <v>0</v>
      </c>
      <c r="L35" s="1127"/>
      <c r="M35" s="1127"/>
      <c r="N35" s="1691">
        <f t="shared" si="3"/>
        <v>0</v>
      </c>
      <c r="O35" s="634">
        <f t="shared" si="4"/>
        <v>0</v>
      </c>
      <c r="P35" s="144"/>
      <c r="Q35" s="144"/>
      <c r="R35" s="144"/>
      <c r="S35" s="144"/>
    </row>
    <row r="36" spans="1:19" ht="14.25" customHeight="1">
      <c r="A36" s="630"/>
      <c r="B36" s="631"/>
      <c r="C36" s="1127"/>
      <c r="D36" s="632"/>
      <c r="E36" s="1127"/>
      <c r="F36" s="633">
        <f t="shared" si="5"/>
        <v>0</v>
      </c>
      <c r="G36" s="632"/>
      <c r="H36" s="1127"/>
      <c r="I36" s="633">
        <f t="shared" si="6"/>
        <v>0</v>
      </c>
      <c r="J36" s="633">
        <f t="shared" si="7"/>
        <v>0</v>
      </c>
      <c r="K36" s="633">
        <f t="shared" si="8"/>
        <v>0</v>
      </c>
      <c r="L36" s="1127"/>
      <c r="M36" s="1127"/>
      <c r="N36" s="1691">
        <f t="shared" si="3"/>
        <v>0</v>
      </c>
      <c r="O36" s="634">
        <f t="shared" si="4"/>
        <v>0</v>
      </c>
      <c r="P36" s="144"/>
      <c r="Q36" s="144"/>
      <c r="R36" s="144"/>
      <c r="S36" s="144"/>
    </row>
    <row r="37" spans="1:19" ht="14.25" customHeight="1">
      <c r="A37" s="630"/>
      <c r="B37" s="631"/>
      <c r="C37" s="1127"/>
      <c r="D37" s="632"/>
      <c r="E37" s="1127"/>
      <c r="F37" s="633">
        <f t="shared" si="5"/>
        <v>0</v>
      </c>
      <c r="G37" s="632"/>
      <c r="H37" s="1127"/>
      <c r="I37" s="633">
        <f t="shared" si="6"/>
        <v>0</v>
      </c>
      <c r="J37" s="633">
        <f t="shared" si="7"/>
        <v>0</v>
      </c>
      <c r="K37" s="633">
        <f t="shared" si="8"/>
        <v>0</v>
      </c>
      <c r="L37" s="1127"/>
      <c r="M37" s="1127"/>
      <c r="N37" s="1691">
        <f t="shared" si="3"/>
        <v>0</v>
      </c>
      <c r="O37" s="634">
        <f t="shared" si="4"/>
        <v>0</v>
      </c>
      <c r="P37" s="144"/>
      <c r="Q37" s="144"/>
      <c r="R37" s="144"/>
      <c r="S37" s="144"/>
    </row>
    <row r="38" spans="1:19" ht="14.25" customHeight="1">
      <c r="A38" s="630"/>
      <c r="B38" s="631"/>
      <c r="C38" s="1127"/>
      <c r="D38" s="632"/>
      <c r="E38" s="1127"/>
      <c r="F38" s="633">
        <f t="shared" si="5"/>
        <v>0</v>
      </c>
      <c r="G38" s="632"/>
      <c r="H38" s="1127"/>
      <c r="I38" s="633">
        <f t="shared" si="6"/>
        <v>0</v>
      </c>
      <c r="J38" s="633">
        <f t="shared" si="7"/>
        <v>0</v>
      </c>
      <c r="K38" s="633">
        <f t="shared" si="8"/>
        <v>0</v>
      </c>
      <c r="L38" s="1127"/>
      <c r="M38" s="1127"/>
      <c r="N38" s="1691">
        <f t="shared" si="3"/>
        <v>0</v>
      </c>
      <c r="O38" s="634">
        <f t="shared" si="4"/>
        <v>0</v>
      </c>
      <c r="P38" s="144"/>
      <c r="Q38" s="144"/>
      <c r="R38" s="144"/>
      <c r="S38" s="144"/>
    </row>
    <row r="39" spans="1:19" ht="14.25" customHeight="1">
      <c r="A39" s="630"/>
      <c r="B39" s="631"/>
      <c r="C39" s="1127"/>
      <c r="D39" s="632"/>
      <c r="E39" s="1127"/>
      <c r="F39" s="633">
        <f t="shared" si="5"/>
        <v>0</v>
      </c>
      <c r="G39" s="632"/>
      <c r="H39" s="1127"/>
      <c r="I39" s="633">
        <f t="shared" si="6"/>
        <v>0</v>
      </c>
      <c r="J39" s="633">
        <f t="shared" si="7"/>
        <v>0</v>
      </c>
      <c r="K39" s="633">
        <f t="shared" si="8"/>
        <v>0</v>
      </c>
      <c r="L39" s="1127"/>
      <c r="M39" s="1127"/>
      <c r="N39" s="1691">
        <f t="shared" si="3"/>
        <v>0</v>
      </c>
      <c r="O39" s="634">
        <f t="shared" si="4"/>
        <v>0</v>
      </c>
      <c r="P39" s="144"/>
      <c r="Q39" s="144"/>
      <c r="R39" s="144"/>
      <c r="S39" s="144"/>
    </row>
    <row r="40" spans="1:19" ht="14.25" customHeight="1">
      <c r="A40" s="630"/>
      <c r="B40" s="631"/>
      <c r="C40" s="1127"/>
      <c r="D40" s="632"/>
      <c r="E40" s="1127"/>
      <c r="F40" s="633">
        <f t="shared" si="5"/>
        <v>0</v>
      </c>
      <c r="G40" s="632"/>
      <c r="H40" s="1127"/>
      <c r="I40" s="633">
        <f t="shared" si="6"/>
        <v>0</v>
      </c>
      <c r="J40" s="633">
        <f t="shared" si="7"/>
        <v>0</v>
      </c>
      <c r="K40" s="633">
        <f t="shared" si="8"/>
        <v>0</v>
      </c>
      <c r="L40" s="1127"/>
      <c r="M40" s="1127"/>
      <c r="N40" s="1691">
        <f t="shared" si="3"/>
        <v>0</v>
      </c>
      <c r="O40" s="634">
        <f t="shared" si="4"/>
        <v>0</v>
      </c>
      <c r="P40" s="144"/>
      <c r="Q40" s="144"/>
      <c r="R40" s="144"/>
      <c r="S40" s="144"/>
    </row>
    <row r="41" spans="1:19" ht="14.25" customHeight="1">
      <c r="A41" s="630"/>
      <c r="B41" s="631"/>
      <c r="C41" s="1127"/>
      <c r="D41" s="632"/>
      <c r="E41" s="1127"/>
      <c r="F41" s="633">
        <f t="shared" si="5"/>
        <v>0</v>
      </c>
      <c r="G41" s="632"/>
      <c r="H41" s="1127"/>
      <c r="I41" s="633">
        <f t="shared" si="6"/>
        <v>0</v>
      </c>
      <c r="J41" s="633">
        <f t="shared" si="7"/>
        <v>0</v>
      </c>
      <c r="K41" s="633">
        <f t="shared" si="8"/>
        <v>0</v>
      </c>
      <c r="L41" s="1127"/>
      <c r="M41" s="1127"/>
      <c r="N41" s="1691">
        <f t="shared" si="3"/>
        <v>0</v>
      </c>
      <c r="O41" s="634">
        <f t="shared" si="4"/>
        <v>0</v>
      </c>
      <c r="P41" s="144"/>
      <c r="Q41" s="144"/>
      <c r="R41" s="144"/>
      <c r="S41" s="144"/>
    </row>
    <row r="42" spans="1:19" ht="14.25" customHeight="1">
      <c r="A42" s="630"/>
      <c r="B42" s="631"/>
      <c r="C42" s="1127"/>
      <c r="D42" s="632"/>
      <c r="E42" s="1127"/>
      <c r="F42" s="633">
        <f t="shared" si="5"/>
        <v>0</v>
      </c>
      <c r="G42" s="632"/>
      <c r="H42" s="1127"/>
      <c r="I42" s="633">
        <f t="shared" si="6"/>
        <v>0</v>
      </c>
      <c r="J42" s="633">
        <f t="shared" si="7"/>
        <v>0</v>
      </c>
      <c r="K42" s="633">
        <f t="shared" si="8"/>
        <v>0</v>
      </c>
      <c r="L42" s="1127"/>
      <c r="M42" s="1127"/>
      <c r="N42" s="1691">
        <f t="shared" si="3"/>
        <v>0</v>
      </c>
      <c r="O42" s="634">
        <f t="shared" si="4"/>
        <v>0</v>
      </c>
      <c r="P42" s="144"/>
      <c r="Q42" s="144"/>
      <c r="R42" s="144"/>
      <c r="S42" s="144"/>
    </row>
    <row r="43" spans="1:19" ht="14.25" customHeight="1">
      <c r="A43" s="630"/>
      <c r="B43" s="631"/>
      <c r="C43" s="1127"/>
      <c r="D43" s="632"/>
      <c r="E43" s="1127"/>
      <c r="F43" s="633">
        <f t="shared" si="5"/>
        <v>0</v>
      </c>
      <c r="G43" s="632"/>
      <c r="H43" s="1127"/>
      <c r="I43" s="633">
        <f t="shared" si="6"/>
        <v>0</v>
      </c>
      <c r="J43" s="633">
        <f t="shared" si="7"/>
        <v>0</v>
      </c>
      <c r="K43" s="633">
        <f t="shared" si="8"/>
        <v>0</v>
      </c>
      <c r="L43" s="1127"/>
      <c r="M43" s="1127"/>
      <c r="N43" s="1691">
        <f t="shared" si="3"/>
        <v>0</v>
      </c>
      <c r="O43" s="634">
        <f t="shared" si="4"/>
        <v>0</v>
      </c>
      <c r="P43" s="144"/>
      <c r="Q43" s="144"/>
      <c r="R43" s="144"/>
      <c r="S43" s="144"/>
    </row>
    <row r="44" spans="1:19" ht="14.25" customHeight="1">
      <c r="A44" s="630"/>
      <c r="B44" s="631"/>
      <c r="C44" s="1127"/>
      <c r="D44" s="632"/>
      <c r="E44" s="1127"/>
      <c r="F44" s="633">
        <f t="shared" si="5"/>
        <v>0</v>
      </c>
      <c r="G44" s="632"/>
      <c r="H44" s="1127"/>
      <c r="I44" s="633">
        <f t="shared" si="6"/>
        <v>0</v>
      </c>
      <c r="J44" s="633">
        <f t="shared" si="7"/>
        <v>0</v>
      </c>
      <c r="K44" s="633">
        <f t="shared" si="8"/>
        <v>0</v>
      </c>
      <c r="L44" s="1127"/>
      <c r="M44" s="1127"/>
      <c r="N44" s="1691">
        <f t="shared" si="3"/>
        <v>0</v>
      </c>
      <c r="O44" s="634">
        <f t="shared" si="4"/>
        <v>0</v>
      </c>
      <c r="P44" s="144"/>
      <c r="Q44" s="144"/>
      <c r="R44" s="144"/>
      <c r="S44" s="144"/>
    </row>
    <row r="45" spans="1:19" ht="14.25" customHeight="1">
      <c r="A45" s="630"/>
      <c r="B45" s="631"/>
      <c r="C45" s="1127"/>
      <c r="D45" s="632"/>
      <c r="E45" s="1127"/>
      <c r="F45" s="633">
        <f t="shared" si="5"/>
        <v>0</v>
      </c>
      <c r="G45" s="632"/>
      <c r="H45" s="1127"/>
      <c r="I45" s="633">
        <f t="shared" si="6"/>
        <v>0</v>
      </c>
      <c r="J45" s="633">
        <f t="shared" si="7"/>
        <v>0</v>
      </c>
      <c r="K45" s="633">
        <f t="shared" si="8"/>
        <v>0</v>
      </c>
      <c r="L45" s="1127"/>
      <c r="M45" s="1127"/>
      <c r="N45" s="1691">
        <f t="shared" si="3"/>
        <v>0</v>
      </c>
      <c r="O45" s="634">
        <f t="shared" si="4"/>
        <v>0</v>
      </c>
      <c r="P45" s="144"/>
      <c r="Q45" s="144"/>
      <c r="R45" s="144"/>
      <c r="S45" s="144"/>
    </row>
    <row r="46" spans="1:19" ht="14.25" customHeight="1">
      <c r="A46" s="630"/>
      <c r="B46" s="631"/>
      <c r="C46" s="1127"/>
      <c r="D46" s="632"/>
      <c r="E46" s="1127"/>
      <c r="F46" s="633">
        <f t="shared" si="5"/>
        <v>0</v>
      </c>
      <c r="G46" s="632"/>
      <c r="H46" s="1127"/>
      <c r="I46" s="633">
        <f t="shared" si="6"/>
        <v>0</v>
      </c>
      <c r="J46" s="633">
        <f t="shared" si="7"/>
        <v>0</v>
      </c>
      <c r="K46" s="633">
        <f t="shared" si="8"/>
        <v>0</v>
      </c>
      <c r="L46" s="1127"/>
      <c r="M46" s="1127"/>
      <c r="N46" s="1691">
        <f t="shared" si="3"/>
        <v>0</v>
      </c>
      <c r="O46" s="634">
        <f t="shared" si="4"/>
        <v>0</v>
      </c>
      <c r="P46" s="144"/>
      <c r="Q46" s="144"/>
      <c r="R46" s="144"/>
      <c r="S46" s="144"/>
    </row>
    <row r="47" spans="1:19" ht="14.25" customHeight="1">
      <c r="A47" s="630"/>
      <c r="B47" s="631"/>
      <c r="C47" s="1127"/>
      <c r="D47" s="632"/>
      <c r="E47" s="1127"/>
      <c r="F47" s="633">
        <f t="shared" si="5"/>
        <v>0</v>
      </c>
      <c r="G47" s="632"/>
      <c r="H47" s="1127"/>
      <c r="I47" s="633">
        <f t="shared" si="6"/>
        <v>0</v>
      </c>
      <c r="J47" s="633">
        <f t="shared" si="7"/>
        <v>0</v>
      </c>
      <c r="K47" s="633">
        <f t="shared" si="8"/>
        <v>0</v>
      </c>
      <c r="L47" s="1127"/>
      <c r="M47" s="1127"/>
      <c r="N47" s="1691">
        <f t="shared" si="3"/>
        <v>0</v>
      </c>
      <c r="O47" s="634">
        <f t="shared" si="4"/>
        <v>0</v>
      </c>
      <c r="P47" s="144"/>
      <c r="Q47" s="144"/>
      <c r="R47" s="144"/>
      <c r="S47" s="144"/>
    </row>
    <row r="48" spans="1:19" ht="14.25" customHeight="1">
      <c r="A48" s="630"/>
      <c r="B48" s="631"/>
      <c r="C48" s="1127"/>
      <c r="D48" s="632"/>
      <c r="E48" s="1127"/>
      <c r="F48" s="633">
        <f t="shared" si="5"/>
        <v>0</v>
      </c>
      <c r="G48" s="632"/>
      <c r="H48" s="1127"/>
      <c r="I48" s="633">
        <f t="shared" si="6"/>
        <v>0</v>
      </c>
      <c r="J48" s="633">
        <f t="shared" si="7"/>
        <v>0</v>
      </c>
      <c r="K48" s="633">
        <f t="shared" si="8"/>
        <v>0</v>
      </c>
      <c r="L48" s="1127"/>
      <c r="M48" s="1127"/>
      <c r="N48" s="1691">
        <f t="shared" si="3"/>
        <v>0</v>
      </c>
      <c r="O48" s="634">
        <f t="shared" si="4"/>
        <v>0</v>
      </c>
      <c r="P48" s="144"/>
      <c r="Q48" s="144"/>
      <c r="R48" s="144"/>
      <c r="S48" s="144"/>
    </row>
    <row r="49" spans="1:19" ht="14.25" customHeight="1">
      <c r="A49" s="630"/>
      <c r="B49" s="631"/>
      <c r="C49" s="1127"/>
      <c r="D49" s="632"/>
      <c r="E49" s="1127"/>
      <c r="F49" s="633">
        <f t="shared" si="5"/>
        <v>0</v>
      </c>
      <c r="G49" s="632"/>
      <c r="H49" s="1127"/>
      <c r="I49" s="633">
        <f t="shared" si="6"/>
        <v>0</v>
      </c>
      <c r="J49" s="633">
        <f t="shared" si="7"/>
        <v>0</v>
      </c>
      <c r="K49" s="633">
        <f t="shared" si="8"/>
        <v>0</v>
      </c>
      <c r="L49" s="1127"/>
      <c r="M49" s="1127"/>
      <c r="N49" s="1691">
        <f t="shared" si="3"/>
        <v>0</v>
      </c>
      <c r="O49" s="634">
        <f t="shared" si="4"/>
        <v>0</v>
      </c>
      <c r="P49" s="144"/>
      <c r="Q49" s="144"/>
      <c r="R49" s="144"/>
      <c r="S49" s="144"/>
    </row>
    <row r="50" spans="1:19" ht="14.25" customHeight="1">
      <c r="A50" s="630"/>
      <c r="B50" s="631"/>
      <c r="C50" s="1127"/>
      <c r="D50" s="632"/>
      <c r="E50" s="1127"/>
      <c r="F50" s="633">
        <f t="shared" si="5"/>
        <v>0</v>
      </c>
      <c r="G50" s="632"/>
      <c r="H50" s="1127"/>
      <c r="I50" s="633">
        <f t="shared" si="6"/>
        <v>0</v>
      </c>
      <c r="J50" s="633">
        <f t="shared" si="7"/>
        <v>0</v>
      </c>
      <c r="K50" s="633">
        <f t="shared" si="8"/>
        <v>0</v>
      </c>
      <c r="L50" s="1127"/>
      <c r="M50" s="1127"/>
      <c r="N50" s="1691">
        <f t="shared" si="3"/>
        <v>0</v>
      </c>
      <c r="O50" s="634">
        <f t="shared" si="4"/>
        <v>0</v>
      </c>
      <c r="P50" s="144"/>
      <c r="Q50" s="144"/>
      <c r="R50" s="144"/>
      <c r="S50" s="144"/>
    </row>
    <row r="51" spans="1:19" ht="14.25" customHeight="1">
      <c r="A51" s="630"/>
      <c r="B51" s="631"/>
      <c r="C51" s="1127"/>
      <c r="D51" s="632"/>
      <c r="E51" s="1127"/>
      <c r="F51" s="633">
        <f t="shared" si="5"/>
        <v>0</v>
      </c>
      <c r="G51" s="632"/>
      <c r="H51" s="1127"/>
      <c r="I51" s="633">
        <f t="shared" si="6"/>
        <v>0</v>
      </c>
      <c r="J51" s="633">
        <f t="shared" si="7"/>
        <v>0</v>
      </c>
      <c r="K51" s="633">
        <f t="shared" si="8"/>
        <v>0</v>
      </c>
      <c r="L51" s="1127"/>
      <c r="M51" s="1127"/>
      <c r="N51" s="1691">
        <f t="shared" si="3"/>
        <v>0</v>
      </c>
      <c r="O51" s="634">
        <f t="shared" si="4"/>
        <v>0</v>
      </c>
      <c r="P51" s="144"/>
      <c r="Q51" s="144"/>
      <c r="R51" s="144"/>
      <c r="S51" s="144"/>
    </row>
    <row r="52" spans="1:19" ht="14.25" customHeight="1">
      <c r="A52" s="630"/>
      <c r="B52" s="631"/>
      <c r="C52" s="1127"/>
      <c r="D52" s="632"/>
      <c r="E52" s="1127"/>
      <c r="F52" s="633">
        <f t="shared" si="5"/>
        <v>0</v>
      </c>
      <c r="G52" s="632"/>
      <c r="H52" s="1127"/>
      <c r="I52" s="633">
        <f t="shared" si="6"/>
        <v>0</v>
      </c>
      <c r="J52" s="633">
        <f t="shared" si="7"/>
        <v>0</v>
      </c>
      <c r="K52" s="633">
        <f t="shared" si="8"/>
        <v>0</v>
      </c>
      <c r="L52" s="1127"/>
      <c r="M52" s="1127"/>
      <c r="N52" s="1691">
        <f t="shared" si="3"/>
        <v>0</v>
      </c>
      <c r="O52" s="634">
        <f t="shared" si="4"/>
        <v>0</v>
      </c>
      <c r="P52" s="144"/>
      <c r="Q52" s="144"/>
      <c r="R52" s="144"/>
      <c r="S52" s="144"/>
    </row>
    <row r="53" spans="1:19" ht="14.25" customHeight="1">
      <c r="A53" s="630"/>
      <c r="B53" s="631"/>
      <c r="C53" s="1127"/>
      <c r="D53" s="632"/>
      <c r="E53" s="1127"/>
      <c r="F53" s="633">
        <f t="shared" si="5"/>
        <v>0</v>
      </c>
      <c r="G53" s="632"/>
      <c r="H53" s="1127"/>
      <c r="I53" s="633">
        <f t="shared" si="6"/>
        <v>0</v>
      </c>
      <c r="J53" s="633">
        <f t="shared" si="7"/>
        <v>0</v>
      </c>
      <c r="K53" s="633">
        <f t="shared" si="8"/>
        <v>0</v>
      </c>
      <c r="L53" s="1127"/>
      <c r="M53" s="1127"/>
      <c r="N53" s="1691">
        <f t="shared" si="3"/>
        <v>0</v>
      </c>
      <c r="O53" s="634">
        <f t="shared" si="4"/>
        <v>0</v>
      </c>
      <c r="P53" s="144"/>
      <c r="Q53" s="144"/>
      <c r="R53" s="144"/>
      <c r="S53" s="144"/>
    </row>
    <row r="54" spans="1:19" ht="14.25" customHeight="1">
      <c r="A54" s="630"/>
      <c r="B54" s="631"/>
      <c r="C54" s="1127"/>
      <c r="D54" s="632"/>
      <c r="E54" s="1127"/>
      <c r="F54" s="633">
        <f t="shared" si="5"/>
        <v>0</v>
      </c>
      <c r="G54" s="632"/>
      <c r="H54" s="1127"/>
      <c r="I54" s="633">
        <f t="shared" si="6"/>
        <v>0</v>
      </c>
      <c r="J54" s="633">
        <f t="shared" si="7"/>
        <v>0</v>
      </c>
      <c r="K54" s="633">
        <f t="shared" si="8"/>
        <v>0</v>
      </c>
      <c r="L54" s="1127"/>
      <c r="M54" s="1127"/>
      <c r="N54" s="1691">
        <f t="shared" si="3"/>
        <v>0</v>
      </c>
      <c r="O54" s="634">
        <f t="shared" si="4"/>
        <v>0</v>
      </c>
      <c r="P54" s="144"/>
      <c r="Q54" s="144"/>
      <c r="R54" s="144"/>
      <c r="S54" s="144"/>
    </row>
    <row r="55" spans="1:19" ht="14.25" customHeight="1">
      <c r="A55" s="630"/>
      <c r="B55" s="631"/>
      <c r="C55" s="1127"/>
      <c r="D55" s="632"/>
      <c r="E55" s="1127"/>
      <c r="F55" s="633">
        <f t="shared" si="5"/>
        <v>0</v>
      </c>
      <c r="G55" s="632"/>
      <c r="H55" s="1127"/>
      <c r="I55" s="633">
        <f t="shared" si="6"/>
        <v>0</v>
      </c>
      <c r="J55" s="633">
        <f t="shared" si="7"/>
        <v>0</v>
      </c>
      <c r="K55" s="633">
        <f t="shared" si="8"/>
        <v>0</v>
      </c>
      <c r="L55" s="1127"/>
      <c r="M55" s="1127"/>
      <c r="N55" s="1691">
        <f t="shared" si="3"/>
        <v>0</v>
      </c>
      <c r="O55" s="634">
        <f t="shared" si="4"/>
        <v>0</v>
      </c>
      <c r="P55" s="144"/>
      <c r="Q55" s="144"/>
      <c r="R55" s="144"/>
      <c r="S55" s="144"/>
    </row>
    <row r="56" spans="1:19" ht="14.25" customHeight="1">
      <c r="A56" s="630"/>
      <c r="B56" s="631"/>
      <c r="C56" s="1127"/>
      <c r="D56" s="632"/>
      <c r="E56" s="1127"/>
      <c r="F56" s="633">
        <f t="shared" si="5"/>
        <v>0</v>
      </c>
      <c r="G56" s="632"/>
      <c r="H56" s="1127"/>
      <c r="I56" s="633">
        <f t="shared" si="6"/>
        <v>0</v>
      </c>
      <c r="J56" s="633">
        <f t="shared" si="7"/>
        <v>0</v>
      </c>
      <c r="K56" s="633">
        <f t="shared" si="8"/>
        <v>0</v>
      </c>
      <c r="L56" s="1127"/>
      <c r="M56" s="1127"/>
      <c r="N56" s="1691">
        <f t="shared" si="3"/>
        <v>0</v>
      </c>
      <c r="O56" s="634">
        <f t="shared" si="4"/>
        <v>0</v>
      </c>
      <c r="P56" s="144"/>
      <c r="Q56" s="144"/>
      <c r="R56" s="144"/>
      <c r="S56" s="144"/>
    </row>
    <row r="57" spans="1:19" ht="14.25" customHeight="1">
      <c r="A57" s="630"/>
      <c r="B57" s="631"/>
      <c r="C57" s="1127"/>
      <c r="D57" s="632"/>
      <c r="E57" s="1127"/>
      <c r="F57" s="633">
        <f t="shared" si="5"/>
        <v>0</v>
      </c>
      <c r="G57" s="632"/>
      <c r="H57" s="1127"/>
      <c r="I57" s="633">
        <f t="shared" si="6"/>
        <v>0</v>
      </c>
      <c r="J57" s="633">
        <f t="shared" si="7"/>
        <v>0</v>
      </c>
      <c r="K57" s="633">
        <f t="shared" si="8"/>
        <v>0</v>
      </c>
      <c r="L57" s="1127"/>
      <c r="M57" s="1127"/>
      <c r="N57" s="1691">
        <f t="shared" si="3"/>
        <v>0</v>
      </c>
      <c r="O57" s="634">
        <f t="shared" si="4"/>
        <v>0</v>
      </c>
      <c r="P57" s="144"/>
      <c r="Q57" s="144"/>
      <c r="R57" s="144"/>
      <c r="S57" s="144"/>
    </row>
    <row r="58" spans="1:19" ht="14.25" customHeight="1">
      <c r="A58" s="630"/>
      <c r="B58" s="631"/>
      <c r="C58" s="1127"/>
      <c r="D58" s="632"/>
      <c r="E58" s="1127"/>
      <c r="F58" s="633">
        <f t="shared" si="5"/>
        <v>0</v>
      </c>
      <c r="G58" s="632"/>
      <c r="H58" s="1127"/>
      <c r="I58" s="633">
        <f t="shared" si="6"/>
        <v>0</v>
      </c>
      <c r="J58" s="633">
        <f t="shared" si="7"/>
        <v>0</v>
      </c>
      <c r="K58" s="633">
        <f t="shared" si="8"/>
        <v>0</v>
      </c>
      <c r="L58" s="1127"/>
      <c r="M58" s="1127"/>
      <c r="N58" s="1691">
        <f t="shared" si="3"/>
        <v>0</v>
      </c>
      <c r="O58" s="634">
        <f t="shared" si="4"/>
        <v>0</v>
      </c>
      <c r="P58" s="144"/>
      <c r="Q58" s="144"/>
      <c r="R58" s="144"/>
      <c r="S58" s="144"/>
    </row>
    <row r="59" spans="1:19" ht="14.25" customHeight="1">
      <c r="A59" s="630"/>
      <c r="B59" s="631"/>
      <c r="C59" s="1127"/>
      <c r="D59" s="632"/>
      <c r="E59" s="1127"/>
      <c r="F59" s="633">
        <f t="shared" si="5"/>
        <v>0</v>
      </c>
      <c r="G59" s="632"/>
      <c r="H59" s="1127"/>
      <c r="I59" s="633">
        <f t="shared" si="6"/>
        <v>0</v>
      </c>
      <c r="J59" s="633">
        <f t="shared" si="7"/>
        <v>0</v>
      </c>
      <c r="K59" s="633">
        <f t="shared" si="8"/>
        <v>0</v>
      </c>
      <c r="L59" s="1127"/>
      <c r="M59" s="1127"/>
      <c r="N59" s="1691">
        <f t="shared" si="3"/>
        <v>0</v>
      </c>
      <c r="O59" s="634">
        <f t="shared" si="4"/>
        <v>0</v>
      </c>
      <c r="P59" s="144"/>
      <c r="Q59" s="144"/>
      <c r="R59" s="144"/>
      <c r="S59" s="144"/>
    </row>
    <row r="60" spans="1:19" ht="14.25" customHeight="1">
      <c r="A60" s="630"/>
      <c r="B60" s="631"/>
      <c r="C60" s="1127"/>
      <c r="D60" s="632"/>
      <c r="E60" s="1127"/>
      <c r="F60" s="633">
        <f t="shared" si="5"/>
        <v>0</v>
      </c>
      <c r="G60" s="632"/>
      <c r="H60" s="1127"/>
      <c r="I60" s="633">
        <f t="shared" si="6"/>
        <v>0</v>
      </c>
      <c r="J60" s="633">
        <f t="shared" si="7"/>
        <v>0</v>
      </c>
      <c r="K60" s="633">
        <f t="shared" si="8"/>
        <v>0</v>
      </c>
      <c r="L60" s="1127"/>
      <c r="M60" s="1127"/>
      <c r="N60" s="1691">
        <f t="shared" si="3"/>
        <v>0</v>
      </c>
      <c r="O60" s="634">
        <f t="shared" si="4"/>
        <v>0</v>
      </c>
      <c r="P60" s="144"/>
      <c r="Q60" s="144"/>
      <c r="R60" s="144"/>
      <c r="S60" s="144"/>
    </row>
    <row r="61" spans="1:19" ht="14.25" customHeight="1">
      <c r="A61" s="630"/>
      <c r="B61" s="631"/>
      <c r="C61" s="1127"/>
      <c r="D61" s="632"/>
      <c r="E61" s="1127"/>
      <c r="F61" s="633">
        <f t="shared" si="5"/>
        <v>0</v>
      </c>
      <c r="G61" s="632"/>
      <c r="H61" s="1127"/>
      <c r="I61" s="633">
        <f t="shared" si="6"/>
        <v>0</v>
      </c>
      <c r="J61" s="633">
        <f t="shared" si="7"/>
        <v>0</v>
      </c>
      <c r="K61" s="633">
        <f t="shared" si="8"/>
        <v>0</v>
      </c>
      <c r="L61" s="1127"/>
      <c r="M61" s="1127"/>
      <c r="N61" s="1691">
        <f t="shared" si="3"/>
        <v>0</v>
      </c>
      <c r="O61" s="634">
        <f t="shared" si="4"/>
        <v>0</v>
      </c>
      <c r="P61" s="144"/>
      <c r="Q61" s="144"/>
      <c r="R61" s="144"/>
      <c r="S61" s="144"/>
    </row>
    <row r="62" spans="1:19" ht="14.25" customHeight="1">
      <c r="A62" s="630"/>
      <c r="B62" s="631"/>
      <c r="C62" s="1127"/>
      <c r="D62" s="632"/>
      <c r="E62" s="1127"/>
      <c r="F62" s="633">
        <f t="shared" si="5"/>
        <v>0</v>
      </c>
      <c r="G62" s="632"/>
      <c r="H62" s="1127"/>
      <c r="I62" s="633">
        <f t="shared" si="6"/>
        <v>0</v>
      </c>
      <c r="J62" s="633">
        <f t="shared" si="7"/>
        <v>0</v>
      </c>
      <c r="K62" s="633">
        <f t="shared" si="8"/>
        <v>0</v>
      </c>
      <c r="L62" s="1127"/>
      <c r="M62" s="1127"/>
      <c r="N62" s="1691">
        <f t="shared" si="3"/>
        <v>0</v>
      </c>
      <c r="O62" s="634">
        <f t="shared" si="4"/>
        <v>0</v>
      </c>
      <c r="P62" s="144"/>
      <c r="Q62" s="144"/>
      <c r="R62" s="144"/>
      <c r="S62" s="144"/>
    </row>
    <row r="63" spans="1:19" ht="14.25" customHeight="1">
      <c r="A63" s="630"/>
      <c r="B63" s="631"/>
      <c r="C63" s="1127"/>
      <c r="D63" s="632"/>
      <c r="E63" s="1127"/>
      <c r="F63" s="633">
        <f t="shared" si="5"/>
        <v>0</v>
      </c>
      <c r="G63" s="632"/>
      <c r="H63" s="1127"/>
      <c r="I63" s="633">
        <f t="shared" si="6"/>
        <v>0</v>
      </c>
      <c r="J63" s="633">
        <f t="shared" si="7"/>
        <v>0</v>
      </c>
      <c r="K63" s="633">
        <f t="shared" si="8"/>
        <v>0</v>
      </c>
      <c r="L63" s="1127"/>
      <c r="M63" s="1127"/>
      <c r="N63" s="1691">
        <f t="shared" si="3"/>
        <v>0</v>
      </c>
      <c r="O63" s="634">
        <f t="shared" si="4"/>
        <v>0</v>
      </c>
      <c r="P63" s="144"/>
      <c r="Q63" s="144"/>
      <c r="R63" s="144"/>
      <c r="S63" s="144"/>
    </row>
    <row r="64" spans="1:19" ht="14.25" customHeight="1">
      <c r="A64" s="630"/>
      <c r="B64" s="631"/>
      <c r="C64" s="1127"/>
      <c r="D64" s="632"/>
      <c r="E64" s="1127"/>
      <c r="F64" s="633">
        <f t="shared" si="5"/>
        <v>0</v>
      </c>
      <c r="G64" s="632"/>
      <c r="H64" s="1127"/>
      <c r="I64" s="633">
        <f t="shared" si="6"/>
        <v>0</v>
      </c>
      <c r="J64" s="633">
        <f t="shared" si="7"/>
        <v>0</v>
      </c>
      <c r="K64" s="633">
        <f t="shared" si="8"/>
        <v>0</v>
      </c>
      <c r="L64" s="1127"/>
      <c r="M64" s="1127"/>
      <c r="N64" s="1691">
        <f t="shared" si="3"/>
        <v>0</v>
      </c>
      <c r="O64" s="634">
        <f t="shared" si="4"/>
        <v>0</v>
      </c>
      <c r="P64" s="144"/>
      <c r="Q64" s="144"/>
      <c r="R64" s="144"/>
      <c r="S64" s="144"/>
    </row>
    <row r="65" spans="1:19" ht="14.25" customHeight="1">
      <c r="A65" s="630"/>
      <c r="B65" s="631"/>
      <c r="C65" s="1127"/>
      <c r="D65" s="632"/>
      <c r="E65" s="1127"/>
      <c r="F65" s="633">
        <f t="shared" si="5"/>
        <v>0</v>
      </c>
      <c r="G65" s="632"/>
      <c r="H65" s="1127"/>
      <c r="I65" s="633">
        <f t="shared" si="6"/>
        <v>0</v>
      </c>
      <c r="J65" s="633">
        <f t="shared" si="7"/>
        <v>0</v>
      </c>
      <c r="K65" s="633">
        <f t="shared" si="8"/>
        <v>0</v>
      </c>
      <c r="L65" s="1127"/>
      <c r="M65" s="1127"/>
      <c r="N65" s="1691">
        <f t="shared" si="3"/>
        <v>0</v>
      </c>
      <c r="O65" s="634">
        <f t="shared" si="4"/>
        <v>0</v>
      </c>
      <c r="P65" s="144"/>
      <c r="Q65" s="144"/>
      <c r="R65" s="144"/>
      <c r="S65" s="144"/>
    </row>
    <row r="66" spans="1:19" ht="14.25" customHeight="1">
      <c r="A66" s="630"/>
      <c r="B66" s="631"/>
      <c r="C66" s="1127"/>
      <c r="D66" s="632"/>
      <c r="E66" s="1127"/>
      <c r="F66" s="633">
        <f t="shared" si="5"/>
        <v>0</v>
      </c>
      <c r="G66" s="632"/>
      <c r="H66" s="1127"/>
      <c r="I66" s="633">
        <f t="shared" si="6"/>
        <v>0</v>
      </c>
      <c r="J66" s="633">
        <f t="shared" si="7"/>
        <v>0</v>
      </c>
      <c r="K66" s="633">
        <f t="shared" si="8"/>
        <v>0</v>
      </c>
      <c r="L66" s="1127"/>
      <c r="M66" s="1127"/>
      <c r="N66" s="1691">
        <f t="shared" si="3"/>
        <v>0</v>
      </c>
      <c r="O66" s="634">
        <f t="shared" si="4"/>
        <v>0</v>
      </c>
      <c r="P66" s="144"/>
      <c r="Q66" s="144"/>
      <c r="R66" s="144"/>
      <c r="S66" s="144"/>
    </row>
    <row r="67" spans="1:19" ht="14.25" customHeight="1">
      <c r="A67" s="630"/>
      <c r="B67" s="631"/>
      <c r="C67" s="1127"/>
      <c r="D67" s="632"/>
      <c r="E67" s="1127"/>
      <c r="F67" s="633">
        <f t="shared" si="5"/>
        <v>0</v>
      </c>
      <c r="G67" s="632"/>
      <c r="H67" s="1127"/>
      <c r="I67" s="633">
        <f t="shared" si="6"/>
        <v>0</v>
      </c>
      <c r="J67" s="633">
        <f t="shared" si="7"/>
        <v>0</v>
      </c>
      <c r="K67" s="633">
        <f t="shared" si="8"/>
        <v>0</v>
      </c>
      <c r="L67" s="1127"/>
      <c r="M67" s="1127"/>
      <c r="N67" s="1691">
        <f t="shared" si="3"/>
        <v>0</v>
      </c>
      <c r="O67" s="634">
        <f t="shared" si="4"/>
        <v>0</v>
      </c>
      <c r="P67" s="144"/>
      <c r="Q67" s="144"/>
      <c r="R67" s="144"/>
      <c r="S67" s="144"/>
    </row>
    <row r="68" spans="1:19" ht="14.25" customHeight="1">
      <c r="A68" s="630"/>
      <c r="B68" s="631"/>
      <c r="C68" s="1127"/>
      <c r="D68" s="632"/>
      <c r="E68" s="1127"/>
      <c r="F68" s="633">
        <f t="shared" si="5"/>
        <v>0</v>
      </c>
      <c r="G68" s="632"/>
      <c r="H68" s="1127"/>
      <c r="I68" s="633">
        <f t="shared" si="6"/>
        <v>0</v>
      </c>
      <c r="J68" s="633">
        <f t="shared" si="7"/>
        <v>0</v>
      </c>
      <c r="K68" s="633">
        <f t="shared" si="8"/>
        <v>0</v>
      </c>
      <c r="L68" s="1127"/>
      <c r="M68" s="1127"/>
      <c r="N68" s="1691">
        <f t="shared" si="3"/>
        <v>0</v>
      </c>
      <c r="O68" s="634">
        <f t="shared" si="4"/>
        <v>0</v>
      </c>
      <c r="P68" s="144"/>
      <c r="Q68" s="144"/>
      <c r="R68" s="144"/>
      <c r="S68" s="144"/>
    </row>
    <row r="69" spans="1:19" ht="14.25" customHeight="1">
      <c r="A69" s="630"/>
      <c r="B69" s="631"/>
      <c r="C69" s="1127"/>
      <c r="D69" s="632"/>
      <c r="E69" s="1127"/>
      <c r="F69" s="633">
        <f t="shared" si="5"/>
        <v>0</v>
      </c>
      <c r="G69" s="632"/>
      <c r="H69" s="1127"/>
      <c r="I69" s="633">
        <f t="shared" si="6"/>
        <v>0</v>
      </c>
      <c r="J69" s="633">
        <f t="shared" si="7"/>
        <v>0</v>
      </c>
      <c r="K69" s="633">
        <f t="shared" si="8"/>
        <v>0</v>
      </c>
      <c r="L69" s="1127"/>
      <c r="M69" s="1127"/>
      <c r="N69" s="1691">
        <f t="shared" si="3"/>
        <v>0</v>
      </c>
      <c r="O69" s="634">
        <f t="shared" si="4"/>
        <v>0</v>
      </c>
      <c r="P69" s="144"/>
      <c r="Q69" s="144"/>
      <c r="R69" s="144"/>
      <c r="S69" s="144"/>
    </row>
    <row r="70" spans="1:19" ht="14.25" customHeight="1">
      <c r="A70" s="630"/>
      <c r="B70" s="631"/>
      <c r="C70" s="1127"/>
      <c r="D70" s="632"/>
      <c r="E70" s="1127"/>
      <c r="F70" s="633">
        <f t="shared" si="5"/>
        <v>0</v>
      </c>
      <c r="G70" s="632"/>
      <c r="H70" s="1127"/>
      <c r="I70" s="633">
        <f t="shared" si="6"/>
        <v>0</v>
      </c>
      <c r="J70" s="633">
        <f t="shared" si="7"/>
        <v>0</v>
      </c>
      <c r="K70" s="633">
        <f t="shared" si="8"/>
        <v>0</v>
      </c>
      <c r="L70" s="1127"/>
      <c r="M70" s="1127"/>
      <c r="N70" s="1691">
        <f t="shared" si="3"/>
        <v>0</v>
      </c>
      <c r="O70" s="634">
        <f t="shared" si="4"/>
        <v>0</v>
      </c>
      <c r="P70" s="144"/>
      <c r="Q70" s="144"/>
      <c r="R70" s="144"/>
      <c r="S70" s="144"/>
    </row>
    <row r="71" spans="1:19" ht="14.25" customHeight="1">
      <c r="A71" s="630"/>
      <c r="B71" s="631"/>
      <c r="C71" s="1127"/>
      <c r="D71" s="632"/>
      <c r="E71" s="1127"/>
      <c r="F71" s="633">
        <f t="shared" si="5"/>
        <v>0</v>
      </c>
      <c r="G71" s="632"/>
      <c r="H71" s="1127"/>
      <c r="I71" s="633">
        <f t="shared" si="6"/>
        <v>0</v>
      </c>
      <c r="J71" s="633">
        <f t="shared" si="7"/>
        <v>0</v>
      </c>
      <c r="K71" s="633">
        <f t="shared" si="8"/>
        <v>0</v>
      </c>
      <c r="L71" s="1127"/>
      <c r="M71" s="1127"/>
      <c r="N71" s="1691">
        <f t="shared" si="3"/>
        <v>0</v>
      </c>
      <c r="O71" s="634">
        <f t="shared" si="4"/>
        <v>0</v>
      </c>
      <c r="P71" s="144"/>
      <c r="Q71" s="144"/>
      <c r="R71" s="144"/>
      <c r="S71" s="144"/>
    </row>
    <row r="72" spans="1:19" ht="14.25" customHeight="1">
      <c r="A72" s="630"/>
      <c r="B72" s="631"/>
      <c r="C72" s="1127"/>
      <c r="D72" s="632"/>
      <c r="E72" s="1127"/>
      <c r="F72" s="633">
        <f t="shared" si="5"/>
        <v>0</v>
      </c>
      <c r="G72" s="632"/>
      <c r="H72" s="1127"/>
      <c r="I72" s="633">
        <f t="shared" si="6"/>
        <v>0</v>
      </c>
      <c r="J72" s="633">
        <f t="shared" si="7"/>
        <v>0</v>
      </c>
      <c r="K72" s="633">
        <f t="shared" si="8"/>
        <v>0</v>
      </c>
      <c r="L72" s="1127"/>
      <c r="M72" s="1127"/>
      <c r="N72" s="1691">
        <f t="shared" si="3"/>
        <v>0</v>
      </c>
      <c r="O72" s="634">
        <f t="shared" si="4"/>
        <v>0</v>
      </c>
      <c r="P72" s="144"/>
      <c r="Q72" s="144"/>
      <c r="R72" s="144"/>
      <c r="S72" s="144"/>
    </row>
    <row r="73" spans="1:19" ht="14.25" customHeight="1">
      <c r="A73" s="630"/>
      <c r="B73" s="631"/>
      <c r="C73" s="1127"/>
      <c r="D73" s="632"/>
      <c r="E73" s="1127"/>
      <c r="F73" s="633">
        <f t="shared" si="5"/>
        <v>0</v>
      </c>
      <c r="G73" s="632"/>
      <c r="H73" s="1127"/>
      <c r="I73" s="633">
        <f t="shared" si="6"/>
        <v>0</v>
      </c>
      <c r="J73" s="633">
        <f t="shared" si="7"/>
        <v>0</v>
      </c>
      <c r="K73" s="633">
        <f t="shared" si="8"/>
        <v>0</v>
      </c>
      <c r="L73" s="1127"/>
      <c r="M73" s="1127"/>
      <c r="N73" s="1691">
        <f t="shared" si="3"/>
        <v>0</v>
      </c>
      <c r="O73" s="634">
        <f t="shared" si="4"/>
        <v>0</v>
      </c>
      <c r="P73" s="144"/>
      <c r="Q73" s="144"/>
      <c r="R73" s="144"/>
      <c r="S73" s="144"/>
    </row>
    <row r="74" spans="1:19" ht="14.25" customHeight="1">
      <c r="A74" s="630"/>
      <c r="B74" s="631"/>
      <c r="C74" s="1127"/>
      <c r="D74" s="632"/>
      <c r="E74" s="1127"/>
      <c r="F74" s="633">
        <f t="shared" si="5"/>
        <v>0</v>
      </c>
      <c r="G74" s="632"/>
      <c r="H74" s="1127"/>
      <c r="I74" s="633">
        <f t="shared" si="6"/>
        <v>0</v>
      </c>
      <c r="J74" s="633">
        <f t="shared" si="7"/>
        <v>0</v>
      </c>
      <c r="K74" s="633">
        <f t="shared" si="8"/>
        <v>0</v>
      </c>
      <c r="L74" s="1127"/>
      <c r="M74" s="1127"/>
      <c r="N74" s="1691">
        <f t="shared" ref="N74:N137" si="9">IF(M74&lt;&gt;0,ROUND(B74*K74,2)+M74,IF(ABS(ROUND(K74*B74,2)-L74)&lt;3,L74,MIN(ROUND(K74*B74,2),L74)))</f>
        <v>0</v>
      </c>
      <c r="O74" s="634">
        <f t="shared" ref="O74:O137" si="10">IF(ISERROR(L74-N74),"",IF(ABS(L74-N74)&lt;3,0,L74-N74))</f>
        <v>0</v>
      </c>
      <c r="P74" s="144"/>
      <c r="Q74" s="144"/>
      <c r="R74" s="144"/>
      <c r="S74" s="144"/>
    </row>
    <row r="75" spans="1:19" ht="14.25" customHeight="1">
      <c r="A75" s="630"/>
      <c r="B75" s="631"/>
      <c r="C75" s="1127"/>
      <c r="D75" s="632"/>
      <c r="E75" s="1127"/>
      <c r="F75" s="633">
        <f t="shared" ref="F75:F138" si="11">E75*(12-MONTH(D75))/12</f>
        <v>0</v>
      </c>
      <c r="G75" s="632"/>
      <c r="H75" s="1127"/>
      <c r="I75" s="633">
        <f t="shared" ref="I75:I138" si="12">H75*(12-MONTH(G75))/12</f>
        <v>0</v>
      </c>
      <c r="J75" s="633">
        <f t="shared" ref="J75:J138" si="13">C75+E75-H75</f>
        <v>0</v>
      </c>
      <c r="K75" s="633">
        <f t="shared" ref="K75:K138" si="14">C75+F75-I75</f>
        <v>0</v>
      </c>
      <c r="L75" s="1127"/>
      <c r="M75" s="1127"/>
      <c r="N75" s="1691">
        <f t="shared" si="9"/>
        <v>0</v>
      </c>
      <c r="O75" s="634">
        <f t="shared" si="10"/>
        <v>0</v>
      </c>
      <c r="P75" s="144"/>
      <c r="Q75" s="144"/>
      <c r="R75" s="144"/>
      <c r="S75" s="144"/>
    </row>
    <row r="76" spans="1:19" ht="14.25" customHeight="1">
      <c r="A76" s="630"/>
      <c r="B76" s="631"/>
      <c r="C76" s="1127"/>
      <c r="D76" s="632"/>
      <c r="E76" s="1127"/>
      <c r="F76" s="633">
        <f t="shared" si="11"/>
        <v>0</v>
      </c>
      <c r="G76" s="632"/>
      <c r="H76" s="1127"/>
      <c r="I76" s="633">
        <f t="shared" si="12"/>
        <v>0</v>
      </c>
      <c r="J76" s="633">
        <f t="shared" si="13"/>
        <v>0</v>
      </c>
      <c r="K76" s="633">
        <f t="shared" si="14"/>
        <v>0</v>
      </c>
      <c r="L76" s="1127"/>
      <c r="M76" s="1127"/>
      <c r="N76" s="1691">
        <f t="shared" si="9"/>
        <v>0</v>
      </c>
      <c r="O76" s="634">
        <f t="shared" si="10"/>
        <v>0</v>
      </c>
      <c r="P76" s="144"/>
      <c r="Q76" s="144"/>
      <c r="R76" s="144"/>
      <c r="S76" s="144"/>
    </row>
    <row r="77" spans="1:19" ht="14.25" customHeight="1">
      <c r="A77" s="630"/>
      <c r="B77" s="631"/>
      <c r="C77" s="1127"/>
      <c r="D77" s="632"/>
      <c r="E77" s="1127"/>
      <c r="F77" s="633">
        <f t="shared" si="11"/>
        <v>0</v>
      </c>
      <c r="G77" s="632"/>
      <c r="H77" s="1127"/>
      <c r="I77" s="633">
        <f t="shared" si="12"/>
        <v>0</v>
      </c>
      <c r="J77" s="633">
        <f t="shared" si="13"/>
        <v>0</v>
      </c>
      <c r="K77" s="633">
        <f t="shared" si="14"/>
        <v>0</v>
      </c>
      <c r="L77" s="1127"/>
      <c r="M77" s="1127"/>
      <c r="N77" s="1691">
        <f t="shared" si="9"/>
        <v>0</v>
      </c>
      <c r="O77" s="634">
        <f t="shared" si="10"/>
        <v>0</v>
      </c>
      <c r="P77" s="144"/>
      <c r="Q77" s="144"/>
      <c r="R77" s="144"/>
      <c r="S77" s="144"/>
    </row>
    <row r="78" spans="1:19" ht="14.25" customHeight="1">
      <c r="A78" s="630"/>
      <c r="B78" s="631"/>
      <c r="C78" s="1127"/>
      <c r="D78" s="632"/>
      <c r="E78" s="1127"/>
      <c r="F78" s="633">
        <f t="shared" si="11"/>
        <v>0</v>
      </c>
      <c r="G78" s="632"/>
      <c r="H78" s="1127"/>
      <c r="I78" s="633">
        <f t="shared" si="12"/>
        <v>0</v>
      </c>
      <c r="J78" s="633">
        <f t="shared" si="13"/>
        <v>0</v>
      </c>
      <c r="K78" s="633">
        <f t="shared" si="14"/>
        <v>0</v>
      </c>
      <c r="L78" s="1127"/>
      <c r="M78" s="1127"/>
      <c r="N78" s="1691">
        <f t="shared" si="9"/>
        <v>0</v>
      </c>
      <c r="O78" s="634">
        <f t="shared" si="10"/>
        <v>0</v>
      </c>
      <c r="P78" s="144"/>
      <c r="Q78" s="144"/>
      <c r="R78" s="144"/>
      <c r="S78" s="144"/>
    </row>
    <row r="79" spans="1:19" ht="14.25" customHeight="1">
      <c r="A79" s="630"/>
      <c r="B79" s="631"/>
      <c r="C79" s="1127"/>
      <c r="D79" s="632"/>
      <c r="E79" s="1127"/>
      <c r="F79" s="633">
        <f t="shared" si="11"/>
        <v>0</v>
      </c>
      <c r="G79" s="632"/>
      <c r="H79" s="1127"/>
      <c r="I79" s="633">
        <f t="shared" si="12"/>
        <v>0</v>
      </c>
      <c r="J79" s="633">
        <f t="shared" si="13"/>
        <v>0</v>
      </c>
      <c r="K79" s="633">
        <f t="shared" si="14"/>
        <v>0</v>
      </c>
      <c r="L79" s="1127"/>
      <c r="M79" s="1127"/>
      <c r="N79" s="1691">
        <f t="shared" si="9"/>
        <v>0</v>
      </c>
      <c r="O79" s="634">
        <f t="shared" si="10"/>
        <v>0</v>
      </c>
      <c r="P79" s="144"/>
      <c r="Q79" s="144"/>
      <c r="R79" s="144"/>
      <c r="S79" s="144"/>
    </row>
    <row r="80" spans="1:19" ht="14.25" customHeight="1">
      <c r="A80" s="630"/>
      <c r="B80" s="631"/>
      <c r="C80" s="1127"/>
      <c r="D80" s="632"/>
      <c r="E80" s="1127"/>
      <c r="F80" s="633">
        <f t="shared" si="11"/>
        <v>0</v>
      </c>
      <c r="G80" s="632"/>
      <c r="H80" s="1127"/>
      <c r="I80" s="633">
        <f t="shared" si="12"/>
        <v>0</v>
      </c>
      <c r="J80" s="633">
        <f t="shared" si="13"/>
        <v>0</v>
      </c>
      <c r="K80" s="633">
        <f t="shared" si="14"/>
        <v>0</v>
      </c>
      <c r="L80" s="1127"/>
      <c r="M80" s="1127"/>
      <c r="N80" s="1691">
        <f t="shared" si="9"/>
        <v>0</v>
      </c>
      <c r="O80" s="634">
        <f t="shared" si="10"/>
        <v>0</v>
      </c>
      <c r="P80" s="144"/>
      <c r="Q80" s="144"/>
      <c r="R80" s="144"/>
      <c r="S80" s="144"/>
    </row>
    <row r="81" spans="1:19" ht="14.25" customHeight="1">
      <c r="A81" s="630"/>
      <c r="B81" s="631"/>
      <c r="C81" s="1127"/>
      <c r="D81" s="632"/>
      <c r="E81" s="1127"/>
      <c r="F81" s="633">
        <f t="shared" si="11"/>
        <v>0</v>
      </c>
      <c r="G81" s="632"/>
      <c r="H81" s="1127"/>
      <c r="I81" s="633">
        <f t="shared" si="12"/>
        <v>0</v>
      </c>
      <c r="J81" s="633">
        <f t="shared" si="13"/>
        <v>0</v>
      </c>
      <c r="K81" s="633">
        <f t="shared" si="14"/>
        <v>0</v>
      </c>
      <c r="L81" s="1127"/>
      <c r="M81" s="1127"/>
      <c r="N81" s="1691">
        <f t="shared" si="9"/>
        <v>0</v>
      </c>
      <c r="O81" s="634">
        <f t="shared" si="10"/>
        <v>0</v>
      </c>
      <c r="P81" s="144"/>
      <c r="Q81" s="144"/>
      <c r="R81" s="144"/>
      <c r="S81" s="144"/>
    </row>
    <row r="82" spans="1:19" ht="14.25" customHeight="1">
      <c r="A82" s="630"/>
      <c r="B82" s="631"/>
      <c r="C82" s="1127"/>
      <c r="D82" s="632"/>
      <c r="E82" s="1127"/>
      <c r="F82" s="633">
        <f t="shared" si="11"/>
        <v>0</v>
      </c>
      <c r="G82" s="632"/>
      <c r="H82" s="1127"/>
      <c r="I82" s="633">
        <f t="shared" si="12"/>
        <v>0</v>
      </c>
      <c r="J82" s="633">
        <f t="shared" si="13"/>
        <v>0</v>
      </c>
      <c r="K82" s="633">
        <f t="shared" si="14"/>
        <v>0</v>
      </c>
      <c r="L82" s="1127"/>
      <c r="M82" s="1127"/>
      <c r="N82" s="1691">
        <f t="shared" si="9"/>
        <v>0</v>
      </c>
      <c r="O82" s="634">
        <f t="shared" si="10"/>
        <v>0</v>
      </c>
      <c r="P82" s="144"/>
      <c r="Q82" s="144"/>
      <c r="R82" s="144"/>
      <c r="S82" s="144"/>
    </row>
    <row r="83" spans="1:19" ht="14.25" customHeight="1">
      <c r="A83" s="630"/>
      <c r="B83" s="631"/>
      <c r="C83" s="1127"/>
      <c r="D83" s="632"/>
      <c r="E83" s="1127"/>
      <c r="F83" s="633">
        <f t="shared" si="11"/>
        <v>0</v>
      </c>
      <c r="G83" s="632"/>
      <c r="H83" s="1127"/>
      <c r="I83" s="633">
        <f t="shared" si="12"/>
        <v>0</v>
      </c>
      <c r="J83" s="633">
        <f t="shared" si="13"/>
        <v>0</v>
      </c>
      <c r="K83" s="633">
        <f t="shared" si="14"/>
        <v>0</v>
      </c>
      <c r="L83" s="1127"/>
      <c r="M83" s="1127"/>
      <c r="N83" s="1691">
        <f t="shared" si="9"/>
        <v>0</v>
      </c>
      <c r="O83" s="634">
        <f t="shared" si="10"/>
        <v>0</v>
      </c>
      <c r="P83" s="144"/>
      <c r="Q83" s="144"/>
      <c r="R83" s="144"/>
      <c r="S83" s="144"/>
    </row>
    <row r="84" spans="1:19" ht="14.25" customHeight="1">
      <c r="A84" s="630"/>
      <c r="B84" s="631"/>
      <c r="C84" s="1127"/>
      <c r="D84" s="632"/>
      <c r="E84" s="1127"/>
      <c r="F84" s="633">
        <f t="shared" si="11"/>
        <v>0</v>
      </c>
      <c r="G84" s="632"/>
      <c r="H84" s="1127"/>
      <c r="I84" s="633">
        <f t="shared" si="12"/>
        <v>0</v>
      </c>
      <c r="J84" s="633">
        <f t="shared" si="13"/>
        <v>0</v>
      </c>
      <c r="K84" s="633">
        <f t="shared" si="14"/>
        <v>0</v>
      </c>
      <c r="L84" s="1127"/>
      <c r="M84" s="1127"/>
      <c r="N84" s="1691">
        <f t="shared" si="9"/>
        <v>0</v>
      </c>
      <c r="O84" s="634">
        <f t="shared" si="10"/>
        <v>0</v>
      </c>
      <c r="P84" s="144"/>
      <c r="Q84" s="144"/>
      <c r="R84" s="144"/>
      <c r="S84" s="144"/>
    </row>
    <row r="85" spans="1:19" ht="14.25" customHeight="1">
      <c r="A85" s="630"/>
      <c r="B85" s="631"/>
      <c r="C85" s="1127"/>
      <c r="D85" s="632"/>
      <c r="E85" s="1127"/>
      <c r="F85" s="633">
        <f t="shared" si="11"/>
        <v>0</v>
      </c>
      <c r="G85" s="632"/>
      <c r="H85" s="1127"/>
      <c r="I85" s="633">
        <f t="shared" si="12"/>
        <v>0</v>
      </c>
      <c r="J85" s="633">
        <f t="shared" si="13"/>
        <v>0</v>
      </c>
      <c r="K85" s="633">
        <f t="shared" si="14"/>
        <v>0</v>
      </c>
      <c r="L85" s="1127"/>
      <c r="M85" s="1127"/>
      <c r="N85" s="1691">
        <f t="shared" si="9"/>
        <v>0</v>
      </c>
      <c r="O85" s="634">
        <f t="shared" si="10"/>
        <v>0</v>
      </c>
      <c r="P85" s="144"/>
      <c r="Q85" s="144"/>
      <c r="R85" s="144"/>
      <c r="S85" s="144"/>
    </row>
    <row r="86" spans="1:19" ht="14.25" customHeight="1">
      <c r="A86" s="630"/>
      <c r="B86" s="631"/>
      <c r="C86" s="1127"/>
      <c r="D86" s="632"/>
      <c r="E86" s="1127"/>
      <c r="F86" s="633">
        <f t="shared" si="11"/>
        <v>0</v>
      </c>
      <c r="G86" s="632"/>
      <c r="H86" s="1127"/>
      <c r="I86" s="633">
        <f t="shared" si="12"/>
        <v>0</v>
      </c>
      <c r="J86" s="633">
        <f t="shared" si="13"/>
        <v>0</v>
      </c>
      <c r="K86" s="633">
        <f t="shared" si="14"/>
        <v>0</v>
      </c>
      <c r="L86" s="1127"/>
      <c r="M86" s="1127"/>
      <c r="N86" s="1691">
        <f t="shared" si="9"/>
        <v>0</v>
      </c>
      <c r="O86" s="634">
        <f t="shared" si="10"/>
        <v>0</v>
      </c>
      <c r="P86" s="144"/>
      <c r="Q86" s="144"/>
      <c r="R86" s="144"/>
      <c r="S86" s="144"/>
    </row>
    <row r="87" spans="1:19" ht="14.25" customHeight="1">
      <c r="A87" s="630"/>
      <c r="B87" s="631"/>
      <c r="C87" s="1127"/>
      <c r="D87" s="632"/>
      <c r="E87" s="1127"/>
      <c r="F87" s="633">
        <f t="shared" si="11"/>
        <v>0</v>
      </c>
      <c r="G87" s="632"/>
      <c r="H87" s="1127"/>
      <c r="I87" s="633">
        <f t="shared" si="12"/>
        <v>0</v>
      </c>
      <c r="J87" s="633">
        <f t="shared" si="13"/>
        <v>0</v>
      </c>
      <c r="K87" s="633">
        <f t="shared" si="14"/>
        <v>0</v>
      </c>
      <c r="L87" s="1127"/>
      <c r="M87" s="1127"/>
      <c r="N87" s="1691">
        <f t="shared" si="9"/>
        <v>0</v>
      </c>
      <c r="O87" s="634">
        <f t="shared" si="10"/>
        <v>0</v>
      </c>
      <c r="P87" s="144"/>
      <c r="Q87" s="144"/>
      <c r="R87" s="144"/>
      <c r="S87" s="144"/>
    </row>
    <row r="88" spans="1:19" ht="14.25" customHeight="1">
      <c r="A88" s="630"/>
      <c r="B88" s="631"/>
      <c r="C88" s="1127"/>
      <c r="D88" s="632"/>
      <c r="E88" s="1127"/>
      <c r="F88" s="633">
        <f t="shared" si="11"/>
        <v>0</v>
      </c>
      <c r="G88" s="632"/>
      <c r="H88" s="1127"/>
      <c r="I88" s="633">
        <f t="shared" si="12"/>
        <v>0</v>
      </c>
      <c r="J88" s="633">
        <f t="shared" si="13"/>
        <v>0</v>
      </c>
      <c r="K88" s="633">
        <f t="shared" si="14"/>
        <v>0</v>
      </c>
      <c r="L88" s="1127"/>
      <c r="M88" s="1127"/>
      <c r="N88" s="1691">
        <f t="shared" si="9"/>
        <v>0</v>
      </c>
      <c r="O88" s="634">
        <f t="shared" si="10"/>
        <v>0</v>
      </c>
      <c r="P88" s="144"/>
      <c r="Q88" s="144"/>
      <c r="R88" s="144"/>
      <c r="S88" s="144"/>
    </row>
    <row r="89" spans="1:19" ht="14.25" customHeight="1">
      <c r="A89" s="630"/>
      <c r="B89" s="631"/>
      <c r="C89" s="1127"/>
      <c r="D89" s="632"/>
      <c r="E89" s="1127"/>
      <c r="F89" s="633">
        <f t="shared" si="11"/>
        <v>0</v>
      </c>
      <c r="G89" s="632"/>
      <c r="H89" s="1127"/>
      <c r="I89" s="633">
        <f t="shared" si="12"/>
        <v>0</v>
      </c>
      <c r="J89" s="633">
        <f t="shared" si="13"/>
        <v>0</v>
      </c>
      <c r="K89" s="633">
        <f t="shared" si="14"/>
        <v>0</v>
      </c>
      <c r="L89" s="1127"/>
      <c r="M89" s="1127"/>
      <c r="N89" s="1691">
        <f t="shared" si="9"/>
        <v>0</v>
      </c>
      <c r="O89" s="634">
        <f t="shared" si="10"/>
        <v>0</v>
      </c>
      <c r="P89" s="144"/>
      <c r="Q89" s="144"/>
      <c r="R89" s="144"/>
      <c r="S89" s="144"/>
    </row>
    <row r="90" spans="1:19" ht="14.25" customHeight="1">
      <c r="A90" s="630"/>
      <c r="B90" s="631"/>
      <c r="C90" s="1127"/>
      <c r="D90" s="632"/>
      <c r="E90" s="1127"/>
      <c r="F90" s="633">
        <f t="shared" si="11"/>
        <v>0</v>
      </c>
      <c r="G90" s="632"/>
      <c r="H90" s="1127"/>
      <c r="I90" s="633">
        <f t="shared" si="12"/>
        <v>0</v>
      </c>
      <c r="J90" s="633">
        <f t="shared" si="13"/>
        <v>0</v>
      </c>
      <c r="K90" s="633">
        <f t="shared" si="14"/>
        <v>0</v>
      </c>
      <c r="L90" s="1127"/>
      <c r="M90" s="1127"/>
      <c r="N90" s="1691">
        <f t="shared" si="9"/>
        <v>0</v>
      </c>
      <c r="O90" s="634">
        <f t="shared" si="10"/>
        <v>0</v>
      </c>
      <c r="P90" s="144"/>
      <c r="Q90" s="144"/>
      <c r="R90" s="144"/>
      <c r="S90" s="144"/>
    </row>
    <row r="91" spans="1:19" ht="14.25" customHeight="1">
      <c r="A91" s="630"/>
      <c r="B91" s="631"/>
      <c r="C91" s="1127"/>
      <c r="D91" s="632"/>
      <c r="E91" s="1127"/>
      <c r="F91" s="633">
        <f t="shared" si="11"/>
        <v>0</v>
      </c>
      <c r="G91" s="632"/>
      <c r="H91" s="1127"/>
      <c r="I91" s="633">
        <f t="shared" si="12"/>
        <v>0</v>
      </c>
      <c r="J91" s="633">
        <f t="shared" si="13"/>
        <v>0</v>
      </c>
      <c r="K91" s="633">
        <f t="shared" si="14"/>
        <v>0</v>
      </c>
      <c r="L91" s="1127"/>
      <c r="M91" s="1127"/>
      <c r="N91" s="1691">
        <f t="shared" si="9"/>
        <v>0</v>
      </c>
      <c r="O91" s="634">
        <f t="shared" si="10"/>
        <v>0</v>
      </c>
      <c r="P91" s="144"/>
      <c r="Q91" s="144"/>
      <c r="R91" s="144"/>
      <c r="S91" s="144"/>
    </row>
    <row r="92" spans="1:19" ht="14.25" customHeight="1">
      <c r="A92" s="630"/>
      <c r="B92" s="631"/>
      <c r="C92" s="1127"/>
      <c r="D92" s="632"/>
      <c r="E92" s="1127"/>
      <c r="F92" s="633">
        <f t="shared" si="11"/>
        <v>0</v>
      </c>
      <c r="G92" s="632"/>
      <c r="H92" s="1127"/>
      <c r="I92" s="633">
        <f t="shared" si="12"/>
        <v>0</v>
      </c>
      <c r="J92" s="633">
        <f t="shared" si="13"/>
        <v>0</v>
      </c>
      <c r="K92" s="633">
        <f t="shared" si="14"/>
        <v>0</v>
      </c>
      <c r="L92" s="1127"/>
      <c r="M92" s="1127"/>
      <c r="N92" s="1691">
        <f t="shared" si="9"/>
        <v>0</v>
      </c>
      <c r="O92" s="634">
        <f t="shared" si="10"/>
        <v>0</v>
      </c>
      <c r="P92" s="144"/>
      <c r="Q92" s="144"/>
      <c r="R92" s="144"/>
      <c r="S92" s="144"/>
    </row>
    <row r="93" spans="1:19" ht="14.25" customHeight="1">
      <c r="A93" s="630"/>
      <c r="B93" s="631"/>
      <c r="C93" s="1127"/>
      <c r="D93" s="632"/>
      <c r="E93" s="1127"/>
      <c r="F93" s="633">
        <f t="shared" si="11"/>
        <v>0</v>
      </c>
      <c r="G93" s="632"/>
      <c r="H93" s="1127"/>
      <c r="I93" s="633">
        <f t="shared" si="12"/>
        <v>0</v>
      </c>
      <c r="J93" s="633">
        <f t="shared" si="13"/>
        <v>0</v>
      </c>
      <c r="K93" s="633">
        <f t="shared" si="14"/>
        <v>0</v>
      </c>
      <c r="L93" s="1127"/>
      <c r="M93" s="1127"/>
      <c r="N93" s="1691">
        <f t="shared" si="9"/>
        <v>0</v>
      </c>
      <c r="O93" s="634">
        <f t="shared" si="10"/>
        <v>0</v>
      </c>
      <c r="P93" s="144"/>
      <c r="Q93" s="144"/>
      <c r="R93" s="144"/>
      <c r="S93" s="144"/>
    </row>
    <row r="94" spans="1:19" ht="14.25" customHeight="1">
      <c r="A94" s="630"/>
      <c r="B94" s="631"/>
      <c r="C94" s="1127"/>
      <c r="D94" s="632"/>
      <c r="E94" s="1127"/>
      <c r="F94" s="633">
        <f t="shared" si="11"/>
        <v>0</v>
      </c>
      <c r="G94" s="632"/>
      <c r="H94" s="1127"/>
      <c r="I94" s="633">
        <f t="shared" si="12"/>
        <v>0</v>
      </c>
      <c r="J94" s="633">
        <f t="shared" si="13"/>
        <v>0</v>
      </c>
      <c r="K94" s="633">
        <f t="shared" si="14"/>
        <v>0</v>
      </c>
      <c r="L94" s="1127"/>
      <c r="M94" s="1127"/>
      <c r="N94" s="1691">
        <f t="shared" si="9"/>
        <v>0</v>
      </c>
      <c r="O94" s="634">
        <f t="shared" si="10"/>
        <v>0</v>
      </c>
      <c r="P94" s="144"/>
      <c r="Q94" s="144"/>
      <c r="R94" s="144"/>
      <c r="S94" s="144"/>
    </row>
    <row r="95" spans="1:19" ht="14.25" customHeight="1">
      <c r="A95" s="630"/>
      <c r="B95" s="631"/>
      <c r="C95" s="1127"/>
      <c r="D95" s="632"/>
      <c r="E95" s="1127"/>
      <c r="F95" s="633">
        <f t="shared" si="11"/>
        <v>0</v>
      </c>
      <c r="G95" s="632"/>
      <c r="H95" s="1127"/>
      <c r="I95" s="633">
        <f t="shared" si="12"/>
        <v>0</v>
      </c>
      <c r="J95" s="633">
        <f t="shared" si="13"/>
        <v>0</v>
      </c>
      <c r="K95" s="633">
        <f t="shared" si="14"/>
        <v>0</v>
      </c>
      <c r="L95" s="1127"/>
      <c r="M95" s="1127"/>
      <c r="N95" s="1691">
        <f t="shared" si="9"/>
        <v>0</v>
      </c>
      <c r="O95" s="634">
        <f t="shared" si="10"/>
        <v>0</v>
      </c>
      <c r="P95" s="144"/>
      <c r="Q95" s="144"/>
      <c r="R95" s="144"/>
      <c r="S95" s="144"/>
    </row>
    <row r="96" spans="1:19" ht="14.25" customHeight="1">
      <c r="A96" s="630"/>
      <c r="B96" s="631"/>
      <c r="C96" s="1127"/>
      <c r="D96" s="632"/>
      <c r="E96" s="1127"/>
      <c r="F96" s="633">
        <f t="shared" si="11"/>
        <v>0</v>
      </c>
      <c r="G96" s="632"/>
      <c r="H96" s="1127"/>
      <c r="I96" s="633">
        <f t="shared" si="12"/>
        <v>0</v>
      </c>
      <c r="J96" s="633">
        <f t="shared" si="13"/>
        <v>0</v>
      </c>
      <c r="K96" s="633">
        <f t="shared" si="14"/>
        <v>0</v>
      </c>
      <c r="L96" s="1127"/>
      <c r="M96" s="1127"/>
      <c r="N96" s="1691">
        <f t="shared" si="9"/>
        <v>0</v>
      </c>
      <c r="O96" s="634">
        <f t="shared" si="10"/>
        <v>0</v>
      </c>
      <c r="P96" s="144"/>
      <c r="Q96" s="144"/>
      <c r="R96" s="144"/>
      <c r="S96" s="144"/>
    </row>
    <row r="97" spans="1:19" ht="14.25" customHeight="1">
      <c r="A97" s="630"/>
      <c r="B97" s="631"/>
      <c r="C97" s="1127"/>
      <c r="D97" s="632"/>
      <c r="E97" s="1127"/>
      <c r="F97" s="633">
        <f t="shared" si="11"/>
        <v>0</v>
      </c>
      <c r="G97" s="632"/>
      <c r="H97" s="1127"/>
      <c r="I97" s="633">
        <f t="shared" si="12"/>
        <v>0</v>
      </c>
      <c r="J97" s="633">
        <f t="shared" si="13"/>
        <v>0</v>
      </c>
      <c r="K97" s="633">
        <f t="shared" si="14"/>
        <v>0</v>
      </c>
      <c r="L97" s="1127"/>
      <c r="M97" s="1127"/>
      <c r="N97" s="1691">
        <f t="shared" si="9"/>
        <v>0</v>
      </c>
      <c r="O97" s="634">
        <f t="shared" si="10"/>
        <v>0</v>
      </c>
      <c r="P97" s="144"/>
      <c r="Q97" s="144"/>
      <c r="R97" s="144"/>
      <c r="S97" s="144"/>
    </row>
    <row r="98" spans="1:19" ht="14.25" customHeight="1">
      <c r="A98" s="630"/>
      <c r="B98" s="631"/>
      <c r="C98" s="1127"/>
      <c r="D98" s="632"/>
      <c r="E98" s="1127"/>
      <c r="F98" s="633">
        <f t="shared" si="11"/>
        <v>0</v>
      </c>
      <c r="G98" s="632"/>
      <c r="H98" s="1127"/>
      <c r="I98" s="633">
        <f t="shared" si="12"/>
        <v>0</v>
      </c>
      <c r="J98" s="633">
        <f t="shared" si="13"/>
        <v>0</v>
      </c>
      <c r="K98" s="633">
        <f t="shared" si="14"/>
        <v>0</v>
      </c>
      <c r="L98" s="1127"/>
      <c r="M98" s="1127"/>
      <c r="N98" s="1691">
        <f t="shared" si="9"/>
        <v>0</v>
      </c>
      <c r="O98" s="634">
        <f t="shared" si="10"/>
        <v>0</v>
      </c>
      <c r="P98" s="144"/>
      <c r="Q98" s="144"/>
      <c r="R98" s="144"/>
      <c r="S98" s="144"/>
    </row>
    <row r="99" spans="1:19" ht="14.25" customHeight="1">
      <c r="A99" s="630"/>
      <c r="B99" s="631"/>
      <c r="C99" s="1127"/>
      <c r="D99" s="632"/>
      <c r="E99" s="1127"/>
      <c r="F99" s="633">
        <f t="shared" si="11"/>
        <v>0</v>
      </c>
      <c r="G99" s="632"/>
      <c r="H99" s="1127"/>
      <c r="I99" s="633">
        <f t="shared" si="12"/>
        <v>0</v>
      </c>
      <c r="J99" s="633">
        <f t="shared" si="13"/>
        <v>0</v>
      </c>
      <c r="K99" s="633">
        <f t="shared" si="14"/>
        <v>0</v>
      </c>
      <c r="L99" s="1127"/>
      <c r="M99" s="1127"/>
      <c r="N99" s="1691">
        <f t="shared" si="9"/>
        <v>0</v>
      </c>
      <c r="O99" s="634">
        <f t="shared" si="10"/>
        <v>0</v>
      </c>
      <c r="P99" s="144"/>
      <c r="Q99" s="144"/>
      <c r="R99" s="144"/>
      <c r="S99" s="144"/>
    </row>
    <row r="100" spans="1:19" ht="14.25" customHeight="1">
      <c r="A100" s="630"/>
      <c r="B100" s="631"/>
      <c r="C100" s="1127"/>
      <c r="D100" s="632"/>
      <c r="E100" s="1127"/>
      <c r="F100" s="633">
        <f t="shared" si="11"/>
        <v>0</v>
      </c>
      <c r="G100" s="632"/>
      <c r="H100" s="1127"/>
      <c r="I100" s="633">
        <f t="shared" si="12"/>
        <v>0</v>
      </c>
      <c r="J100" s="633">
        <f t="shared" si="13"/>
        <v>0</v>
      </c>
      <c r="K100" s="633">
        <f t="shared" si="14"/>
        <v>0</v>
      </c>
      <c r="L100" s="1127"/>
      <c r="M100" s="1127"/>
      <c r="N100" s="1691">
        <f t="shared" si="9"/>
        <v>0</v>
      </c>
      <c r="O100" s="634">
        <f t="shared" si="10"/>
        <v>0</v>
      </c>
      <c r="P100" s="144"/>
      <c r="Q100" s="144"/>
      <c r="R100" s="144"/>
      <c r="S100" s="144"/>
    </row>
    <row r="101" spans="1:19" ht="14.25" customHeight="1">
      <c r="A101" s="630"/>
      <c r="B101" s="631"/>
      <c r="C101" s="1127"/>
      <c r="D101" s="632"/>
      <c r="E101" s="1127"/>
      <c r="F101" s="633">
        <f t="shared" si="11"/>
        <v>0</v>
      </c>
      <c r="G101" s="632"/>
      <c r="H101" s="1127"/>
      <c r="I101" s="633">
        <f t="shared" si="12"/>
        <v>0</v>
      </c>
      <c r="J101" s="633">
        <f t="shared" si="13"/>
        <v>0</v>
      </c>
      <c r="K101" s="633">
        <f t="shared" si="14"/>
        <v>0</v>
      </c>
      <c r="L101" s="1127"/>
      <c r="M101" s="1127"/>
      <c r="N101" s="1691">
        <f t="shared" si="9"/>
        <v>0</v>
      </c>
      <c r="O101" s="634">
        <f t="shared" si="10"/>
        <v>0</v>
      </c>
      <c r="P101" s="144"/>
      <c r="Q101" s="144"/>
      <c r="R101" s="144"/>
      <c r="S101" s="144"/>
    </row>
    <row r="102" spans="1:19" ht="14.25" customHeight="1">
      <c r="A102" s="630"/>
      <c r="B102" s="631"/>
      <c r="C102" s="1127"/>
      <c r="D102" s="632"/>
      <c r="E102" s="1127"/>
      <c r="F102" s="633">
        <f t="shared" si="11"/>
        <v>0</v>
      </c>
      <c r="G102" s="632"/>
      <c r="H102" s="1127"/>
      <c r="I102" s="633">
        <f t="shared" si="12"/>
        <v>0</v>
      </c>
      <c r="J102" s="633">
        <f t="shared" si="13"/>
        <v>0</v>
      </c>
      <c r="K102" s="633">
        <f t="shared" si="14"/>
        <v>0</v>
      </c>
      <c r="L102" s="1127"/>
      <c r="M102" s="1127"/>
      <c r="N102" s="1691">
        <f t="shared" si="9"/>
        <v>0</v>
      </c>
      <c r="O102" s="634">
        <f t="shared" si="10"/>
        <v>0</v>
      </c>
      <c r="P102" s="144"/>
      <c r="Q102" s="144"/>
      <c r="R102" s="144"/>
      <c r="S102" s="144"/>
    </row>
    <row r="103" spans="1:19" ht="14.25" customHeight="1">
      <c r="A103" s="630"/>
      <c r="B103" s="631"/>
      <c r="C103" s="1127"/>
      <c r="D103" s="632"/>
      <c r="E103" s="1127"/>
      <c r="F103" s="633">
        <f t="shared" si="11"/>
        <v>0</v>
      </c>
      <c r="G103" s="632"/>
      <c r="H103" s="1127"/>
      <c r="I103" s="633">
        <f t="shared" si="12"/>
        <v>0</v>
      </c>
      <c r="J103" s="633">
        <f t="shared" si="13"/>
        <v>0</v>
      </c>
      <c r="K103" s="633">
        <f t="shared" si="14"/>
        <v>0</v>
      </c>
      <c r="L103" s="1127"/>
      <c r="M103" s="1127"/>
      <c r="N103" s="1691">
        <f t="shared" si="9"/>
        <v>0</v>
      </c>
      <c r="O103" s="634">
        <f t="shared" si="10"/>
        <v>0</v>
      </c>
      <c r="P103" s="144"/>
      <c r="Q103" s="144"/>
      <c r="R103" s="144"/>
      <c r="S103" s="144"/>
    </row>
    <row r="104" spans="1:19" ht="14.25" customHeight="1">
      <c r="A104" s="630"/>
      <c r="B104" s="631"/>
      <c r="C104" s="1127"/>
      <c r="D104" s="632"/>
      <c r="E104" s="1127"/>
      <c r="F104" s="633">
        <f t="shared" si="11"/>
        <v>0</v>
      </c>
      <c r="G104" s="632"/>
      <c r="H104" s="1127"/>
      <c r="I104" s="633">
        <f t="shared" si="12"/>
        <v>0</v>
      </c>
      <c r="J104" s="633">
        <f t="shared" si="13"/>
        <v>0</v>
      </c>
      <c r="K104" s="633">
        <f t="shared" si="14"/>
        <v>0</v>
      </c>
      <c r="L104" s="1127"/>
      <c r="M104" s="1127"/>
      <c r="N104" s="1691">
        <f t="shared" si="9"/>
        <v>0</v>
      </c>
      <c r="O104" s="634">
        <f t="shared" si="10"/>
        <v>0</v>
      </c>
      <c r="P104" s="144"/>
      <c r="Q104" s="144"/>
      <c r="R104" s="144"/>
      <c r="S104" s="144"/>
    </row>
    <row r="105" spans="1:19" ht="14.25" customHeight="1">
      <c r="A105" s="630"/>
      <c r="B105" s="631"/>
      <c r="C105" s="1127"/>
      <c r="D105" s="632"/>
      <c r="E105" s="1127"/>
      <c r="F105" s="633">
        <f t="shared" si="11"/>
        <v>0</v>
      </c>
      <c r="G105" s="632"/>
      <c r="H105" s="1127"/>
      <c r="I105" s="633">
        <f t="shared" si="12"/>
        <v>0</v>
      </c>
      <c r="J105" s="633">
        <f t="shared" si="13"/>
        <v>0</v>
      </c>
      <c r="K105" s="633">
        <f t="shared" si="14"/>
        <v>0</v>
      </c>
      <c r="L105" s="1127"/>
      <c r="M105" s="1127"/>
      <c r="N105" s="1691">
        <f t="shared" si="9"/>
        <v>0</v>
      </c>
      <c r="O105" s="634">
        <f t="shared" si="10"/>
        <v>0</v>
      </c>
      <c r="P105" s="144"/>
      <c r="Q105" s="144"/>
      <c r="R105" s="144"/>
      <c r="S105" s="144"/>
    </row>
    <row r="106" spans="1:19" ht="14.25" customHeight="1">
      <c r="A106" s="630"/>
      <c r="B106" s="631"/>
      <c r="C106" s="1127"/>
      <c r="D106" s="632"/>
      <c r="E106" s="1127"/>
      <c r="F106" s="633">
        <f t="shared" si="11"/>
        <v>0</v>
      </c>
      <c r="G106" s="632"/>
      <c r="H106" s="1127"/>
      <c r="I106" s="633">
        <f t="shared" si="12"/>
        <v>0</v>
      </c>
      <c r="J106" s="633">
        <f t="shared" si="13"/>
        <v>0</v>
      </c>
      <c r="K106" s="633">
        <f t="shared" si="14"/>
        <v>0</v>
      </c>
      <c r="L106" s="1127"/>
      <c r="M106" s="1127"/>
      <c r="N106" s="1691">
        <f t="shared" si="9"/>
        <v>0</v>
      </c>
      <c r="O106" s="634">
        <f t="shared" si="10"/>
        <v>0</v>
      </c>
      <c r="P106" s="144"/>
      <c r="Q106" s="144"/>
      <c r="R106" s="144"/>
      <c r="S106" s="144"/>
    </row>
    <row r="107" spans="1:19" ht="14.25" customHeight="1">
      <c r="A107" s="630"/>
      <c r="B107" s="631"/>
      <c r="C107" s="1127"/>
      <c r="D107" s="632"/>
      <c r="E107" s="1127"/>
      <c r="F107" s="633">
        <f t="shared" si="11"/>
        <v>0</v>
      </c>
      <c r="G107" s="632"/>
      <c r="H107" s="1127"/>
      <c r="I107" s="633">
        <f t="shared" si="12"/>
        <v>0</v>
      </c>
      <c r="J107" s="633">
        <f t="shared" si="13"/>
        <v>0</v>
      </c>
      <c r="K107" s="633">
        <f t="shared" si="14"/>
        <v>0</v>
      </c>
      <c r="L107" s="1127"/>
      <c r="M107" s="1127"/>
      <c r="N107" s="1691">
        <f t="shared" si="9"/>
        <v>0</v>
      </c>
      <c r="O107" s="634">
        <f t="shared" si="10"/>
        <v>0</v>
      </c>
      <c r="P107" s="144"/>
      <c r="Q107" s="144"/>
      <c r="R107" s="144"/>
      <c r="S107" s="144"/>
    </row>
    <row r="108" spans="1:19" ht="14.25" customHeight="1">
      <c r="A108" s="630"/>
      <c r="B108" s="631"/>
      <c r="C108" s="1127"/>
      <c r="D108" s="632"/>
      <c r="E108" s="1127"/>
      <c r="F108" s="633">
        <f t="shared" si="11"/>
        <v>0</v>
      </c>
      <c r="G108" s="632"/>
      <c r="H108" s="1127"/>
      <c r="I108" s="633">
        <f t="shared" si="12"/>
        <v>0</v>
      </c>
      <c r="J108" s="633">
        <f t="shared" si="13"/>
        <v>0</v>
      </c>
      <c r="K108" s="633">
        <f t="shared" si="14"/>
        <v>0</v>
      </c>
      <c r="L108" s="1127"/>
      <c r="M108" s="1127"/>
      <c r="N108" s="1691">
        <f t="shared" si="9"/>
        <v>0</v>
      </c>
      <c r="O108" s="634">
        <f t="shared" si="10"/>
        <v>0</v>
      </c>
      <c r="P108" s="144"/>
      <c r="Q108" s="144"/>
      <c r="R108" s="144"/>
      <c r="S108" s="144"/>
    </row>
    <row r="109" spans="1:19" ht="14.25" customHeight="1">
      <c r="A109" s="630"/>
      <c r="B109" s="631"/>
      <c r="C109" s="1127"/>
      <c r="D109" s="632"/>
      <c r="E109" s="1127"/>
      <c r="F109" s="633">
        <f t="shared" si="11"/>
        <v>0</v>
      </c>
      <c r="G109" s="632"/>
      <c r="H109" s="1127"/>
      <c r="I109" s="633">
        <f t="shared" si="12"/>
        <v>0</v>
      </c>
      <c r="J109" s="633">
        <f t="shared" si="13"/>
        <v>0</v>
      </c>
      <c r="K109" s="633">
        <f t="shared" si="14"/>
        <v>0</v>
      </c>
      <c r="L109" s="1127"/>
      <c r="M109" s="1127"/>
      <c r="N109" s="1691">
        <f t="shared" si="9"/>
        <v>0</v>
      </c>
      <c r="O109" s="634">
        <f t="shared" si="10"/>
        <v>0</v>
      </c>
      <c r="P109" s="144"/>
      <c r="Q109" s="144"/>
      <c r="R109" s="144"/>
      <c r="S109" s="144"/>
    </row>
    <row r="110" spans="1:19" ht="14.25" customHeight="1">
      <c r="A110" s="630"/>
      <c r="B110" s="631"/>
      <c r="C110" s="1127"/>
      <c r="D110" s="632"/>
      <c r="E110" s="1127"/>
      <c r="F110" s="633">
        <f t="shared" si="11"/>
        <v>0</v>
      </c>
      <c r="G110" s="632"/>
      <c r="H110" s="1127"/>
      <c r="I110" s="633">
        <f t="shared" si="12"/>
        <v>0</v>
      </c>
      <c r="J110" s="633">
        <f t="shared" si="13"/>
        <v>0</v>
      </c>
      <c r="K110" s="633">
        <f t="shared" si="14"/>
        <v>0</v>
      </c>
      <c r="L110" s="1127"/>
      <c r="M110" s="1127"/>
      <c r="N110" s="1691">
        <f t="shared" si="9"/>
        <v>0</v>
      </c>
      <c r="O110" s="634">
        <f t="shared" si="10"/>
        <v>0</v>
      </c>
      <c r="P110" s="144"/>
      <c r="Q110" s="144"/>
      <c r="R110" s="144"/>
      <c r="S110" s="144"/>
    </row>
    <row r="111" spans="1:19" ht="14.25" customHeight="1">
      <c r="A111" s="630"/>
      <c r="B111" s="631"/>
      <c r="C111" s="1127"/>
      <c r="D111" s="632"/>
      <c r="E111" s="1127"/>
      <c r="F111" s="633">
        <f t="shared" si="11"/>
        <v>0</v>
      </c>
      <c r="G111" s="632"/>
      <c r="H111" s="1127"/>
      <c r="I111" s="633">
        <f t="shared" si="12"/>
        <v>0</v>
      </c>
      <c r="J111" s="633">
        <f t="shared" si="13"/>
        <v>0</v>
      </c>
      <c r="K111" s="633">
        <f t="shared" si="14"/>
        <v>0</v>
      </c>
      <c r="L111" s="1127"/>
      <c r="M111" s="1127"/>
      <c r="N111" s="1691">
        <f t="shared" si="9"/>
        <v>0</v>
      </c>
      <c r="O111" s="634">
        <f t="shared" si="10"/>
        <v>0</v>
      </c>
      <c r="P111" s="144"/>
      <c r="Q111" s="144"/>
      <c r="R111" s="144"/>
      <c r="S111" s="144"/>
    </row>
    <row r="112" spans="1:19" ht="14.25" customHeight="1">
      <c r="A112" s="630"/>
      <c r="B112" s="631"/>
      <c r="C112" s="1127"/>
      <c r="D112" s="632"/>
      <c r="E112" s="1127"/>
      <c r="F112" s="633">
        <f t="shared" si="11"/>
        <v>0</v>
      </c>
      <c r="G112" s="632"/>
      <c r="H112" s="1127"/>
      <c r="I112" s="633">
        <f t="shared" si="12"/>
        <v>0</v>
      </c>
      <c r="J112" s="633">
        <f t="shared" si="13"/>
        <v>0</v>
      </c>
      <c r="K112" s="633">
        <f t="shared" si="14"/>
        <v>0</v>
      </c>
      <c r="L112" s="1127"/>
      <c r="M112" s="1127"/>
      <c r="N112" s="1691">
        <f t="shared" si="9"/>
        <v>0</v>
      </c>
      <c r="O112" s="634">
        <f t="shared" si="10"/>
        <v>0</v>
      </c>
      <c r="P112" s="144"/>
      <c r="Q112" s="144"/>
      <c r="R112" s="144"/>
      <c r="S112" s="144"/>
    </row>
    <row r="113" spans="1:19" ht="14.25" customHeight="1">
      <c r="A113" s="630"/>
      <c r="B113" s="631"/>
      <c r="C113" s="1127"/>
      <c r="D113" s="632"/>
      <c r="E113" s="1127"/>
      <c r="F113" s="633">
        <f t="shared" si="11"/>
        <v>0</v>
      </c>
      <c r="G113" s="632"/>
      <c r="H113" s="1127"/>
      <c r="I113" s="633">
        <f t="shared" si="12"/>
        <v>0</v>
      </c>
      <c r="J113" s="633">
        <f t="shared" si="13"/>
        <v>0</v>
      </c>
      <c r="K113" s="633">
        <f t="shared" si="14"/>
        <v>0</v>
      </c>
      <c r="L113" s="1127"/>
      <c r="M113" s="1127"/>
      <c r="N113" s="1691">
        <f t="shared" si="9"/>
        <v>0</v>
      </c>
      <c r="O113" s="634">
        <f t="shared" si="10"/>
        <v>0</v>
      </c>
      <c r="P113" s="144"/>
      <c r="Q113" s="144"/>
      <c r="R113" s="144"/>
      <c r="S113" s="144"/>
    </row>
    <row r="114" spans="1:19" ht="14.25" customHeight="1">
      <c r="A114" s="630"/>
      <c r="B114" s="631"/>
      <c r="C114" s="1127"/>
      <c r="D114" s="632"/>
      <c r="E114" s="1127"/>
      <c r="F114" s="633">
        <f t="shared" si="11"/>
        <v>0</v>
      </c>
      <c r="G114" s="632"/>
      <c r="H114" s="1127"/>
      <c r="I114" s="633">
        <f t="shared" si="12"/>
        <v>0</v>
      </c>
      <c r="J114" s="633">
        <f t="shared" si="13"/>
        <v>0</v>
      </c>
      <c r="K114" s="633">
        <f t="shared" si="14"/>
        <v>0</v>
      </c>
      <c r="L114" s="1127"/>
      <c r="M114" s="1127"/>
      <c r="N114" s="1691">
        <f t="shared" si="9"/>
        <v>0</v>
      </c>
      <c r="O114" s="634">
        <f t="shared" si="10"/>
        <v>0</v>
      </c>
      <c r="P114" s="144"/>
      <c r="Q114" s="144"/>
      <c r="R114" s="144"/>
      <c r="S114" s="144"/>
    </row>
    <row r="115" spans="1:19" ht="14.25" customHeight="1">
      <c r="A115" s="630"/>
      <c r="B115" s="631"/>
      <c r="C115" s="1127"/>
      <c r="D115" s="632"/>
      <c r="E115" s="1127"/>
      <c r="F115" s="633">
        <f t="shared" si="11"/>
        <v>0</v>
      </c>
      <c r="G115" s="632"/>
      <c r="H115" s="1127"/>
      <c r="I115" s="633">
        <f t="shared" si="12"/>
        <v>0</v>
      </c>
      <c r="J115" s="633">
        <f t="shared" si="13"/>
        <v>0</v>
      </c>
      <c r="K115" s="633">
        <f t="shared" si="14"/>
        <v>0</v>
      </c>
      <c r="L115" s="1127"/>
      <c r="M115" s="1127"/>
      <c r="N115" s="1691">
        <f t="shared" si="9"/>
        <v>0</v>
      </c>
      <c r="O115" s="634">
        <f t="shared" si="10"/>
        <v>0</v>
      </c>
      <c r="P115" s="144"/>
      <c r="Q115" s="144"/>
      <c r="R115" s="144"/>
      <c r="S115" s="144"/>
    </row>
    <row r="116" spans="1:19" ht="14.25" customHeight="1">
      <c r="A116" s="630"/>
      <c r="B116" s="631"/>
      <c r="C116" s="1127"/>
      <c r="D116" s="632"/>
      <c r="E116" s="1127"/>
      <c r="F116" s="633">
        <f t="shared" si="11"/>
        <v>0</v>
      </c>
      <c r="G116" s="632"/>
      <c r="H116" s="1127"/>
      <c r="I116" s="633">
        <f t="shared" si="12"/>
        <v>0</v>
      </c>
      <c r="J116" s="633">
        <f t="shared" si="13"/>
        <v>0</v>
      </c>
      <c r="K116" s="633">
        <f t="shared" si="14"/>
        <v>0</v>
      </c>
      <c r="L116" s="1127"/>
      <c r="M116" s="1127"/>
      <c r="N116" s="1691">
        <f t="shared" si="9"/>
        <v>0</v>
      </c>
      <c r="O116" s="634">
        <f t="shared" si="10"/>
        <v>0</v>
      </c>
      <c r="P116" s="144"/>
      <c r="Q116" s="144"/>
      <c r="R116" s="144"/>
      <c r="S116" s="144"/>
    </row>
    <row r="117" spans="1:19" ht="14.25" customHeight="1">
      <c r="A117" s="630"/>
      <c r="B117" s="631"/>
      <c r="C117" s="1127"/>
      <c r="D117" s="632"/>
      <c r="E117" s="1127"/>
      <c r="F117" s="633">
        <f t="shared" si="11"/>
        <v>0</v>
      </c>
      <c r="G117" s="632"/>
      <c r="H117" s="1127"/>
      <c r="I117" s="633">
        <f t="shared" si="12"/>
        <v>0</v>
      </c>
      <c r="J117" s="633">
        <f t="shared" si="13"/>
        <v>0</v>
      </c>
      <c r="K117" s="633">
        <f t="shared" si="14"/>
        <v>0</v>
      </c>
      <c r="L117" s="1127"/>
      <c r="M117" s="1127"/>
      <c r="N117" s="1691">
        <f t="shared" si="9"/>
        <v>0</v>
      </c>
      <c r="O117" s="634">
        <f t="shared" si="10"/>
        <v>0</v>
      </c>
      <c r="P117" s="144"/>
      <c r="Q117" s="144"/>
      <c r="R117" s="144"/>
      <c r="S117" s="144"/>
    </row>
    <row r="118" spans="1:19" ht="14.25" customHeight="1">
      <c r="A118" s="630"/>
      <c r="B118" s="631"/>
      <c r="C118" s="1127"/>
      <c r="D118" s="632"/>
      <c r="E118" s="1127"/>
      <c r="F118" s="633">
        <f t="shared" si="11"/>
        <v>0</v>
      </c>
      <c r="G118" s="632"/>
      <c r="H118" s="1127"/>
      <c r="I118" s="633">
        <f t="shared" si="12"/>
        <v>0</v>
      </c>
      <c r="J118" s="633">
        <f t="shared" si="13"/>
        <v>0</v>
      </c>
      <c r="K118" s="633">
        <f t="shared" si="14"/>
        <v>0</v>
      </c>
      <c r="L118" s="1127"/>
      <c r="M118" s="1127"/>
      <c r="N118" s="1691">
        <f t="shared" si="9"/>
        <v>0</v>
      </c>
      <c r="O118" s="634">
        <f t="shared" si="10"/>
        <v>0</v>
      </c>
      <c r="P118" s="144"/>
      <c r="Q118" s="144"/>
      <c r="R118" s="144"/>
      <c r="S118" s="144"/>
    </row>
    <row r="119" spans="1:19" ht="14.25" customHeight="1">
      <c r="A119" s="630"/>
      <c r="B119" s="631"/>
      <c r="C119" s="1127"/>
      <c r="D119" s="632"/>
      <c r="E119" s="1127"/>
      <c r="F119" s="633">
        <f t="shared" si="11"/>
        <v>0</v>
      </c>
      <c r="G119" s="632"/>
      <c r="H119" s="1127"/>
      <c r="I119" s="633">
        <f t="shared" si="12"/>
        <v>0</v>
      </c>
      <c r="J119" s="633">
        <f t="shared" si="13"/>
        <v>0</v>
      </c>
      <c r="K119" s="633">
        <f t="shared" si="14"/>
        <v>0</v>
      </c>
      <c r="L119" s="1127"/>
      <c r="M119" s="1127"/>
      <c r="N119" s="1691">
        <f t="shared" si="9"/>
        <v>0</v>
      </c>
      <c r="O119" s="634">
        <f t="shared" si="10"/>
        <v>0</v>
      </c>
      <c r="P119" s="144"/>
      <c r="Q119" s="144"/>
      <c r="R119" s="144"/>
      <c r="S119" s="144"/>
    </row>
    <row r="120" spans="1:19" ht="14.25" customHeight="1">
      <c r="A120" s="630"/>
      <c r="B120" s="631"/>
      <c r="C120" s="1127"/>
      <c r="D120" s="632"/>
      <c r="E120" s="1127"/>
      <c r="F120" s="633">
        <f t="shared" si="11"/>
        <v>0</v>
      </c>
      <c r="G120" s="632"/>
      <c r="H120" s="1127"/>
      <c r="I120" s="633">
        <f t="shared" si="12"/>
        <v>0</v>
      </c>
      <c r="J120" s="633">
        <f t="shared" si="13"/>
        <v>0</v>
      </c>
      <c r="K120" s="633">
        <f t="shared" si="14"/>
        <v>0</v>
      </c>
      <c r="L120" s="1127"/>
      <c r="M120" s="1127"/>
      <c r="N120" s="1691">
        <f t="shared" si="9"/>
        <v>0</v>
      </c>
      <c r="O120" s="634">
        <f t="shared" si="10"/>
        <v>0</v>
      </c>
      <c r="P120" s="144"/>
      <c r="Q120" s="144"/>
      <c r="R120" s="144"/>
      <c r="S120" s="144"/>
    </row>
    <row r="121" spans="1:19" ht="14.25" customHeight="1">
      <c r="A121" s="630"/>
      <c r="B121" s="631"/>
      <c r="C121" s="1127"/>
      <c r="D121" s="632"/>
      <c r="E121" s="1127"/>
      <c r="F121" s="633">
        <f t="shared" si="11"/>
        <v>0</v>
      </c>
      <c r="G121" s="632"/>
      <c r="H121" s="1127"/>
      <c r="I121" s="633">
        <f t="shared" si="12"/>
        <v>0</v>
      </c>
      <c r="J121" s="633">
        <f t="shared" si="13"/>
        <v>0</v>
      </c>
      <c r="K121" s="633">
        <f t="shared" si="14"/>
        <v>0</v>
      </c>
      <c r="L121" s="1127"/>
      <c r="M121" s="1127"/>
      <c r="N121" s="1691">
        <f t="shared" si="9"/>
        <v>0</v>
      </c>
      <c r="O121" s="634">
        <f t="shared" si="10"/>
        <v>0</v>
      </c>
      <c r="P121" s="144"/>
      <c r="Q121" s="144"/>
      <c r="R121" s="144"/>
      <c r="S121" s="144"/>
    </row>
    <row r="122" spans="1:19" ht="14.25" customHeight="1">
      <c r="A122" s="630"/>
      <c r="B122" s="631"/>
      <c r="C122" s="1127"/>
      <c r="D122" s="632"/>
      <c r="E122" s="1127"/>
      <c r="F122" s="633">
        <f t="shared" si="11"/>
        <v>0</v>
      </c>
      <c r="G122" s="632"/>
      <c r="H122" s="1127"/>
      <c r="I122" s="633">
        <f t="shared" si="12"/>
        <v>0</v>
      </c>
      <c r="J122" s="633">
        <f t="shared" si="13"/>
        <v>0</v>
      </c>
      <c r="K122" s="633">
        <f t="shared" si="14"/>
        <v>0</v>
      </c>
      <c r="L122" s="1127"/>
      <c r="M122" s="1127"/>
      <c r="N122" s="1691">
        <f t="shared" si="9"/>
        <v>0</v>
      </c>
      <c r="O122" s="634">
        <f t="shared" si="10"/>
        <v>0</v>
      </c>
      <c r="P122" s="144"/>
      <c r="Q122" s="144"/>
      <c r="R122" s="144"/>
      <c r="S122" s="144"/>
    </row>
    <row r="123" spans="1:19" ht="14.25" customHeight="1">
      <c r="A123" s="630"/>
      <c r="B123" s="631"/>
      <c r="C123" s="1127"/>
      <c r="D123" s="632"/>
      <c r="E123" s="1127"/>
      <c r="F123" s="633">
        <f t="shared" si="11"/>
        <v>0</v>
      </c>
      <c r="G123" s="632"/>
      <c r="H123" s="1127"/>
      <c r="I123" s="633">
        <f t="shared" si="12"/>
        <v>0</v>
      </c>
      <c r="J123" s="633">
        <f t="shared" si="13"/>
        <v>0</v>
      </c>
      <c r="K123" s="633">
        <f t="shared" si="14"/>
        <v>0</v>
      </c>
      <c r="L123" s="1127"/>
      <c r="M123" s="1127"/>
      <c r="N123" s="1691">
        <f t="shared" si="9"/>
        <v>0</v>
      </c>
      <c r="O123" s="634">
        <f t="shared" si="10"/>
        <v>0</v>
      </c>
      <c r="P123" s="144"/>
      <c r="Q123" s="144"/>
      <c r="R123" s="144"/>
      <c r="S123" s="144"/>
    </row>
    <row r="124" spans="1:19" ht="14.25" customHeight="1">
      <c r="A124" s="630"/>
      <c r="B124" s="631"/>
      <c r="C124" s="1127"/>
      <c r="D124" s="632"/>
      <c r="E124" s="1127"/>
      <c r="F124" s="633">
        <f t="shared" si="11"/>
        <v>0</v>
      </c>
      <c r="G124" s="632"/>
      <c r="H124" s="1127"/>
      <c r="I124" s="633">
        <f t="shared" si="12"/>
        <v>0</v>
      </c>
      <c r="J124" s="633">
        <f t="shared" si="13"/>
        <v>0</v>
      </c>
      <c r="K124" s="633">
        <f t="shared" si="14"/>
        <v>0</v>
      </c>
      <c r="L124" s="1127"/>
      <c r="M124" s="1127"/>
      <c r="N124" s="1691">
        <f t="shared" si="9"/>
        <v>0</v>
      </c>
      <c r="O124" s="634">
        <f t="shared" si="10"/>
        <v>0</v>
      </c>
      <c r="P124" s="144"/>
      <c r="Q124" s="144"/>
      <c r="R124" s="144"/>
      <c r="S124" s="144"/>
    </row>
    <row r="125" spans="1:19" ht="14.25" customHeight="1">
      <c r="A125" s="630"/>
      <c r="B125" s="631"/>
      <c r="C125" s="1127"/>
      <c r="D125" s="632"/>
      <c r="E125" s="1127"/>
      <c r="F125" s="633">
        <f t="shared" si="11"/>
        <v>0</v>
      </c>
      <c r="G125" s="632"/>
      <c r="H125" s="1127"/>
      <c r="I125" s="633">
        <f t="shared" si="12"/>
        <v>0</v>
      </c>
      <c r="J125" s="633">
        <f t="shared" si="13"/>
        <v>0</v>
      </c>
      <c r="K125" s="633">
        <f t="shared" si="14"/>
        <v>0</v>
      </c>
      <c r="L125" s="1127"/>
      <c r="M125" s="1127"/>
      <c r="N125" s="1691">
        <f t="shared" si="9"/>
        <v>0</v>
      </c>
      <c r="O125" s="634">
        <f t="shared" si="10"/>
        <v>0</v>
      </c>
      <c r="P125" s="144"/>
      <c r="Q125" s="144"/>
      <c r="R125" s="144"/>
      <c r="S125" s="144"/>
    </row>
    <row r="126" spans="1:19" ht="14.25" customHeight="1">
      <c r="A126" s="630"/>
      <c r="B126" s="631"/>
      <c r="C126" s="1127"/>
      <c r="D126" s="632"/>
      <c r="E126" s="1127"/>
      <c r="F126" s="633">
        <f t="shared" si="11"/>
        <v>0</v>
      </c>
      <c r="G126" s="632"/>
      <c r="H126" s="1127"/>
      <c r="I126" s="633">
        <f t="shared" si="12"/>
        <v>0</v>
      </c>
      <c r="J126" s="633">
        <f t="shared" si="13"/>
        <v>0</v>
      </c>
      <c r="K126" s="633">
        <f t="shared" si="14"/>
        <v>0</v>
      </c>
      <c r="L126" s="1127"/>
      <c r="M126" s="1127"/>
      <c r="N126" s="1691">
        <f t="shared" si="9"/>
        <v>0</v>
      </c>
      <c r="O126" s="634">
        <f t="shared" si="10"/>
        <v>0</v>
      </c>
      <c r="P126" s="144"/>
      <c r="Q126" s="144"/>
      <c r="R126" s="144"/>
      <c r="S126" s="144"/>
    </row>
    <row r="127" spans="1:19" ht="14.25" customHeight="1">
      <c r="A127" s="630"/>
      <c r="B127" s="631"/>
      <c r="C127" s="1127"/>
      <c r="D127" s="632"/>
      <c r="E127" s="1127"/>
      <c r="F127" s="633">
        <f t="shared" si="11"/>
        <v>0</v>
      </c>
      <c r="G127" s="632"/>
      <c r="H127" s="1127"/>
      <c r="I127" s="633">
        <f t="shared" si="12"/>
        <v>0</v>
      </c>
      <c r="J127" s="633">
        <f t="shared" si="13"/>
        <v>0</v>
      </c>
      <c r="K127" s="633">
        <f t="shared" si="14"/>
        <v>0</v>
      </c>
      <c r="L127" s="1127"/>
      <c r="M127" s="1127"/>
      <c r="N127" s="1691">
        <f t="shared" si="9"/>
        <v>0</v>
      </c>
      <c r="O127" s="634">
        <f t="shared" si="10"/>
        <v>0</v>
      </c>
      <c r="P127" s="144"/>
      <c r="Q127" s="144"/>
      <c r="R127" s="144"/>
      <c r="S127" s="144"/>
    </row>
    <row r="128" spans="1:19" ht="14.25" customHeight="1">
      <c r="A128" s="630"/>
      <c r="B128" s="631"/>
      <c r="C128" s="1127"/>
      <c r="D128" s="632"/>
      <c r="E128" s="1127"/>
      <c r="F128" s="633">
        <f t="shared" si="11"/>
        <v>0</v>
      </c>
      <c r="G128" s="632"/>
      <c r="H128" s="1127"/>
      <c r="I128" s="633">
        <f t="shared" si="12"/>
        <v>0</v>
      </c>
      <c r="J128" s="633">
        <f t="shared" si="13"/>
        <v>0</v>
      </c>
      <c r="K128" s="633">
        <f t="shared" si="14"/>
        <v>0</v>
      </c>
      <c r="L128" s="1127"/>
      <c r="M128" s="1127"/>
      <c r="N128" s="1691">
        <f t="shared" si="9"/>
        <v>0</v>
      </c>
      <c r="O128" s="634">
        <f t="shared" si="10"/>
        <v>0</v>
      </c>
      <c r="P128" s="144"/>
      <c r="Q128" s="144"/>
      <c r="R128" s="144"/>
      <c r="S128" s="144"/>
    </row>
    <row r="129" spans="1:19" ht="14.25" customHeight="1">
      <c r="A129" s="630"/>
      <c r="B129" s="631"/>
      <c r="C129" s="1127"/>
      <c r="D129" s="632"/>
      <c r="E129" s="1127"/>
      <c r="F129" s="633">
        <f t="shared" si="11"/>
        <v>0</v>
      </c>
      <c r="G129" s="632"/>
      <c r="H129" s="1127"/>
      <c r="I129" s="633">
        <f t="shared" si="12"/>
        <v>0</v>
      </c>
      <c r="J129" s="633">
        <f t="shared" si="13"/>
        <v>0</v>
      </c>
      <c r="K129" s="633">
        <f t="shared" si="14"/>
        <v>0</v>
      </c>
      <c r="L129" s="1127"/>
      <c r="M129" s="1127"/>
      <c r="N129" s="1691">
        <f t="shared" si="9"/>
        <v>0</v>
      </c>
      <c r="O129" s="634">
        <f t="shared" si="10"/>
        <v>0</v>
      </c>
      <c r="P129" s="144"/>
      <c r="Q129" s="144"/>
      <c r="R129" s="144"/>
      <c r="S129" s="144"/>
    </row>
    <row r="130" spans="1:19" ht="14.25" customHeight="1">
      <c r="A130" s="630"/>
      <c r="B130" s="631"/>
      <c r="C130" s="1127"/>
      <c r="D130" s="632"/>
      <c r="E130" s="1127"/>
      <c r="F130" s="633">
        <f t="shared" si="11"/>
        <v>0</v>
      </c>
      <c r="G130" s="632"/>
      <c r="H130" s="1127"/>
      <c r="I130" s="633">
        <f t="shared" si="12"/>
        <v>0</v>
      </c>
      <c r="J130" s="633">
        <f t="shared" si="13"/>
        <v>0</v>
      </c>
      <c r="K130" s="633">
        <f t="shared" si="14"/>
        <v>0</v>
      </c>
      <c r="L130" s="1127"/>
      <c r="M130" s="1127"/>
      <c r="N130" s="1691">
        <f t="shared" si="9"/>
        <v>0</v>
      </c>
      <c r="O130" s="634">
        <f t="shared" si="10"/>
        <v>0</v>
      </c>
      <c r="P130" s="144"/>
      <c r="Q130" s="144"/>
      <c r="R130" s="144"/>
      <c r="S130" s="144"/>
    </row>
    <row r="131" spans="1:19" ht="14.25" customHeight="1">
      <c r="A131" s="630"/>
      <c r="B131" s="631"/>
      <c r="C131" s="1127"/>
      <c r="D131" s="632"/>
      <c r="E131" s="1127"/>
      <c r="F131" s="633">
        <f t="shared" si="11"/>
        <v>0</v>
      </c>
      <c r="G131" s="632"/>
      <c r="H131" s="1127"/>
      <c r="I131" s="633">
        <f t="shared" si="12"/>
        <v>0</v>
      </c>
      <c r="J131" s="633">
        <f t="shared" si="13"/>
        <v>0</v>
      </c>
      <c r="K131" s="633">
        <f t="shared" si="14"/>
        <v>0</v>
      </c>
      <c r="L131" s="1127"/>
      <c r="M131" s="1127"/>
      <c r="N131" s="1691">
        <f t="shared" si="9"/>
        <v>0</v>
      </c>
      <c r="O131" s="634">
        <f t="shared" si="10"/>
        <v>0</v>
      </c>
      <c r="P131" s="144"/>
      <c r="Q131" s="144"/>
      <c r="R131" s="144"/>
      <c r="S131" s="144"/>
    </row>
    <row r="132" spans="1:19" ht="14.25" customHeight="1">
      <c r="A132" s="630"/>
      <c r="B132" s="631"/>
      <c r="C132" s="1127"/>
      <c r="D132" s="632"/>
      <c r="E132" s="1127"/>
      <c r="F132" s="633">
        <f t="shared" si="11"/>
        <v>0</v>
      </c>
      <c r="G132" s="632"/>
      <c r="H132" s="1127"/>
      <c r="I132" s="633">
        <f t="shared" si="12"/>
        <v>0</v>
      </c>
      <c r="J132" s="633">
        <f t="shared" si="13"/>
        <v>0</v>
      </c>
      <c r="K132" s="633">
        <f t="shared" si="14"/>
        <v>0</v>
      </c>
      <c r="L132" s="1127"/>
      <c r="M132" s="1127"/>
      <c r="N132" s="1691">
        <f t="shared" si="9"/>
        <v>0</v>
      </c>
      <c r="O132" s="634">
        <f t="shared" si="10"/>
        <v>0</v>
      </c>
      <c r="P132" s="144"/>
      <c r="Q132" s="144"/>
      <c r="R132" s="144"/>
      <c r="S132" s="144"/>
    </row>
    <row r="133" spans="1:19" ht="14.25" customHeight="1">
      <c r="A133" s="630"/>
      <c r="B133" s="631"/>
      <c r="C133" s="1127"/>
      <c r="D133" s="632"/>
      <c r="E133" s="1127"/>
      <c r="F133" s="633">
        <f t="shared" si="11"/>
        <v>0</v>
      </c>
      <c r="G133" s="632"/>
      <c r="H133" s="1127"/>
      <c r="I133" s="633">
        <f t="shared" si="12"/>
        <v>0</v>
      </c>
      <c r="J133" s="633">
        <f t="shared" si="13"/>
        <v>0</v>
      </c>
      <c r="K133" s="633">
        <f t="shared" si="14"/>
        <v>0</v>
      </c>
      <c r="L133" s="1127"/>
      <c r="M133" s="1127"/>
      <c r="N133" s="1691">
        <f t="shared" si="9"/>
        <v>0</v>
      </c>
      <c r="O133" s="634">
        <f t="shared" si="10"/>
        <v>0</v>
      </c>
      <c r="P133" s="144"/>
      <c r="Q133" s="144"/>
      <c r="R133" s="144"/>
      <c r="S133" s="144"/>
    </row>
    <row r="134" spans="1:19" ht="14.25" customHeight="1">
      <c r="A134" s="630"/>
      <c r="B134" s="631"/>
      <c r="C134" s="1127"/>
      <c r="D134" s="632"/>
      <c r="E134" s="1127"/>
      <c r="F134" s="633">
        <f t="shared" si="11"/>
        <v>0</v>
      </c>
      <c r="G134" s="632"/>
      <c r="H134" s="1127"/>
      <c r="I134" s="633">
        <f t="shared" si="12"/>
        <v>0</v>
      </c>
      <c r="J134" s="633">
        <f t="shared" si="13"/>
        <v>0</v>
      </c>
      <c r="K134" s="633">
        <f t="shared" si="14"/>
        <v>0</v>
      </c>
      <c r="L134" s="1127"/>
      <c r="M134" s="1127"/>
      <c r="N134" s="1691">
        <f t="shared" si="9"/>
        <v>0</v>
      </c>
      <c r="O134" s="634">
        <f t="shared" si="10"/>
        <v>0</v>
      </c>
      <c r="P134" s="144"/>
      <c r="Q134" s="144"/>
      <c r="R134" s="144"/>
      <c r="S134" s="144"/>
    </row>
    <row r="135" spans="1:19" ht="14.25" customHeight="1">
      <c r="A135" s="630"/>
      <c r="B135" s="631"/>
      <c r="C135" s="1127"/>
      <c r="D135" s="632"/>
      <c r="E135" s="1127"/>
      <c r="F135" s="633">
        <f t="shared" si="11"/>
        <v>0</v>
      </c>
      <c r="G135" s="632"/>
      <c r="H135" s="1127"/>
      <c r="I135" s="633">
        <f t="shared" si="12"/>
        <v>0</v>
      </c>
      <c r="J135" s="633">
        <f t="shared" si="13"/>
        <v>0</v>
      </c>
      <c r="K135" s="633">
        <f t="shared" si="14"/>
        <v>0</v>
      </c>
      <c r="L135" s="1127"/>
      <c r="M135" s="1127"/>
      <c r="N135" s="1691">
        <f t="shared" si="9"/>
        <v>0</v>
      </c>
      <c r="O135" s="634">
        <f t="shared" si="10"/>
        <v>0</v>
      </c>
      <c r="P135" s="144"/>
      <c r="Q135" s="144"/>
      <c r="R135" s="144"/>
      <c r="S135" s="144"/>
    </row>
    <row r="136" spans="1:19" ht="14.25" customHeight="1">
      <c r="A136" s="630"/>
      <c r="B136" s="631"/>
      <c r="C136" s="1127"/>
      <c r="D136" s="632"/>
      <c r="E136" s="1127"/>
      <c r="F136" s="633">
        <f t="shared" si="11"/>
        <v>0</v>
      </c>
      <c r="G136" s="632"/>
      <c r="H136" s="1127"/>
      <c r="I136" s="633">
        <f t="shared" si="12"/>
        <v>0</v>
      </c>
      <c r="J136" s="633">
        <f t="shared" si="13"/>
        <v>0</v>
      </c>
      <c r="K136" s="633">
        <f t="shared" si="14"/>
        <v>0</v>
      </c>
      <c r="L136" s="1127"/>
      <c r="M136" s="1127"/>
      <c r="N136" s="1691">
        <f t="shared" si="9"/>
        <v>0</v>
      </c>
      <c r="O136" s="634">
        <f t="shared" si="10"/>
        <v>0</v>
      </c>
      <c r="P136" s="144"/>
      <c r="Q136" s="144"/>
      <c r="R136" s="144"/>
      <c r="S136" s="144"/>
    </row>
    <row r="137" spans="1:19" ht="14.25" customHeight="1">
      <c r="A137" s="630"/>
      <c r="B137" s="631"/>
      <c r="C137" s="1127"/>
      <c r="D137" s="632"/>
      <c r="E137" s="1127"/>
      <c r="F137" s="633">
        <f t="shared" si="11"/>
        <v>0</v>
      </c>
      <c r="G137" s="632"/>
      <c r="H137" s="1127"/>
      <c r="I137" s="633">
        <f t="shared" si="12"/>
        <v>0</v>
      </c>
      <c r="J137" s="633">
        <f t="shared" si="13"/>
        <v>0</v>
      </c>
      <c r="K137" s="633">
        <f t="shared" si="14"/>
        <v>0</v>
      </c>
      <c r="L137" s="1127"/>
      <c r="M137" s="1127"/>
      <c r="N137" s="1691">
        <f t="shared" si="9"/>
        <v>0</v>
      </c>
      <c r="O137" s="634">
        <f t="shared" si="10"/>
        <v>0</v>
      </c>
      <c r="P137" s="144"/>
      <c r="Q137" s="144"/>
      <c r="R137" s="144"/>
      <c r="S137" s="144"/>
    </row>
    <row r="138" spans="1:19" ht="14.25" customHeight="1">
      <c r="A138" s="630"/>
      <c r="B138" s="631"/>
      <c r="C138" s="1127"/>
      <c r="D138" s="632"/>
      <c r="E138" s="1127"/>
      <c r="F138" s="633">
        <f t="shared" si="11"/>
        <v>0</v>
      </c>
      <c r="G138" s="632"/>
      <c r="H138" s="1127"/>
      <c r="I138" s="633">
        <f t="shared" si="12"/>
        <v>0</v>
      </c>
      <c r="J138" s="633">
        <f t="shared" si="13"/>
        <v>0</v>
      </c>
      <c r="K138" s="633">
        <f t="shared" si="14"/>
        <v>0</v>
      </c>
      <c r="L138" s="1127"/>
      <c r="M138" s="1127"/>
      <c r="N138" s="1691">
        <f t="shared" ref="N138:N201" si="15">IF(M138&lt;&gt;0,ROUND(B138*K138,2)+M138,IF(ABS(ROUND(K138*B138,2)-L138)&lt;3,L138,MIN(ROUND(K138*B138,2),L138)))</f>
        <v>0</v>
      </c>
      <c r="O138" s="634">
        <f t="shared" ref="O138:O201" si="16">IF(ISERROR(L138-N138),"",IF(ABS(L138-N138)&lt;3,0,L138-N138))</f>
        <v>0</v>
      </c>
      <c r="P138" s="144"/>
      <c r="Q138" s="144"/>
      <c r="R138" s="144"/>
      <c r="S138" s="144"/>
    </row>
    <row r="139" spans="1:19" ht="14.25" customHeight="1">
      <c r="A139" s="630"/>
      <c r="B139" s="631"/>
      <c r="C139" s="1127"/>
      <c r="D139" s="632"/>
      <c r="E139" s="1127"/>
      <c r="F139" s="633">
        <f t="shared" ref="F139:F202" si="17">E139*(12-MONTH(D139))/12</f>
        <v>0</v>
      </c>
      <c r="G139" s="632"/>
      <c r="H139" s="1127"/>
      <c r="I139" s="633">
        <f t="shared" ref="I139:I202" si="18">H139*(12-MONTH(G139))/12</f>
        <v>0</v>
      </c>
      <c r="J139" s="633">
        <f t="shared" ref="J139:J202" si="19">C139+E139-H139</f>
        <v>0</v>
      </c>
      <c r="K139" s="633">
        <f t="shared" ref="K139:K202" si="20">C139+F139-I139</f>
        <v>0</v>
      </c>
      <c r="L139" s="1127"/>
      <c r="M139" s="1127"/>
      <c r="N139" s="1691">
        <f t="shared" si="15"/>
        <v>0</v>
      </c>
      <c r="O139" s="634">
        <f t="shared" si="16"/>
        <v>0</v>
      </c>
      <c r="P139" s="144"/>
      <c r="Q139" s="144"/>
      <c r="R139" s="144"/>
      <c r="S139" s="144"/>
    </row>
    <row r="140" spans="1:19" ht="14.25" customHeight="1">
      <c r="A140" s="630"/>
      <c r="B140" s="631"/>
      <c r="C140" s="1127"/>
      <c r="D140" s="632"/>
      <c r="E140" s="1127"/>
      <c r="F140" s="633">
        <f t="shared" si="17"/>
        <v>0</v>
      </c>
      <c r="G140" s="632"/>
      <c r="H140" s="1127"/>
      <c r="I140" s="633">
        <f t="shared" si="18"/>
        <v>0</v>
      </c>
      <c r="J140" s="633">
        <f t="shared" si="19"/>
        <v>0</v>
      </c>
      <c r="K140" s="633">
        <f t="shared" si="20"/>
        <v>0</v>
      </c>
      <c r="L140" s="1127"/>
      <c r="M140" s="1127"/>
      <c r="N140" s="1691">
        <f t="shared" si="15"/>
        <v>0</v>
      </c>
      <c r="O140" s="634">
        <f t="shared" si="16"/>
        <v>0</v>
      </c>
      <c r="P140" s="144"/>
      <c r="Q140" s="144"/>
      <c r="R140" s="144"/>
      <c r="S140" s="144"/>
    </row>
    <row r="141" spans="1:19" ht="14.25" customHeight="1">
      <c r="A141" s="630"/>
      <c r="B141" s="631"/>
      <c r="C141" s="1127"/>
      <c r="D141" s="632"/>
      <c r="E141" s="1127"/>
      <c r="F141" s="633">
        <f t="shared" si="17"/>
        <v>0</v>
      </c>
      <c r="G141" s="632"/>
      <c r="H141" s="1127"/>
      <c r="I141" s="633">
        <f t="shared" si="18"/>
        <v>0</v>
      </c>
      <c r="J141" s="633">
        <f t="shared" si="19"/>
        <v>0</v>
      </c>
      <c r="K141" s="633">
        <f t="shared" si="20"/>
        <v>0</v>
      </c>
      <c r="L141" s="1127"/>
      <c r="M141" s="1127"/>
      <c r="N141" s="1691">
        <f t="shared" si="15"/>
        <v>0</v>
      </c>
      <c r="O141" s="634">
        <f t="shared" si="16"/>
        <v>0</v>
      </c>
      <c r="P141" s="144"/>
      <c r="Q141" s="144"/>
      <c r="R141" s="144"/>
      <c r="S141" s="144"/>
    </row>
    <row r="142" spans="1:19" ht="14.25" customHeight="1">
      <c r="A142" s="630"/>
      <c r="B142" s="631"/>
      <c r="C142" s="1127"/>
      <c r="D142" s="632"/>
      <c r="E142" s="1127"/>
      <c r="F142" s="633">
        <f t="shared" si="17"/>
        <v>0</v>
      </c>
      <c r="G142" s="632"/>
      <c r="H142" s="1127"/>
      <c r="I142" s="633">
        <f t="shared" si="18"/>
        <v>0</v>
      </c>
      <c r="J142" s="633">
        <f t="shared" si="19"/>
        <v>0</v>
      </c>
      <c r="K142" s="633">
        <f t="shared" si="20"/>
        <v>0</v>
      </c>
      <c r="L142" s="1127"/>
      <c r="M142" s="1127"/>
      <c r="N142" s="1691">
        <f t="shared" si="15"/>
        <v>0</v>
      </c>
      <c r="O142" s="634">
        <f t="shared" si="16"/>
        <v>0</v>
      </c>
      <c r="P142" s="144"/>
      <c r="Q142" s="144"/>
      <c r="R142" s="144"/>
      <c r="S142" s="144"/>
    </row>
    <row r="143" spans="1:19" ht="14.25" customHeight="1">
      <c r="A143" s="630"/>
      <c r="B143" s="631"/>
      <c r="C143" s="1127"/>
      <c r="D143" s="632"/>
      <c r="E143" s="1127"/>
      <c r="F143" s="633">
        <f t="shared" si="17"/>
        <v>0</v>
      </c>
      <c r="G143" s="632"/>
      <c r="H143" s="1127"/>
      <c r="I143" s="633">
        <f t="shared" si="18"/>
        <v>0</v>
      </c>
      <c r="J143" s="633">
        <f t="shared" si="19"/>
        <v>0</v>
      </c>
      <c r="K143" s="633">
        <f t="shared" si="20"/>
        <v>0</v>
      </c>
      <c r="L143" s="1127"/>
      <c r="M143" s="1127"/>
      <c r="N143" s="1691">
        <f t="shared" si="15"/>
        <v>0</v>
      </c>
      <c r="O143" s="634">
        <f t="shared" si="16"/>
        <v>0</v>
      </c>
      <c r="P143" s="144"/>
      <c r="Q143" s="144"/>
      <c r="R143" s="144"/>
      <c r="S143" s="144"/>
    </row>
    <row r="144" spans="1:19" ht="14.25" customHeight="1">
      <c r="A144" s="630"/>
      <c r="B144" s="631"/>
      <c r="C144" s="1127"/>
      <c r="D144" s="632"/>
      <c r="E144" s="1127"/>
      <c r="F144" s="633">
        <f t="shared" si="17"/>
        <v>0</v>
      </c>
      <c r="G144" s="632"/>
      <c r="H144" s="1127"/>
      <c r="I144" s="633">
        <f t="shared" si="18"/>
        <v>0</v>
      </c>
      <c r="J144" s="633">
        <f t="shared" si="19"/>
        <v>0</v>
      </c>
      <c r="K144" s="633">
        <f t="shared" si="20"/>
        <v>0</v>
      </c>
      <c r="L144" s="1127"/>
      <c r="M144" s="1127"/>
      <c r="N144" s="1691">
        <f t="shared" si="15"/>
        <v>0</v>
      </c>
      <c r="O144" s="634">
        <f t="shared" si="16"/>
        <v>0</v>
      </c>
      <c r="P144" s="144"/>
      <c r="Q144" s="144"/>
      <c r="R144" s="144"/>
      <c r="S144" s="144"/>
    </row>
    <row r="145" spans="1:19" ht="14.25" customHeight="1">
      <c r="A145" s="630"/>
      <c r="B145" s="631"/>
      <c r="C145" s="1127"/>
      <c r="D145" s="632"/>
      <c r="E145" s="1127"/>
      <c r="F145" s="633">
        <f t="shared" si="17"/>
        <v>0</v>
      </c>
      <c r="G145" s="632"/>
      <c r="H145" s="1127"/>
      <c r="I145" s="633">
        <f t="shared" si="18"/>
        <v>0</v>
      </c>
      <c r="J145" s="633">
        <f t="shared" si="19"/>
        <v>0</v>
      </c>
      <c r="K145" s="633">
        <f t="shared" si="20"/>
        <v>0</v>
      </c>
      <c r="L145" s="1127"/>
      <c r="M145" s="1127"/>
      <c r="N145" s="1691">
        <f t="shared" si="15"/>
        <v>0</v>
      </c>
      <c r="O145" s="634">
        <f t="shared" si="16"/>
        <v>0</v>
      </c>
      <c r="P145" s="144"/>
      <c r="Q145" s="144"/>
      <c r="R145" s="144"/>
      <c r="S145" s="144"/>
    </row>
    <row r="146" spans="1:19" ht="14.25" customHeight="1">
      <c r="A146" s="630"/>
      <c r="B146" s="631"/>
      <c r="C146" s="1127"/>
      <c r="D146" s="632"/>
      <c r="E146" s="1127"/>
      <c r="F146" s="633">
        <f t="shared" si="17"/>
        <v>0</v>
      </c>
      <c r="G146" s="632"/>
      <c r="H146" s="1127"/>
      <c r="I146" s="633">
        <f t="shared" si="18"/>
        <v>0</v>
      </c>
      <c r="J146" s="633">
        <f t="shared" si="19"/>
        <v>0</v>
      </c>
      <c r="K146" s="633">
        <f t="shared" si="20"/>
        <v>0</v>
      </c>
      <c r="L146" s="1127"/>
      <c r="M146" s="1127"/>
      <c r="N146" s="1691">
        <f t="shared" si="15"/>
        <v>0</v>
      </c>
      <c r="O146" s="634">
        <f t="shared" si="16"/>
        <v>0</v>
      </c>
      <c r="P146" s="144"/>
      <c r="Q146" s="144"/>
      <c r="R146" s="144"/>
      <c r="S146" s="144"/>
    </row>
    <row r="147" spans="1:19" ht="14.25" customHeight="1">
      <c r="A147" s="630"/>
      <c r="B147" s="631"/>
      <c r="C147" s="1127"/>
      <c r="D147" s="632"/>
      <c r="E147" s="1127"/>
      <c r="F147" s="633">
        <f t="shared" si="17"/>
        <v>0</v>
      </c>
      <c r="G147" s="632"/>
      <c r="H147" s="1127"/>
      <c r="I147" s="633">
        <f t="shared" si="18"/>
        <v>0</v>
      </c>
      <c r="J147" s="633">
        <f t="shared" si="19"/>
        <v>0</v>
      </c>
      <c r="K147" s="633">
        <f t="shared" si="20"/>
        <v>0</v>
      </c>
      <c r="L147" s="1127"/>
      <c r="M147" s="1127"/>
      <c r="N147" s="1691">
        <f t="shared" si="15"/>
        <v>0</v>
      </c>
      <c r="O147" s="634">
        <f t="shared" si="16"/>
        <v>0</v>
      </c>
      <c r="P147" s="144"/>
      <c r="Q147" s="144"/>
      <c r="R147" s="144"/>
      <c r="S147" s="144"/>
    </row>
    <row r="148" spans="1:19" ht="14.25" customHeight="1">
      <c r="A148" s="630"/>
      <c r="B148" s="631"/>
      <c r="C148" s="1127"/>
      <c r="D148" s="632"/>
      <c r="E148" s="1127"/>
      <c r="F148" s="633">
        <f t="shared" si="17"/>
        <v>0</v>
      </c>
      <c r="G148" s="632"/>
      <c r="H148" s="1127"/>
      <c r="I148" s="633">
        <f t="shared" si="18"/>
        <v>0</v>
      </c>
      <c r="J148" s="633">
        <f t="shared" si="19"/>
        <v>0</v>
      </c>
      <c r="K148" s="633">
        <f t="shared" si="20"/>
        <v>0</v>
      </c>
      <c r="L148" s="1127"/>
      <c r="M148" s="1127"/>
      <c r="N148" s="1691">
        <f t="shared" si="15"/>
        <v>0</v>
      </c>
      <c r="O148" s="634">
        <f t="shared" si="16"/>
        <v>0</v>
      </c>
      <c r="P148" s="144"/>
      <c r="Q148" s="144"/>
      <c r="R148" s="144"/>
      <c r="S148" s="144"/>
    </row>
    <row r="149" spans="1:19" ht="14.25" customHeight="1">
      <c r="A149" s="630"/>
      <c r="B149" s="631"/>
      <c r="C149" s="1127"/>
      <c r="D149" s="632"/>
      <c r="E149" s="1127"/>
      <c r="F149" s="633">
        <f t="shared" si="17"/>
        <v>0</v>
      </c>
      <c r="G149" s="632"/>
      <c r="H149" s="1127"/>
      <c r="I149" s="633">
        <f t="shared" si="18"/>
        <v>0</v>
      </c>
      <c r="J149" s="633">
        <f t="shared" si="19"/>
        <v>0</v>
      </c>
      <c r="K149" s="633">
        <f t="shared" si="20"/>
        <v>0</v>
      </c>
      <c r="L149" s="1127"/>
      <c r="M149" s="1127"/>
      <c r="N149" s="1691">
        <f t="shared" si="15"/>
        <v>0</v>
      </c>
      <c r="O149" s="634">
        <f t="shared" si="16"/>
        <v>0</v>
      </c>
      <c r="P149" s="144"/>
      <c r="Q149" s="144"/>
      <c r="R149" s="144"/>
      <c r="S149" s="144"/>
    </row>
    <row r="150" spans="1:19" ht="14.25" customHeight="1">
      <c r="A150" s="630"/>
      <c r="B150" s="631"/>
      <c r="C150" s="1127"/>
      <c r="D150" s="632"/>
      <c r="E150" s="1127"/>
      <c r="F150" s="633">
        <f t="shared" si="17"/>
        <v>0</v>
      </c>
      <c r="G150" s="632"/>
      <c r="H150" s="1127"/>
      <c r="I150" s="633">
        <f t="shared" si="18"/>
        <v>0</v>
      </c>
      <c r="J150" s="633">
        <f t="shared" si="19"/>
        <v>0</v>
      </c>
      <c r="K150" s="633">
        <f t="shared" si="20"/>
        <v>0</v>
      </c>
      <c r="L150" s="1127"/>
      <c r="M150" s="1127"/>
      <c r="N150" s="1691">
        <f t="shared" si="15"/>
        <v>0</v>
      </c>
      <c r="O150" s="634">
        <f t="shared" si="16"/>
        <v>0</v>
      </c>
      <c r="P150" s="144"/>
      <c r="Q150" s="144"/>
      <c r="R150" s="144"/>
      <c r="S150" s="144"/>
    </row>
    <row r="151" spans="1:19" ht="14.25" customHeight="1">
      <c r="A151" s="630"/>
      <c r="B151" s="631"/>
      <c r="C151" s="1127"/>
      <c r="D151" s="632"/>
      <c r="E151" s="1127"/>
      <c r="F151" s="633">
        <f t="shared" si="17"/>
        <v>0</v>
      </c>
      <c r="G151" s="632"/>
      <c r="H151" s="1127"/>
      <c r="I151" s="633">
        <f t="shared" si="18"/>
        <v>0</v>
      </c>
      <c r="J151" s="633">
        <f t="shared" si="19"/>
        <v>0</v>
      </c>
      <c r="K151" s="633">
        <f t="shared" si="20"/>
        <v>0</v>
      </c>
      <c r="L151" s="1127"/>
      <c r="M151" s="1127"/>
      <c r="N151" s="1691">
        <f t="shared" si="15"/>
        <v>0</v>
      </c>
      <c r="O151" s="634">
        <f t="shared" si="16"/>
        <v>0</v>
      </c>
      <c r="P151" s="144"/>
      <c r="Q151" s="144"/>
      <c r="R151" s="144"/>
      <c r="S151" s="144"/>
    </row>
    <row r="152" spans="1:19" ht="14.25" customHeight="1">
      <c r="A152" s="630"/>
      <c r="B152" s="631"/>
      <c r="C152" s="1127"/>
      <c r="D152" s="632"/>
      <c r="E152" s="1127"/>
      <c r="F152" s="633">
        <f t="shared" si="17"/>
        <v>0</v>
      </c>
      <c r="G152" s="632"/>
      <c r="H152" s="1127"/>
      <c r="I152" s="633">
        <f t="shared" si="18"/>
        <v>0</v>
      </c>
      <c r="J152" s="633">
        <f t="shared" si="19"/>
        <v>0</v>
      </c>
      <c r="K152" s="633">
        <f t="shared" si="20"/>
        <v>0</v>
      </c>
      <c r="L152" s="1127"/>
      <c r="M152" s="1127"/>
      <c r="N152" s="1691">
        <f t="shared" si="15"/>
        <v>0</v>
      </c>
      <c r="O152" s="634">
        <f t="shared" si="16"/>
        <v>0</v>
      </c>
      <c r="P152" s="144"/>
      <c r="Q152" s="144"/>
      <c r="R152" s="144"/>
      <c r="S152" s="144"/>
    </row>
    <row r="153" spans="1:19" ht="14.25" customHeight="1">
      <c r="A153" s="630"/>
      <c r="B153" s="631"/>
      <c r="C153" s="1127"/>
      <c r="D153" s="632"/>
      <c r="E153" s="1127"/>
      <c r="F153" s="633">
        <f t="shared" si="17"/>
        <v>0</v>
      </c>
      <c r="G153" s="632"/>
      <c r="H153" s="1127"/>
      <c r="I153" s="633">
        <f t="shared" si="18"/>
        <v>0</v>
      </c>
      <c r="J153" s="633">
        <f t="shared" si="19"/>
        <v>0</v>
      </c>
      <c r="K153" s="633">
        <f t="shared" si="20"/>
        <v>0</v>
      </c>
      <c r="L153" s="1127"/>
      <c r="M153" s="1127"/>
      <c r="N153" s="1691">
        <f t="shared" si="15"/>
        <v>0</v>
      </c>
      <c r="O153" s="634">
        <f t="shared" si="16"/>
        <v>0</v>
      </c>
      <c r="P153" s="144"/>
      <c r="Q153" s="144"/>
      <c r="R153" s="144"/>
      <c r="S153" s="144"/>
    </row>
    <row r="154" spans="1:19" ht="14.25" customHeight="1">
      <c r="A154" s="630"/>
      <c r="B154" s="631"/>
      <c r="C154" s="1127"/>
      <c r="D154" s="632"/>
      <c r="E154" s="1127"/>
      <c r="F154" s="633">
        <f t="shared" si="17"/>
        <v>0</v>
      </c>
      <c r="G154" s="632"/>
      <c r="H154" s="1127"/>
      <c r="I154" s="633">
        <f t="shared" si="18"/>
        <v>0</v>
      </c>
      <c r="J154" s="633">
        <f t="shared" si="19"/>
        <v>0</v>
      </c>
      <c r="K154" s="633">
        <f t="shared" si="20"/>
        <v>0</v>
      </c>
      <c r="L154" s="1127"/>
      <c r="M154" s="1127"/>
      <c r="N154" s="1691">
        <f t="shared" si="15"/>
        <v>0</v>
      </c>
      <c r="O154" s="634">
        <f t="shared" si="16"/>
        <v>0</v>
      </c>
      <c r="P154" s="144"/>
      <c r="Q154" s="144"/>
      <c r="R154" s="144"/>
      <c r="S154" s="144"/>
    </row>
    <row r="155" spans="1:19" ht="14.25" customHeight="1">
      <c r="A155" s="630"/>
      <c r="B155" s="631"/>
      <c r="C155" s="1127"/>
      <c r="D155" s="632"/>
      <c r="E155" s="1127"/>
      <c r="F155" s="633">
        <f t="shared" si="17"/>
        <v>0</v>
      </c>
      <c r="G155" s="632"/>
      <c r="H155" s="1127"/>
      <c r="I155" s="633">
        <f t="shared" si="18"/>
        <v>0</v>
      </c>
      <c r="J155" s="633">
        <f t="shared" si="19"/>
        <v>0</v>
      </c>
      <c r="K155" s="633">
        <f t="shared" si="20"/>
        <v>0</v>
      </c>
      <c r="L155" s="1127"/>
      <c r="M155" s="1127"/>
      <c r="N155" s="1691">
        <f t="shared" si="15"/>
        <v>0</v>
      </c>
      <c r="O155" s="634">
        <f t="shared" si="16"/>
        <v>0</v>
      </c>
      <c r="P155" s="144"/>
      <c r="Q155" s="144"/>
      <c r="R155" s="144"/>
      <c r="S155" s="144"/>
    </row>
    <row r="156" spans="1:19" ht="14.25" customHeight="1">
      <c r="A156" s="630"/>
      <c r="B156" s="631"/>
      <c r="C156" s="1127"/>
      <c r="D156" s="632"/>
      <c r="E156" s="1127"/>
      <c r="F156" s="633">
        <f t="shared" si="17"/>
        <v>0</v>
      </c>
      <c r="G156" s="632"/>
      <c r="H156" s="1127"/>
      <c r="I156" s="633">
        <f t="shared" si="18"/>
        <v>0</v>
      </c>
      <c r="J156" s="633">
        <f t="shared" si="19"/>
        <v>0</v>
      </c>
      <c r="K156" s="633">
        <f t="shared" si="20"/>
        <v>0</v>
      </c>
      <c r="L156" s="1127"/>
      <c r="M156" s="1127"/>
      <c r="N156" s="1691">
        <f t="shared" si="15"/>
        <v>0</v>
      </c>
      <c r="O156" s="634">
        <f t="shared" si="16"/>
        <v>0</v>
      </c>
      <c r="P156" s="144"/>
      <c r="Q156" s="144"/>
      <c r="R156" s="144"/>
      <c r="S156" s="144"/>
    </row>
    <row r="157" spans="1:19" ht="14.25" customHeight="1">
      <c r="A157" s="630"/>
      <c r="B157" s="631"/>
      <c r="C157" s="1127"/>
      <c r="D157" s="632"/>
      <c r="E157" s="1127"/>
      <c r="F157" s="633">
        <f t="shared" si="17"/>
        <v>0</v>
      </c>
      <c r="G157" s="632"/>
      <c r="H157" s="1127"/>
      <c r="I157" s="633">
        <f t="shared" si="18"/>
        <v>0</v>
      </c>
      <c r="J157" s="633">
        <f t="shared" si="19"/>
        <v>0</v>
      </c>
      <c r="K157" s="633">
        <f t="shared" si="20"/>
        <v>0</v>
      </c>
      <c r="L157" s="1127"/>
      <c r="M157" s="1127"/>
      <c r="N157" s="1691">
        <f t="shared" si="15"/>
        <v>0</v>
      </c>
      <c r="O157" s="634">
        <f t="shared" si="16"/>
        <v>0</v>
      </c>
      <c r="P157" s="144"/>
      <c r="Q157" s="144"/>
      <c r="R157" s="144"/>
      <c r="S157" s="144"/>
    </row>
    <row r="158" spans="1:19" ht="14.25" customHeight="1">
      <c r="A158" s="630"/>
      <c r="B158" s="631"/>
      <c r="C158" s="1127"/>
      <c r="D158" s="632"/>
      <c r="E158" s="1127"/>
      <c r="F158" s="633">
        <f t="shared" si="17"/>
        <v>0</v>
      </c>
      <c r="G158" s="632"/>
      <c r="H158" s="1127"/>
      <c r="I158" s="633">
        <f t="shared" si="18"/>
        <v>0</v>
      </c>
      <c r="J158" s="633">
        <f t="shared" si="19"/>
        <v>0</v>
      </c>
      <c r="K158" s="633">
        <f t="shared" si="20"/>
        <v>0</v>
      </c>
      <c r="L158" s="1127"/>
      <c r="M158" s="1127"/>
      <c r="N158" s="1691">
        <f t="shared" si="15"/>
        <v>0</v>
      </c>
      <c r="O158" s="634">
        <f t="shared" si="16"/>
        <v>0</v>
      </c>
      <c r="P158" s="144"/>
      <c r="Q158" s="144"/>
      <c r="R158" s="144"/>
      <c r="S158" s="144"/>
    </row>
    <row r="159" spans="1:19" ht="14.25" customHeight="1">
      <c r="A159" s="630"/>
      <c r="B159" s="631"/>
      <c r="C159" s="1127"/>
      <c r="D159" s="632"/>
      <c r="E159" s="1127"/>
      <c r="F159" s="633">
        <f t="shared" si="17"/>
        <v>0</v>
      </c>
      <c r="G159" s="632"/>
      <c r="H159" s="1127"/>
      <c r="I159" s="633">
        <f t="shared" si="18"/>
        <v>0</v>
      </c>
      <c r="J159" s="633">
        <f t="shared" si="19"/>
        <v>0</v>
      </c>
      <c r="K159" s="633">
        <f t="shared" si="20"/>
        <v>0</v>
      </c>
      <c r="L159" s="1127"/>
      <c r="M159" s="1127"/>
      <c r="N159" s="1691">
        <f t="shared" si="15"/>
        <v>0</v>
      </c>
      <c r="O159" s="634">
        <f t="shared" si="16"/>
        <v>0</v>
      </c>
      <c r="P159" s="144"/>
      <c r="Q159" s="144"/>
      <c r="R159" s="144"/>
      <c r="S159" s="144"/>
    </row>
    <row r="160" spans="1:19" ht="14.25" customHeight="1">
      <c r="A160" s="630"/>
      <c r="B160" s="631"/>
      <c r="C160" s="1127"/>
      <c r="D160" s="632"/>
      <c r="E160" s="1127"/>
      <c r="F160" s="633">
        <f t="shared" si="17"/>
        <v>0</v>
      </c>
      <c r="G160" s="632"/>
      <c r="H160" s="1127"/>
      <c r="I160" s="633">
        <f t="shared" si="18"/>
        <v>0</v>
      </c>
      <c r="J160" s="633">
        <f t="shared" si="19"/>
        <v>0</v>
      </c>
      <c r="K160" s="633">
        <f t="shared" si="20"/>
        <v>0</v>
      </c>
      <c r="L160" s="1127"/>
      <c r="M160" s="1127"/>
      <c r="N160" s="1691">
        <f t="shared" si="15"/>
        <v>0</v>
      </c>
      <c r="O160" s="634">
        <f t="shared" si="16"/>
        <v>0</v>
      </c>
      <c r="P160" s="144"/>
      <c r="Q160" s="144"/>
      <c r="R160" s="144"/>
      <c r="S160" s="144"/>
    </row>
    <row r="161" spans="1:19" ht="14.25" customHeight="1">
      <c r="A161" s="630"/>
      <c r="B161" s="631"/>
      <c r="C161" s="1127"/>
      <c r="D161" s="632"/>
      <c r="E161" s="1127"/>
      <c r="F161" s="633">
        <f t="shared" si="17"/>
        <v>0</v>
      </c>
      <c r="G161" s="632"/>
      <c r="H161" s="1127"/>
      <c r="I161" s="633">
        <f t="shared" si="18"/>
        <v>0</v>
      </c>
      <c r="J161" s="633">
        <f t="shared" si="19"/>
        <v>0</v>
      </c>
      <c r="K161" s="633">
        <f t="shared" si="20"/>
        <v>0</v>
      </c>
      <c r="L161" s="1127"/>
      <c r="M161" s="1127"/>
      <c r="N161" s="1691">
        <f t="shared" si="15"/>
        <v>0</v>
      </c>
      <c r="O161" s="634">
        <f t="shared" si="16"/>
        <v>0</v>
      </c>
      <c r="P161" s="144"/>
      <c r="Q161" s="144"/>
      <c r="R161" s="144"/>
      <c r="S161" s="144"/>
    </row>
    <row r="162" spans="1:19" ht="14.25" customHeight="1">
      <c r="A162" s="630"/>
      <c r="B162" s="631"/>
      <c r="C162" s="1127"/>
      <c r="D162" s="632"/>
      <c r="E162" s="1127"/>
      <c r="F162" s="633">
        <f t="shared" si="17"/>
        <v>0</v>
      </c>
      <c r="G162" s="632"/>
      <c r="H162" s="1127"/>
      <c r="I162" s="633">
        <f t="shared" si="18"/>
        <v>0</v>
      </c>
      <c r="J162" s="633">
        <f t="shared" si="19"/>
        <v>0</v>
      </c>
      <c r="K162" s="633">
        <f t="shared" si="20"/>
        <v>0</v>
      </c>
      <c r="L162" s="1127"/>
      <c r="M162" s="1127"/>
      <c r="N162" s="1691">
        <f t="shared" si="15"/>
        <v>0</v>
      </c>
      <c r="O162" s="634">
        <f t="shared" si="16"/>
        <v>0</v>
      </c>
      <c r="P162" s="144"/>
      <c r="Q162" s="144"/>
      <c r="R162" s="144"/>
      <c r="S162" s="144"/>
    </row>
    <row r="163" spans="1:19" ht="14.25" customHeight="1">
      <c r="A163" s="630"/>
      <c r="B163" s="631"/>
      <c r="C163" s="1127"/>
      <c r="D163" s="632"/>
      <c r="E163" s="1127"/>
      <c r="F163" s="633">
        <f t="shared" si="17"/>
        <v>0</v>
      </c>
      <c r="G163" s="632"/>
      <c r="H163" s="1127"/>
      <c r="I163" s="633">
        <f t="shared" si="18"/>
        <v>0</v>
      </c>
      <c r="J163" s="633">
        <f t="shared" si="19"/>
        <v>0</v>
      </c>
      <c r="K163" s="633">
        <f t="shared" si="20"/>
        <v>0</v>
      </c>
      <c r="L163" s="1127"/>
      <c r="M163" s="1127"/>
      <c r="N163" s="1691">
        <f t="shared" si="15"/>
        <v>0</v>
      </c>
      <c r="O163" s="634">
        <f t="shared" si="16"/>
        <v>0</v>
      </c>
      <c r="P163" s="144"/>
      <c r="Q163" s="144"/>
      <c r="R163" s="144"/>
      <c r="S163" s="144"/>
    </row>
    <row r="164" spans="1:19" ht="14.25" customHeight="1">
      <c r="A164" s="630"/>
      <c r="B164" s="631"/>
      <c r="C164" s="1127"/>
      <c r="D164" s="632"/>
      <c r="E164" s="1127"/>
      <c r="F164" s="633">
        <f t="shared" si="17"/>
        <v>0</v>
      </c>
      <c r="G164" s="632"/>
      <c r="H164" s="1127"/>
      <c r="I164" s="633">
        <f t="shared" si="18"/>
        <v>0</v>
      </c>
      <c r="J164" s="633">
        <f t="shared" si="19"/>
        <v>0</v>
      </c>
      <c r="K164" s="633">
        <f t="shared" si="20"/>
        <v>0</v>
      </c>
      <c r="L164" s="1127"/>
      <c r="M164" s="1127"/>
      <c r="N164" s="1691">
        <f t="shared" si="15"/>
        <v>0</v>
      </c>
      <c r="O164" s="634">
        <f t="shared" si="16"/>
        <v>0</v>
      </c>
      <c r="P164" s="144"/>
      <c r="Q164" s="144"/>
      <c r="R164" s="144"/>
      <c r="S164" s="144"/>
    </row>
    <row r="165" spans="1:19" ht="14.25" customHeight="1">
      <c r="A165" s="630"/>
      <c r="B165" s="631"/>
      <c r="C165" s="1127"/>
      <c r="D165" s="632"/>
      <c r="E165" s="1127"/>
      <c r="F165" s="633">
        <f t="shared" si="17"/>
        <v>0</v>
      </c>
      <c r="G165" s="632"/>
      <c r="H165" s="1127"/>
      <c r="I165" s="633">
        <f t="shared" si="18"/>
        <v>0</v>
      </c>
      <c r="J165" s="633">
        <f t="shared" si="19"/>
        <v>0</v>
      </c>
      <c r="K165" s="633">
        <f t="shared" si="20"/>
        <v>0</v>
      </c>
      <c r="L165" s="1127"/>
      <c r="M165" s="1127"/>
      <c r="N165" s="1691">
        <f t="shared" si="15"/>
        <v>0</v>
      </c>
      <c r="O165" s="634">
        <f t="shared" si="16"/>
        <v>0</v>
      </c>
      <c r="P165" s="144"/>
      <c r="Q165" s="144"/>
      <c r="R165" s="144"/>
      <c r="S165" s="144"/>
    </row>
    <row r="166" spans="1:19" ht="14.25" customHeight="1">
      <c r="A166" s="630"/>
      <c r="B166" s="631"/>
      <c r="C166" s="1127"/>
      <c r="D166" s="632"/>
      <c r="E166" s="1127"/>
      <c r="F166" s="633">
        <f t="shared" si="17"/>
        <v>0</v>
      </c>
      <c r="G166" s="632"/>
      <c r="H166" s="1127"/>
      <c r="I166" s="633">
        <f t="shared" si="18"/>
        <v>0</v>
      </c>
      <c r="J166" s="633">
        <f t="shared" si="19"/>
        <v>0</v>
      </c>
      <c r="K166" s="633">
        <f t="shared" si="20"/>
        <v>0</v>
      </c>
      <c r="L166" s="1127"/>
      <c r="M166" s="1127"/>
      <c r="N166" s="1691">
        <f t="shared" si="15"/>
        <v>0</v>
      </c>
      <c r="O166" s="634">
        <f t="shared" si="16"/>
        <v>0</v>
      </c>
      <c r="P166" s="144"/>
      <c r="Q166" s="144"/>
      <c r="R166" s="144"/>
      <c r="S166" s="144"/>
    </row>
    <row r="167" spans="1:19" ht="14.25" customHeight="1">
      <c r="A167" s="630"/>
      <c r="B167" s="631"/>
      <c r="C167" s="1127"/>
      <c r="D167" s="632"/>
      <c r="E167" s="1127"/>
      <c r="F167" s="633">
        <f t="shared" si="17"/>
        <v>0</v>
      </c>
      <c r="G167" s="632"/>
      <c r="H167" s="1127"/>
      <c r="I167" s="633">
        <f t="shared" si="18"/>
        <v>0</v>
      </c>
      <c r="J167" s="633">
        <f t="shared" si="19"/>
        <v>0</v>
      </c>
      <c r="K167" s="633">
        <f t="shared" si="20"/>
        <v>0</v>
      </c>
      <c r="L167" s="1127"/>
      <c r="M167" s="1127"/>
      <c r="N167" s="1691">
        <f t="shared" si="15"/>
        <v>0</v>
      </c>
      <c r="O167" s="634">
        <f t="shared" si="16"/>
        <v>0</v>
      </c>
      <c r="P167" s="144"/>
      <c r="Q167" s="144"/>
      <c r="R167" s="144"/>
      <c r="S167" s="144"/>
    </row>
    <row r="168" spans="1:19" ht="14.25" customHeight="1">
      <c r="A168" s="630"/>
      <c r="B168" s="631"/>
      <c r="C168" s="1127"/>
      <c r="D168" s="632"/>
      <c r="E168" s="1127"/>
      <c r="F168" s="633">
        <f t="shared" si="17"/>
        <v>0</v>
      </c>
      <c r="G168" s="632"/>
      <c r="H168" s="1127"/>
      <c r="I168" s="633">
        <f t="shared" si="18"/>
        <v>0</v>
      </c>
      <c r="J168" s="633">
        <f t="shared" si="19"/>
        <v>0</v>
      </c>
      <c r="K168" s="633">
        <f t="shared" si="20"/>
        <v>0</v>
      </c>
      <c r="L168" s="1127"/>
      <c r="M168" s="1127"/>
      <c r="N168" s="1691">
        <f t="shared" si="15"/>
        <v>0</v>
      </c>
      <c r="O168" s="634">
        <f t="shared" si="16"/>
        <v>0</v>
      </c>
      <c r="P168" s="144"/>
      <c r="Q168" s="144"/>
      <c r="R168" s="144"/>
      <c r="S168" s="144"/>
    </row>
    <row r="169" spans="1:19" ht="14.25" customHeight="1">
      <c r="A169" s="630"/>
      <c r="B169" s="631"/>
      <c r="C169" s="1127"/>
      <c r="D169" s="632"/>
      <c r="E169" s="1127"/>
      <c r="F169" s="633">
        <f t="shared" si="17"/>
        <v>0</v>
      </c>
      <c r="G169" s="632"/>
      <c r="H169" s="1127"/>
      <c r="I169" s="633">
        <f t="shared" si="18"/>
        <v>0</v>
      </c>
      <c r="J169" s="633">
        <f t="shared" si="19"/>
        <v>0</v>
      </c>
      <c r="K169" s="633">
        <f t="shared" si="20"/>
        <v>0</v>
      </c>
      <c r="L169" s="1127"/>
      <c r="M169" s="1127"/>
      <c r="N169" s="1691">
        <f t="shared" si="15"/>
        <v>0</v>
      </c>
      <c r="O169" s="634">
        <f t="shared" si="16"/>
        <v>0</v>
      </c>
      <c r="P169" s="144"/>
      <c r="Q169" s="144"/>
      <c r="R169" s="144"/>
      <c r="S169" s="144"/>
    </row>
    <row r="170" spans="1:19" ht="14.25" customHeight="1">
      <c r="A170" s="630"/>
      <c r="B170" s="631"/>
      <c r="C170" s="1127"/>
      <c r="D170" s="632"/>
      <c r="E170" s="1127"/>
      <c r="F170" s="633">
        <f t="shared" si="17"/>
        <v>0</v>
      </c>
      <c r="G170" s="632"/>
      <c r="H170" s="1127"/>
      <c r="I170" s="633">
        <f t="shared" si="18"/>
        <v>0</v>
      </c>
      <c r="J170" s="633">
        <f t="shared" si="19"/>
        <v>0</v>
      </c>
      <c r="K170" s="633">
        <f t="shared" si="20"/>
        <v>0</v>
      </c>
      <c r="L170" s="1127"/>
      <c r="M170" s="1127"/>
      <c r="N170" s="1691">
        <f t="shared" si="15"/>
        <v>0</v>
      </c>
      <c r="O170" s="634">
        <f t="shared" si="16"/>
        <v>0</v>
      </c>
      <c r="P170" s="144"/>
      <c r="Q170" s="144"/>
      <c r="R170" s="144"/>
      <c r="S170" s="144"/>
    </row>
    <row r="171" spans="1:19" ht="14.25" customHeight="1">
      <c r="A171" s="630"/>
      <c r="B171" s="631"/>
      <c r="C171" s="1127"/>
      <c r="D171" s="632"/>
      <c r="E171" s="1127"/>
      <c r="F171" s="633">
        <f t="shared" si="17"/>
        <v>0</v>
      </c>
      <c r="G171" s="632"/>
      <c r="H171" s="1127"/>
      <c r="I171" s="633">
        <f t="shared" si="18"/>
        <v>0</v>
      </c>
      <c r="J171" s="633">
        <f t="shared" si="19"/>
        <v>0</v>
      </c>
      <c r="K171" s="633">
        <f t="shared" si="20"/>
        <v>0</v>
      </c>
      <c r="L171" s="1127"/>
      <c r="M171" s="1127"/>
      <c r="N171" s="1691">
        <f t="shared" si="15"/>
        <v>0</v>
      </c>
      <c r="O171" s="634">
        <f t="shared" si="16"/>
        <v>0</v>
      </c>
      <c r="P171" s="144"/>
      <c r="Q171" s="144"/>
      <c r="R171" s="144"/>
      <c r="S171" s="144"/>
    </row>
    <row r="172" spans="1:19" ht="14.25" customHeight="1">
      <c r="A172" s="630"/>
      <c r="B172" s="631"/>
      <c r="C172" s="1127"/>
      <c r="D172" s="632"/>
      <c r="E172" s="1127"/>
      <c r="F172" s="633">
        <f t="shared" si="17"/>
        <v>0</v>
      </c>
      <c r="G172" s="632"/>
      <c r="H172" s="1127"/>
      <c r="I172" s="633">
        <f t="shared" si="18"/>
        <v>0</v>
      </c>
      <c r="J172" s="633">
        <f t="shared" si="19"/>
        <v>0</v>
      </c>
      <c r="K172" s="633">
        <f t="shared" si="20"/>
        <v>0</v>
      </c>
      <c r="L172" s="1127"/>
      <c r="M172" s="1127"/>
      <c r="N172" s="1691">
        <f t="shared" si="15"/>
        <v>0</v>
      </c>
      <c r="O172" s="634">
        <f t="shared" si="16"/>
        <v>0</v>
      </c>
      <c r="P172" s="144"/>
      <c r="Q172" s="144"/>
      <c r="R172" s="144"/>
      <c r="S172" s="144"/>
    </row>
    <row r="173" spans="1:19" ht="14.25" customHeight="1">
      <c r="A173" s="630"/>
      <c r="B173" s="631"/>
      <c r="C173" s="1127"/>
      <c r="D173" s="632"/>
      <c r="E173" s="1127"/>
      <c r="F173" s="633">
        <f t="shared" si="17"/>
        <v>0</v>
      </c>
      <c r="G173" s="632"/>
      <c r="H173" s="1127"/>
      <c r="I173" s="633">
        <f t="shared" si="18"/>
        <v>0</v>
      </c>
      <c r="J173" s="633">
        <f t="shared" si="19"/>
        <v>0</v>
      </c>
      <c r="K173" s="633">
        <f t="shared" si="20"/>
        <v>0</v>
      </c>
      <c r="L173" s="1127"/>
      <c r="M173" s="1127"/>
      <c r="N173" s="1691">
        <f t="shared" si="15"/>
        <v>0</v>
      </c>
      <c r="O173" s="634">
        <f t="shared" si="16"/>
        <v>0</v>
      </c>
      <c r="P173" s="144"/>
      <c r="Q173" s="144"/>
      <c r="R173" s="144"/>
      <c r="S173" s="144"/>
    </row>
    <row r="174" spans="1:19" ht="14.25" customHeight="1">
      <c r="A174" s="630"/>
      <c r="B174" s="631"/>
      <c r="C174" s="1127"/>
      <c r="D174" s="632"/>
      <c r="E174" s="1127"/>
      <c r="F174" s="633">
        <f t="shared" si="17"/>
        <v>0</v>
      </c>
      <c r="G174" s="632"/>
      <c r="H174" s="1127"/>
      <c r="I174" s="633">
        <f t="shared" si="18"/>
        <v>0</v>
      </c>
      <c r="J174" s="633">
        <f t="shared" si="19"/>
        <v>0</v>
      </c>
      <c r="K174" s="633">
        <f t="shared" si="20"/>
        <v>0</v>
      </c>
      <c r="L174" s="1127"/>
      <c r="M174" s="1127"/>
      <c r="N174" s="1691">
        <f t="shared" si="15"/>
        <v>0</v>
      </c>
      <c r="O174" s="634">
        <f t="shared" si="16"/>
        <v>0</v>
      </c>
      <c r="P174" s="144"/>
      <c r="Q174" s="144"/>
      <c r="R174" s="144"/>
      <c r="S174" s="144"/>
    </row>
    <row r="175" spans="1:19" ht="14.25" customHeight="1">
      <c r="A175" s="630"/>
      <c r="B175" s="631"/>
      <c r="C175" s="1127"/>
      <c r="D175" s="632"/>
      <c r="E175" s="1127"/>
      <c r="F175" s="633">
        <f t="shared" si="17"/>
        <v>0</v>
      </c>
      <c r="G175" s="632"/>
      <c r="H175" s="1127"/>
      <c r="I175" s="633">
        <f t="shared" si="18"/>
        <v>0</v>
      </c>
      <c r="J175" s="633">
        <f t="shared" si="19"/>
        <v>0</v>
      </c>
      <c r="K175" s="633">
        <f t="shared" si="20"/>
        <v>0</v>
      </c>
      <c r="L175" s="1127"/>
      <c r="M175" s="1127"/>
      <c r="N175" s="1691">
        <f t="shared" si="15"/>
        <v>0</v>
      </c>
      <c r="O175" s="634">
        <f t="shared" si="16"/>
        <v>0</v>
      </c>
      <c r="P175" s="144"/>
      <c r="Q175" s="144"/>
      <c r="R175" s="144"/>
      <c r="S175" s="144"/>
    </row>
    <row r="176" spans="1:19" ht="14.25" customHeight="1">
      <c r="A176" s="630"/>
      <c r="B176" s="631"/>
      <c r="C176" s="1127"/>
      <c r="D176" s="632"/>
      <c r="E176" s="1127"/>
      <c r="F176" s="633">
        <f t="shared" si="17"/>
        <v>0</v>
      </c>
      <c r="G176" s="632"/>
      <c r="H176" s="1127"/>
      <c r="I176" s="633">
        <f t="shared" si="18"/>
        <v>0</v>
      </c>
      <c r="J176" s="633">
        <f t="shared" si="19"/>
        <v>0</v>
      </c>
      <c r="K176" s="633">
        <f t="shared" si="20"/>
        <v>0</v>
      </c>
      <c r="L176" s="1127"/>
      <c r="M176" s="1127"/>
      <c r="N176" s="1691">
        <f t="shared" si="15"/>
        <v>0</v>
      </c>
      <c r="O176" s="634">
        <f t="shared" si="16"/>
        <v>0</v>
      </c>
      <c r="P176" s="144"/>
      <c r="Q176" s="144"/>
      <c r="R176" s="144"/>
      <c r="S176" s="144"/>
    </row>
    <row r="177" spans="1:19" ht="14.25" customHeight="1">
      <c r="A177" s="630"/>
      <c r="B177" s="631"/>
      <c r="C177" s="1127"/>
      <c r="D177" s="632"/>
      <c r="E177" s="1127"/>
      <c r="F177" s="633">
        <f t="shared" si="17"/>
        <v>0</v>
      </c>
      <c r="G177" s="632"/>
      <c r="H177" s="1127"/>
      <c r="I177" s="633">
        <f t="shared" si="18"/>
        <v>0</v>
      </c>
      <c r="J177" s="633">
        <f t="shared" si="19"/>
        <v>0</v>
      </c>
      <c r="K177" s="633">
        <f t="shared" si="20"/>
        <v>0</v>
      </c>
      <c r="L177" s="1127"/>
      <c r="M177" s="1127"/>
      <c r="N177" s="1691">
        <f t="shared" si="15"/>
        <v>0</v>
      </c>
      <c r="O177" s="634">
        <f t="shared" si="16"/>
        <v>0</v>
      </c>
      <c r="P177" s="144"/>
      <c r="Q177" s="144"/>
      <c r="R177" s="144"/>
      <c r="S177" s="144"/>
    </row>
    <row r="178" spans="1:19" ht="14.25" customHeight="1">
      <c r="A178" s="630"/>
      <c r="B178" s="631"/>
      <c r="C178" s="1127"/>
      <c r="D178" s="632"/>
      <c r="E178" s="1127"/>
      <c r="F178" s="633">
        <f t="shared" si="17"/>
        <v>0</v>
      </c>
      <c r="G178" s="632"/>
      <c r="H178" s="1127"/>
      <c r="I178" s="633">
        <f t="shared" si="18"/>
        <v>0</v>
      </c>
      <c r="J178" s="633">
        <f t="shared" si="19"/>
        <v>0</v>
      </c>
      <c r="K178" s="633">
        <f t="shared" si="20"/>
        <v>0</v>
      </c>
      <c r="L178" s="1127"/>
      <c r="M178" s="1127"/>
      <c r="N178" s="1691">
        <f t="shared" si="15"/>
        <v>0</v>
      </c>
      <c r="O178" s="634">
        <f t="shared" si="16"/>
        <v>0</v>
      </c>
      <c r="P178" s="144"/>
      <c r="Q178" s="144"/>
      <c r="R178" s="144"/>
      <c r="S178" s="144"/>
    </row>
    <row r="179" spans="1:19" ht="14.25" customHeight="1">
      <c r="A179" s="630"/>
      <c r="B179" s="631"/>
      <c r="C179" s="1127"/>
      <c r="D179" s="632"/>
      <c r="E179" s="1127"/>
      <c r="F179" s="633">
        <f t="shared" si="17"/>
        <v>0</v>
      </c>
      <c r="G179" s="632"/>
      <c r="H179" s="1127"/>
      <c r="I179" s="633">
        <f t="shared" si="18"/>
        <v>0</v>
      </c>
      <c r="J179" s="633">
        <f t="shared" si="19"/>
        <v>0</v>
      </c>
      <c r="K179" s="633">
        <f t="shared" si="20"/>
        <v>0</v>
      </c>
      <c r="L179" s="1127"/>
      <c r="M179" s="1127"/>
      <c r="N179" s="1691">
        <f t="shared" si="15"/>
        <v>0</v>
      </c>
      <c r="O179" s="634">
        <f t="shared" si="16"/>
        <v>0</v>
      </c>
      <c r="P179" s="144"/>
      <c r="Q179" s="144"/>
      <c r="R179" s="144"/>
      <c r="S179" s="144"/>
    </row>
    <row r="180" spans="1:19" ht="14.25" customHeight="1">
      <c r="A180" s="630"/>
      <c r="B180" s="631"/>
      <c r="C180" s="1127"/>
      <c r="D180" s="632"/>
      <c r="E180" s="1127"/>
      <c r="F180" s="633">
        <f t="shared" si="17"/>
        <v>0</v>
      </c>
      <c r="G180" s="632"/>
      <c r="H180" s="1127"/>
      <c r="I180" s="633">
        <f t="shared" si="18"/>
        <v>0</v>
      </c>
      <c r="J180" s="633">
        <f t="shared" si="19"/>
        <v>0</v>
      </c>
      <c r="K180" s="633">
        <f t="shared" si="20"/>
        <v>0</v>
      </c>
      <c r="L180" s="1127"/>
      <c r="M180" s="1127"/>
      <c r="N180" s="1691">
        <f t="shared" si="15"/>
        <v>0</v>
      </c>
      <c r="O180" s="634">
        <f t="shared" si="16"/>
        <v>0</v>
      </c>
      <c r="P180" s="144"/>
      <c r="Q180" s="144"/>
      <c r="R180" s="144"/>
      <c r="S180" s="144"/>
    </row>
    <row r="181" spans="1:19" ht="14.25" customHeight="1">
      <c r="A181" s="630"/>
      <c r="B181" s="631"/>
      <c r="C181" s="1127"/>
      <c r="D181" s="632"/>
      <c r="E181" s="1127"/>
      <c r="F181" s="633">
        <f t="shared" si="17"/>
        <v>0</v>
      </c>
      <c r="G181" s="632"/>
      <c r="H181" s="1127"/>
      <c r="I181" s="633">
        <f t="shared" si="18"/>
        <v>0</v>
      </c>
      <c r="J181" s="633">
        <f t="shared" si="19"/>
        <v>0</v>
      </c>
      <c r="K181" s="633">
        <f t="shared" si="20"/>
        <v>0</v>
      </c>
      <c r="L181" s="1127"/>
      <c r="M181" s="1127"/>
      <c r="N181" s="1691">
        <f t="shared" si="15"/>
        <v>0</v>
      </c>
      <c r="O181" s="634">
        <f t="shared" si="16"/>
        <v>0</v>
      </c>
      <c r="P181" s="144"/>
      <c r="Q181" s="144"/>
      <c r="R181" s="144"/>
      <c r="S181" s="144"/>
    </row>
    <row r="182" spans="1:19" ht="14.25" customHeight="1">
      <c r="A182" s="630"/>
      <c r="B182" s="631"/>
      <c r="C182" s="1127"/>
      <c r="D182" s="632"/>
      <c r="E182" s="1127"/>
      <c r="F182" s="633">
        <f t="shared" si="17"/>
        <v>0</v>
      </c>
      <c r="G182" s="632"/>
      <c r="H182" s="1127"/>
      <c r="I182" s="633">
        <f t="shared" si="18"/>
        <v>0</v>
      </c>
      <c r="J182" s="633">
        <f t="shared" si="19"/>
        <v>0</v>
      </c>
      <c r="K182" s="633">
        <f t="shared" si="20"/>
        <v>0</v>
      </c>
      <c r="L182" s="1127"/>
      <c r="M182" s="1127"/>
      <c r="N182" s="1691">
        <f t="shared" si="15"/>
        <v>0</v>
      </c>
      <c r="O182" s="634">
        <f t="shared" si="16"/>
        <v>0</v>
      </c>
      <c r="P182" s="144"/>
      <c r="Q182" s="144"/>
      <c r="R182" s="144"/>
      <c r="S182" s="144"/>
    </row>
    <row r="183" spans="1:19" ht="14.25" customHeight="1">
      <c r="A183" s="630"/>
      <c r="B183" s="631"/>
      <c r="C183" s="1127"/>
      <c r="D183" s="632"/>
      <c r="E183" s="1127"/>
      <c r="F183" s="633">
        <f t="shared" si="17"/>
        <v>0</v>
      </c>
      <c r="G183" s="632"/>
      <c r="H183" s="1127"/>
      <c r="I183" s="633">
        <f t="shared" si="18"/>
        <v>0</v>
      </c>
      <c r="J183" s="633">
        <f t="shared" si="19"/>
        <v>0</v>
      </c>
      <c r="K183" s="633">
        <f t="shared" si="20"/>
        <v>0</v>
      </c>
      <c r="L183" s="1127"/>
      <c r="M183" s="1127"/>
      <c r="N183" s="1691">
        <f t="shared" si="15"/>
        <v>0</v>
      </c>
      <c r="O183" s="634">
        <f t="shared" si="16"/>
        <v>0</v>
      </c>
      <c r="P183" s="144"/>
      <c r="Q183" s="144"/>
      <c r="R183" s="144"/>
      <c r="S183" s="144"/>
    </row>
    <row r="184" spans="1:19" ht="14.25" customHeight="1">
      <c r="A184" s="630"/>
      <c r="B184" s="631"/>
      <c r="C184" s="1127"/>
      <c r="D184" s="632"/>
      <c r="E184" s="1127"/>
      <c r="F184" s="633">
        <f t="shared" si="17"/>
        <v>0</v>
      </c>
      <c r="G184" s="632"/>
      <c r="H184" s="1127"/>
      <c r="I184" s="633">
        <f t="shared" si="18"/>
        <v>0</v>
      </c>
      <c r="J184" s="633">
        <f t="shared" si="19"/>
        <v>0</v>
      </c>
      <c r="K184" s="633">
        <f t="shared" si="20"/>
        <v>0</v>
      </c>
      <c r="L184" s="1127"/>
      <c r="M184" s="1127"/>
      <c r="N184" s="1691">
        <f t="shared" si="15"/>
        <v>0</v>
      </c>
      <c r="O184" s="634">
        <f t="shared" si="16"/>
        <v>0</v>
      </c>
      <c r="P184" s="144"/>
      <c r="Q184" s="144"/>
      <c r="R184" s="144"/>
      <c r="S184" s="144"/>
    </row>
    <row r="185" spans="1:19" ht="14.25" customHeight="1">
      <c r="A185" s="630"/>
      <c r="B185" s="631"/>
      <c r="C185" s="1127"/>
      <c r="D185" s="632"/>
      <c r="E185" s="1127"/>
      <c r="F185" s="633">
        <f t="shared" si="17"/>
        <v>0</v>
      </c>
      <c r="G185" s="632"/>
      <c r="H185" s="1127"/>
      <c r="I185" s="633">
        <f t="shared" si="18"/>
        <v>0</v>
      </c>
      <c r="J185" s="633">
        <f t="shared" si="19"/>
        <v>0</v>
      </c>
      <c r="K185" s="633">
        <f t="shared" si="20"/>
        <v>0</v>
      </c>
      <c r="L185" s="1127"/>
      <c r="M185" s="1127"/>
      <c r="N185" s="1691">
        <f t="shared" si="15"/>
        <v>0</v>
      </c>
      <c r="O185" s="634">
        <f t="shared" si="16"/>
        <v>0</v>
      </c>
      <c r="P185" s="144"/>
      <c r="Q185" s="144"/>
      <c r="R185" s="144"/>
      <c r="S185" s="144"/>
    </row>
    <row r="186" spans="1:19" ht="14.25" customHeight="1">
      <c r="A186" s="630"/>
      <c r="B186" s="631"/>
      <c r="C186" s="1127"/>
      <c r="D186" s="632"/>
      <c r="E186" s="1127"/>
      <c r="F186" s="633">
        <f t="shared" si="17"/>
        <v>0</v>
      </c>
      <c r="G186" s="632"/>
      <c r="H186" s="1127"/>
      <c r="I186" s="633">
        <f t="shared" si="18"/>
        <v>0</v>
      </c>
      <c r="J186" s="633">
        <f t="shared" si="19"/>
        <v>0</v>
      </c>
      <c r="K186" s="633">
        <f t="shared" si="20"/>
        <v>0</v>
      </c>
      <c r="L186" s="1127"/>
      <c r="M186" s="1127"/>
      <c r="N186" s="1691">
        <f t="shared" si="15"/>
        <v>0</v>
      </c>
      <c r="O186" s="634">
        <f t="shared" si="16"/>
        <v>0</v>
      </c>
      <c r="P186" s="144"/>
      <c r="Q186" s="144"/>
      <c r="R186" s="144"/>
      <c r="S186" s="144"/>
    </row>
    <row r="187" spans="1:19" ht="14.25" customHeight="1">
      <c r="A187" s="630"/>
      <c r="B187" s="631"/>
      <c r="C187" s="1127"/>
      <c r="D187" s="632"/>
      <c r="E187" s="1127"/>
      <c r="F187" s="633">
        <f t="shared" si="17"/>
        <v>0</v>
      </c>
      <c r="G187" s="632"/>
      <c r="H187" s="1127"/>
      <c r="I187" s="633">
        <f t="shared" si="18"/>
        <v>0</v>
      </c>
      <c r="J187" s="633">
        <f t="shared" si="19"/>
        <v>0</v>
      </c>
      <c r="K187" s="633">
        <f t="shared" si="20"/>
        <v>0</v>
      </c>
      <c r="L187" s="1127"/>
      <c r="M187" s="1127"/>
      <c r="N187" s="1691">
        <f t="shared" si="15"/>
        <v>0</v>
      </c>
      <c r="O187" s="634">
        <f t="shared" si="16"/>
        <v>0</v>
      </c>
      <c r="P187" s="144"/>
      <c r="Q187" s="144"/>
      <c r="R187" s="144"/>
      <c r="S187" s="144"/>
    </row>
    <row r="188" spans="1:19" ht="14.25" customHeight="1">
      <c r="A188" s="630"/>
      <c r="B188" s="631"/>
      <c r="C188" s="1127"/>
      <c r="D188" s="632"/>
      <c r="E188" s="1127"/>
      <c r="F188" s="633">
        <f t="shared" si="17"/>
        <v>0</v>
      </c>
      <c r="G188" s="632"/>
      <c r="H188" s="1127"/>
      <c r="I188" s="633">
        <f t="shared" si="18"/>
        <v>0</v>
      </c>
      <c r="J188" s="633">
        <f t="shared" si="19"/>
        <v>0</v>
      </c>
      <c r="K188" s="633">
        <f t="shared" si="20"/>
        <v>0</v>
      </c>
      <c r="L188" s="1127"/>
      <c r="M188" s="1127"/>
      <c r="N188" s="1691">
        <f t="shared" si="15"/>
        <v>0</v>
      </c>
      <c r="O188" s="634">
        <f t="shared" si="16"/>
        <v>0</v>
      </c>
      <c r="P188" s="144"/>
      <c r="Q188" s="144"/>
      <c r="R188" s="144"/>
      <c r="S188" s="144"/>
    </row>
    <row r="189" spans="1:19" ht="14.25" customHeight="1">
      <c r="A189" s="630"/>
      <c r="B189" s="631"/>
      <c r="C189" s="1127"/>
      <c r="D189" s="632"/>
      <c r="E189" s="1127"/>
      <c r="F189" s="633">
        <f t="shared" si="17"/>
        <v>0</v>
      </c>
      <c r="G189" s="632"/>
      <c r="H189" s="1127"/>
      <c r="I189" s="633">
        <f t="shared" si="18"/>
        <v>0</v>
      </c>
      <c r="J189" s="633">
        <f t="shared" si="19"/>
        <v>0</v>
      </c>
      <c r="K189" s="633">
        <f t="shared" si="20"/>
        <v>0</v>
      </c>
      <c r="L189" s="1127"/>
      <c r="M189" s="1127"/>
      <c r="N189" s="1691">
        <f t="shared" si="15"/>
        <v>0</v>
      </c>
      <c r="O189" s="634">
        <f t="shared" si="16"/>
        <v>0</v>
      </c>
      <c r="P189" s="144"/>
      <c r="Q189" s="144"/>
      <c r="R189" s="144"/>
      <c r="S189" s="144"/>
    </row>
    <row r="190" spans="1:19" ht="14.25" customHeight="1">
      <c r="A190" s="630"/>
      <c r="B190" s="631"/>
      <c r="C190" s="1127"/>
      <c r="D190" s="632"/>
      <c r="E190" s="1127"/>
      <c r="F190" s="633">
        <f t="shared" si="17"/>
        <v>0</v>
      </c>
      <c r="G190" s="632"/>
      <c r="H190" s="1127"/>
      <c r="I190" s="633">
        <f t="shared" si="18"/>
        <v>0</v>
      </c>
      <c r="J190" s="633">
        <f t="shared" si="19"/>
        <v>0</v>
      </c>
      <c r="K190" s="633">
        <f t="shared" si="20"/>
        <v>0</v>
      </c>
      <c r="L190" s="1127"/>
      <c r="M190" s="1127"/>
      <c r="N190" s="1691">
        <f t="shared" si="15"/>
        <v>0</v>
      </c>
      <c r="O190" s="634">
        <f t="shared" si="16"/>
        <v>0</v>
      </c>
      <c r="P190" s="144"/>
      <c r="Q190" s="144"/>
      <c r="R190" s="144"/>
      <c r="S190" s="144"/>
    </row>
    <row r="191" spans="1:19" ht="14.25" customHeight="1">
      <c r="A191" s="630"/>
      <c r="B191" s="631"/>
      <c r="C191" s="1127"/>
      <c r="D191" s="632"/>
      <c r="E191" s="1127"/>
      <c r="F191" s="633">
        <f t="shared" si="17"/>
        <v>0</v>
      </c>
      <c r="G191" s="632"/>
      <c r="H191" s="1127"/>
      <c r="I191" s="633">
        <f t="shared" si="18"/>
        <v>0</v>
      </c>
      <c r="J191" s="633">
        <f t="shared" si="19"/>
        <v>0</v>
      </c>
      <c r="K191" s="633">
        <f t="shared" si="20"/>
        <v>0</v>
      </c>
      <c r="L191" s="1127"/>
      <c r="M191" s="1127"/>
      <c r="N191" s="1691">
        <f t="shared" si="15"/>
        <v>0</v>
      </c>
      <c r="O191" s="634">
        <f t="shared" si="16"/>
        <v>0</v>
      </c>
      <c r="P191" s="144"/>
      <c r="Q191" s="144"/>
      <c r="R191" s="144"/>
      <c r="S191" s="144"/>
    </row>
    <row r="192" spans="1:19" ht="14.25" customHeight="1">
      <c r="A192" s="630"/>
      <c r="B192" s="631"/>
      <c r="C192" s="1127"/>
      <c r="D192" s="632"/>
      <c r="E192" s="1127"/>
      <c r="F192" s="633">
        <f t="shared" si="17"/>
        <v>0</v>
      </c>
      <c r="G192" s="632"/>
      <c r="H192" s="1127"/>
      <c r="I192" s="633">
        <f t="shared" si="18"/>
        <v>0</v>
      </c>
      <c r="J192" s="633">
        <f t="shared" si="19"/>
        <v>0</v>
      </c>
      <c r="K192" s="633">
        <f t="shared" si="20"/>
        <v>0</v>
      </c>
      <c r="L192" s="1127"/>
      <c r="M192" s="1127"/>
      <c r="N192" s="1691">
        <f t="shared" si="15"/>
        <v>0</v>
      </c>
      <c r="O192" s="634">
        <f t="shared" si="16"/>
        <v>0</v>
      </c>
      <c r="P192" s="144"/>
      <c r="Q192" s="144"/>
      <c r="R192" s="144"/>
      <c r="S192" s="144"/>
    </row>
    <row r="193" spans="1:19" ht="14.25" customHeight="1">
      <c r="A193" s="630"/>
      <c r="B193" s="631"/>
      <c r="C193" s="1127"/>
      <c r="D193" s="632"/>
      <c r="E193" s="1127"/>
      <c r="F193" s="633">
        <f t="shared" si="17"/>
        <v>0</v>
      </c>
      <c r="G193" s="632"/>
      <c r="H193" s="1127"/>
      <c r="I193" s="633">
        <f t="shared" si="18"/>
        <v>0</v>
      </c>
      <c r="J193" s="633">
        <f t="shared" si="19"/>
        <v>0</v>
      </c>
      <c r="K193" s="633">
        <f t="shared" si="20"/>
        <v>0</v>
      </c>
      <c r="L193" s="1127"/>
      <c r="M193" s="1127"/>
      <c r="N193" s="1691">
        <f t="shared" si="15"/>
        <v>0</v>
      </c>
      <c r="O193" s="634">
        <f t="shared" si="16"/>
        <v>0</v>
      </c>
      <c r="P193" s="144"/>
      <c r="Q193" s="144"/>
      <c r="R193" s="144"/>
      <c r="S193" s="144"/>
    </row>
    <row r="194" spans="1:19" ht="14.25" customHeight="1">
      <c r="A194" s="630"/>
      <c r="B194" s="631"/>
      <c r="C194" s="1127"/>
      <c r="D194" s="632"/>
      <c r="E194" s="1127"/>
      <c r="F194" s="633">
        <f t="shared" si="17"/>
        <v>0</v>
      </c>
      <c r="G194" s="632"/>
      <c r="H194" s="1127"/>
      <c r="I194" s="633">
        <f t="shared" si="18"/>
        <v>0</v>
      </c>
      <c r="J194" s="633">
        <f t="shared" si="19"/>
        <v>0</v>
      </c>
      <c r="K194" s="633">
        <f t="shared" si="20"/>
        <v>0</v>
      </c>
      <c r="L194" s="1127"/>
      <c r="M194" s="1127"/>
      <c r="N194" s="1691">
        <f t="shared" si="15"/>
        <v>0</v>
      </c>
      <c r="O194" s="634">
        <f t="shared" si="16"/>
        <v>0</v>
      </c>
      <c r="P194" s="144"/>
      <c r="Q194" s="144"/>
      <c r="R194" s="144"/>
      <c r="S194" s="144"/>
    </row>
    <row r="195" spans="1:19" ht="14.25" customHeight="1">
      <c r="A195" s="630"/>
      <c r="B195" s="631"/>
      <c r="C195" s="1127"/>
      <c r="D195" s="632"/>
      <c r="E195" s="1127"/>
      <c r="F195" s="633">
        <f t="shared" si="17"/>
        <v>0</v>
      </c>
      <c r="G195" s="632"/>
      <c r="H195" s="1127"/>
      <c r="I195" s="633">
        <f t="shared" si="18"/>
        <v>0</v>
      </c>
      <c r="J195" s="633">
        <f t="shared" si="19"/>
        <v>0</v>
      </c>
      <c r="K195" s="633">
        <f t="shared" si="20"/>
        <v>0</v>
      </c>
      <c r="L195" s="1127"/>
      <c r="M195" s="1127"/>
      <c r="N195" s="1691">
        <f t="shared" si="15"/>
        <v>0</v>
      </c>
      <c r="O195" s="634">
        <f t="shared" si="16"/>
        <v>0</v>
      </c>
      <c r="P195" s="144"/>
      <c r="Q195" s="144"/>
      <c r="R195" s="144"/>
      <c r="S195" s="144"/>
    </row>
    <row r="196" spans="1:19" ht="14.25" customHeight="1">
      <c r="A196" s="630"/>
      <c r="B196" s="631"/>
      <c r="C196" s="1127"/>
      <c r="D196" s="632"/>
      <c r="E196" s="1127"/>
      <c r="F196" s="633">
        <f t="shared" si="17"/>
        <v>0</v>
      </c>
      <c r="G196" s="632"/>
      <c r="H196" s="1127"/>
      <c r="I196" s="633">
        <f t="shared" si="18"/>
        <v>0</v>
      </c>
      <c r="J196" s="633">
        <f t="shared" si="19"/>
        <v>0</v>
      </c>
      <c r="K196" s="633">
        <f t="shared" si="20"/>
        <v>0</v>
      </c>
      <c r="L196" s="1127"/>
      <c r="M196" s="1127"/>
      <c r="N196" s="1691">
        <f t="shared" si="15"/>
        <v>0</v>
      </c>
      <c r="O196" s="634">
        <f t="shared" si="16"/>
        <v>0</v>
      </c>
      <c r="P196" s="144"/>
      <c r="Q196" s="144"/>
      <c r="R196" s="144"/>
      <c r="S196" s="144"/>
    </row>
    <row r="197" spans="1:19" ht="14.25" customHeight="1">
      <c r="A197" s="630"/>
      <c r="B197" s="631"/>
      <c r="C197" s="1127"/>
      <c r="D197" s="632"/>
      <c r="E197" s="1127"/>
      <c r="F197" s="633">
        <f t="shared" si="17"/>
        <v>0</v>
      </c>
      <c r="G197" s="632"/>
      <c r="H197" s="1127"/>
      <c r="I197" s="633">
        <f t="shared" si="18"/>
        <v>0</v>
      </c>
      <c r="J197" s="633">
        <f t="shared" si="19"/>
        <v>0</v>
      </c>
      <c r="K197" s="633">
        <f t="shared" si="20"/>
        <v>0</v>
      </c>
      <c r="L197" s="1127"/>
      <c r="M197" s="1127"/>
      <c r="N197" s="1691">
        <f t="shared" si="15"/>
        <v>0</v>
      </c>
      <c r="O197" s="634">
        <f t="shared" si="16"/>
        <v>0</v>
      </c>
      <c r="P197" s="144"/>
      <c r="Q197" s="144"/>
      <c r="R197" s="144"/>
      <c r="S197" s="144"/>
    </row>
    <row r="198" spans="1:19" ht="14.25" customHeight="1">
      <c r="A198" s="630"/>
      <c r="B198" s="631"/>
      <c r="C198" s="1127"/>
      <c r="D198" s="632"/>
      <c r="E198" s="1127"/>
      <c r="F198" s="633">
        <f t="shared" si="17"/>
        <v>0</v>
      </c>
      <c r="G198" s="632"/>
      <c r="H198" s="1127"/>
      <c r="I198" s="633">
        <f t="shared" si="18"/>
        <v>0</v>
      </c>
      <c r="J198" s="633">
        <f t="shared" si="19"/>
        <v>0</v>
      </c>
      <c r="K198" s="633">
        <f t="shared" si="20"/>
        <v>0</v>
      </c>
      <c r="L198" s="1127"/>
      <c r="M198" s="1127"/>
      <c r="N198" s="1691">
        <f t="shared" si="15"/>
        <v>0</v>
      </c>
      <c r="O198" s="634">
        <f t="shared" si="16"/>
        <v>0</v>
      </c>
      <c r="P198" s="144"/>
      <c r="Q198" s="144"/>
      <c r="R198" s="144"/>
      <c r="S198" s="144"/>
    </row>
    <row r="199" spans="1:19" ht="14.25" customHeight="1">
      <c r="A199" s="630"/>
      <c r="B199" s="631"/>
      <c r="C199" s="1127"/>
      <c r="D199" s="632"/>
      <c r="E199" s="1127"/>
      <c r="F199" s="633">
        <f t="shared" si="17"/>
        <v>0</v>
      </c>
      <c r="G199" s="632"/>
      <c r="H199" s="1127"/>
      <c r="I199" s="633">
        <f t="shared" si="18"/>
        <v>0</v>
      </c>
      <c r="J199" s="633">
        <f t="shared" si="19"/>
        <v>0</v>
      </c>
      <c r="K199" s="633">
        <f t="shared" si="20"/>
        <v>0</v>
      </c>
      <c r="L199" s="1127"/>
      <c r="M199" s="1127"/>
      <c r="N199" s="1691">
        <f t="shared" si="15"/>
        <v>0</v>
      </c>
      <c r="O199" s="634">
        <f t="shared" si="16"/>
        <v>0</v>
      </c>
      <c r="P199" s="144"/>
      <c r="Q199" s="144"/>
      <c r="R199" s="144"/>
      <c r="S199" s="144"/>
    </row>
    <row r="200" spans="1:19" ht="14.25" customHeight="1">
      <c r="A200" s="630"/>
      <c r="B200" s="631"/>
      <c r="C200" s="1127"/>
      <c r="D200" s="632"/>
      <c r="E200" s="1127"/>
      <c r="F200" s="633">
        <f t="shared" si="17"/>
        <v>0</v>
      </c>
      <c r="G200" s="632"/>
      <c r="H200" s="1127"/>
      <c r="I200" s="633">
        <f t="shared" si="18"/>
        <v>0</v>
      </c>
      <c r="J200" s="633">
        <f t="shared" si="19"/>
        <v>0</v>
      </c>
      <c r="K200" s="633">
        <f t="shared" si="20"/>
        <v>0</v>
      </c>
      <c r="L200" s="1127"/>
      <c r="M200" s="1127"/>
      <c r="N200" s="1691">
        <f t="shared" si="15"/>
        <v>0</v>
      </c>
      <c r="O200" s="634">
        <f t="shared" si="16"/>
        <v>0</v>
      </c>
      <c r="P200" s="144"/>
      <c r="Q200" s="144"/>
      <c r="R200" s="144"/>
      <c r="S200" s="144"/>
    </row>
    <row r="201" spans="1:19" ht="14.25" customHeight="1">
      <c r="A201" s="630"/>
      <c r="B201" s="631"/>
      <c r="C201" s="1127"/>
      <c r="D201" s="632"/>
      <c r="E201" s="1127"/>
      <c r="F201" s="633">
        <f t="shared" si="17"/>
        <v>0</v>
      </c>
      <c r="G201" s="632"/>
      <c r="H201" s="1127"/>
      <c r="I201" s="633">
        <f t="shared" si="18"/>
        <v>0</v>
      </c>
      <c r="J201" s="633">
        <f t="shared" si="19"/>
        <v>0</v>
      </c>
      <c r="K201" s="633">
        <f t="shared" si="20"/>
        <v>0</v>
      </c>
      <c r="L201" s="1127"/>
      <c r="M201" s="1127"/>
      <c r="N201" s="1691">
        <f t="shared" si="15"/>
        <v>0</v>
      </c>
      <c r="O201" s="634">
        <f t="shared" si="16"/>
        <v>0</v>
      </c>
      <c r="P201" s="144"/>
      <c r="Q201" s="144"/>
      <c r="R201" s="144"/>
      <c r="S201" s="144"/>
    </row>
    <row r="202" spans="1:19" ht="14.25" customHeight="1">
      <c r="A202" s="630"/>
      <c r="B202" s="631"/>
      <c r="C202" s="1127"/>
      <c r="D202" s="632"/>
      <c r="E202" s="1127"/>
      <c r="F202" s="633">
        <f t="shared" si="17"/>
        <v>0</v>
      </c>
      <c r="G202" s="632"/>
      <c r="H202" s="1127"/>
      <c r="I202" s="633">
        <f t="shared" si="18"/>
        <v>0</v>
      </c>
      <c r="J202" s="633">
        <f t="shared" si="19"/>
        <v>0</v>
      </c>
      <c r="K202" s="633">
        <f t="shared" si="20"/>
        <v>0</v>
      </c>
      <c r="L202" s="1127"/>
      <c r="M202" s="1127"/>
      <c r="N202" s="1691">
        <f t="shared" ref="N202:N265" si="21">IF(M202&lt;&gt;0,ROUND(B202*K202,2)+M202,IF(ABS(ROUND(K202*B202,2)-L202)&lt;3,L202,MIN(ROUND(K202*B202,2),L202)))</f>
        <v>0</v>
      </c>
      <c r="O202" s="634">
        <f t="shared" ref="O202:O265" si="22">IF(ISERROR(L202-N202),"",IF(ABS(L202-N202)&lt;3,0,L202-N202))</f>
        <v>0</v>
      </c>
      <c r="P202" s="144"/>
      <c r="Q202" s="144"/>
      <c r="R202" s="144"/>
      <c r="S202" s="144"/>
    </row>
    <row r="203" spans="1:19" ht="14.25" customHeight="1">
      <c r="A203" s="630"/>
      <c r="B203" s="631"/>
      <c r="C203" s="1127"/>
      <c r="D203" s="632"/>
      <c r="E203" s="1127"/>
      <c r="F203" s="633">
        <f t="shared" ref="F203:F266" si="23">E203*(12-MONTH(D203))/12</f>
        <v>0</v>
      </c>
      <c r="G203" s="632"/>
      <c r="H203" s="1127"/>
      <c r="I203" s="633">
        <f t="shared" ref="I203:I266" si="24">H203*(12-MONTH(G203))/12</f>
        <v>0</v>
      </c>
      <c r="J203" s="633">
        <f t="shared" ref="J203:J266" si="25">C203+E203-H203</f>
        <v>0</v>
      </c>
      <c r="K203" s="633">
        <f t="shared" ref="K203:K266" si="26">C203+F203-I203</f>
        <v>0</v>
      </c>
      <c r="L203" s="1127"/>
      <c r="M203" s="1127"/>
      <c r="N203" s="1691">
        <f t="shared" si="21"/>
        <v>0</v>
      </c>
      <c r="O203" s="634">
        <f t="shared" si="22"/>
        <v>0</v>
      </c>
      <c r="P203" s="144"/>
      <c r="Q203" s="144"/>
      <c r="R203" s="144"/>
      <c r="S203" s="144"/>
    </row>
    <row r="204" spans="1:19" ht="14.25" customHeight="1">
      <c r="A204" s="630"/>
      <c r="B204" s="631"/>
      <c r="C204" s="1127"/>
      <c r="D204" s="632"/>
      <c r="E204" s="1127"/>
      <c r="F204" s="633">
        <f t="shared" si="23"/>
        <v>0</v>
      </c>
      <c r="G204" s="632"/>
      <c r="H204" s="1127"/>
      <c r="I204" s="633">
        <f t="shared" si="24"/>
        <v>0</v>
      </c>
      <c r="J204" s="633">
        <f t="shared" si="25"/>
        <v>0</v>
      </c>
      <c r="K204" s="633">
        <f t="shared" si="26"/>
        <v>0</v>
      </c>
      <c r="L204" s="1127"/>
      <c r="M204" s="1127"/>
      <c r="N204" s="1691">
        <f t="shared" si="21"/>
        <v>0</v>
      </c>
      <c r="O204" s="634">
        <f t="shared" si="22"/>
        <v>0</v>
      </c>
      <c r="P204" s="144"/>
      <c r="Q204" s="144"/>
      <c r="R204" s="144"/>
      <c r="S204" s="144"/>
    </row>
    <row r="205" spans="1:19" ht="14.25" customHeight="1">
      <c r="A205" s="630"/>
      <c r="B205" s="631"/>
      <c r="C205" s="1127"/>
      <c r="D205" s="632"/>
      <c r="E205" s="1127"/>
      <c r="F205" s="633">
        <f t="shared" si="23"/>
        <v>0</v>
      </c>
      <c r="G205" s="632"/>
      <c r="H205" s="1127"/>
      <c r="I205" s="633">
        <f t="shared" si="24"/>
        <v>0</v>
      </c>
      <c r="J205" s="633">
        <f t="shared" si="25"/>
        <v>0</v>
      </c>
      <c r="K205" s="633">
        <f t="shared" si="26"/>
        <v>0</v>
      </c>
      <c r="L205" s="1127"/>
      <c r="M205" s="1127"/>
      <c r="N205" s="1691">
        <f t="shared" si="21"/>
        <v>0</v>
      </c>
      <c r="O205" s="634">
        <f t="shared" si="22"/>
        <v>0</v>
      </c>
      <c r="P205" s="144"/>
      <c r="Q205" s="144"/>
      <c r="R205" s="144"/>
      <c r="S205" s="144"/>
    </row>
    <row r="206" spans="1:19" ht="14.25" customHeight="1">
      <c r="A206" s="630"/>
      <c r="B206" s="631"/>
      <c r="C206" s="1127"/>
      <c r="D206" s="632"/>
      <c r="E206" s="1127"/>
      <c r="F206" s="633">
        <f t="shared" si="23"/>
        <v>0</v>
      </c>
      <c r="G206" s="632"/>
      <c r="H206" s="1127"/>
      <c r="I206" s="633">
        <f t="shared" si="24"/>
        <v>0</v>
      </c>
      <c r="J206" s="633">
        <f t="shared" si="25"/>
        <v>0</v>
      </c>
      <c r="K206" s="633">
        <f t="shared" si="26"/>
        <v>0</v>
      </c>
      <c r="L206" s="1127"/>
      <c r="M206" s="1127"/>
      <c r="N206" s="1691">
        <f t="shared" si="21"/>
        <v>0</v>
      </c>
      <c r="O206" s="634">
        <f t="shared" si="22"/>
        <v>0</v>
      </c>
      <c r="P206" s="144"/>
      <c r="Q206" s="144"/>
      <c r="R206" s="144"/>
      <c r="S206" s="144"/>
    </row>
    <row r="207" spans="1:19" ht="14.25" customHeight="1">
      <c r="A207" s="630"/>
      <c r="B207" s="631"/>
      <c r="C207" s="1127"/>
      <c r="D207" s="632"/>
      <c r="E207" s="1127"/>
      <c r="F207" s="633">
        <f t="shared" si="23"/>
        <v>0</v>
      </c>
      <c r="G207" s="632"/>
      <c r="H207" s="1127"/>
      <c r="I207" s="633">
        <f t="shared" si="24"/>
        <v>0</v>
      </c>
      <c r="J207" s="633">
        <f t="shared" si="25"/>
        <v>0</v>
      </c>
      <c r="K207" s="633">
        <f t="shared" si="26"/>
        <v>0</v>
      </c>
      <c r="L207" s="1127"/>
      <c r="M207" s="1127"/>
      <c r="N207" s="1691">
        <f t="shared" si="21"/>
        <v>0</v>
      </c>
      <c r="O207" s="634">
        <f t="shared" si="22"/>
        <v>0</v>
      </c>
      <c r="P207" s="144"/>
      <c r="Q207" s="144"/>
      <c r="R207" s="144"/>
      <c r="S207" s="144"/>
    </row>
    <row r="208" spans="1:19" ht="14.25" customHeight="1">
      <c r="A208" s="630"/>
      <c r="B208" s="631"/>
      <c r="C208" s="1127"/>
      <c r="D208" s="632"/>
      <c r="E208" s="1127"/>
      <c r="F208" s="633">
        <f t="shared" si="23"/>
        <v>0</v>
      </c>
      <c r="G208" s="632"/>
      <c r="H208" s="1127"/>
      <c r="I208" s="633">
        <f t="shared" si="24"/>
        <v>0</v>
      </c>
      <c r="J208" s="633">
        <f t="shared" si="25"/>
        <v>0</v>
      </c>
      <c r="K208" s="633">
        <f t="shared" si="26"/>
        <v>0</v>
      </c>
      <c r="L208" s="1127"/>
      <c r="M208" s="1127"/>
      <c r="N208" s="1691">
        <f t="shared" si="21"/>
        <v>0</v>
      </c>
      <c r="O208" s="634">
        <f t="shared" si="22"/>
        <v>0</v>
      </c>
      <c r="P208" s="144"/>
      <c r="Q208" s="144"/>
      <c r="R208" s="144"/>
      <c r="S208" s="144"/>
    </row>
    <row r="209" spans="1:19" ht="14.25" customHeight="1">
      <c r="A209" s="630"/>
      <c r="B209" s="631"/>
      <c r="C209" s="1127"/>
      <c r="D209" s="632"/>
      <c r="E209" s="1127"/>
      <c r="F209" s="633">
        <f t="shared" si="23"/>
        <v>0</v>
      </c>
      <c r="G209" s="632"/>
      <c r="H209" s="1127"/>
      <c r="I209" s="633">
        <f t="shared" si="24"/>
        <v>0</v>
      </c>
      <c r="J209" s="633">
        <f t="shared" si="25"/>
        <v>0</v>
      </c>
      <c r="K209" s="633">
        <f t="shared" si="26"/>
        <v>0</v>
      </c>
      <c r="L209" s="1127"/>
      <c r="M209" s="1127"/>
      <c r="N209" s="1691">
        <f t="shared" si="21"/>
        <v>0</v>
      </c>
      <c r="O209" s="634">
        <f t="shared" si="22"/>
        <v>0</v>
      </c>
      <c r="P209" s="144"/>
      <c r="Q209" s="144"/>
      <c r="R209" s="144"/>
      <c r="S209" s="144"/>
    </row>
    <row r="210" spans="1:19" ht="14.25" customHeight="1">
      <c r="A210" s="630"/>
      <c r="B210" s="631"/>
      <c r="C210" s="1127"/>
      <c r="D210" s="632"/>
      <c r="E210" s="1127"/>
      <c r="F210" s="633">
        <f t="shared" si="23"/>
        <v>0</v>
      </c>
      <c r="G210" s="632"/>
      <c r="H210" s="1127"/>
      <c r="I210" s="633">
        <f t="shared" si="24"/>
        <v>0</v>
      </c>
      <c r="J210" s="633">
        <f t="shared" si="25"/>
        <v>0</v>
      </c>
      <c r="K210" s="633">
        <f t="shared" si="26"/>
        <v>0</v>
      </c>
      <c r="L210" s="1127"/>
      <c r="M210" s="1127"/>
      <c r="N210" s="1691">
        <f t="shared" si="21"/>
        <v>0</v>
      </c>
      <c r="O210" s="634">
        <f t="shared" si="22"/>
        <v>0</v>
      </c>
      <c r="P210" s="144"/>
      <c r="Q210" s="144"/>
      <c r="R210" s="144"/>
      <c r="S210" s="144"/>
    </row>
    <row r="211" spans="1:19" ht="14.25" customHeight="1">
      <c r="A211" s="630"/>
      <c r="B211" s="631"/>
      <c r="C211" s="1127"/>
      <c r="D211" s="632"/>
      <c r="E211" s="1127"/>
      <c r="F211" s="633">
        <f t="shared" si="23"/>
        <v>0</v>
      </c>
      <c r="G211" s="632"/>
      <c r="H211" s="1127"/>
      <c r="I211" s="633">
        <f t="shared" si="24"/>
        <v>0</v>
      </c>
      <c r="J211" s="633">
        <f t="shared" si="25"/>
        <v>0</v>
      </c>
      <c r="K211" s="633">
        <f t="shared" si="26"/>
        <v>0</v>
      </c>
      <c r="L211" s="1127"/>
      <c r="M211" s="1127"/>
      <c r="N211" s="1691">
        <f t="shared" si="21"/>
        <v>0</v>
      </c>
      <c r="O211" s="634">
        <f t="shared" si="22"/>
        <v>0</v>
      </c>
      <c r="P211" s="144"/>
      <c r="Q211" s="144"/>
      <c r="R211" s="144"/>
      <c r="S211" s="144"/>
    </row>
    <row r="212" spans="1:19" ht="14.25" customHeight="1">
      <c r="A212" s="630"/>
      <c r="B212" s="631"/>
      <c r="C212" s="1127"/>
      <c r="D212" s="632"/>
      <c r="E212" s="1127"/>
      <c r="F212" s="633">
        <f t="shared" si="23"/>
        <v>0</v>
      </c>
      <c r="G212" s="632"/>
      <c r="H212" s="1127"/>
      <c r="I212" s="633">
        <f t="shared" si="24"/>
        <v>0</v>
      </c>
      <c r="J212" s="633">
        <f t="shared" si="25"/>
        <v>0</v>
      </c>
      <c r="K212" s="633">
        <f t="shared" si="26"/>
        <v>0</v>
      </c>
      <c r="L212" s="1127"/>
      <c r="M212" s="1127"/>
      <c r="N212" s="1691">
        <f t="shared" si="21"/>
        <v>0</v>
      </c>
      <c r="O212" s="634">
        <f t="shared" si="22"/>
        <v>0</v>
      </c>
      <c r="P212" s="144"/>
      <c r="Q212" s="144"/>
      <c r="R212" s="144"/>
      <c r="S212" s="144"/>
    </row>
    <row r="213" spans="1:19" ht="14.25" customHeight="1">
      <c r="A213" s="630"/>
      <c r="B213" s="631"/>
      <c r="C213" s="1127"/>
      <c r="D213" s="632"/>
      <c r="E213" s="1127"/>
      <c r="F213" s="633">
        <f t="shared" si="23"/>
        <v>0</v>
      </c>
      <c r="G213" s="632"/>
      <c r="H213" s="1127"/>
      <c r="I213" s="633">
        <f t="shared" si="24"/>
        <v>0</v>
      </c>
      <c r="J213" s="633">
        <f t="shared" si="25"/>
        <v>0</v>
      </c>
      <c r="K213" s="633">
        <f t="shared" si="26"/>
        <v>0</v>
      </c>
      <c r="L213" s="1127"/>
      <c r="M213" s="1127"/>
      <c r="N213" s="1691">
        <f t="shared" si="21"/>
        <v>0</v>
      </c>
      <c r="O213" s="634">
        <f t="shared" si="22"/>
        <v>0</v>
      </c>
      <c r="P213" s="144"/>
      <c r="Q213" s="144"/>
      <c r="R213" s="144"/>
      <c r="S213" s="144"/>
    </row>
    <row r="214" spans="1:19" ht="14.25" customHeight="1">
      <c r="A214" s="630"/>
      <c r="B214" s="631"/>
      <c r="C214" s="1127"/>
      <c r="D214" s="632"/>
      <c r="E214" s="1127"/>
      <c r="F214" s="633">
        <f t="shared" si="23"/>
        <v>0</v>
      </c>
      <c r="G214" s="632"/>
      <c r="H214" s="1127"/>
      <c r="I214" s="633">
        <f t="shared" si="24"/>
        <v>0</v>
      </c>
      <c r="J214" s="633">
        <f t="shared" si="25"/>
        <v>0</v>
      </c>
      <c r="K214" s="633">
        <f t="shared" si="26"/>
        <v>0</v>
      </c>
      <c r="L214" s="1127"/>
      <c r="M214" s="1127"/>
      <c r="N214" s="1691">
        <f t="shared" si="21"/>
        <v>0</v>
      </c>
      <c r="O214" s="634">
        <f t="shared" si="22"/>
        <v>0</v>
      </c>
      <c r="P214" s="144"/>
      <c r="Q214" s="144"/>
      <c r="R214" s="144"/>
      <c r="S214" s="144"/>
    </row>
    <row r="215" spans="1:19" ht="14.25" customHeight="1">
      <c r="A215" s="630"/>
      <c r="B215" s="631"/>
      <c r="C215" s="1127"/>
      <c r="D215" s="632"/>
      <c r="E215" s="1127"/>
      <c r="F215" s="633">
        <f t="shared" si="23"/>
        <v>0</v>
      </c>
      <c r="G215" s="632"/>
      <c r="H215" s="1127"/>
      <c r="I215" s="633">
        <f t="shared" si="24"/>
        <v>0</v>
      </c>
      <c r="J215" s="633">
        <f t="shared" si="25"/>
        <v>0</v>
      </c>
      <c r="K215" s="633">
        <f t="shared" si="26"/>
        <v>0</v>
      </c>
      <c r="L215" s="1127"/>
      <c r="M215" s="1127"/>
      <c r="N215" s="1691">
        <f t="shared" si="21"/>
        <v>0</v>
      </c>
      <c r="O215" s="634">
        <f t="shared" si="22"/>
        <v>0</v>
      </c>
      <c r="P215" s="144"/>
      <c r="Q215" s="144"/>
      <c r="R215" s="144"/>
      <c r="S215" s="144"/>
    </row>
    <row r="216" spans="1:19" ht="14.25" customHeight="1">
      <c r="A216" s="630"/>
      <c r="B216" s="631"/>
      <c r="C216" s="1127"/>
      <c r="D216" s="632"/>
      <c r="E216" s="1127"/>
      <c r="F216" s="633">
        <f t="shared" si="23"/>
        <v>0</v>
      </c>
      <c r="G216" s="632"/>
      <c r="H216" s="1127"/>
      <c r="I216" s="633">
        <f t="shared" si="24"/>
        <v>0</v>
      </c>
      <c r="J216" s="633">
        <f t="shared" si="25"/>
        <v>0</v>
      </c>
      <c r="K216" s="633">
        <f t="shared" si="26"/>
        <v>0</v>
      </c>
      <c r="L216" s="1127"/>
      <c r="M216" s="1127"/>
      <c r="N216" s="1691">
        <f t="shared" si="21"/>
        <v>0</v>
      </c>
      <c r="O216" s="634">
        <f t="shared" si="22"/>
        <v>0</v>
      </c>
      <c r="P216" s="144"/>
      <c r="Q216" s="144"/>
      <c r="R216" s="144"/>
      <c r="S216" s="144"/>
    </row>
    <row r="217" spans="1:19" ht="14.25" customHeight="1">
      <c r="A217" s="630"/>
      <c r="B217" s="631"/>
      <c r="C217" s="1127"/>
      <c r="D217" s="632"/>
      <c r="E217" s="1127"/>
      <c r="F217" s="633">
        <f t="shared" si="23"/>
        <v>0</v>
      </c>
      <c r="G217" s="632"/>
      <c r="H217" s="1127"/>
      <c r="I217" s="633">
        <f t="shared" si="24"/>
        <v>0</v>
      </c>
      <c r="J217" s="633">
        <f t="shared" si="25"/>
        <v>0</v>
      </c>
      <c r="K217" s="633">
        <f t="shared" si="26"/>
        <v>0</v>
      </c>
      <c r="L217" s="1127"/>
      <c r="M217" s="1127"/>
      <c r="N217" s="1691">
        <f t="shared" si="21"/>
        <v>0</v>
      </c>
      <c r="O217" s="634">
        <f t="shared" si="22"/>
        <v>0</v>
      </c>
      <c r="P217" s="144"/>
      <c r="Q217" s="144"/>
      <c r="R217" s="144"/>
      <c r="S217" s="144"/>
    </row>
    <row r="218" spans="1:19" ht="14.25" customHeight="1">
      <c r="A218" s="630"/>
      <c r="B218" s="631"/>
      <c r="C218" s="1127"/>
      <c r="D218" s="632"/>
      <c r="E218" s="1127"/>
      <c r="F218" s="633">
        <f t="shared" si="23"/>
        <v>0</v>
      </c>
      <c r="G218" s="632"/>
      <c r="H218" s="1127"/>
      <c r="I218" s="633">
        <f t="shared" si="24"/>
        <v>0</v>
      </c>
      <c r="J218" s="633">
        <f t="shared" si="25"/>
        <v>0</v>
      </c>
      <c r="K218" s="633">
        <f t="shared" si="26"/>
        <v>0</v>
      </c>
      <c r="L218" s="1127"/>
      <c r="M218" s="1127"/>
      <c r="N218" s="1691">
        <f t="shared" si="21"/>
        <v>0</v>
      </c>
      <c r="O218" s="634">
        <f t="shared" si="22"/>
        <v>0</v>
      </c>
      <c r="P218" s="144"/>
      <c r="Q218" s="144"/>
      <c r="R218" s="144"/>
      <c r="S218" s="144"/>
    </row>
    <row r="219" spans="1:19" ht="14.25" customHeight="1">
      <c r="A219" s="630"/>
      <c r="B219" s="631"/>
      <c r="C219" s="1127"/>
      <c r="D219" s="632"/>
      <c r="E219" s="1127"/>
      <c r="F219" s="633">
        <f t="shared" si="23"/>
        <v>0</v>
      </c>
      <c r="G219" s="632"/>
      <c r="H219" s="1127"/>
      <c r="I219" s="633">
        <f t="shared" si="24"/>
        <v>0</v>
      </c>
      <c r="J219" s="633">
        <f t="shared" si="25"/>
        <v>0</v>
      </c>
      <c r="K219" s="633">
        <f t="shared" si="26"/>
        <v>0</v>
      </c>
      <c r="L219" s="1127"/>
      <c r="M219" s="1127"/>
      <c r="N219" s="1691">
        <f t="shared" si="21"/>
        <v>0</v>
      </c>
      <c r="O219" s="634">
        <f t="shared" si="22"/>
        <v>0</v>
      </c>
      <c r="P219" s="144"/>
      <c r="Q219" s="144"/>
      <c r="R219" s="144"/>
      <c r="S219" s="144"/>
    </row>
    <row r="220" spans="1:19" ht="14.25" customHeight="1">
      <c r="A220" s="630"/>
      <c r="B220" s="631"/>
      <c r="C220" s="1127"/>
      <c r="D220" s="632"/>
      <c r="E220" s="1127"/>
      <c r="F220" s="633">
        <f t="shared" si="23"/>
        <v>0</v>
      </c>
      <c r="G220" s="632"/>
      <c r="H220" s="1127"/>
      <c r="I220" s="633">
        <f t="shared" si="24"/>
        <v>0</v>
      </c>
      <c r="J220" s="633">
        <f t="shared" si="25"/>
        <v>0</v>
      </c>
      <c r="K220" s="633">
        <f t="shared" si="26"/>
        <v>0</v>
      </c>
      <c r="L220" s="1127"/>
      <c r="M220" s="1127"/>
      <c r="N220" s="1691">
        <f t="shared" si="21"/>
        <v>0</v>
      </c>
      <c r="O220" s="634">
        <f t="shared" si="22"/>
        <v>0</v>
      </c>
      <c r="P220" s="144"/>
      <c r="Q220" s="144"/>
      <c r="R220" s="144"/>
      <c r="S220" s="144"/>
    </row>
    <row r="221" spans="1:19" ht="14.25" customHeight="1">
      <c r="A221" s="630"/>
      <c r="B221" s="631"/>
      <c r="C221" s="1127"/>
      <c r="D221" s="632"/>
      <c r="E221" s="1127"/>
      <c r="F221" s="633">
        <f t="shared" si="23"/>
        <v>0</v>
      </c>
      <c r="G221" s="632"/>
      <c r="H221" s="1127"/>
      <c r="I221" s="633">
        <f t="shared" si="24"/>
        <v>0</v>
      </c>
      <c r="J221" s="633">
        <f t="shared" si="25"/>
        <v>0</v>
      </c>
      <c r="K221" s="633">
        <f t="shared" si="26"/>
        <v>0</v>
      </c>
      <c r="L221" s="1127"/>
      <c r="M221" s="1127"/>
      <c r="N221" s="1691">
        <f t="shared" si="21"/>
        <v>0</v>
      </c>
      <c r="O221" s="634">
        <f t="shared" si="22"/>
        <v>0</v>
      </c>
      <c r="P221" s="144"/>
      <c r="Q221" s="144"/>
      <c r="R221" s="144"/>
      <c r="S221" s="144"/>
    </row>
    <row r="222" spans="1:19" ht="14.25" customHeight="1">
      <c r="A222" s="630"/>
      <c r="B222" s="631"/>
      <c r="C222" s="1127"/>
      <c r="D222" s="632"/>
      <c r="E222" s="1127"/>
      <c r="F222" s="633">
        <f t="shared" si="23"/>
        <v>0</v>
      </c>
      <c r="G222" s="632"/>
      <c r="H222" s="1127"/>
      <c r="I222" s="633">
        <f t="shared" si="24"/>
        <v>0</v>
      </c>
      <c r="J222" s="633">
        <f t="shared" si="25"/>
        <v>0</v>
      </c>
      <c r="K222" s="633">
        <f t="shared" si="26"/>
        <v>0</v>
      </c>
      <c r="L222" s="1127"/>
      <c r="M222" s="1127"/>
      <c r="N222" s="1691">
        <f t="shared" si="21"/>
        <v>0</v>
      </c>
      <c r="O222" s="634">
        <f t="shared" si="22"/>
        <v>0</v>
      </c>
      <c r="P222" s="144"/>
      <c r="Q222" s="144"/>
      <c r="R222" s="144"/>
      <c r="S222" s="144"/>
    </row>
    <row r="223" spans="1:19" ht="14.25" customHeight="1">
      <c r="A223" s="630"/>
      <c r="B223" s="631"/>
      <c r="C223" s="1127"/>
      <c r="D223" s="632"/>
      <c r="E223" s="1127"/>
      <c r="F223" s="633">
        <f t="shared" si="23"/>
        <v>0</v>
      </c>
      <c r="G223" s="632"/>
      <c r="H223" s="1127"/>
      <c r="I223" s="633">
        <f t="shared" si="24"/>
        <v>0</v>
      </c>
      <c r="J223" s="633">
        <f t="shared" si="25"/>
        <v>0</v>
      </c>
      <c r="K223" s="633">
        <f t="shared" si="26"/>
        <v>0</v>
      </c>
      <c r="L223" s="1127"/>
      <c r="M223" s="1127"/>
      <c r="N223" s="1691">
        <f t="shared" si="21"/>
        <v>0</v>
      </c>
      <c r="O223" s="634">
        <f t="shared" si="22"/>
        <v>0</v>
      </c>
      <c r="P223" s="144"/>
      <c r="Q223" s="144"/>
      <c r="R223" s="144"/>
      <c r="S223" s="144"/>
    </row>
    <row r="224" spans="1:19" ht="14.25" customHeight="1">
      <c r="A224" s="630"/>
      <c r="B224" s="631"/>
      <c r="C224" s="1127"/>
      <c r="D224" s="632"/>
      <c r="E224" s="1127"/>
      <c r="F224" s="633">
        <f t="shared" si="23"/>
        <v>0</v>
      </c>
      <c r="G224" s="632"/>
      <c r="H224" s="1127"/>
      <c r="I224" s="633">
        <f t="shared" si="24"/>
        <v>0</v>
      </c>
      <c r="J224" s="633">
        <f t="shared" si="25"/>
        <v>0</v>
      </c>
      <c r="K224" s="633">
        <f t="shared" si="26"/>
        <v>0</v>
      </c>
      <c r="L224" s="1127"/>
      <c r="M224" s="1127"/>
      <c r="N224" s="1691">
        <f t="shared" si="21"/>
        <v>0</v>
      </c>
      <c r="O224" s="634">
        <f t="shared" si="22"/>
        <v>0</v>
      </c>
      <c r="P224" s="144"/>
      <c r="Q224" s="144"/>
      <c r="R224" s="144"/>
      <c r="S224" s="144"/>
    </row>
    <row r="225" spans="1:19" ht="14.25" customHeight="1">
      <c r="A225" s="630"/>
      <c r="B225" s="631"/>
      <c r="C225" s="1127"/>
      <c r="D225" s="632"/>
      <c r="E225" s="1127"/>
      <c r="F225" s="633">
        <f t="shared" si="23"/>
        <v>0</v>
      </c>
      <c r="G225" s="632"/>
      <c r="H225" s="1127"/>
      <c r="I225" s="633">
        <f t="shared" si="24"/>
        <v>0</v>
      </c>
      <c r="J225" s="633">
        <f t="shared" si="25"/>
        <v>0</v>
      </c>
      <c r="K225" s="633">
        <f t="shared" si="26"/>
        <v>0</v>
      </c>
      <c r="L225" s="1127"/>
      <c r="M225" s="1127"/>
      <c r="N225" s="1691">
        <f t="shared" si="21"/>
        <v>0</v>
      </c>
      <c r="O225" s="634">
        <f t="shared" si="22"/>
        <v>0</v>
      </c>
      <c r="P225" s="144"/>
      <c r="Q225" s="144"/>
      <c r="R225" s="144"/>
      <c r="S225" s="144"/>
    </row>
    <row r="226" spans="1:19" ht="14.25" customHeight="1">
      <c r="A226" s="630"/>
      <c r="B226" s="631"/>
      <c r="C226" s="1127"/>
      <c r="D226" s="632"/>
      <c r="E226" s="1127"/>
      <c r="F226" s="633">
        <f t="shared" si="23"/>
        <v>0</v>
      </c>
      <c r="G226" s="632"/>
      <c r="H226" s="1127"/>
      <c r="I226" s="633">
        <f t="shared" si="24"/>
        <v>0</v>
      </c>
      <c r="J226" s="633">
        <f t="shared" si="25"/>
        <v>0</v>
      </c>
      <c r="K226" s="633">
        <f t="shared" si="26"/>
        <v>0</v>
      </c>
      <c r="L226" s="1127"/>
      <c r="M226" s="1127"/>
      <c r="N226" s="1691">
        <f t="shared" si="21"/>
        <v>0</v>
      </c>
      <c r="O226" s="634">
        <f t="shared" si="22"/>
        <v>0</v>
      </c>
      <c r="P226" s="144"/>
      <c r="Q226" s="144"/>
      <c r="R226" s="144"/>
      <c r="S226" s="144"/>
    </row>
    <row r="227" spans="1:19" ht="14.25" customHeight="1">
      <c r="A227" s="630"/>
      <c r="B227" s="631"/>
      <c r="C227" s="1127"/>
      <c r="D227" s="632"/>
      <c r="E227" s="1127"/>
      <c r="F227" s="633">
        <f t="shared" si="23"/>
        <v>0</v>
      </c>
      <c r="G227" s="632"/>
      <c r="H227" s="1127"/>
      <c r="I227" s="633">
        <f t="shared" si="24"/>
        <v>0</v>
      </c>
      <c r="J227" s="633">
        <f t="shared" si="25"/>
        <v>0</v>
      </c>
      <c r="K227" s="633">
        <f t="shared" si="26"/>
        <v>0</v>
      </c>
      <c r="L227" s="1127"/>
      <c r="M227" s="1127"/>
      <c r="N227" s="1691">
        <f t="shared" si="21"/>
        <v>0</v>
      </c>
      <c r="O227" s="634">
        <f t="shared" si="22"/>
        <v>0</v>
      </c>
      <c r="P227" s="144"/>
      <c r="Q227" s="144"/>
      <c r="R227" s="144"/>
      <c r="S227" s="144"/>
    </row>
    <row r="228" spans="1:19" ht="14.25" customHeight="1">
      <c r="A228" s="630"/>
      <c r="B228" s="631"/>
      <c r="C228" s="1127"/>
      <c r="D228" s="632"/>
      <c r="E228" s="1127"/>
      <c r="F228" s="633">
        <f t="shared" si="23"/>
        <v>0</v>
      </c>
      <c r="G228" s="632"/>
      <c r="H228" s="1127"/>
      <c r="I228" s="633">
        <f t="shared" si="24"/>
        <v>0</v>
      </c>
      <c r="J228" s="633">
        <f t="shared" si="25"/>
        <v>0</v>
      </c>
      <c r="K228" s="633">
        <f t="shared" si="26"/>
        <v>0</v>
      </c>
      <c r="L228" s="1127"/>
      <c r="M228" s="1127"/>
      <c r="N228" s="1691">
        <f t="shared" si="21"/>
        <v>0</v>
      </c>
      <c r="O228" s="634">
        <f t="shared" si="22"/>
        <v>0</v>
      </c>
      <c r="P228" s="144"/>
      <c r="Q228" s="144"/>
      <c r="R228" s="144"/>
      <c r="S228" s="144"/>
    </row>
    <row r="229" spans="1:19" ht="14.25" customHeight="1">
      <c r="A229" s="630"/>
      <c r="B229" s="631"/>
      <c r="C229" s="1127"/>
      <c r="D229" s="632"/>
      <c r="E229" s="1127"/>
      <c r="F229" s="633">
        <f t="shared" si="23"/>
        <v>0</v>
      </c>
      <c r="G229" s="632"/>
      <c r="H229" s="1127"/>
      <c r="I229" s="633">
        <f t="shared" si="24"/>
        <v>0</v>
      </c>
      <c r="J229" s="633">
        <f t="shared" si="25"/>
        <v>0</v>
      </c>
      <c r="K229" s="633">
        <f t="shared" si="26"/>
        <v>0</v>
      </c>
      <c r="L229" s="1127"/>
      <c r="M229" s="1127"/>
      <c r="N229" s="1691">
        <f t="shared" si="21"/>
        <v>0</v>
      </c>
      <c r="O229" s="634">
        <f t="shared" si="22"/>
        <v>0</v>
      </c>
      <c r="P229" s="144"/>
      <c r="Q229" s="144"/>
      <c r="R229" s="144"/>
      <c r="S229" s="144"/>
    </row>
    <row r="230" spans="1:19" ht="14.25" customHeight="1">
      <c r="A230" s="630"/>
      <c r="B230" s="631"/>
      <c r="C230" s="1127"/>
      <c r="D230" s="632"/>
      <c r="E230" s="1127"/>
      <c r="F230" s="633">
        <f t="shared" si="23"/>
        <v>0</v>
      </c>
      <c r="G230" s="632"/>
      <c r="H230" s="1127"/>
      <c r="I230" s="633">
        <f t="shared" si="24"/>
        <v>0</v>
      </c>
      <c r="J230" s="633">
        <f t="shared" si="25"/>
        <v>0</v>
      </c>
      <c r="K230" s="633">
        <f t="shared" si="26"/>
        <v>0</v>
      </c>
      <c r="L230" s="1127"/>
      <c r="M230" s="1127"/>
      <c r="N230" s="1691">
        <f t="shared" si="21"/>
        <v>0</v>
      </c>
      <c r="O230" s="634">
        <f t="shared" si="22"/>
        <v>0</v>
      </c>
      <c r="P230" s="144"/>
      <c r="Q230" s="144"/>
      <c r="R230" s="144"/>
      <c r="S230" s="144"/>
    </row>
    <row r="231" spans="1:19" ht="14.25" customHeight="1">
      <c r="A231" s="630"/>
      <c r="B231" s="631"/>
      <c r="C231" s="1127"/>
      <c r="D231" s="632"/>
      <c r="E231" s="1127"/>
      <c r="F231" s="633">
        <f t="shared" si="23"/>
        <v>0</v>
      </c>
      <c r="G231" s="632"/>
      <c r="H231" s="1127"/>
      <c r="I231" s="633">
        <f t="shared" si="24"/>
        <v>0</v>
      </c>
      <c r="J231" s="633">
        <f t="shared" si="25"/>
        <v>0</v>
      </c>
      <c r="K231" s="633">
        <f t="shared" si="26"/>
        <v>0</v>
      </c>
      <c r="L231" s="1127"/>
      <c r="M231" s="1127"/>
      <c r="N231" s="1691">
        <f t="shared" si="21"/>
        <v>0</v>
      </c>
      <c r="O231" s="634">
        <f t="shared" si="22"/>
        <v>0</v>
      </c>
      <c r="P231" s="144"/>
      <c r="Q231" s="144"/>
      <c r="R231" s="144"/>
      <c r="S231" s="144"/>
    </row>
    <row r="232" spans="1:19" ht="14.25" customHeight="1">
      <c r="A232" s="630"/>
      <c r="B232" s="631"/>
      <c r="C232" s="1127"/>
      <c r="D232" s="632"/>
      <c r="E232" s="1127"/>
      <c r="F232" s="633">
        <f t="shared" si="23"/>
        <v>0</v>
      </c>
      <c r="G232" s="632"/>
      <c r="H232" s="1127"/>
      <c r="I232" s="633">
        <f t="shared" si="24"/>
        <v>0</v>
      </c>
      <c r="J232" s="633">
        <f t="shared" si="25"/>
        <v>0</v>
      </c>
      <c r="K232" s="633">
        <f t="shared" si="26"/>
        <v>0</v>
      </c>
      <c r="L232" s="1127"/>
      <c r="M232" s="1127"/>
      <c r="N232" s="1691">
        <f t="shared" si="21"/>
        <v>0</v>
      </c>
      <c r="O232" s="634">
        <f t="shared" si="22"/>
        <v>0</v>
      </c>
      <c r="P232" s="144"/>
      <c r="Q232" s="144"/>
      <c r="R232" s="144"/>
      <c r="S232" s="144"/>
    </row>
    <row r="233" spans="1:19" ht="14.25" customHeight="1">
      <c r="A233" s="630"/>
      <c r="B233" s="631"/>
      <c r="C233" s="1127"/>
      <c r="D233" s="632"/>
      <c r="E233" s="1127"/>
      <c r="F233" s="633">
        <f t="shared" si="23"/>
        <v>0</v>
      </c>
      <c r="G233" s="632"/>
      <c r="H233" s="1127"/>
      <c r="I233" s="633">
        <f t="shared" si="24"/>
        <v>0</v>
      </c>
      <c r="J233" s="633">
        <f t="shared" si="25"/>
        <v>0</v>
      </c>
      <c r="K233" s="633">
        <f t="shared" si="26"/>
        <v>0</v>
      </c>
      <c r="L233" s="1127"/>
      <c r="M233" s="1127"/>
      <c r="N233" s="1691">
        <f t="shared" si="21"/>
        <v>0</v>
      </c>
      <c r="O233" s="634">
        <f t="shared" si="22"/>
        <v>0</v>
      </c>
      <c r="P233" s="144"/>
      <c r="Q233" s="144"/>
      <c r="R233" s="144"/>
      <c r="S233" s="144"/>
    </row>
    <row r="234" spans="1:19" ht="14.25" customHeight="1">
      <c r="A234" s="630"/>
      <c r="B234" s="631"/>
      <c r="C234" s="1127"/>
      <c r="D234" s="632"/>
      <c r="E234" s="1127"/>
      <c r="F234" s="633">
        <f t="shared" si="23"/>
        <v>0</v>
      </c>
      <c r="G234" s="632"/>
      <c r="H234" s="1127"/>
      <c r="I234" s="633">
        <f t="shared" si="24"/>
        <v>0</v>
      </c>
      <c r="J234" s="633">
        <f t="shared" si="25"/>
        <v>0</v>
      </c>
      <c r="K234" s="633">
        <f t="shared" si="26"/>
        <v>0</v>
      </c>
      <c r="L234" s="1127"/>
      <c r="M234" s="1127"/>
      <c r="N234" s="1691">
        <f t="shared" si="21"/>
        <v>0</v>
      </c>
      <c r="O234" s="634">
        <f t="shared" si="22"/>
        <v>0</v>
      </c>
      <c r="P234" s="144"/>
      <c r="Q234" s="144"/>
      <c r="R234" s="144"/>
      <c r="S234" s="144"/>
    </row>
    <row r="235" spans="1:19" ht="14.25" customHeight="1">
      <c r="A235" s="630"/>
      <c r="B235" s="631"/>
      <c r="C235" s="1127"/>
      <c r="D235" s="632"/>
      <c r="E235" s="1127"/>
      <c r="F235" s="633">
        <f t="shared" si="23"/>
        <v>0</v>
      </c>
      <c r="G235" s="632"/>
      <c r="H235" s="1127"/>
      <c r="I235" s="633">
        <f t="shared" si="24"/>
        <v>0</v>
      </c>
      <c r="J235" s="633">
        <f t="shared" si="25"/>
        <v>0</v>
      </c>
      <c r="K235" s="633">
        <f t="shared" si="26"/>
        <v>0</v>
      </c>
      <c r="L235" s="1127"/>
      <c r="M235" s="1127"/>
      <c r="N235" s="1691">
        <f t="shared" si="21"/>
        <v>0</v>
      </c>
      <c r="O235" s="634">
        <f t="shared" si="22"/>
        <v>0</v>
      </c>
      <c r="P235" s="144"/>
      <c r="Q235" s="144"/>
      <c r="R235" s="144"/>
      <c r="S235" s="144"/>
    </row>
    <row r="236" spans="1:19" ht="14.25" customHeight="1">
      <c r="A236" s="630"/>
      <c r="B236" s="631"/>
      <c r="C236" s="1127"/>
      <c r="D236" s="632"/>
      <c r="E236" s="1127"/>
      <c r="F236" s="633">
        <f t="shared" si="23"/>
        <v>0</v>
      </c>
      <c r="G236" s="632"/>
      <c r="H236" s="1127"/>
      <c r="I236" s="633">
        <f t="shared" si="24"/>
        <v>0</v>
      </c>
      <c r="J236" s="633">
        <f t="shared" si="25"/>
        <v>0</v>
      </c>
      <c r="K236" s="633">
        <f t="shared" si="26"/>
        <v>0</v>
      </c>
      <c r="L236" s="1127"/>
      <c r="M236" s="1127"/>
      <c r="N236" s="1691">
        <f t="shared" si="21"/>
        <v>0</v>
      </c>
      <c r="O236" s="634">
        <f t="shared" si="22"/>
        <v>0</v>
      </c>
      <c r="P236" s="144"/>
      <c r="Q236" s="144"/>
      <c r="R236" s="144"/>
      <c r="S236" s="144"/>
    </row>
    <row r="237" spans="1:19" ht="14.25" customHeight="1">
      <c r="A237" s="630"/>
      <c r="B237" s="631"/>
      <c r="C237" s="1127"/>
      <c r="D237" s="632"/>
      <c r="E237" s="1127"/>
      <c r="F237" s="633">
        <f t="shared" si="23"/>
        <v>0</v>
      </c>
      <c r="G237" s="632"/>
      <c r="H237" s="1127"/>
      <c r="I237" s="633">
        <f t="shared" si="24"/>
        <v>0</v>
      </c>
      <c r="J237" s="633">
        <f t="shared" si="25"/>
        <v>0</v>
      </c>
      <c r="K237" s="633">
        <f t="shared" si="26"/>
        <v>0</v>
      </c>
      <c r="L237" s="1127"/>
      <c r="M237" s="1127"/>
      <c r="N237" s="1691">
        <f t="shared" si="21"/>
        <v>0</v>
      </c>
      <c r="O237" s="634">
        <f t="shared" si="22"/>
        <v>0</v>
      </c>
      <c r="P237" s="144"/>
      <c r="Q237" s="144"/>
      <c r="R237" s="144"/>
      <c r="S237" s="144"/>
    </row>
    <row r="238" spans="1:19" ht="14.25" customHeight="1">
      <c r="A238" s="630"/>
      <c r="B238" s="631"/>
      <c r="C238" s="1127"/>
      <c r="D238" s="632"/>
      <c r="E238" s="1127"/>
      <c r="F238" s="633">
        <f t="shared" si="23"/>
        <v>0</v>
      </c>
      <c r="G238" s="632"/>
      <c r="H238" s="1127"/>
      <c r="I238" s="633">
        <f t="shared" si="24"/>
        <v>0</v>
      </c>
      <c r="J238" s="633">
        <f t="shared" si="25"/>
        <v>0</v>
      </c>
      <c r="K238" s="633">
        <f t="shared" si="26"/>
        <v>0</v>
      </c>
      <c r="L238" s="1127"/>
      <c r="M238" s="1127"/>
      <c r="N238" s="1691">
        <f t="shared" si="21"/>
        <v>0</v>
      </c>
      <c r="O238" s="634">
        <f t="shared" si="22"/>
        <v>0</v>
      </c>
      <c r="P238" s="144"/>
      <c r="Q238" s="144"/>
      <c r="R238" s="144"/>
      <c r="S238" s="144"/>
    </row>
    <row r="239" spans="1:19" ht="14.25" customHeight="1">
      <c r="A239" s="630"/>
      <c r="B239" s="631"/>
      <c r="C239" s="1127"/>
      <c r="D239" s="632"/>
      <c r="E239" s="1127"/>
      <c r="F239" s="633">
        <f t="shared" si="23"/>
        <v>0</v>
      </c>
      <c r="G239" s="632"/>
      <c r="H239" s="1127"/>
      <c r="I239" s="633">
        <f t="shared" si="24"/>
        <v>0</v>
      </c>
      <c r="J239" s="633">
        <f t="shared" si="25"/>
        <v>0</v>
      </c>
      <c r="K239" s="633">
        <f t="shared" si="26"/>
        <v>0</v>
      </c>
      <c r="L239" s="1127"/>
      <c r="M239" s="1127"/>
      <c r="N239" s="1691">
        <f t="shared" si="21"/>
        <v>0</v>
      </c>
      <c r="O239" s="634">
        <f t="shared" si="22"/>
        <v>0</v>
      </c>
      <c r="P239" s="144"/>
      <c r="Q239" s="144"/>
      <c r="R239" s="144"/>
      <c r="S239" s="144"/>
    </row>
    <row r="240" spans="1:19" ht="14.25" customHeight="1">
      <c r="A240" s="630"/>
      <c r="B240" s="631"/>
      <c r="C240" s="1127"/>
      <c r="D240" s="632"/>
      <c r="E240" s="1127"/>
      <c r="F240" s="633">
        <f t="shared" si="23"/>
        <v>0</v>
      </c>
      <c r="G240" s="632"/>
      <c r="H240" s="1127"/>
      <c r="I240" s="633">
        <f t="shared" si="24"/>
        <v>0</v>
      </c>
      <c r="J240" s="633">
        <f t="shared" si="25"/>
        <v>0</v>
      </c>
      <c r="K240" s="633">
        <f t="shared" si="26"/>
        <v>0</v>
      </c>
      <c r="L240" s="1127"/>
      <c r="M240" s="1127"/>
      <c r="N240" s="1691">
        <f t="shared" si="21"/>
        <v>0</v>
      </c>
      <c r="O240" s="634">
        <f t="shared" si="22"/>
        <v>0</v>
      </c>
      <c r="P240" s="144"/>
      <c r="Q240" s="144"/>
      <c r="R240" s="144"/>
      <c r="S240" s="144"/>
    </row>
    <row r="241" spans="1:19" ht="14.25" customHeight="1">
      <c r="A241" s="630"/>
      <c r="B241" s="631"/>
      <c r="C241" s="1127"/>
      <c r="D241" s="632"/>
      <c r="E241" s="1127"/>
      <c r="F241" s="633">
        <f t="shared" si="23"/>
        <v>0</v>
      </c>
      <c r="G241" s="632"/>
      <c r="H241" s="1127"/>
      <c r="I241" s="633">
        <f t="shared" si="24"/>
        <v>0</v>
      </c>
      <c r="J241" s="633">
        <f t="shared" si="25"/>
        <v>0</v>
      </c>
      <c r="K241" s="633">
        <f t="shared" si="26"/>
        <v>0</v>
      </c>
      <c r="L241" s="1127"/>
      <c r="M241" s="1127"/>
      <c r="N241" s="1691">
        <f t="shared" si="21"/>
        <v>0</v>
      </c>
      <c r="O241" s="634">
        <f t="shared" si="22"/>
        <v>0</v>
      </c>
      <c r="P241" s="144"/>
      <c r="Q241" s="144"/>
      <c r="R241" s="144"/>
      <c r="S241" s="144"/>
    </row>
    <row r="242" spans="1:19" ht="14.25" customHeight="1">
      <c r="A242" s="630"/>
      <c r="B242" s="631"/>
      <c r="C242" s="1127"/>
      <c r="D242" s="632"/>
      <c r="E242" s="1127"/>
      <c r="F242" s="633">
        <f t="shared" si="23"/>
        <v>0</v>
      </c>
      <c r="G242" s="632"/>
      <c r="H242" s="1127"/>
      <c r="I242" s="633">
        <f t="shared" si="24"/>
        <v>0</v>
      </c>
      <c r="J242" s="633">
        <f t="shared" si="25"/>
        <v>0</v>
      </c>
      <c r="K242" s="633">
        <f t="shared" si="26"/>
        <v>0</v>
      </c>
      <c r="L242" s="1127"/>
      <c r="M242" s="1127"/>
      <c r="N242" s="1691">
        <f t="shared" si="21"/>
        <v>0</v>
      </c>
      <c r="O242" s="634">
        <f t="shared" si="22"/>
        <v>0</v>
      </c>
      <c r="P242" s="144"/>
      <c r="Q242" s="144"/>
      <c r="R242" s="144"/>
      <c r="S242" s="144"/>
    </row>
    <row r="243" spans="1:19" ht="14.25" customHeight="1">
      <c r="A243" s="630"/>
      <c r="B243" s="631"/>
      <c r="C243" s="1127"/>
      <c r="D243" s="632"/>
      <c r="E243" s="1127"/>
      <c r="F243" s="633">
        <f t="shared" si="23"/>
        <v>0</v>
      </c>
      <c r="G243" s="632"/>
      <c r="H243" s="1127"/>
      <c r="I243" s="633">
        <f t="shared" si="24"/>
        <v>0</v>
      </c>
      <c r="J243" s="633">
        <f t="shared" si="25"/>
        <v>0</v>
      </c>
      <c r="K243" s="633">
        <f t="shared" si="26"/>
        <v>0</v>
      </c>
      <c r="L243" s="1127"/>
      <c r="M243" s="1127"/>
      <c r="N243" s="1691">
        <f t="shared" si="21"/>
        <v>0</v>
      </c>
      <c r="O243" s="634">
        <f t="shared" si="22"/>
        <v>0</v>
      </c>
      <c r="P243" s="144"/>
      <c r="Q243" s="144"/>
      <c r="R243" s="144"/>
      <c r="S243" s="144"/>
    </row>
    <row r="244" spans="1:19" ht="14.25" customHeight="1">
      <c r="A244" s="630"/>
      <c r="B244" s="631"/>
      <c r="C244" s="1127"/>
      <c r="D244" s="632"/>
      <c r="E244" s="1127"/>
      <c r="F244" s="633">
        <f t="shared" si="23"/>
        <v>0</v>
      </c>
      <c r="G244" s="632"/>
      <c r="H244" s="1127"/>
      <c r="I244" s="633">
        <f t="shared" si="24"/>
        <v>0</v>
      </c>
      <c r="J244" s="633">
        <f t="shared" si="25"/>
        <v>0</v>
      </c>
      <c r="K244" s="633">
        <f t="shared" si="26"/>
        <v>0</v>
      </c>
      <c r="L244" s="1127"/>
      <c r="M244" s="1127"/>
      <c r="N244" s="1691">
        <f t="shared" si="21"/>
        <v>0</v>
      </c>
      <c r="O244" s="634">
        <f t="shared" si="22"/>
        <v>0</v>
      </c>
      <c r="P244" s="144"/>
      <c r="Q244" s="144"/>
      <c r="R244" s="144"/>
      <c r="S244" s="144"/>
    </row>
    <row r="245" spans="1:19" ht="14.25" customHeight="1">
      <c r="A245" s="630"/>
      <c r="B245" s="631"/>
      <c r="C245" s="1127"/>
      <c r="D245" s="632"/>
      <c r="E245" s="1127"/>
      <c r="F245" s="633">
        <f t="shared" si="23"/>
        <v>0</v>
      </c>
      <c r="G245" s="632"/>
      <c r="H245" s="1127"/>
      <c r="I245" s="633">
        <f t="shared" si="24"/>
        <v>0</v>
      </c>
      <c r="J245" s="633">
        <f t="shared" si="25"/>
        <v>0</v>
      </c>
      <c r="K245" s="633">
        <f t="shared" si="26"/>
        <v>0</v>
      </c>
      <c r="L245" s="1127"/>
      <c r="M245" s="1127"/>
      <c r="N245" s="1691">
        <f t="shared" si="21"/>
        <v>0</v>
      </c>
      <c r="O245" s="634">
        <f t="shared" si="22"/>
        <v>0</v>
      </c>
      <c r="P245" s="144"/>
      <c r="Q245" s="144"/>
      <c r="R245" s="144"/>
      <c r="S245" s="144"/>
    </row>
    <row r="246" spans="1:19" ht="14.25" customHeight="1">
      <c r="A246" s="630"/>
      <c r="B246" s="631"/>
      <c r="C246" s="1127"/>
      <c r="D246" s="632"/>
      <c r="E246" s="1127"/>
      <c r="F246" s="633">
        <f t="shared" si="23"/>
        <v>0</v>
      </c>
      <c r="G246" s="632"/>
      <c r="H246" s="1127"/>
      <c r="I246" s="633">
        <f t="shared" si="24"/>
        <v>0</v>
      </c>
      <c r="J246" s="633">
        <f t="shared" si="25"/>
        <v>0</v>
      </c>
      <c r="K246" s="633">
        <f t="shared" si="26"/>
        <v>0</v>
      </c>
      <c r="L246" s="1127"/>
      <c r="M246" s="1127"/>
      <c r="N246" s="1691">
        <f t="shared" si="21"/>
        <v>0</v>
      </c>
      <c r="O246" s="634">
        <f t="shared" si="22"/>
        <v>0</v>
      </c>
      <c r="P246" s="144"/>
      <c r="Q246" s="144"/>
      <c r="R246" s="144"/>
      <c r="S246" s="144"/>
    </row>
    <row r="247" spans="1:19" ht="14.25" customHeight="1">
      <c r="A247" s="630"/>
      <c r="B247" s="631"/>
      <c r="C247" s="1127"/>
      <c r="D247" s="632"/>
      <c r="E247" s="1127"/>
      <c r="F247" s="633">
        <f t="shared" si="23"/>
        <v>0</v>
      </c>
      <c r="G247" s="632"/>
      <c r="H247" s="1127"/>
      <c r="I247" s="633">
        <f t="shared" si="24"/>
        <v>0</v>
      </c>
      <c r="J247" s="633">
        <f t="shared" si="25"/>
        <v>0</v>
      </c>
      <c r="K247" s="633">
        <f t="shared" si="26"/>
        <v>0</v>
      </c>
      <c r="L247" s="1127"/>
      <c r="M247" s="1127"/>
      <c r="N247" s="1691">
        <f t="shared" si="21"/>
        <v>0</v>
      </c>
      <c r="O247" s="634">
        <f t="shared" si="22"/>
        <v>0</v>
      </c>
      <c r="P247" s="144"/>
      <c r="Q247" s="144"/>
      <c r="R247" s="144"/>
      <c r="S247" s="144"/>
    </row>
    <row r="248" spans="1:19" ht="14.25" customHeight="1">
      <c r="A248" s="630"/>
      <c r="B248" s="631"/>
      <c r="C248" s="1127"/>
      <c r="D248" s="632"/>
      <c r="E248" s="1127"/>
      <c r="F248" s="633">
        <f t="shared" si="23"/>
        <v>0</v>
      </c>
      <c r="G248" s="632"/>
      <c r="H248" s="1127"/>
      <c r="I248" s="633">
        <f t="shared" si="24"/>
        <v>0</v>
      </c>
      <c r="J248" s="633">
        <f t="shared" si="25"/>
        <v>0</v>
      </c>
      <c r="K248" s="633">
        <f t="shared" si="26"/>
        <v>0</v>
      </c>
      <c r="L248" s="1127"/>
      <c r="M248" s="1127"/>
      <c r="N248" s="1691">
        <f t="shared" si="21"/>
        <v>0</v>
      </c>
      <c r="O248" s="634">
        <f t="shared" si="22"/>
        <v>0</v>
      </c>
      <c r="P248" s="144"/>
      <c r="Q248" s="144"/>
      <c r="R248" s="144"/>
      <c r="S248" s="144"/>
    </row>
    <row r="249" spans="1:19" ht="14.25" customHeight="1">
      <c r="A249" s="630"/>
      <c r="B249" s="631"/>
      <c r="C249" s="1127"/>
      <c r="D249" s="632"/>
      <c r="E249" s="1127"/>
      <c r="F249" s="633">
        <f t="shared" si="23"/>
        <v>0</v>
      </c>
      <c r="G249" s="632"/>
      <c r="H249" s="1127"/>
      <c r="I249" s="633">
        <f t="shared" si="24"/>
        <v>0</v>
      </c>
      <c r="J249" s="633">
        <f t="shared" si="25"/>
        <v>0</v>
      </c>
      <c r="K249" s="633">
        <f t="shared" si="26"/>
        <v>0</v>
      </c>
      <c r="L249" s="1127"/>
      <c r="M249" s="1127"/>
      <c r="N249" s="1691">
        <f t="shared" si="21"/>
        <v>0</v>
      </c>
      <c r="O249" s="634">
        <f t="shared" si="22"/>
        <v>0</v>
      </c>
      <c r="P249" s="144"/>
      <c r="Q249" s="144"/>
      <c r="R249" s="144"/>
      <c r="S249" s="144"/>
    </row>
    <row r="250" spans="1:19" ht="14.25" customHeight="1">
      <c r="A250" s="630"/>
      <c r="B250" s="631"/>
      <c r="C250" s="1127"/>
      <c r="D250" s="632"/>
      <c r="E250" s="1127"/>
      <c r="F250" s="633">
        <f t="shared" si="23"/>
        <v>0</v>
      </c>
      <c r="G250" s="632"/>
      <c r="H250" s="1127"/>
      <c r="I250" s="633">
        <f t="shared" si="24"/>
        <v>0</v>
      </c>
      <c r="J250" s="633">
        <f t="shared" si="25"/>
        <v>0</v>
      </c>
      <c r="K250" s="633">
        <f t="shared" si="26"/>
        <v>0</v>
      </c>
      <c r="L250" s="1127"/>
      <c r="M250" s="1127"/>
      <c r="N250" s="1691">
        <f t="shared" si="21"/>
        <v>0</v>
      </c>
      <c r="O250" s="634">
        <f t="shared" si="22"/>
        <v>0</v>
      </c>
      <c r="P250" s="144"/>
      <c r="Q250" s="144"/>
      <c r="R250" s="144"/>
      <c r="S250" s="144"/>
    </row>
    <row r="251" spans="1:19" ht="14.25" customHeight="1">
      <c r="A251" s="630"/>
      <c r="B251" s="631"/>
      <c r="C251" s="1127"/>
      <c r="D251" s="632"/>
      <c r="E251" s="1127"/>
      <c r="F251" s="633">
        <f t="shared" si="23"/>
        <v>0</v>
      </c>
      <c r="G251" s="632"/>
      <c r="H251" s="1127"/>
      <c r="I251" s="633">
        <f t="shared" si="24"/>
        <v>0</v>
      </c>
      <c r="J251" s="633">
        <f t="shared" si="25"/>
        <v>0</v>
      </c>
      <c r="K251" s="633">
        <f t="shared" si="26"/>
        <v>0</v>
      </c>
      <c r="L251" s="1127"/>
      <c r="M251" s="1127"/>
      <c r="N251" s="1691">
        <f t="shared" si="21"/>
        <v>0</v>
      </c>
      <c r="O251" s="634">
        <f t="shared" si="22"/>
        <v>0</v>
      </c>
      <c r="P251" s="144"/>
      <c r="Q251" s="144"/>
      <c r="R251" s="144"/>
      <c r="S251" s="144"/>
    </row>
    <row r="252" spans="1:19" ht="14.25" customHeight="1">
      <c r="A252" s="630"/>
      <c r="B252" s="631"/>
      <c r="C252" s="1127"/>
      <c r="D252" s="632"/>
      <c r="E252" s="1127"/>
      <c r="F252" s="633">
        <f t="shared" si="23"/>
        <v>0</v>
      </c>
      <c r="G252" s="632"/>
      <c r="H252" s="1127"/>
      <c r="I252" s="633">
        <f t="shared" si="24"/>
        <v>0</v>
      </c>
      <c r="J252" s="633">
        <f t="shared" si="25"/>
        <v>0</v>
      </c>
      <c r="K252" s="633">
        <f t="shared" si="26"/>
        <v>0</v>
      </c>
      <c r="L252" s="1127"/>
      <c r="M252" s="1127"/>
      <c r="N252" s="1691">
        <f t="shared" si="21"/>
        <v>0</v>
      </c>
      <c r="O252" s="634">
        <f t="shared" si="22"/>
        <v>0</v>
      </c>
      <c r="P252" s="144"/>
      <c r="Q252" s="144"/>
      <c r="R252" s="144"/>
      <c r="S252" s="144"/>
    </row>
    <row r="253" spans="1:19" ht="14.25" customHeight="1">
      <c r="A253" s="630"/>
      <c r="B253" s="631"/>
      <c r="C253" s="1127"/>
      <c r="D253" s="632"/>
      <c r="E253" s="1127"/>
      <c r="F253" s="633">
        <f t="shared" si="23"/>
        <v>0</v>
      </c>
      <c r="G253" s="632"/>
      <c r="H253" s="1127"/>
      <c r="I253" s="633">
        <f t="shared" si="24"/>
        <v>0</v>
      </c>
      <c r="J253" s="633">
        <f t="shared" si="25"/>
        <v>0</v>
      </c>
      <c r="K253" s="633">
        <f t="shared" si="26"/>
        <v>0</v>
      </c>
      <c r="L253" s="1127"/>
      <c r="M253" s="1127"/>
      <c r="N253" s="1691">
        <f t="shared" si="21"/>
        <v>0</v>
      </c>
      <c r="O253" s="634">
        <f t="shared" si="22"/>
        <v>0</v>
      </c>
      <c r="P253" s="144"/>
      <c r="Q253" s="144"/>
      <c r="R253" s="144"/>
      <c r="S253" s="144"/>
    </row>
    <row r="254" spans="1:19" ht="14.25" customHeight="1">
      <c r="A254" s="630"/>
      <c r="B254" s="631"/>
      <c r="C254" s="1127"/>
      <c r="D254" s="632"/>
      <c r="E254" s="1127"/>
      <c r="F254" s="633">
        <f t="shared" si="23"/>
        <v>0</v>
      </c>
      <c r="G254" s="632"/>
      <c r="H254" s="1127"/>
      <c r="I254" s="633">
        <f t="shared" si="24"/>
        <v>0</v>
      </c>
      <c r="J254" s="633">
        <f t="shared" si="25"/>
        <v>0</v>
      </c>
      <c r="K254" s="633">
        <f t="shared" si="26"/>
        <v>0</v>
      </c>
      <c r="L254" s="1127"/>
      <c r="M254" s="1127"/>
      <c r="N254" s="1691">
        <f t="shared" si="21"/>
        <v>0</v>
      </c>
      <c r="O254" s="634">
        <f t="shared" si="22"/>
        <v>0</v>
      </c>
      <c r="P254" s="144"/>
      <c r="Q254" s="144"/>
      <c r="R254" s="144"/>
      <c r="S254" s="144"/>
    </row>
    <row r="255" spans="1:19" ht="14.25" customHeight="1">
      <c r="A255" s="630"/>
      <c r="B255" s="631"/>
      <c r="C255" s="1127"/>
      <c r="D255" s="632"/>
      <c r="E255" s="1127"/>
      <c r="F255" s="633">
        <f t="shared" si="23"/>
        <v>0</v>
      </c>
      <c r="G255" s="632"/>
      <c r="H255" s="1127"/>
      <c r="I255" s="633">
        <f t="shared" si="24"/>
        <v>0</v>
      </c>
      <c r="J255" s="633">
        <f t="shared" si="25"/>
        <v>0</v>
      </c>
      <c r="K255" s="633">
        <f t="shared" si="26"/>
        <v>0</v>
      </c>
      <c r="L255" s="1127"/>
      <c r="M255" s="1127"/>
      <c r="N255" s="1691">
        <f t="shared" si="21"/>
        <v>0</v>
      </c>
      <c r="O255" s="634">
        <f t="shared" si="22"/>
        <v>0</v>
      </c>
      <c r="P255" s="144"/>
      <c r="Q255" s="144"/>
      <c r="R255" s="144"/>
      <c r="S255" s="144"/>
    </row>
    <row r="256" spans="1:19" ht="14.25" customHeight="1">
      <c r="A256" s="630"/>
      <c r="B256" s="631"/>
      <c r="C256" s="1127"/>
      <c r="D256" s="632"/>
      <c r="E256" s="1127"/>
      <c r="F256" s="633">
        <f t="shared" si="23"/>
        <v>0</v>
      </c>
      <c r="G256" s="632"/>
      <c r="H256" s="1127"/>
      <c r="I256" s="633">
        <f t="shared" si="24"/>
        <v>0</v>
      </c>
      <c r="J256" s="633">
        <f t="shared" si="25"/>
        <v>0</v>
      </c>
      <c r="K256" s="633">
        <f t="shared" si="26"/>
        <v>0</v>
      </c>
      <c r="L256" s="1127"/>
      <c r="M256" s="1127"/>
      <c r="N256" s="1691">
        <f t="shared" si="21"/>
        <v>0</v>
      </c>
      <c r="O256" s="634">
        <f t="shared" si="22"/>
        <v>0</v>
      </c>
      <c r="P256" s="144"/>
      <c r="Q256" s="144"/>
      <c r="R256" s="144"/>
      <c r="S256" s="144"/>
    </row>
    <row r="257" spans="1:19" ht="14.25" customHeight="1">
      <c r="A257" s="630"/>
      <c r="B257" s="631"/>
      <c r="C257" s="1127"/>
      <c r="D257" s="632"/>
      <c r="E257" s="1127"/>
      <c r="F257" s="633">
        <f t="shared" si="23"/>
        <v>0</v>
      </c>
      <c r="G257" s="632"/>
      <c r="H257" s="1127"/>
      <c r="I257" s="633">
        <f t="shared" si="24"/>
        <v>0</v>
      </c>
      <c r="J257" s="633">
        <f t="shared" si="25"/>
        <v>0</v>
      </c>
      <c r="K257" s="633">
        <f t="shared" si="26"/>
        <v>0</v>
      </c>
      <c r="L257" s="1127"/>
      <c r="M257" s="1127"/>
      <c r="N257" s="1691">
        <f t="shared" si="21"/>
        <v>0</v>
      </c>
      <c r="O257" s="634">
        <f t="shared" si="22"/>
        <v>0</v>
      </c>
      <c r="P257" s="144"/>
      <c r="Q257" s="144"/>
      <c r="R257" s="144"/>
      <c r="S257" s="144"/>
    </row>
    <row r="258" spans="1:19" ht="14.25" customHeight="1">
      <c r="A258" s="630"/>
      <c r="B258" s="631"/>
      <c r="C258" s="1127"/>
      <c r="D258" s="632"/>
      <c r="E258" s="1127"/>
      <c r="F258" s="633">
        <f t="shared" si="23"/>
        <v>0</v>
      </c>
      <c r="G258" s="632"/>
      <c r="H258" s="1127"/>
      <c r="I258" s="633">
        <f t="shared" si="24"/>
        <v>0</v>
      </c>
      <c r="J258" s="633">
        <f t="shared" si="25"/>
        <v>0</v>
      </c>
      <c r="K258" s="633">
        <f t="shared" si="26"/>
        <v>0</v>
      </c>
      <c r="L258" s="1127"/>
      <c r="M258" s="1127"/>
      <c r="N258" s="1691">
        <f t="shared" si="21"/>
        <v>0</v>
      </c>
      <c r="O258" s="634">
        <f t="shared" si="22"/>
        <v>0</v>
      </c>
      <c r="P258" s="144"/>
      <c r="Q258" s="144"/>
      <c r="R258" s="144"/>
      <c r="S258" s="144"/>
    </row>
    <row r="259" spans="1:19" ht="14.25" customHeight="1">
      <c r="A259" s="630"/>
      <c r="B259" s="631"/>
      <c r="C259" s="1127"/>
      <c r="D259" s="632"/>
      <c r="E259" s="1127"/>
      <c r="F259" s="633">
        <f t="shared" si="23"/>
        <v>0</v>
      </c>
      <c r="G259" s="632"/>
      <c r="H259" s="1127"/>
      <c r="I259" s="633">
        <f t="shared" si="24"/>
        <v>0</v>
      </c>
      <c r="J259" s="633">
        <f t="shared" si="25"/>
        <v>0</v>
      </c>
      <c r="K259" s="633">
        <f t="shared" si="26"/>
        <v>0</v>
      </c>
      <c r="L259" s="1127"/>
      <c r="M259" s="1127"/>
      <c r="N259" s="1691">
        <f t="shared" si="21"/>
        <v>0</v>
      </c>
      <c r="O259" s="634">
        <f t="shared" si="22"/>
        <v>0</v>
      </c>
      <c r="P259" s="144"/>
      <c r="Q259" s="144"/>
      <c r="R259" s="144"/>
      <c r="S259" s="144"/>
    </row>
    <row r="260" spans="1:19" ht="14.25" customHeight="1">
      <c r="A260" s="630"/>
      <c r="B260" s="631"/>
      <c r="C260" s="1127"/>
      <c r="D260" s="632"/>
      <c r="E260" s="1127"/>
      <c r="F260" s="633">
        <f t="shared" si="23"/>
        <v>0</v>
      </c>
      <c r="G260" s="632"/>
      <c r="H260" s="1127"/>
      <c r="I260" s="633">
        <f t="shared" si="24"/>
        <v>0</v>
      </c>
      <c r="J260" s="633">
        <f t="shared" si="25"/>
        <v>0</v>
      </c>
      <c r="K260" s="633">
        <f t="shared" si="26"/>
        <v>0</v>
      </c>
      <c r="L260" s="1127"/>
      <c r="M260" s="1127"/>
      <c r="N260" s="1691">
        <f t="shared" si="21"/>
        <v>0</v>
      </c>
      <c r="O260" s="634">
        <f t="shared" si="22"/>
        <v>0</v>
      </c>
      <c r="P260" s="144"/>
      <c r="Q260" s="144"/>
      <c r="R260" s="144"/>
      <c r="S260" s="144"/>
    </row>
    <row r="261" spans="1:19" ht="14.25" customHeight="1">
      <c r="A261" s="630"/>
      <c r="B261" s="631"/>
      <c r="C261" s="1127"/>
      <c r="D261" s="632"/>
      <c r="E261" s="1127"/>
      <c r="F261" s="633">
        <f t="shared" si="23"/>
        <v>0</v>
      </c>
      <c r="G261" s="632"/>
      <c r="H261" s="1127"/>
      <c r="I261" s="633">
        <f t="shared" si="24"/>
        <v>0</v>
      </c>
      <c r="J261" s="633">
        <f t="shared" si="25"/>
        <v>0</v>
      </c>
      <c r="K261" s="633">
        <f t="shared" si="26"/>
        <v>0</v>
      </c>
      <c r="L261" s="1127"/>
      <c r="M261" s="1127"/>
      <c r="N261" s="1691">
        <f t="shared" si="21"/>
        <v>0</v>
      </c>
      <c r="O261" s="634">
        <f t="shared" si="22"/>
        <v>0</v>
      </c>
      <c r="P261" s="144"/>
      <c r="Q261" s="144"/>
      <c r="R261" s="144"/>
      <c r="S261" s="144"/>
    </row>
    <row r="262" spans="1:19" ht="14.25" customHeight="1">
      <c r="A262" s="630"/>
      <c r="B262" s="631"/>
      <c r="C262" s="1127"/>
      <c r="D262" s="632"/>
      <c r="E262" s="1127"/>
      <c r="F262" s="633">
        <f t="shared" si="23"/>
        <v>0</v>
      </c>
      <c r="G262" s="632"/>
      <c r="H262" s="1127"/>
      <c r="I262" s="633">
        <f t="shared" si="24"/>
        <v>0</v>
      </c>
      <c r="J262" s="633">
        <f t="shared" si="25"/>
        <v>0</v>
      </c>
      <c r="K262" s="633">
        <f t="shared" si="26"/>
        <v>0</v>
      </c>
      <c r="L262" s="1127"/>
      <c r="M262" s="1127"/>
      <c r="N262" s="1691">
        <f t="shared" si="21"/>
        <v>0</v>
      </c>
      <c r="O262" s="634">
        <f t="shared" si="22"/>
        <v>0</v>
      </c>
      <c r="P262" s="144"/>
      <c r="Q262" s="144"/>
      <c r="R262" s="144"/>
      <c r="S262" s="144"/>
    </row>
    <row r="263" spans="1:19" ht="14.25" customHeight="1">
      <c r="A263" s="630"/>
      <c r="B263" s="631"/>
      <c r="C263" s="1127"/>
      <c r="D263" s="632"/>
      <c r="E263" s="1127"/>
      <c r="F263" s="633">
        <f t="shared" si="23"/>
        <v>0</v>
      </c>
      <c r="G263" s="632"/>
      <c r="H263" s="1127"/>
      <c r="I263" s="633">
        <f t="shared" si="24"/>
        <v>0</v>
      </c>
      <c r="J263" s="633">
        <f t="shared" si="25"/>
        <v>0</v>
      </c>
      <c r="K263" s="633">
        <f t="shared" si="26"/>
        <v>0</v>
      </c>
      <c r="L263" s="1127"/>
      <c r="M263" s="1127"/>
      <c r="N263" s="1691">
        <f t="shared" si="21"/>
        <v>0</v>
      </c>
      <c r="O263" s="634">
        <f t="shared" si="22"/>
        <v>0</v>
      </c>
      <c r="P263" s="144"/>
      <c r="Q263" s="144"/>
      <c r="R263" s="144"/>
      <c r="S263" s="144"/>
    </row>
    <row r="264" spans="1:19" ht="14.25" customHeight="1">
      <c r="A264" s="630"/>
      <c r="B264" s="631"/>
      <c r="C264" s="1127"/>
      <c r="D264" s="632"/>
      <c r="E264" s="1127"/>
      <c r="F264" s="633">
        <f t="shared" si="23"/>
        <v>0</v>
      </c>
      <c r="G264" s="632"/>
      <c r="H264" s="1127"/>
      <c r="I264" s="633">
        <f t="shared" si="24"/>
        <v>0</v>
      </c>
      <c r="J264" s="633">
        <f t="shared" si="25"/>
        <v>0</v>
      </c>
      <c r="K264" s="633">
        <f t="shared" si="26"/>
        <v>0</v>
      </c>
      <c r="L264" s="1127"/>
      <c r="M264" s="1127"/>
      <c r="N264" s="1691">
        <f t="shared" si="21"/>
        <v>0</v>
      </c>
      <c r="O264" s="634">
        <f t="shared" si="22"/>
        <v>0</v>
      </c>
      <c r="P264" s="144"/>
      <c r="Q264" s="144"/>
      <c r="R264" s="144"/>
      <c r="S264" s="144"/>
    </row>
    <row r="265" spans="1:19" ht="14.25" customHeight="1">
      <c r="A265" s="630"/>
      <c r="B265" s="631"/>
      <c r="C265" s="1127"/>
      <c r="D265" s="632"/>
      <c r="E265" s="1127"/>
      <c r="F265" s="633">
        <f t="shared" si="23"/>
        <v>0</v>
      </c>
      <c r="G265" s="632"/>
      <c r="H265" s="1127"/>
      <c r="I265" s="633">
        <f t="shared" si="24"/>
        <v>0</v>
      </c>
      <c r="J265" s="633">
        <f t="shared" si="25"/>
        <v>0</v>
      </c>
      <c r="K265" s="633">
        <f t="shared" si="26"/>
        <v>0</v>
      </c>
      <c r="L265" s="1127"/>
      <c r="M265" s="1127"/>
      <c r="N265" s="1691">
        <f t="shared" si="21"/>
        <v>0</v>
      </c>
      <c r="O265" s="634">
        <f t="shared" si="22"/>
        <v>0</v>
      </c>
      <c r="P265" s="144"/>
      <c r="Q265" s="144"/>
      <c r="R265" s="144"/>
      <c r="S265" s="144"/>
    </row>
    <row r="266" spans="1:19" ht="14.25" customHeight="1">
      <c r="A266" s="630"/>
      <c r="B266" s="631"/>
      <c r="C266" s="1127"/>
      <c r="D266" s="632"/>
      <c r="E266" s="1127"/>
      <c r="F266" s="633">
        <f t="shared" si="23"/>
        <v>0</v>
      </c>
      <c r="G266" s="632"/>
      <c r="H266" s="1127"/>
      <c r="I266" s="633">
        <f t="shared" si="24"/>
        <v>0</v>
      </c>
      <c r="J266" s="633">
        <f t="shared" si="25"/>
        <v>0</v>
      </c>
      <c r="K266" s="633">
        <f t="shared" si="26"/>
        <v>0</v>
      </c>
      <c r="L266" s="1127"/>
      <c r="M266" s="1127"/>
      <c r="N266" s="1691">
        <f t="shared" ref="N266:N329" si="27">IF(M266&lt;&gt;0,ROUND(B266*K266,2)+M266,IF(ABS(ROUND(K266*B266,2)-L266)&lt;3,L266,MIN(ROUND(K266*B266,2),L266)))</f>
        <v>0</v>
      </c>
      <c r="O266" s="634">
        <f t="shared" ref="O266:O329" si="28">IF(ISERROR(L266-N266),"",IF(ABS(L266-N266)&lt;3,0,L266-N266))</f>
        <v>0</v>
      </c>
      <c r="P266" s="144"/>
      <c r="Q266" s="144"/>
      <c r="R266" s="144"/>
      <c r="S266" s="144"/>
    </row>
    <row r="267" spans="1:19" ht="14.25" customHeight="1">
      <c r="A267" s="630"/>
      <c r="B267" s="631"/>
      <c r="C267" s="1127"/>
      <c r="D267" s="632"/>
      <c r="E267" s="1127"/>
      <c r="F267" s="633">
        <f t="shared" ref="F267:F330" si="29">E267*(12-MONTH(D267))/12</f>
        <v>0</v>
      </c>
      <c r="G267" s="632"/>
      <c r="H267" s="1127"/>
      <c r="I267" s="633">
        <f t="shared" ref="I267:I330" si="30">H267*(12-MONTH(G267))/12</f>
        <v>0</v>
      </c>
      <c r="J267" s="633">
        <f t="shared" ref="J267:J330" si="31">C267+E267-H267</f>
        <v>0</v>
      </c>
      <c r="K267" s="633">
        <f t="shared" ref="K267:K330" si="32">C267+F267-I267</f>
        <v>0</v>
      </c>
      <c r="L267" s="1127"/>
      <c r="M267" s="1127"/>
      <c r="N267" s="1691">
        <f t="shared" si="27"/>
        <v>0</v>
      </c>
      <c r="O267" s="634">
        <f t="shared" si="28"/>
        <v>0</v>
      </c>
      <c r="P267" s="144"/>
      <c r="Q267" s="144"/>
      <c r="R267" s="144"/>
      <c r="S267" s="144"/>
    </row>
    <row r="268" spans="1:19" ht="14.25" customHeight="1">
      <c r="A268" s="630"/>
      <c r="B268" s="631"/>
      <c r="C268" s="1127"/>
      <c r="D268" s="632"/>
      <c r="E268" s="1127"/>
      <c r="F268" s="633">
        <f t="shared" si="29"/>
        <v>0</v>
      </c>
      <c r="G268" s="632"/>
      <c r="H268" s="1127"/>
      <c r="I268" s="633">
        <f t="shared" si="30"/>
        <v>0</v>
      </c>
      <c r="J268" s="633">
        <f t="shared" si="31"/>
        <v>0</v>
      </c>
      <c r="K268" s="633">
        <f t="shared" si="32"/>
        <v>0</v>
      </c>
      <c r="L268" s="1127"/>
      <c r="M268" s="1127"/>
      <c r="N268" s="1691">
        <f t="shared" si="27"/>
        <v>0</v>
      </c>
      <c r="O268" s="634">
        <f t="shared" si="28"/>
        <v>0</v>
      </c>
      <c r="P268" s="144"/>
      <c r="Q268" s="144"/>
      <c r="R268" s="144"/>
      <c r="S268" s="144"/>
    </row>
    <row r="269" spans="1:19" ht="14.25" customHeight="1">
      <c r="A269" s="630"/>
      <c r="B269" s="631"/>
      <c r="C269" s="1127"/>
      <c r="D269" s="632"/>
      <c r="E269" s="1127"/>
      <c r="F269" s="633">
        <f t="shared" si="29"/>
        <v>0</v>
      </c>
      <c r="G269" s="632"/>
      <c r="H269" s="1127"/>
      <c r="I269" s="633">
        <f t="shared" si="30"/>
        <v>0</v>
      </c>
      <c r="J269" s="633">
        <f t="shared" si="31"/>
        <v>0</v>
      </c>
      <c r="K269" s="633">
        <f t="shared" si="32"/>
        <v>0</v>
      </c>
      <c r="L269" s="1127"/>
      <c r="M269" s="1127"/>
      <c r="N269" s="1691">
        <f t="shared" si="27"/>
        <v>0</v>
      </c>
      <c r="O269" s="634">
        <f t="shared" si="28"/>
        <v>0</v>
      </c>
      <c r="P269" s="144"/>
      <c r="Q269" s="144"/>
      <c r="R269" s="144"/>
      <c r="S269" s="144"/>
    </row>
    <row r="270" spans="1:19" ht="14.25" customHeight="1">
      <c r="A270" s="630"/>
      <c r="B270" s="631"/>
      <c r="C270" s="1127"/>
      <c r="D270" s="632"/>
      <c r="E270" s="1127"/>
      <c r="F270" s="633">
        <f t="shared" si="29"/>
        <v>0</v>
      </c>
      <c r="G270" s="632"/>
      <c r="H270" s="1127"/>
      <c r="I270" s="633">
        <f t="shared" si="30"/>
        <v>0</v>
      </c>
      <c r="J270" s="633">
        <f t="shared" si="31"/>
        <v>0</v>
      </c>
      <c r="K270" s="633">
        <f t="shared" si="32"/>
        <v>0</v>
      </c>
      <c r="L270" s="1127"/>
      <c r="M270" s="1127"/>
      <c r="N270" s="1691">
        <f t="shared" si="27"/>
        <v>0</v>
      </c>
      <c r="O270" s="634">
        <f t="shared" si="28"/>
        <v>0</v>
      </c>
      <c r="P270" s="144"/>
      <c r="Q270" s="144"/>
      <c r="R270" s="144"/>
      <c r="S270" s="144"/>
    </row>
    <row r="271" spans="1:19" ht="14.25" customHeight="1">
      <c r="A271" s="630"/>
      <c r="B271" s="631"/>
      <c r="C271" s="1127"/>
      <c r="D271" s="632"/>
      <c r="E271" s="1127"/>
      <c r="F271" s="633">
        <f t="shared" si="29"/>
        <v>0</v>
      </c>
      <c r="G271" s="632"/>
      <c r="H271" s="1127"/>
      <c r="I271" s="633">
        <f t="shared" si="30"/>
        <v>0</v>
      </c>
      <c r="J271" s="633">
        <f t="shared" si="31"/>
        <v>0</v>
      </c>
      <c r="K271" s="633">
        <f t="shared" si="32"/>
        <v>0</v>
      </c>
      <c r="L271" s="1127"/>
      <c r="M271" s="1127"/>
      <c r="N271" s="1691">
        <f t="shared" si="27"/>
        <v>0</v>
      </c>
      <c r="O271" s="634">
        <f t="shared" si="28"/>
        <v>0</v>
      </c>
      <c r="P271" s="144"/>
      <c r="Q271" s="144"/>
      <c r="R271" s="144"/>
      <c r="S271" s="144"/>
    </row>
    <row r="272" spans="1:19" ht="14.25" customHeight="1">
      <c r="A272" s="630"/>
      <c r="B272" s="631"/>
      <c r="C272" s="1127"/>
      <c r="D272" s="632"/>
      <c r="E272" s="1127"/>
      <c r="F272" s="633">
        <f t="shared" si="29"/>
        <v>0</v>
      </c>
      <c r="G272" s="632"/>
      <c r="H272" s="1127"/>
      <c r="I272" s="633">
        <f t="shared" si="30"/>
        <v>0</v>
      </c>
      <c r="J272" s="633">
        <f t="shared" si="31"/>
        <v>0</v>
      </c>
      <c r="K272" s="633">
        <f t="shared" si="32"/>
        <v>0</v>
      </c>
      <c r="L272" s="1127"/>
      <c r="M272" s="1127"/>
      <c r="N272" s="1691">
        <f t="shared" si="27"/>
        <v>0</v>
      </c>
      <c r="O272" s="634">
        <f t="shared" si="28"/>
        <v>0</v>
      </c>
      <c r="P272" s="144"/>
      <c r="Q272" s="144"/>
      <c r="R272" s="144"/>
      <c r="S272" s="144"/>
    </row>
    <row r="273" spans="1:19" ht="14.25" customHeight="1">
      <c r="A273" s="630"/>
      <c r="B273" s="631"/>
      <c r="C273" s="1127"/>
      <c r="D273" s="632"/>
      <c r="E273" s="1127"/>
      <c r="F273" s="633">
        <f t="shared" si="29"/>
        <v>0</v>
      </c>
      <c r="G273" s="632"/>
      <c r="H273" s="1127"/>
      <c r="I273" s="633">
        <f t="shared" si="30"/>
        <v>0</v>
      </c>
      <c r="J273" s="633">
        <f t="shared" si="31"/>
        <v>0</v>
      </c>
      <c r="K273" s="633">
        <f t="shared" si="32"/>
        <v>0</v>
      </c>
      <c r="L273" s="1127"/>
      <c r="M273" s="1127"/>
      <c r="N273" s="1691">
        <f t="shared" si="27"/>
        <v>0</v>
      </c>
      <c r="O273" s="634">
        <f t="shared" si="28"/>
        <v>0</v>
      </c>
      <c r="P273" s="144"/>
      <c r="Q273" s="144"/>
      <c r="R273" s="144"/>
      <c r="S273" s="144"/>
    </row>
    <row r="274" spans="1:19" ht="14.25" customHeight="1">
      <c r="A274" s="630"/>
      <c r="B274" s="631"/>
      <c r="C274" s="1127"/>
      <c r="D274" s="632"/>
      <c r="E274" s="1127"/>
      <c r="F274" s="633">
        <f t="shared" si="29"/>
        <v>0</v>
      </c>
      <c r="G274" s="632"/>
      <c r="H274" s="1127"/>
      <c r="I274" s="633">
        <f t="shared" si="30"/>
        <v>0</v>
      </c>
      <c r="J274" s="633">
        <f t="shared" si="31"/>
        <v>0</v>
      </c>
      <c r="K274" s="633">
        <f t="shared" si="32"/>
        <v>0</v>
      </c>
      <c r="L274" s="1127"/>
      <c r="M274" s="1127"/>
      <c r="N274" s="1691">
        <f t="shared" si="27"/>
        <v>0</v>
      </c>
      <c r="O274" s="634">
        <f t="shared" si="28"/>
        <v>0</v>
      </c>
      <c r="P274" s="144"/>
      <c r="Q274" s="144"/>
      <c r="R274" s="144"/>
      <c r="S274" s="144"/>
    </row>
    <row r="275" spans="1:19" ht="14.25" customHeight="1">
      <c r="A275" s="630"/>
      <c r="B275" s="631"/>
      <c r="C275" s="1127"/>
      <c r="D275" s="632"/>
      <c r="E275" s="1127"/>
      <c r="F275" s="633">
        <f t="shared" si="29"/>
        <v>0</v>
      </c>
      <c r="G275" s="632"/>
      <c r="H275" s="1127"/>
      <c r="I275" s="633">
        <f t="shared" si="30"/>
        <v>0</v>
      </c>
      <c r="J275" s="633">
        <f t="shared" si="31"/>
        <v>0</v>
      </c>
      <c r="K275" s="633">
        <f t="shared" si="32"/>
        <v>0</v>
      </c>
      <c r="L275" s="1127"/>
      <c r="M275" s="1127"/>
      <c r="N275" s="1691">
        <f t="shared" si="27"/>
        <v>0</v>
      </c>
      <c r="O275" s="634">
        <f t="shared" si="28"/>
        <v>0</v>
      </c>
      <c r="P275" s="144"/>
      <c r="Q275" s="144"/>
      <c r="R275" s="144"/>
      <c r="S275" s="144"/>
    </row>
    <row r="276" spans="1:19" ht="14.25" customHeight="1">
      <c r="A276" s="630"/>
      <c r="B276" s="631"/>
      <c r="C276" s="1127"/>
      <c r="D276" s="632"/>
      <c r="E276" s="1127"/>
      <c r="F276" s="633">
        <f t="shared" si="29"/>
        <v>0</v>
      </c>
      <c r="G276" s="632"/>
      <c r="H276" s="1127"/>
      <c r="I276" s="633">
        <f t="shared" si="30"/>
        <v>0</v>
      </c>
      <c r="J276" s="633">
        <f t="shared" si="31"/>
        <v>0</v>
      </c>
      <c r="K276" s="633">
        <f t="shared" si="32"/>
        <v>0</v>
      </c>
      <c r="L276" s="1127"/>
      <c r="M276" s="1127"/>
      <c r="N276" s="1691">
        <f t="shared" si="27"/>
        <v>0</v>
      </c>
      <c r="O276" s="634">
        <f t="shared" si="28"/>
        <v>0</v>
      </c>
      <c r="P276" s="144"/>
      <c r="Q276" s="144"/>
      <c r="R276" s="144"/>
      <c r="S276" s="144"/>
    </row>
    <row r="277" spans="1:19" ht="14.25" customHeight="1">
      <c r="A277" s="630"/>
      <c r="B277" s="631"/>
      <c r="C277" s="1127"/>
      <c r="D277" s="632"/>
      <c r="E277" s="1127"/>
      <c r="F277" s="633">
        <f t="shared" si="29"/>
        <v>0</v>
      </c>
      <c r="G277" s="632"/>
      <c r="H277" s="1127"/>
      <c r="I277" s="633">
        <f t="shared" si="30"/>
        <v>0</v>
      </c>
      <c r="J277" s="633">
        <f t="shared" si="31"/>
        <v>0</v>
      </c>
      <c r="K277" s="633">
        <f t="shared" si="32"/>
        <v>0</v>
      </c>
      <c r="L277" s="1127"/>
      <c r="M277" s="1127"/>
      <c r="N277" s="1691">
        <f t="shared" si="27"/>
        <v>0</v>
      </c>
      <c r="O277" s="634">
        <f t="shared" si="28"/>
        <v>0</v>
      </c>
      <c r="P277" s="144"/>
      <c r="Q277" s="144"/>
      <c r="R277" s="144"/>
      <c r="S277" s="144"/>
    </row>
    <row r="278" spans="1:19" ht="14.25" customHeight="1">
      <c r="A278" s="630"/>
      <c r="B278" s="631"/>
      <c r="C278" s="1127"/>
      <c r="D278" s="632"/>
      <c r="E278" s="1127"/>
      <c r="F278" s="633">
        <f t="shared" si="29"/>
        <v>0</v>
      </c>
      <c r="G278" s="632"/>
      <c r="H278" s="1127"/>
      <c r="I278" s="633">
        <f t="shared" si="30"/>
        <v>0</v>
      </c>
      <c r="J278" s="633">
        <f t="shared" si="31"/>
        <v>0</v>
      </c>
      <c r="K278" s="633">
        <f t="shared" si="32"/>
        <v>0</v>
      </c>
      <c r="L278" s="1127"/>
      <c r="M278" s="1127"/>
      <c r="N278" s="1691">
        <f t="shared" si="27"/>
        <v>0</v>
      </c>
      <c r="O278" s="634">
        <f t="shared" si="28"/>
        <v>0</v>
      </c>
      <c r="P278" s="144"/>
      <c r="Q278" s="144"/>
      <c r="R278" s="144"/>
      <c r="S278" s="144"/>
    </row>
    <row r="279" spans="1:19" ht="14.25" customHeight="1">
      <c r="A279" s="630"/>
      <c r="B279" s="631"/>
      <c r="C279" s="1127"/>
      <c r="D279" s="632"/>
      <c r="E279" s="1127"/>
      <c r="F279" s="633">
        <f t="shared" si="29"/>
        <v>0</v>
      </c>
      <c r="G279" s="632"/>
      <c r="H279" s="1127"/>
      <c r="I279" s="633">
        <f t="shared" si="30"/>
        <v>0</v>
      </c>
      <c r="J279" s="633">
        <f t="shared" si="31"/>
        <v>0</v>
      </c>
      <c r="K279" s="633">
        <f t="shared" si="32"/>
        <v>0</v>
      </c>
      <c r="L279" s="1127"/>
      <c r="M279" s="1127"/>
      <c r="N279" s="1691">
        <f t="shared" si="27"/>
        <v>0</v>
      </c>
      <c r="O279" s="634">
        <f t="shared" si="28"/>
        <v>0</v>
      </c>
      <c r="P279" s="144"/>
      <c r="Q279" s="144"/>
      <c r="R279" s="144"/>
      <c r="S279" s="144"/>
    </row>
    <row r="280" spans="1:19" ht="14.25" customHeight="1">
      <c r="A280" s="630"/>
      <c r="B280" s="631"/>
      <c r="C280" s="1127"/>
      <c r="D280" s="632"/>
      <c r="E280" s="1127"/>
      <c r="F280" s="633">
        <f t="shared" si="29"/>
        <v>0</v>
      </c>
      <c r="G280" s="632"/>
      <c r="H280" s="1127"/>
      <c r="I280" s="633">
        <f t="shared" si="30"/>
        <v>0</v>
      </c>
      <c r="J280" s="633">
        <f t="shared" si="31"/>
        <v>0</v>
      </c>
      <c r="K280" s="633">
        <f t="shared" si="32"/>
        <v>0</v>
      </c>
      <c r="L280" s="1127"/>
      <c r="M280" s="1127"/>
      <c r="N280" s="1691">
        <f t="shared" si="27"/>
        <v>0</v>
      </c>
      <c r="O280" s="634">
        <f t="shared" si="28"/>
        <v>0</v>
      </c>
      <c r="P280" s="144"/>
      <c r="Q280" s="144"/>
      <c r="R280" s="144"/>
      <c r="S280" s="144"/>
    </row>
    <row r="281" spans="1:19" ht="14.25" customHeight="1">
      <c r="A281" s="630"/>
      <c r="B281" s="631"/>
      <c r="C281" s="1127"/>
      <c r="D281" s="632"/>
      <c r="E281" s="1127"/>
      <c r="F281" s="633">
        <f t="shared" si="29"/>
        <v>0</v>
      </c>
      <c r="G281" s="632"/>
      <c r="H281" s="1127"/>
      <c r="I281" s="633">
        <f t="shared" si="30"/>
        <v>0</v>
      </c>
      <c r="J281" s="633">
        <f t="shared" si="31"/>
        <v>0</v>
      </c>
      <c r="K281" s="633">
        <f t="shared" si="32"/>
        <v>0</v>
      </c>
      <c r="L281" s="1127"/>
      <c r="M281" s="1127"/>
      <c r="N281" s="1691">
        <f t="shared" si="27"/>
        <v>0</v>
      </c>
      <c r="O281" s="634">
        <f t="shared" si="28"/>
        <v>0</v>
      </c>
      <c r="P281" s="144"/>
      <c r="Q281" s="144"/>
      <c r="R281" s="144"/>
      <c r="S281" s="144"/>
    </row>
    <row r="282" spans="1:19" ht="14.25" customHeight="1">
      <c r="A282" s="630"/>
      <c r="B282" s="631"/>
      <c r="C282" s="1127"/>
      <c r="D282" s="632"/>
      <c r="E282" s="1127"/>
      <c r="F282" s="633">
        <f t="shared" si="29"/>
        <v>0</v>
      </c>
      <c r="G282" s="632"/>
      <c r="H282" s="1127"/>
      <c r="I282" s="633">
        <f t="shared" si="30"/>
        <v>0</v>
      </c>
      <c r="J282" s="633">
        <f t="shared" si="31"/>
        <v>0</v>
      </c>
      <c r="K282" s="633">
        <f t="shared" si="32"/>
        <v>0</v>
      </c>
      <c r="L282" s="1127"/>
      <c r="M282" s="1127"/>
      <c r="N282" s="1691">
        <f t="shared" si="27"/>
        <v>0</v>
      </c>
      <c r="O282" s="634">
        <f t="shared" si="28"/>
        <v>0</v>
      </c>
      <c r="P282" s="144"/>
      <c r="Q282" s="144"/>
      <c r="R282" s="144"/>
      <c r="S282" s="144"/>
    </row>
    <row r="283" spans="1:19" ht="14.25" customHeight="1">
      <c r="A283" s="630"/>
      <c r="B283" s="631"/>
      <c r="C283" s="1127"/>
      <c r="D283" s="632"/>
      <c r="E283" s="1127"/>
      <c r="F283" s="633">
        <f t="shared" si="29"/>
        <v>0</v>
      </c>
      <c r="G283" s="632"/>
      <c r="H283" s="1127"/>
      <c r="I283" s="633">
        <f t="shared" si="30"/>
        <v>0</v>
      </c>
      <c r="J283" s="633">
        <f t="shared" si="31"/>
        <v>0</v>
      </c>
      <c r="K283" s="633">
        <f t="shared" si="32"/>
        <v>0</v>
      </c>
      <c r="L283" s="1127"/>
      <c r="M283" s="1127"/>
      <c r="N283" s="1691">
        <f t="shared" si="27"/>
        <v>0</v>
      </c>
      <c r="O283" s="634">
        <f t="shared" si="28"/>
        <v>0</v>
      </c>
      <c r="P283" s="144"/>
      <c r="Q283" s="144"/>
      <c r="R283" s="144"/>
      <c r="S283" s="144"/>
    </row>
    <row r="284" spans="1:19" ht="14.25" customHeight="1">
      <c r="A284" s="630"/>
      <c r="B284" s="631"/>
      <c r="C284" s="1127"/>
      <c r="D284" s="632"/>
      <c r="E284" s="1127"/>
      <c r="F284" s="633">
        <f t="shared" si="29"/>
        <v>0</v>
      </c>
      <c r="G284" s="632"/>
      <c r="H284" s="1127"/>
      <c r="I284" s="633">
        <f t="shared" si="30"/>
        <v>0</v>
      </c>
      <c r="J284" s="633">
        <f t="shared" si="31"/>
        <v>0</v>
      </c>
      <c r="K284" s="633">
        <f t="shared" si="32"/>
        <v>0</v>
      </c>
      <c r="L284" s="1127"/>
      <c r="M284" s="1127"/>
      <c r="N284" s="1691">
        <f t="shared" si="27"/>
        <v>0</v>
      </c>
      <c r="O284" s="634">
        <f t="shared" si="28"/>
        <v>0</v>
      </c>
      <c r="P284" s="144"/>
      <c r="Q284" s="144"/>
      <c r="R284" s="144"/>
      <c r="S284" s="144"/>
    </row>
    <row r="285" spans="1:19" ht="14.25" customHeight="1">
      <c r="A285" s="630"/>
      <c r="B285" s="631"/>
      <c r="C285" s="1127"/>
      <c r="D285" s="632"/>
      <c r="E285" s="1127"/>
      <c r="F285" s="633">
        <f t="shared" si="29"/>
        <v>0</v>
      </c>
      <c r="G285" s="632"/>
      <c r="H285" s="1127"/>
      <c r="I285" s="633">
        <f t="shared" si="30"/>
        <v>0</v>
      </c>
      <c r="J285" s="633">
        <f t="shared" si="31"/>
        <v>0</v>
      </c>
      <c r="K285" s="633">
        <f t="shared" si="32"/>
        <v>0</v>
      </c>
      <c r="L285" s="1127"/>
      <c r="M285" s="1127"/>
      <c r="N285" s="1691">
        <f t="shared" si="27"/>
        <v>0</v>
      </c>
      <c r="O285" s="634">
        <f t="shared" si="28"/>
        <v>0</v>
      </c>
      <c r="P285" s="144"/>
      <c r="Q285" s="144"/>
      <c r="R285" s="144"/>
      <c r="S285" s="144"/>
    </row>
    <row r="286" spans="1:19" ht="14.25" customHeight="1">
      <c r="A286" s="630"/>
      <c r="B286" s="631"/>
      <c r="C286" s="1127"/>
      <c r="D286" s="632"/>
      <c r="E286" s="1127"/>
      <c r="F286" s="633">
        <f t="shared" si="29"/>
        <v>0</v>
      </c>
      <c r="G286" s="632"/>
      <c r="H286" s="1127"/>
      <c r="I286" s="633">
        <f t="shared" si="30"/>
        <v>0</v>
      </c>
      <c r="J286" s="633">
        <f t="shared" si="31"/>
        <v>0</v>
      </c>
      <c r="K286" s="633">
        <f t="shared" si="32"/>
        <v>0</v>
      </c>
      <c r="L286" s="1127"/>
      <c r="M286" s="1127"/>
      <c r="N286" s="1691">
        <f t="shared" si="27"/>
        <v>0</v>
      </c>
      <c r="O286" s="634">
        <f t="shared" si="28"/>
        <v>0</v>
      </c>
      <c r="P286" s="144"/>
      <c r="Q286" s="144"/>
      <c r="R286" s="144"/>
      <c r="S286" s="144"/>
    </row>
    <row r="287" spans="1:19" ht="14.25" customHeight="1">
      <c r="A287" s="630"/>
      <c r="B287" s="631"/>
      <c r="C287" s="1127"/>
      <c r="D287" s="632"/>
      <c r="E287" s="1127"/>
      <c r="F287" s="633">
        <f t="shared" si="29"/>
        <v>0</v>
      </c>
      <c r="G287" s="632"/>
      <c r="H287" s="1127"/>
      <c r="I287" s="633">
        <f t="shared" si="30"/>
        <v>0</v>
      </c>
      <c r="J287" s="633">
        <f t="shared" si="31"/>
        <v>0</v>
      </c>
      <c r="K287" s="633">
        <f t="shared" si="32"/>
        <v>0</v>
      </c>
      <c r="L287" s="1127"/>
      <c r="M287" s="1127"/>
      <c r="N287" s="1691">
        <f t="shared" si="27"/>
        <v>0</v>
      </c>
      <c r="O287" s="634">
        <f t="shared" si="28"/>
        <v>0</v>
      </c>
      <c r="P287" s="144"/>
      <c r="Q287" s="144"/>
      <c r="R287" s="144"/>
      <c r="S287" s="144"/>
    </row>
    <row r="288" spans="1:19" ht="14.25" customHeight="1">
      <c r="A288" s="630"/>
      <c r="B288" s="631"/>
      <c r="C288" s="1127"/>
      <c r="D288" s="632"/>
      <c r="E288" s="1127"/>
      <c r="F288" s="633">
        <f t="shared" si="29"/>
        <v>0</v>
      </c>
      <c r="G288" s="632"/>
      <c r="H288" s="1127"/>
      <c r="I288" s="633">
        <f t="shared" si="30"/>
        <v>0</v>
      </c>
      <c r="J288" s="633">
        <f t="shared" si="31"/>
        <v>0</v>
      </c>
      <c r="K288" s="633">
        <f t="shared" si="32"/>
        <v>0</v>
      </c>
      <c r="L288" s="1127"/>
      <c r="M288" s="1127"/>
      <c r="N288" s="1691">
        <f t="shared" si="27"/>
        <v>0</v>
      </c>
      <c r="O288" s="634">
        <f t="shared" si="28"/>
        <v>0</v>
      </c>
      <c r="P288" s="144"/>
      <c r="Q288" s="144"/>
      <c r="R288" s="144"/>
      <c r="S288" s="144"/>
    </row>
    <row r="289" spans="1:19" ht="14.25" customHeight="1">
      <c r="A289" s="630"/>
      <c r="B289" s="631"/>
      <c r="C289" s="1127"/>
      <c r="D289" s="632"/>
      <c r="E289" s="1127"/>
      <c r="F289" s="633">
        <f t="shared" si="29"/>
        <v>0</v>
      </c>
      <c r="G289" s="632"/>
      <c r="H289" s="1127"/>
      <c r="I289" s="633">
        <f t="shared" si="30"/>
        <v>0</v>
      </c>
      <c r="J289" s="633">
        <f t="shared" si="31"/>
        <v>0</v>
      </c>
      <c r="K289" s="633">
        <f t="shared" si="32"/>
        <v>0</v>
      </c>
      <c r="L289" s="1127"/>
      <c r="M289" s="1127"/>
      <c r="N289" s="1691">
        <f t="shared" si="27"/>
        <v>0</v>
      </c>
      <c r="O289" s="634">
        <f t="shared" si="28"/>
        <v>0</v>
      </c>
      <c r="P289" s="144"/>
      <c r="Q289" s="144"/>
      <c r="R289" s="144"/>
      <c r="S289" s="144"/>
    </row>
    <row r="290" spans="1:19" ht="14.25" customHeight="1">
      <c r="A290" s="630"/>
      <c r="B290" s="631"/>
      <c r="C290" s="1127"/>
      <c r="D290" s="632"/>
      <c r="E290" s="1127"/>
      <c r="F290" s="633">
        <f t="shared" si="29"/>
        <v>0</v>
      </c>
      <c r="G290" s="632"/>
      <c r="H290" s="1127"/>
      <c r="I290" s="633">
        <f t="shared" si="30"/>
        <v>0</v>
      </c>
      <c r="J290" s="633">
        <f t="shared" si="31"/>
        <v>0</v>
      </c>
      <c r="K290" s="633">
        <f t="shared" si="32"/>
        <v>0</v>
      </c>
      <c r="L290" s="1127"/>
      <c r="M290" s="1127"/>
      <c r="N290" s="1691">
        <f t="shared" si="27"/>
        <v>0</v>
      </c>
      <c r="O290" s="634">
        <f t="shared" si="28"/>
        <v>0</v>
      </c>
      <c r="P290" s="144"/>
      <c r="Q290" s="144"/>
      <c r="R290" s="144"/>
      <c r="S290" s="144"/>
    </row>
    <row r="291" spans="1:19" ht="14.25" customHeight="1">
      <c r="A291" s="630"/>
      <c r="B291" s="631"/>
      <c r="C291" s="1127"/>
      <c r="D291" s="632"/>
      <c r="E291" s="1127"/>
      <c r="F291" s="633">
        <f t="shared" si="29"/>
        <v>0</v>
      </c>
      <c r="G291" s="632"/>
      <c r="H291" s="1127"/>
      <c r="I291" s="633">
        <f t="shared" si="30"/>
        <v>0</v>
      </c>
      <c r="J291" s="633">
        <f t="shared" si="31"/>
        <v>0</v>
      </c>
      <c r="K291" s="633">
        <f t="shared" si="32"/>
        <v>0</v>
      </c>
      <c r="L291" s="1127"/>
      <c r="M291" s="1127"/>
      <c r="N291" s="1691">
        <f t="shared" si="27"/>
        <v>0</v>
      </c>
      <c r="O291" s="634">
        <f t="shared" si="28"/>
        <v>0</v>
      </c>
      <c r="P291" s="144"/>
      <c r="Q291" s="144"/>
      <c r="R291" s="144"/>
      <c r="S291" s="144"/>
    </row>
    <row r="292" spans="1:19" ht="14.25" customHeight="1">
      <c r="A292" s="630"/>
      <c r="B292" s="631"/>
      <c r="C292" s="1127"/>
      <c r="D292" s="632"/>
      <c r="E292" s="1127"/>
      <c r="F292" s="633">
        <f t="shared" si="29"/>
        <v>0</v>
      </c>
      <c r="G292" s="632"/>
      <c r="H292" s="1127"/>
      <c r="I292" s="633">
        <f t="shared" si="30"/>
        <v>0</v>
      </c>
      <c r="J292" s="633">
        <f t="shared" si="31"/>
        <v>0</v>
      </c>
      <c r="K292" s="633">
        <f t="shared" si="32"/>
        <v>0</v>
      </c>
      <c r="L292" s="1127"/>
      <c r="M292" s="1127"/>
      <c r="N292" s="1691">
        <f t="shared" si="27"/>
        <v>0</v>
      </c>
      <c r="O292" s="634">
        <f t="shared" si="28"/>
        <v>0</v>
      </c>
      <c r="P292" s="144"/>
      <c r="Q292" s="144"/>
      <c r="R292" s="144"/>
      <c r="S292" s="144"/>
    </row>
    <row r="293" spans="1:19" ht="14.25" customHeight="1">
      <c r="A293" s="630"/>
      <c r="B293" s="631"/>
      <c r="C293" s="1127"/>
      <c r="D293" s="632"/>
      <c r="E293" s="1127"/>
      <c r="F293" s="633">
        <f t="shared" si="29"/>
        <v>0</v>
      </c>
      <c r="G293" s="632"/>
      <c r="H293" s="1127"/>
      <c r="I293" s="633">
        <f t="shared" si="30"/>
        <v>0</v>
      </c>
      <c r="J293" s="633">
        <f t="shared" si="31"/>
        <v>0</v>
      </c>
      <c r="K293" s="633">
        <f t="shared" si="32"/>
        <v>0</v>
      </c>
      <c r="L293" s="1127"/>
      <c r="M293" s="1127"/>
      <c r="N293" s="1691">
        <f t="shared" si="27"/>
        <v>0</v>
      </c>
      <c r="O293" s="634">
        <f t="shared" si="28"/>
        <v>0</v>
      </c>
      <c r="P293" s="144"/>
      <c r="Q293" s="144"/>
      <c r="R293" s="144"/>
      <c r="S293" s="144"/>
    </row>
    <row r="294" spans="1:19" ht="14.25" customHeight="1">
      <c r="A294" s="630"/>
      <c r="B294" s="631"/>
      <c r="C294" s="1127"/>
      <c r="D294" s="632"/>
      <c r="E294" s="1127"/>
      <c r="F294" s="633">
        <f t="shared" si="29"/>
        <v>0</v>
      </c>
      <c r="G294" s="632"/>
      <c r="H294" s="1127"/>
      <c r="I294" s="633">
        <f t="shared" si="30"/>
        <v>0</v>
      </c>
      <c r="J294" s="633">
        <f t="shared" si="31"/>
        <v>0</v>
      </c>
      <c r="K294" s="633">
        <f t="shared" si="32"/>
        <v>0</v>
      </c>
      <c r="L294" s="1127"/>
      <c r="M294" s="1127"/>
      <c r="N294" s="1691">
        <f t="shared" si="27"/>
        <v>0</v>
      </c>
      <c r="O294" s="634">
        <f t="shared" si="28"/>
        <v>0</v>
      </c>
      <c r="P294" s="144"/>
      <c r="Q294" s="144"/>
      <c r="R294" s="144"/>
      <c r="S294" s="144"/>
    </row>
    <row r="295" spans="1:19" ht="14.25" customHeight="1">
      <c r="A295" s="630"/>
      <c r="B295" s="631"/>
      <c r="C295" s="1127"/>
      <c r="D295" s="632"/>
      <c r="E295" s="1127"/>
      <c r="F295" s="633">
        <f t="shared" si="29"/>
        <v>0</v>
      </c>
      <c r="G295" s="632"/>
      <c r="H295" s="1127"/>
      <c r="I295" s="633">
        <f t="shared" si="30"/>
        <v>0</v>
      </c>
      <c r="J295" s="633">
        <f t="shared" si="31"/>
        <v>0</v>
      </c>
      <c r="K295" s="633">
        <f t="shared" si="32"/>
        <v>0</v>
      </c>
      <c r="L295" s="1127"/>
      <c r="M295" s="1127"/>
      <c r="N295" s="1691">
        <f t="shared" si="27"/>
        <v>0</v>
      </c>
      <c r="O295" s="634">
        <f t="shared" si="28"/>
        <v>0</v>
      </c>
      <c r="P295" s="144"/>
      <c r="Q295" s="144"/>
      <c r="R295" s="144"/>
      <c r="S295" s="144"/>
    </row>
    <row r="296" spans="1:19" ht="14.25" customHeight="1">
      <c r="A296" s="630"/>
      <c r="B296" s="631"/>
      <c r="C296" s="1127"/>
      <c r="D296" s="632"/>
      <c r="E296" s="1127"/>
      <c r="F296" s="633">
        <f t="shared" si="29"/>
        <v>0</v>
      </c>
      <c r="G296" s="632"/>
      <c r="H296" s="1127"/>
      <c r="I296" s="633">
        <f t="shared" si="30"/>
        <v>0</v>
      </c>
      <c r="J296" s="633">
        <f t="shared" si="31"/>
        <v>0</v>
      </c>
      <c r="K296" s="633">
        <f t="shared" si="32"/>
        <v>0</v>
      </c>
      <c r="L296" s="1127"/>
      <c r="M296" s="1127"/>
      <c r="N296" s="1691">
        <f t="shared" si="27"/>
        <v>0</v>
      </c>
      <c r="O296" s="634">
        <f t="shared" si="28"/>
        <v>0</v>
      </c>
      <c r="P296" s="144"/>
      <c r="Q296" s="144"/>
      <c r="R296" s="144"/>
      <c r="S296" s="144"/>
    </row>
    <row r="297" spans="1:19" ht="14.25" customHeight="1">
      <c r="A297" s="630"/>
      <c r="B297" s="631"/>
      <c r="C297" s="1127"/>
      <c r="D297" s="632"/>
      <c r="E297" s="1127"/>
      <c r="F297" s="633">
        <f t="shared" si="29"/>
        <v>0</v>
      </c>
      <c r="G297" s="632"/>
      <c r="H297" s="1127"/>
      <c r="I297" s="633">
        <f t="shared" si="30"/>
        <v>0</v>
      </c>
      <c r="J297" s="633">
        <f t="shared" si="31"/>
        <v>0</v>
      </c>
      <c r="K297" s="633">
        <f t="shared" si="32"/>
        <v>0</v>
      </c>
      <c r="L297" s="1127"/>
      <c r="M297" s="1127"/>
      <c r="N297" s="1691">
        <f t="shared" si="27"/>
        <v>0</v>
      </c>
      <c r="O297" s="634">
        <f t="shared" si="28"/>
        <v>0</v>
      </c>
      <c r="P297" s="144"/>
      <c r="Q297" s="144"/>
      <c r="R297" s="144"/>
      <c r="S297" s="144"/>
    </row>
    <row r="298" spans="1:19" ht="14.25" customHeight="1">
      <c r="A298" s="630"/>
      <c r="B298" s="631"/>
      <c r="C298" s="1127"/>
      <c r="D298" s="632"/>
      <c r="E298" s="1127"/>
      <c r="F298" s="633">
        <f t="shared" si="29"/>
        <v>0</v>
      </c>
      <c r="G298" s="632"/>
      <c r="H298" s="1127"/>
      <c r="I298" s="633">
        <f t="shared" si="30"/>
        <v>0</v>
      </c>
      <c r="J298" s="633">
        <f t="shared" si="31"/>
        <v>0</v>
      </c>
      <c r="K298" s="633">
        <f t="shared" si="32"/>
        <v>0</v>
      </c>
      <c r="L298" s="1127"/>
      <c r="M298" s="1127"/>
      <c r="N298" s="1691">
        <f t="shared" si="27"/>
        <v>0</v>
      </c>
      <c r="O298" s="634">
        <f t="shared" si="28"/>
        <v>0</v>
      </c>
      <c r="P298" s="144"/>
      <c r="Q298" s="144"/>
      <c r="R298" s="144"/>
      <c r="S298" s="144"/>
    </row>
    <row r="299" spans="1:19" ht="14.25" customHeight="1">
      <c r="A299" s="630"/>
      <c r="B299" s="631"/>
      <c r="C299" s="1127"/>
      <c r="D299" s="632"/>
      <c r="E299" s="1127"/>
      <c r="F299" s="633">
        <f t="shared" si="29"/>
        <v>0</v>
      </c>
      <c r="G299" s="632"/>
      <c r="H299" s="1127"/>
      <c r="I299" s="633">
        <f t="shared" si="30"/>
        <v>0</v>
      </c>
      <c r="J299" s="633">
        <f t="shared" si="31"/>
        <v>0</v>
      </c>
      <c r="K299" s="633">
        <f t="shared" si="32"/>
        <v>0</v>
      </c>
      <c r="L299" s="1127"/>
      <c r="M299" s="1127"/>
      <c r="N299" s="1691">
        <f t="shared" si="27"/>
        <v>0</v>
      </c>
      <c r="O299" s="634">
        <f t="shared" si="28"/>
        <v>0</v>
      </c>
      <c r="P299" s="144"/>
      <c r="Q299" s="144"/>
      <c r="R299" s="144"/>
      <c r="S299" s="144"/>
    </row>
    <row r="300" spans="1:19" ht="14.25" customHeight="1">
      <c r="A300" s="630"/>
      <c r="B300" s="631"/>
      <c r="C300" s="1127"/>
      <c r="D300" s="632"/>
      <c r="E300" s="1127"/>
      <c r="F300" s="633">
        <f t="shared" si="29"/>
        <v>0</v>
      </c>
      <c r="G300" s="632"/>
      <c r="H300" s="1127"/>
      <c r="I300" s="633">
        <f t="shared" si="30"/>
        <v>0</v>
      </c>
      <c r="J300" s="633">
        <f t="shared" si="31"/>
        <v>0</v>
      </c>
      <c r="K300" s="633">
        <f t="shared" si="32"/>
        <v>0</v>
      </c>
      <c r="L300" s="1127"/>
      <c r="M300" s="1127"/>
      <c r="N300" s="1691">
        <f t="shared" si="27"/>
        <v>0</v>
      </c>
      <c r="O300" s="634">
        <f t="shared" si="28"/>
        <v>0</v>
      </c>
      <c r="P300" s="144"/>
      <c r="Q300" s="144"/>
      <c r="R300" s="144"/>
      <c r="S300" s="144"/>
    </row>
    <row r="301" spans="1:19" ht="14.25" customHeight="1">
      <c r="A301" s="630"/>
      <c r="B301" s="631"/>
      <c r="C301" s="1127"/>
      <c r="D301" s="632"/>
      <c r="E301" s="1127"/>
      <c r="F301" s="633">
        <f t="shared" si="29"/>
        <v>0</v>
      </c>
      <c r="G301" s="632"/>
      <c r="H301" s="1127"/>
      <c r="I301" s="633">
        <f t="shared" si="30"/>
        <v>0</v>
      </c>
      <c r="J301" s="633">
        <f t="shared" si="31"/>
        <v>0</v>
      </c>
      <c r="K301" s="633">
        <f t="shared" si="32"/>
        <v>0</v>
      </c>
      <c r="L301" s="1127"/>
      <c r="M301" s="1127"/>
      <c r="N301" s="1691">
        <f t="shared" si="27"/>
        <v>0</v>
      </c>
      <c r="O301" s="634">
        <f t="shared" si="28"/>
        <v>0</v>
      </c>
      <c r="P301" s="144"/>
      <c r="Q301" s="144"/>
      <c r="R301" s="144"/>
      <c r="S301" s="144"/>
    </row>
    <row r="302" spans="1:19" ht="14.25" customHeight="1">
      <c r="A302" s="630"/>
      <c r="B302" s="631"/>
      <c r="C302" s="1127"/>
      <c r="D302" s="632"/>
      <c r="E302" s="1127"/>
      <c r="F302" s="633">
        <f t="shared" si="29"/>
        <v>0</v>
      </c>
      <c r="G302" s="632"/>
      <c r="H302" s="1127"/>
      <c r="I302" s="633">
        <f t="shared" si="30"/>
        <v>0</v>
      </c>
      <c r="J302" s="633">
        <f t="shared" si="31"/>
        <v>0</v>
      </c>
      <c r="K302" s="633">
        <f t="shared" si="32"/>
        <v>0</v>
      </c>
      <c r="L302" s="1127"/>
      <c r="M302" s="1127"/>
      <c r="N302" s="1691">
        <f t="shared" si="27"/>
        <v>0</v>
      </c>
      <c r="O302" s="634">
        <f t="shared" si="28"/>
        <v>0</v>
      </c>
      <c r="P302" s="144"/>
      <c r="Q302" s="144"/>
      <c r="R302" s="144"/>
      <c r="S302" s="144"/>
    </row>
    <row r="303" spans="1:19" ht="14.25" customHeight="1">
      <c r="A303" s="630"/>
      <c r="B303" s="631"/>
      <c r="C303" s="1127"/>
      <c r="D303" s="632"/>
      <c r="E303" s="1127"/>
      <c r="F303" s="633">
        <f t="shared" si="29"/>
        <v>0</v>
      </c>
      <c r="G303" s="632"/>
      <c r="H303" s="1127"/>
      <c r="I303" s="633">
        <f t="shared" si="30"/>
        <v>0</v>
      </c>
      <c r="J303" s="633">
        <f t="shared" si="31"/>
        <v>0</v>
      </c>
      <c r="K303" s="633">
        <f t="shared" si="32"/>
        <v>0</v>
      </c>
      <c r="L303" s="1127"/>
      <c r="M303" s="1127"/>
      <c r="N303" s="1691">
        <f t="shared" si="27"/>
        <v>0</v>
      </c>
      <c r="O303" s="634">
        <f t="shared" si="28"/>
        <v>0</v>
      </c>
      <c r="P303" s="144"/>
      <c r="Q303" s="144"/>
      <c r="R303" s="144"/>
      <c r="S303" s="144"/>
    </row>
    <row r="304" spans="1:19" ht="14.25" customHeight="1">
      <c r="A304" s="630"/>
      <c r="B304" s="631"/>
      <c r="C304" s="1127"/>
      <c r="D304" s="632"/>
      <c r="E304" s="1127"/>
      <c r="F304" s="633">
        <f t="shared" si="29"/>
        <v>0</v>
      </c>
      <c r="G304" s="632"/>
      <c r="H304" s="1127"/>
      <c r="I304" s="633">
        <f t="shared" si="30"/>
        <v>0</v>
      </c>
      <c r="J304" s="633">
        <f t="shared" si="31"/>
        <v>0</v>
      </c>
      <c r="K304" s="633">
        <f t="shared" si="32"/>
        <v>0</v>
      </c>
      <c r="L304" s="1127"/>
      <c r="M304" s="1127"/>
      <c r="N304" s="1691">
        <f t="shared" si="27"/>
        <v>0</v>
      </c>
      <c r="O304" s="634">
        <f t="shared" si="28"/>
        <v>0</v>
      </c>
      <c r="P304" s="144"/>
      <c r="Q304" s="144"/>
      <c r="R304" s="144"/>
      <c r="S304" s="144"/>
    </row>
    <row r="305" spans="1:19" ht="14.25" customHeight="1">
      <c r="A305" s="630"/>
      <c r="B305" s="631"/>
      <c r="C305" s="1127"/>
      <c r="D305" s="632"/>
      <c r="E305" s="1127"/>
      <c r="F305" s="633">
        <f t="shared" si="29"/>
        <v>0</v>
      </c>
      <c r="G305" s="632"/>
      <c r="H305" s="1127"/>
      <c r="I305" s="633">
        <f t="shared" si="30"/>
        <v>0</v>
      </c>
      <c r="J305" s="633">
        <f t="shared" si="31"/>
        <v>0</v>
      </c>
      <c r="K305" s="633">
        <f t="shared" si="32"/>
        <v>0</v>
      </c>
      <c r="L305" s="1127"/>
      <c r="M305" s="1127"/>
      <c r="N305" s="1691">
        <f t="shared" si="27"/>
        <v>0</v>
      </c>
      <c r="O305" s="634">
        <f t="shared" si="28"/>
        <v>0</v>
      </c>
      <c r="P305" s="144"/>
      <c r="Q305" s="144"/>
      <c r="R305" s="144"/>
      <c r="S305" s="144"/>
    </row>
    <row r="306" spans="1:19" ht="14.25" customHeight="1">
      <c r="A306" s="630"/>
      <c r="B306" s="631"/>
      <c r="C306" s="1127"/>
      <c r="D306" s="632"/>
      <c r="E306" s="1127"/>
      <c r="F306" s="633">
        <f t="shared" si="29"/>
        <v>0</v>
      </c>
      <c r="G306" s="632"/>
      <c r="H306" s="1127"/>
      <c r="I306" s="633">
        <f t="shared" si="30"/>
        <v>0</v>
      </c>
      <c r="J306" s="633">
        <f t="shared" si="31"/>
        <v>0</v>
      </c>
      <c r="K306" s="633">
        <f t="shared" si="32"/>
        <v>0</v>
      </c>
      <c r="L306" s="1127"/>
      <c r="M306" s="1127"/>
      <c r="N306" s="1691">
        <f t="shared" si="27"/>
        <v>0</v>
      </c>
      <c r="O306" s="634">
        <f t="shared" si="28"/>
        <v>0</v>
      </c>
      <c r="P306" s="144"/>
      <c r="Q306" s="144"/>
      <c r="R306" s="144"/>
      <c r="S306" s="144"/>
    </row>
    <row r="307" spans="1:19" ht="14.25" customHeight="1">
      <c r="A307" s="630"/>
      <c r="B307" s="631"/>
      <c r="C307" s="1127"/>
      <c r="D307" s="632"/>
      <c r="E307" s="1127"/>
      <c r="F307" s="633">
        <f t="shared" si="29"/>
        <v>0</v>
      </c>
      <c r="G307" s="632"/>
      <c r="H307" s="1127"/>
      <c r="I307" s="633">
        <f t="shared" si="30"/>
        <v>0</v>
      </c>
      <c r="J307" s="633">
        <f t="shared" si="31"/>
        <v>0</v>
      </c>
      <c r="K307" s="633">
        <f t="shared" si="32"/>
        <v>0</v>
      </c>
      <c r="L307" s="1127"/>
      <c r="M307" s="1127"/>
      <c r="N307" s="1691">
        <f t="shared" si="27"/>
        <v>0</v>
      </c>
      <c r="O307" s="634">
        <f t="shared" si="28"/>
        <v>0</v>
      </c>
      <c r="P307" s="144"/>
      <c r="Q307" s="144"/>
      <c r="R307" s="144"/>
      <c r="S307" s="144"/>
    </row>
    <row r="308" spans="1:19" ht="14.25" customHeight="1">
      <c r="A308" s="630"/>
      <c r="B308" s="631"/>
      <c r="C308" s="1127"/>
      <c r="D308" s="632"/>
      <c r="E308" s="1127"/>
      <c r="F308" s="633">
        <f t="shared" si="29"/>
        <v>0</v>
      </c>
      <c r="G308" s="632"/>
      <c r="H308" s="1127"/>
      <c r="I308" s="633">
        <f t="shared" si="30"/>
        <v>0</v>
      </c>
      <c r="J308" s="633">
        <f t="shared" si="31"/>
        <v>0</v>
      </c>
      <c r="K308" s="633">
        <f t="shared" si="32"/>
        <v>0</v>
      </c>
      <c r="L308" s="1127"/>
      <c r="M308" s="1127"/>
      <c r="N308" s="1691">
        <f t="shared" si="27"/>
        <v>0</v>
      </c>
      <c r="O308" s="634">
        <f t="shared" si="28"/>
        <v>0</v>
      </c>
      <c r="P308" s="144"/>
      <c r="Q308" s="144"/>
      <c r="R308" s="144"/>
      <c r="S308" s="144"/>
    </row>
    <row r="309" spans="1:19" ht="14.25" customHeight="1">
      <c r="A309" s="630"/>
      <c r="B309" s="631"/>
      <c r="C309" s="1127"/>
      <c r="D309" s="632"/>
      <c r="E309" s="1127"/>
      <c r="F309" s="633">
        <f t="shared" si="29"/>
        <v>0</v>
      </c>
      <c r="G309" s="632"/>
      <c r="H309" s="1127"/>
      <c r="I309" s="633">
        <f t="shared" si="30"/>
        <v>0</v>
      </c>
      <c r="J309" s="633">
        <f t="shared" si="31"/>
        <v>0</v>
      </c>
      <c r="K309" s="633">
        <f t="shared" si="32"/>
        <v>0</v>
      </c>
      <c r="L309" s="1127"/>
      <c r="M309" s="1127"/>
      <c r="N309" s="1691">
        <f t="shared" si="27"/>
        <v>0</v>
      </c>
      <c r="O309" s="634">
        <f t="shared" si="28"/>
        <v>0</v>
      </c>
      <c r="P309" s="144"/>
      <c r="Q309" s="144"/>
      <c r="R309" s="144"/>
      <c r="S309" s="144"/>
    </row>
    <row r="310" spans="1:19" ht="14.25" customHeight="1">
      <c r="A310" s="630"/>
      <c r="B310" s="631"/>
      <c r="C310" s="1127"/>
      <c r="D310" s="632"/>
      <c r="E310" s="1127"/>
      <c r="F310" s="633">
        <f t="shared" si="29"/>
        <v>0</v>
      </c>
      <c r="G310" s="632"/>
      <c r="H310" s="1127"/>
      <c r="I310" s="633">
        <f t="shared" si="30"/>
        <v>0</v>
      </c>
      <c r="J310" s="633">
        <f t="shared" si="31"/>
        <v>0</v>
      </c>
      <c r="K310" s="633">
        <f t="shared" si="32"/>
        <v>0</v>
      </c>
      <c r="L310" s="1127"/>
      <c r="M310" s="1127"/>
      <c r="N310" s="1691">
        <f t="shared" si="27"/>
        <v>0</v>
      </c>
      <c r="O310" s="634">
        <f t="shared" si="28"/>
        <v>0</v>
      </c>
      <c r="P310" s="144"/>
      <c r="Q310" s="144"/>
      <c r="R310" s="144"/>
      <c r="S310" s="144"/>
    </row>
    <row r="311" spans="1:19" ht="14.25" customHeight="1">
      <c r="A311" s="630"/>
      <c r="B311" s="631"/>
      <c r="C311" s="1127"/>
      <c r="D311" s="632"/>
      <c r="E311" s="1127"/>
      <c r="F311" s="633">
        <f t="shared" si="29"/>
        <v>0</v>
      </c>
      <c r="G311" s="632"/>
      <c r="H311" s="1127"/>
      <c r="I311" s="633">
        <f t="shared" si="30"/>
        <v>0</v>
      </c>
      <c r="J311" s="633">
        <f t="shared" si="31"/>
        <v>0</v>
      </c>
      <c r="K311" s="633">
        <f t="shared" si="32"/>
        <v>0</v>
      </c>
      <c r="L311" s="1127"/>
      <c r="M311" s="1127"/>
      <c r="N311" s="1691">
        <f t="shared" si="27"/>
        <v>0</v>
      </c>
      <c r="O311" s="634">
        <f t="shared" si="28"/>
        <v>0</v>
      </c>
      <c r="P311" s="144"/>
      <c r="Q311" s="144"/>
      <c r="R311" s="144"/>
      <c r="S311" s="144"/>
    </row>
    <row r="312" spans="1:19" ht="14.25" customHeight="1">
      <c r="A312" s="630"/>
      <c r="B312" s="631"/>
      <c r="C312" s="1127"/>
      <c r="D312" s="632"/>
      <c r="E312" s="1127"/>
      <c r="F312" s="633">
        <f t="shared" si="29"/>
        <v>0</v>
      </c>
      <c r="G312" s="632"/>
      <c r="H312" s="1127"/>
      <c r="I312" s="633">
        <f t="shared" si="30"/>
        <v>0</v>
      </c>
      <c r="J312" s="633">
        <f t="shared" si="31"/>
        <v>0</v>
      </c>
      <c r="K312" s="633">
        <f t="shared" si="32"/>
        <v>0</v>
      </c>
      <c r="L312" s="1127"/>
      <c r="M312" s="1127"/>
      <c r="N312" s="1691">
        <f t="shared" si="27"/>
        <v>0</v>
      </c>
      <c r="O312" s="634">
        <f t="shared" si="28"/>
        <v>0</v>
      </c>
      <c r="P312" s="144"/>
      <c r="Q312" s="144"/>
      <c r="R312" s="144"/>
      <c r="S312" s="144"/>
    </row>
    <row r="313" spans="1:19" ht="14.25" customHeight="1">
      <c r="A313" s="630"/>
      <c r="B313" s="631"/>
      <c r="C313" s="1127"/>
      <c r="D313" s="632"/>
      <c r="E313" s="1127"/>
      <c r="F313" s="633">
        <f t="shared" si="29"/>
        <v>0</v>
      </c>
      <c r="G313" s="632"/>
      <c r="H313" s="1127"/>
      <c r="I313" s="633">
        <f t="shared" si="30"/>
        <v>0</v>
      </c>
      <c r="J313" s="633">
        <f t="shared" si="31"/>
        <v>0</v>
      </c>
      <c r="K313" s="633">
        <f t="shared" si="32"/>
        <v>0</v>
      </c>
      <c r="L313" s="1127"/>
      <c r="M313" s="1127"/>
      <c r="N313" s="1691">
        <f t="shared" si="27"/>
        <v>0</v>
      </c>
      <c r="O313" s="634">
        <f t="shared" si="28"/>
        <v>0</v>
      </c>
      <c r="P313" s="144"/>
      <c r="Q313" s="144"/>
      <c r="R313" s="144"/>
      <c r="S313" s="144"/>
    </row>
    <row r="314" spans="1:19" ht="14.25" customHeight="1">
      <c r="A314" s="630"/>
      <c r="B314" s="631"/>
      <c r="C314" s="1127"/>
      <c r="D314" s="632"/>
      <c r="E314" s="1127"/>
      <c r="F314" s="633">
        <f t="shared" si="29"/>
        <v>0</v>
      </c>
      <c r="G314" s="632"/>
      <c r="H314" s="1127"/>
      <c r="I314" s="633">
        <f t="shared" si="30"/>
        <v>0</v>
      </c>
      <c r="J314" s="633">
        <f t="shared" si="31"/>
        <v>0</v>
      </c>
      <c r="K314" s="633">
        <f t="shared" si="32"/>
        <v>0</v>
      </c>
      <c r="L314" s="1127"/>
      <c r="M314" s="1127"/>
      <c r="N314" s="1691">
        <f t="shared" si="27"/>
        <v>0</v>
      </c>
      <c r="O314" s="634">
        <f t="shared" si="28"/>
        <v>0</v>
      </c>
      <c r="P314" s="144"/>
      <c r="Q314" s="144"/>
      <c r="R314" s="144"/>
      <c r="S314" s="144"/>
    </row>
    <row r="315" spans="1:19" ht="14.25" customHeight="1">
      <c r="A315" s="630"/>
      <c r="B315" s="631"/>
      <c r="C315" s="1127"/>
      <c r="D315" s="632"/>
      <c r="E315" s="1127"/>
      <c r="F315" s="633">
        <f t="shared" si="29"/>
        <v>0</v>
      </c>
      <c r="G315" s="632"/>
      <c r="H315" s="1127"/>
      <c r="I315" s="633">
        <f t="shared" si="30"/>
        <v>0</v>
      </c>
      <c r="J315" s="633">
        <f t="shared" si="31"/>
        <v>0</v>
      </c>
      <c r="K315" s="633">
        <f t="shared" si="32"/>
        <v>0</v>
      </c>
      <c r="L315" s="1127"/>
      <c r="M315" s="1127"/>
      <c r="N315" s="1691">
        <f t="shared" si="27"/>
        <v>0</v>
      </c>
      <c r="O315" s="634">
        <f t="shared" si="28"/>
        <v>0</v>
      </c>
      <c r="P315" s="144"/>
      <c r="Q315" s="144"/>
      <c r="R315" s="144"/>
      <c r="S315" s="144"/>
    </row>
    <row r="316" spans="1:19" ht="14.25" customHeight="1">
      <c r="A316" s="630"/>
      <c r="B316" s="631"/>
      <c r="C316" s="1127"/>
      <c r="D316" s="632"/>
      <c r="E316" s="1127"/>
      <c r="F316" s="633">
        <f t="shared" si="29"/>
        <v>0</v>
      </c>
      <c r="G316" s="632"/>
      <c r="H316" s="1127"/>
      <c r="I316" s="633">
        <f t="shared" si="30"/>
        <v>0</v>
      </c>
      <c r="J316" s="633">
        <f t="shared" si="31"/>
        <v>0</v>
      </c>
      <c r="K316" s="633">
        <f t="shared" si="32"/>
        <v>0</v>
      </c>
      <c r="L316" s="1127"/>
      <c r="M316" s="1127"/>
      <c r="N316" s="1691">
        <f t="shared" si="27"/>
        <v>0</v>
      </c>
      <c r="O316" s="634">
        <f t="shared" si="28"/>
        <v>0</v>
      </c>
      <c r="P316" s="144"/>
      <c r="Q316" s="144"/>
      <c r="R316" s="144"/>
      <c r="S316" s="144"/>
    </row>
    <row r="317" spans="1:19" ht="14.25" customHeight="1">
      <c r="A317" s="630"/>
      <c r="B317" s="631"/>
      <c r="C317" s="1127"/>
      <c r="D317" s="632"/>
      <c r="E317" s="1127"/>
      <c r="F317" s="633">
        <f t="shared" si="29"/>
        <v>0</v>
      </c>
      <c r="G317" s="632"/>
      <c r="H317" s="1127"/>
      <c r="I317" s="633">
        <f t="shared" si="30"/>
        <v>0</v>
      </c>
      <c r="J317" s="633">
        <f t="shared" si="31"/>
        <v>0</v>
      </c>
      <c r="K317" s="633">
        <f t="shared" si="32"/>
        <v>0</v>
      </c>
      <c r="L317" s="1127"/>
      <c r="M317" s="1127"/>
      <c r="N317" s="1691">
        <f t="shared" si="27"/>
        <v>0</v>
      </c>
      <c r="O317" s="634">
        <f t="shared" si="28"/>
        <v>0</v>
      </c>
      <c r="P317" s="144"/>
      <c r="Q317" s="144"/>
      <c r="R317" s="144"/>
      <c r="S317" s="144"/>
    </row>
    <row r="318" spans="1:19" ht="14.25" customHeight="1">
      <c r="A318" s="630"/>
      <c r="B318" s="631"/>
      <c r="C318" s="1127"/>
      <c r="D318" s="632"/>
      <c r="E318" s="1127"/>
      <c r="F318" s="633">
        <f t="shared" si="29"/>
        <v>0</v>
      </c>
      <c r="G318" s="632"/>
      <c r="H318" s="1127"/>
      <c r="I318" s="633">
        <f t="shared" si="30"/>
        <v>0</v>
      </c>
      <c r="J318" s="633">
        <f t="shared" si="31"/>
        <v>0</v>
      </c>
      <c r="K318" s="633">
        <f t="shared" si="32"/>
        <v>0</v>
      </c>
      <c r="L318" s="1127"/>
      <c r="M318" s="1127"/>
      <c r="N318" s="1691">
        <f t="shared" si="27"/>
        <v>0</v>
      </c>
      <c r="O318" s="634">
        <f t="shared" si="28"/>
        <v>0</v>
      </c>
      <c r="P318" s="144"/>
      <c r="Q318" s="144"/>
      <c r="R318" s="144"/>
      <c r="S318" s="144"/>
    </row>
    <row r="319" spans="1:19" ht="14.25" customHeight="1">
      <c r="A319" s="630"/>
      <c r="B319" s="631"/>
      <c r="C319" s="1127"/>
      <c r="D319" s="632"/>
      <c r="E319" s="1127"/>
      <c r="F319" s="633">
        <f t="shared" si="29"/>
        <v>0</v>
      </c>
      <c r="G319" s="632"/>
      <c r="H319" s="1127"/>
      <c r="I319" s="633">
        <f t="shared" si="30"/>
        <v>0</v>
      </c>
      <c r="J319" s="633">
        <f t="shared" si="31"/>
        <v>0</v>
      </c>
      <c r="K319" s="633">
        <f t="shared" si="32"/>
        <v>0</v>
      </c>
      <c r="L319" s="1127"/>
      <c r="M319" s="1127"/>
      <c r="N319" s="1691">
        <f t="shared" si="27"/>
        <v>0</v>
      </c>
      <c r="O319" s="634">
        <f t="shared" si="28"/>
        <v>0</v>
      </c>
      <c r="P319" s="144"/>
      <c r="Q319" s="144"/>
      <c r="R319" s="144"/>
      <c r="S319" s="144"/>
    </row>
    <row r="320" spans="1:19" ht="14.25" customHeight="1">
      <c r="A320" s="630"/>
      <c r="B320" s="631"/>
      <c r="C320" s="1127"/>
      <c r="D320" s="632"/>
      <c r="E320" s="1127"/>
      <c r="F320" s="633">
        <f t="shared" si="29"/>
        <v>0</v>
      </c>
      <c r="G320" s="632"/>
      <c r="H320" s="1127"/>
      <c r="I320" s="633">
        <f t="shared" si="30"/>
        <v>0</v>
      </c>
      <c r="J320" s="633">
        <f t="shared" si="31"/>
        <v>0</v>
      </c>
      <c r="K320" s="633">
        <f t="shared" si="32"/>
        <v>0</v>
      </c>
      <c r="L320" s="1127"/>
      <c r="M320" s="1127"/>
      <c r="N320" s="1691">
        <f t="shared" si="27"/>
        <v>0</v>
      </c>
      <c r="O320" s="634">
        <f t="shared" si="28"/>
        <v>0</v>
      </c>
      <c r="P320" s="144"/>
      <c r="Q320" s="144"/>
      <c r="R320" s="144"/>
      <c r="S320" s="144"/>
    </row>
    <row r="321" spans="1:19" ht="14.25" customHeight="1">
      <c r="A321" s="630"/>
      <c r="B321" s="631"/>
      <c r="C321" s="1127"/>
      <c r="D321" s="632"/>
      <c r="E321" s="1127"/>
      <c r="F321" s="633">
        <f t="shared" si="29"/>
        <v>0</v>
      </c>
      <c r="G321" s="632"/>
      <c r="H321" s="1127"/>
      <c r="I321" s="633">
        <f t="shared" si="30"/>
        <v>0</v>
      </c>
      <c r="J321" s="633">
        <f t="shared" si="31"/>
        <v>0</v>
      </c>
      <c r="K321" s="633">
        <f t="shared" si="32"/>
        <v>0</v>
      </c>
      <c r="L321" s="1127"/>
      <c r="M321" s="1127"/>
      <c r="N321" s="1691">
        <f t="shared" si="27"/>
        <v>0</v>
      </c>
      <c r="O321" s="634">
        <f t="shared" si="28"/>
        <v>0</v>
      </c>
      <c r="P321" s="144"/>
      <c r="Q321" s="144"/>
      <c r="R321" s="144"/>
      <c r="S321" s="144"/>
    </row>
    <row r="322" spans="1:19" ht="14.25" customHeight="1">
      <c r="A322" s="630"/>
      <c r="B322" s="631"/>
      <c r="C322" s="1127"/>
      <c r="D322" s="632"/>
      <c r="E322" s="1127"/>
      <c r="F322" s="633">
        <f t="shared" si="29"/>
        <v>0</v>
      </c>
      <c r="G322" s="632"/>
      <c r="H322" s="1127"/>
      <c r="I322" s="633">
        <f t="shared" si="30"/>
        <v>0</v>
      </c>
      <c r="J322" s="633">
        <f t="shared" si="31"/>
        <v>0</v>
      </c>
      <c r="K322" s="633">
        <f t="shared" si="32"/>
        <v>0</v>
      </c>
      <c r="L322" s="1127"/>
      <c r="M322" s="1127"/>
      <c r="N322" s="1691">
        <f t="shared" si="27"/>
        <v>0</v>
      </c>
      <c r="O322" s="634">
        <f t="shared" si="28"/>
        <v>0</v>
      </c>
      <c r="P322" s="144"/>
      <c r="Q322" s="144"/>
      <c r="R322" s="144"/>
      <c r="S322" s="144"/>
    </row>
    <row r="323" spans="1:19" ht="14.25" customHeight="1">
      <c r="A323" s="630"/>
      <c r="B323" s="631"/>
      <c r="C323" s="1127"/>
      <c r="D323" s="632"/>
      <c r="E323" s="1127"/>
      <c r="F323" s="633">
        <f t="shared" si="29"/>
        <v>0</v>
      </c>
      <c r="G323" s="632"/>
      <c r="H323" s="1127"/>
      <c r="I323" s="633">
        <f t="shared" si="30"/>
        <v>0</v>
      </c>
      <c r="J323" s="633">
        <f t="shared" si="31"/>
        <v>0</v>
      </c>
      <c r="K323" s="633">
        <f t="shared" si="32"/>
        <v>0</v>
      </c>
      <c r="L323" s="1127"/>
      <c r="M323" s="1127"/>
      <c r="N323" s="1691">
        <f t="shared" si="27"/>
        <v>0</v>
      </c>
      <c r="O323" s="634">
        <f t="shared" si="28"/>
        <v>0</v>
      </c>
      <c r="P323" s="144"/>
      <c r="Q323" s="144"/>
      <c r="R323" s="144"/>
      <c r="S323" s="144"/>
    </row>
    <row r="324" spans="1:19" ht="14.25" customHeight="1">
      <c r="A324" s="630"/>
      <c r="B324" s="631"/>
      <c r="C324" s="1127"/>
      <c r="D324" s="632"/>
      <c r="E324" s="1127"/>
      <c r="F324" s="633">
        <f t="shared" si="29"/>
        <v>0</v>
      </c>
      <c r="G324" s="632"/>
      <c r="H324" s="1127"/>
      <c r="I324" s="633">
        <f t="shared" si="30"/>
        <v>0</v>
      </c>
      <c r="J324" s="633">
        <f t="shared" si="31"/>
        <v>0</v>
      </c>
      <c r="K324" s="633">
        <f t="shared" si="32"/>
        <v>0</v>
      </c>
      <c r="L324" s="1127"/>
      <c r="M324" s="1127"/>
      <c r="N324" s="1691">
        <f t="shared" si="27"/>
        <v>0</v>
      </c>
      <c r="O324" s="634">
        <f t="shared" si="28"/>
        <v>0</v>
      </c>
      <c r="P324" s="144"/>
      <c r="Q324" s="144"/>
      <c r="R324" s="144"/>
      <c r="S324" s="144"/>
    </row>
    <row r="325" spans="1:19" ht="14.25" customHeight="1">
      <c r="A325" s="630"/>
      <c r="B325" s="631"/>
      <c r="C325" s="1127"/>
      <c r="D325" s="632"/>
      <c r="E325" s="1127"/>
      <c r="F325" s="633">
        <f t="shared" si="29"/>
        <v>0</v>
      </c>
      <c r="G325" s="632"/>
      <c r="H325" s="1127"/>
      <c r="I325" s="633">
        <f t="shared" si="30"/>
        <v>0</v>
      </c>
      <c r="J325" s="633">
        <f t="shared" si="31"/>
        <v>0</v>
      </c>
      <c r="K325" s="633">
        <f t="shared" si="32"/>
        <v>0</v>
      </c>
      <c r="L325" s="1127"/>
      <c r="M325" s="1127"/>
      <c r="N325" s="1691">
        <f t="shared" si="27"/>
        <v>0</v>
      </c>
      <c r="O325" s="634">
        <f t="shared" si="28"/>
        <v>0</v>
      </c>
      <c r="P325" s="144"/>
      <c r="Q325" s="144"/>
      <c r="R325" s="144"/>
      <c r="S325" s="144"/>
    </row>
    <row r="326" spans="1:19" ht="14.25" customHeight="1">
      <c r="A326" s="630"/>
      <c r="B326" s="631"/>
      <c r="C326" s="1127"/>
      <c r="D326" s="632"/>
      <c r="E326" s="1127"/>
      <c r="F326" s="633">
        <f t="shared" si="29"/>
        <v>0</v>
      </c>
      <c r="G326" s="632"/>
      <c r="H326" s="1127"/>
      <c r="I326" s="633">
        <f t="shared" si="30"/>
        <v>0</v>
      </c>
      <c r="J326" s="633">
        <f t="shared" si="31"/>
        <v>0</v>
      </c>
      <c r="K326" s="633">
        <f t="shared" si="32"/>
        <v>0</v>
      </c>
      <c r="L326" s="1127"/>
      <c r="M326" s="1127"/>
      <c r="N326" s="1691">
        <f t="shared" si="27"/>
        <v>0</v>
      </c>
      <c r="O326" s="634">
        <f t="shared" si="28"/>
        <v>0</v>
      </c>
      <c r="P326" s="144"/>
      <c r="Q326" s="144"/>
      <c r="R326" s="144"/>
      <c r="S326" s="144"/>
    </row>
    <row r="327" spans="1:19" ht="14.25" customHeight="1">
      <c r="A327" s="630"/>
      <c r="B327" s="631"/>
      <c r="C327" s="1127"/>
      <c r="D327" s="632"/>
      <c r="E327" s="1127"/>
      <c r="F327" s="633">
        <f t="shared" si="29"/>
        <v>0</v>
      </c>
      <c r="G327" s="632"/>
      <c r="H327" s="1127"/>
      <c r="I327" s="633">
        <f t="shared" si="30"/>
        <v>0</v>
      </c>
      <c r="J327" s="633">
        <f t="shared" si="31"/>
        <v>0</v>
      </c>
      <c r="K327" s="633">
        <f t="shared" si="32"/>
        <v>0</v>
      </c>
      <c r="L327" s="1127"/>
      <c r="M327" s="1127"/>
      <c r="N327" s="1691">
        <f t="shared" si="27"/>
        <v>0</v>
      </c>
      <c r="O327" s="634">
        <f t="shared" si="28"/>
        <v>0</v>
      </c>
      <c r="P327" s="144"/>
      <c r="Q327" s="144"/>
      <c r="R327" s="144"/>
      <c r="S327" s="144"/>
    </row>
    <row r="328" spans="1:19" ht="14.25" customHeight="1">
      <c r="A328" s="630"/>
      <c r="B328" s="631"/>
      <c r="C328" s="1127"/>
      <c r="D328" s="632"/>
      <c r="E328" s="1127"/>
      <c r="F328" s="633">
        <f t="shared" si="29"/>
        <v>0</v>
      </c>
      <c r="G328" s="632"/>
      <c r="H328" s="1127"/>
      <c r="I328" s="633">
        <f t="shared" si="30"/>
        <v>0</v>
      </c>
      <c r="J328" s="633">
        <f t="shared" si="31"/>
        <v>0</v>
      </c>
      <c r="K328" s="633">
        <f t="shared" si="32"/>
        <v>0</v>
      </c>
      <c r="L328" s="1127"/>
      <c r="M328" s="1127"/>
      <c r="N328" s="1691">
        <f t="shared" si="27"/>
        <v>0</v>
      </c>
      <c r="O328" s="634">
        <f t="shared" si="28"/>
        <v>0</v>
      </c>
      <c r="P328" s="144"/>
      <c r="Q328" s="144"/>
      <c r="R328" s="144"/>
      <c r="S328" s="144"/>
    </row>
    <row r="329" spans="1:19" ht="14.25" customHeight="1">
      <c r="A329" s="630"/>
      <c r="B329" s="631"/>
      <c r="C329" s="1127"/>
      <c r="D329" s="632"/>
      <c r="E329" s="1127"/>
      <c r="F329" s="633">
        <f t="shared" si="29"/>
        <v>0</v>
      </c>
      <c r="G329" s="632"/>
      <c r="H329" s="1127"/>
      <c r="I329" s="633">
        <f t="shared" si="30"/>
        <v>0</v>
      </c>
      <c r="J329" s="633">
        <f t="shared" si="31"/>
        <v>0</v>
      </c>
      <c r="K329" s="633">
        <f t="shared" si="32"/>
        <v>0</v>
      </c>
      <c r="L329" s="1127"/>
      <c r="M329" s="1127"/>
      <c r="N329" s="1691">
        <f t="shared" si="27"/>
        <v>0</v>
      </c>
      <c r="O329" s="634">
        <f t="shared" si="28"/>
        <v>0</v>
      </c>
      <c r="P329" s="144"/>
      <c r="Q329" s="144"/>
      <c r="R329" s="144"/>
      <c r="S329" s="144"/>
    </row>
    <row r="330" spans="1:19" ht="14.25" customHeight="1">
      <c r="A330" s="630"/>
      <c r="B330" s="631"/>
      <c r="C330" s="1127"/>
      <c r="D330" s="632"/>
      <c r="E330" s="1127"/>
      <c r="F330" s="633">
        <f t="shared" si="29"/>
        <v>0</v>
      </c>
      <c r="G330" s="632"/>
      <c r="H330" s="1127"/>
      <c r="I330" s="633">
        <f t="shared" si="30"/>
        <v>0</v>
      </c>
      <c r="J330" s="633">
        <f t="shared" si="31"/>
        <v>0</v>
      </c>
      <c r="K330" s="633">
        <f t="shared" si="32"/>
        <v>0</v>
      </c>
      <c r="L330" s="1127"/>
      <c r="M330" s="1127"/>
      <c r="N330" s="1691">
        <f t="shared" ref="N330:N393" si="33">IF(M330&lt;&gt;0,ROUND(B330*K330,2)+M330,IF(ABS(ROUND(K330*B330,2)-L330)&lt;3,L330,MIN(ROUND(K330*B330,2),L330)))</f>
        <v>0</v>
      </c>
      <c r="O330" s="634">
        <f t="shared" ref="O330:O393" si="34">IF(ISERROR(L330-N330),"",IF(ABS(L330-N330)&lt;3,0,L330-N330))</f>
        <v>0</v>
      </c>
      <c r="P330" s="144"/>
      <c r="Q330" s="144"/>
      <c r="R330" s="144"/>
      <c r="S330" s="144"/>
    </row>
    <row r="331" spans="1:19" ht="14.25" customHeight="1">
      <c r="A331" s="630"/>
      <c r="B331" s="631"/>
      <c r="C331" s="1127"/>
      <c r="D331" s="632"/>
      <c r="E331" s="1127"/>
      <c r="F331" s="633">
        <f t="shared" ref="F331:F394" si="35">E331*(12-MONTH(D331))/12</f>
        <v>0</v>
      </c>
      <c r="G331" s="632"/>
      <c r="H331" s="1127"/>
      <c r="I331" s="633">
        <f t="shared" ref="I331:I394" si="36">H331*(12-MONTH(G331))/12</f>
        <v>0</v>
      </c>
      <c r="J331" s="633">
        <f t="shared" ref="J331:J394" si="37">C331+E331-H331</f>
        <v>0</v>
      </c>
      <c r="K331" s="633">
        <f t="shared" ref="K331:K394" si="38">C331+F331-I331</f>
        <v>0</v>
      </c>
      <c r="L331" s="1127"/>
      <c r="M331" s="1127"/>
      <c r="N331" s="1691">
        <f t="shared" si="33"/>
        <v>0</v>
      </c>
      <c r="O331" s="634">
        <f t="shared" si="34"/>
        <v>0</v>
      </c>
      <c r="P331" s="144"/>
      <c r="Q331" s="144"/>
      <c r="R331" s="144"/>
      <c r="S331" s="144"/>
    </row>
    <row r="332" spans="1:19" ht="14.25" customHeight="1">
      <c r="A332" s="630"/>
      <c r="B332" s="631"/>
      <c r="C332" s="1127"/>
      <c r="D332" s="632"/>
      <c r="E332" s="1127"/>
      <c r="F332" s="633">
        <f t="shared" si="35"/>
        <v>0</v>
      </c>
      <c r="G332" s="632"/>
      <c r="H332" s="1127"/>
      <c r="I332" s="633">
        <f t="shared" si="36"/>
        <v>0</v>
      </c>
      <c r="J332" s="633">
        <f t="shared" si="37"/>
        <v>0</v>
      </c>
      <c r="K332" s="633">
        <f t="shared" si="38"/>
        <v>0</v>
      </c>
      <c r="L332" s="1127"/>
      <c r="M332" s="1127"/>
      <c r="N332" s="1691">
        <f t="shared" si="33"/>
        <v>0</v>
      </c>
      <c r="O332" s="634">
        <f t="shared" si="34"/>
        <v>0</v>
      </c>
      <c r="P332" s="144"/>
      <c r="Q332" s="144"/>
      <c r="R332" s="144"/>
      <c r="S332" s="144"/>
    </row>
    <row r="333" spans="1:19" ht="14.25" customHeight="1">
      <c r="A333" s="630"/>
      <c r="B333" s="631"/>
      <c r="C333" s="1127"/>
      <c r="D333" s="632"/>
      <c r="E333" s="1127"/>
      <c r="F333" s="633">
        <f t="shared" si="35"/>
        <v>0</v>
      </c>
      <c r="G333" s="632"/>
      <c r="H333" s="1127"/>
      <c r="I333" s="633">
        <f t="shared" si="36"/>
        <v>0</v>
      </c>
      <c r="J333" s="633">
        <f t="shared" si="37"/>
        <v>0</v>
      </c>
      <c r="K333" s="633">
        <f t="shared" si="38"/>
        <v>0</v>
      </c>
      <c r="L333" s="1127"/>
      <c r="M333" s="1127"/>
      <c r="N333" s="1691">
        <f t="shared" si="33"/>
        <v>0</v>
      </c>
      <c r="O333" s="634">
        <f t="shared" si="34"/>
        <v>0</v>
      </c>
      <c r="P333" s="144"/>
      <c r="Q333" s="144"/>
      <c r="R333" s="144"/>
      <c r="S333" s="144"/>
    </row>
    <row r="334" spans="1:19" ht="14.25" customHeight="1">
      <c r="A334" s="630"/>
      <c r="B334" s="631"/>
      <c r="C334" s="1127"/>
      <c r="D334" s="632"/>
      <c r="E334" s="1127"/>
      <c r="F334" s="633">
        <f t="shared" si="35"/>
        <v>0</v>
      </c>
      <c r="G334" s="632"/>
      <c r="H334" s="1127"/>
      <c r="I334" s="633">
        <f t="shared" si="36"/>
        <v>0</v>
      </c>
      <c r="J334" s="633">
        <f t="shared" si="37"/>
        <v>0</v>
      </c>
      <c r="K334" s="633">
        <f t="shared" si="38"/>
        <v>0</v>
      </c>
      <c r="L334" s="1127"/>
      <c r="M334" s="1127"/>
      <c r="N334" s="1691">
        <f t="shared" si="33"/>
        <v>0</v>
      </c>
      <c r="O334" s="634">
        <f t="shared" si="34"/>
        <v>0</v>
      </c>
      <c r="P334" s="144"/>
      <c r="Q334" s="144"/>
      <c r="R334" s="144"/>
      <c r="S334" s="144"/>
    </row>
    <row r="335" spans="1:19" ht="14.25" customHeight="1">
      <c r="A335" s="630"/>
      <c r="B335" s="631"/>
      <c r="C335" s="1127"/>
      <c r="D335" s="632"/>
      <c r="E335" s="1127"/>
      <c r="F335" s="633">
        <f t="shared" si="35"/>
        <v>0</v>
      </c>
      <c r="G335" s="632"/>
      <c r="H335" s="1127"/>
      <c r="I335" s="633">
        <f t="shared" si="36"/>
        <v>0</v>
      </c>
      <c r="J335" s="633">
        <f t="shared" si="37"/>
        <v>0</v>
      </c>
      <c r="K335" s="633">
        <f t="shared" si="38"/>
        <v>0</v>
      </c>
      <c r="L335" s="1127"/>
      <c r="M335" s="1127"/>
      <c r="N335" s="1691">
        <f t="shared" si="33"/>
        <v>0</v>
      </c>
      <c r="O335" s="634">
        <f t="shared" si="34"/>
        <v>0</v>
      </c>
      <c r="P335" s="144"/>
      <c r="Q335" s="144"/>
      <c r="R335" s="144"/>
      <c r="S335" s="144"/>
    </row>
    <row r="336" spans="1:19" ht="14.25" customHeight="1">
      <c r="A336" s="630"/>
      <c r="B336" s="631"/>
      <c r="C336" s="1127"/>
      <c r="D336" s="632"/>
      <c r="E336" s="1127"/>
      <c r="F336" s="633">
        <f t="shared" si="35"/>
        <v>0</v>
      </c>
      <c r="G336" s="632"/>
      <c r="H336" s="1127"/>
      <c r="I336" s="633">
        <f t="shared" si="36"/>
        <v>0</v>
      </c>
      <c r="J336" s="633">
        <f t="shared" si="37"/>
        <v>0</v>
      </c>
      <c r="K336" s="633">
        <f t="shared" si="38"/>
        <v>0</v>
      </c>
      <c r="L336" s="1127"/>
      <c r="M336" s="1127"/>
      <c r="N336" s="1691">
        <f t="shared" si="33"/>
        <v>0</v>
      </c>
      <c r="O336" s="634">
        <f t="shared" si="34"/>
        <v>0</v>
      </c>
      <c r="P336" s="144"/>
      <c r="Q336" s="144"/>
      <c r="R336" s="144"/>
      <c r="S336" s="144"/>
    </row>
    <row r="337" spans="1:19" ht="14.25" customHeight="1">
      <c r="A337" s="630"/>
      <c r="B337" s="631"/>
      <c r="C337" s="1127"/>
      <c r="D337" s="632"/>
      <c r="E337" s="1127"/>
      <c r="F337" s="633">
        <f t="shared" si="35"/>
        <v>0</v>
      </c>
      <c r="G337" s="632"/>
      <c r="H337" s="1127"/>
      <c r="I337" s="633">
        <f t="shared" si="36"/>
        <v>0</v>
      </c>
      <c r="J337" s="633">
        <f t="shared" si="37"/>
        <v>0</v>
      </c>
      <c r="K337" s="633">
        <f t="shared" si="38"/>
        <v>0</v>
      </c>
      <c r="L337" s="1127"/>
      <c r="M337" s="1127"/>
      <c r="N337" s="1691">
        <f t="shared" si="33"/>
        <v>0</v>
      </c>
      <c r="O337" s="634">
        <f t="shared" si="34"/>
        <v>0</v>
      </c>
      <c r="P337" s="144"/>
      <c r="Q337" s="144"/>
      <c r="R337" s="144"/>
      <c r="S337" s="144"/>
    </row>
    <row r="338" spans="1:19" ht="14.25" customHeight="1">
      <c r="A338" s="630"/>
      <c r="B338" s="631"/>
      <c r="C338" s="1127"/>
      <c r="D338" s="632"/>
      <c r="E338" s="1127"/>
      <c r="F338" s="633">
        <f t="shared" si="35"/>
        <v>0</v>
      </c>
      <c r="G338" s="632"/>
      <c r="H338" s="1127"/>
      <c r="I338" s="633">
        <f t="shared" si="36"/>
        <v>0</v>
      </c>
      <c r="J338" s="633">
        <f t="shared" si="37"/>
        <v>0</v>
      </c>
      <c r="K338" s="633">
        <f t="shared" si="38"/>
        <v>0</v>
      </c>
      <c r="L338" s="1127"/>
      <c r="M338" s="1127"/>
      <c r="N338" s="1691">
        <f t="shared" si="33"/>
        <v>0</v>
      </c>
      <c r="O338" s="634">
        <f t="shared" si="34"/>
        <v>0</v>
      </c>
      <c r="P338" s="144"/>
      <c r="Q338" s="144"/>
      <c r="R338" s="144"/>
      <c r="S338" s="144"/>
    </row>
    <row r="339" spans="1:19" ht="14.25" customHeight="1">
      <c r="A339" s="630"/>
      <c r="B339" s="631"/>
      <c r="C339" s="1127"/>
      <c r="D339" s="632"/>
      <c r="E339" s="1127"/>
      <c r="F339" s="633">
        <f t="shared" si="35"/>
        <v>0</v>
      </c>
      <c r="G339" s="632"/>
      <c r="H339" s="1127"/>
      <c r="I339" s="633">
        <f t="shared" si="36"/>
        <v>0</v>
      </c>
      <c r="J339" s="633">
        <f t="shared" si="37"/>
        <v>0</v>
      </c>
      <c r="K339" s="633">
        <f t="shared" si="38"/>
        <v>0</v>
      </c>
      <c r="L339" s="1127"/>
      <c r="M339" s="1127"/>
      <c r="N339" s="1691">
        <f t="shared" si="33"/>
        <v>0</v>
      </c>
      <c r="O339" s="634">
        <f t="shared" si="34"/>
        <v>0</v>
      </c>
      <c r="P339" s="144"/>
      <c r="Q339" s="144"/>
      <c r="R339" s="144"/>
      <c r="S339" s="144"/>
    </row>
    <row r="340" spans="1:19" ht="14.25" customHeight="1">
      <c r="A340" s="630"/>
      <c r="B340" s="631"/>
      <c r="C340" s="1127"/>
      <c r="D340" s="632"/>
      <c r="E340" s="1127"/>
      <c r="F340" s="633">
        <f t="shared" si="35"/>
        <v>0</v>
      </c>
      <c r="G340" s="632"/>
      <c r="H340" s="1127"/>
      <c r="I340" s="633">
        <f t="shared" si="36"/>
        <v>0</v>
      </c>
      <c r="J340" s="633">
        <f t="shared" si="37"/>
        <v>0</v>
      </c>
      <c r="K340" s="633">
        <f t="shared" si="38"/>
        <v>0</v>
      </c>
      <c r="L340" s="1127"/>
      <c r="M340" s="1127"/>
      <c r="N340" s="1691">
        <f t="shared" si="33"/>
        <v>0</v>
      </c>
      <c r="O340" s="634">
        <f t="shared" si="34"/>
        <v>0</v>
      </c>
      <c r="P340" s="144"/>
      <c r="Q340" s="144"/>
      <c r="R340" s="144"/>
      <c r="S340" s="144"/>
    </row>
    <row r="341" spans="1:19" ht="14.25" customHeight="1">
      <c r="A341" s="630"/>
      <c r="B341" s="631"/>
      <c r="C341" s="1127"/>
      <c r="D341" s="632"/>
      <c r="E341" s="1127"/>
      <c r="F341" s="633">
        <f t="shared" si="35"/>
        <v>0</v>
      </c>
      <c r="G341" s="632"/>
      <c r="H341" s="1127"/>
      <c r="I341" s="633">
        <f t="shared" si="36"/>
        <v>0</v>
      </c>
      <c r="J341" s="633">
        <f t="shared" si="37"/>
        <v>0</v>
      </c>
      <c r="K341" s="633">
        <f t="shared" si="38"/>
        <v>0</v>
      </c>
      <c r="L341" s="1127"/>
      <c r="M341" s="1127"/>
      <c r="N341" s="1691">
        <f t="shared" si="33"/>
        <v>0</v>
      </c>
      <c r="O341" s="634">
        <f t="shared" si="34"/>
        <v>0</v>
      </c>
      <c r="P341" s="144"/>
      <c r="Q341" s="144"/>
      <c r="R341" s="144"/>
      <c r="S341" s="144"/>
    </row>
    <row r="342" spans="1:19" ht="14.25" customHeight="1">
      <c r="A342" s="630"/>
      <c r="B342" s="631"/>
      <c r="C342" s="1127"/>
      <c r="D342" s="632"/>
      <c r="E342" s="1127"/>
      <c r="F342" s="633">
        <f t="shared" si="35"/>
        <v>0</v>
      </c>
      <c r="G342" s="632"/>
      <c r="H342" s="1127"/>
      <c r="I342" s="633">
        <f t="shared" si="36"/>
        <v>0</v>
      </c>
      <c r="J342" s="633">
        <f t="shared" si="37"/>
        <v>0</v>
      </c>
      <c r="K342" s="633">
        <f t="shared" si="38"/>
        <v>0</v>
      </c>
      <c r="L342" s="1127"/>
      <c r="M342" s="1127"/>
      <c r="N342" s="1691">
        <f t="shared" si="33"/>
        <v>0</v>
      </c>
      <c r="O342" s="634">
        <f t="shared" si="34"/>
        <v>0</v>
      </c>
      <c r="P342" s="144"/>
      <c r="Q342" s="144"/>
      <c r="R342" s="144"/>
      <c r="S342" s="144"/>
    </row>
    <row r="343" spans="1:19" ht="14.25" customHeight="1">
      <c r="A343" s="630"/>
      <c r="B343" s="631"/>
      <c r="C343" s="1127"/>
      <c r="D343" s="632"/>
      <c r="E343" s="1127"/>
      <c r="F343" s="633">
        <f t="shared" si="35"/>
        <v>0</v>
      </c>
      <c r="G343" s="632"/>
      <c r="H343" s="1127"/>
      <c r="I343" s="633">
        <f t="shared" si="36"/>
        <v>0</v>
      </c>
      <c r="J343" s="633">
        <f t="shared" si="37"/>
        <v>0</v>
      </c>
      <c r="K343" s="633">
        <f t="shared" si="38"/>
        <v>0</v>
      </c>
      <c r="L343" s="1127"/>
      <c r="M343" s="1127"/>
      <c r="N343" s="1691">
        <f t="shared" si="33"/>
        <v>0</v>
      </c>
      <c r="O343" s="634">
        <f t="shared" si="34"/>
        <v>0</v>
      </c>
      <c r="P343" s="144"/>
      <c r="Q343" s="144"/>
      <c r="R343" s="144"/>
      <c r="S343" s="144"/>
    </row>
    <row r="344" spans="1:19" ht="14.25" customHeight="1">
      <c r="A344" s="630"/>
      <c r="B344" s="631"/>
      <c r="C344" s="1127"/>
      <c r="D344" s="632"/>
      <c r="E344" s="1127"/>
      <c r="F344" s="633">
        <f t="shared" si="35"/>
        <v>0</v>
      </c>
      <c r="G344" s="632"/>
      <c r="H344" s="1127"/>
      <c r="I344" s="633">
        <f t="shared" si="36"/>
        <v>0</v>
      </c>
      <c r="J344" s="633">
        <f t="shared" si="37"/>
        <v>0</v>
      </c>
      <c r="K344" s="633">
        <f t="shared" si="38"/>
        <v>0</v>
      </c>
      <c r="L344" s="1127"/>
      <c r="M344" s="1127"/>
      <c r="N344" s="1691">
        <f t="shared" si="33"/>
        <v>0</v>
      </c>
      <c r="O344" s="634">
        <f t="shared" si="34"/>
        <v>0</v>
      </c>
      <c r="P344" s="144"/>
      <c r="Q344" s="144"/>
      <c r="R344" s="144"/>
      <c r="S344" s="144"/>
    </row>
    <row r="345" spans="1:19" ht="14.25" customHeight="1">
      <c r="A345" s="630"/>
      <c r="B345" s="631"/>
      <c r="C345" s="1127"/>
      <c r="D345" s="632"/>
      <c r="E345" s="1127"/>
      <c r="F345" s="633">
        <f t="shared" si="35"/>
        <v>0</v>
      </c>
      <c r="G345" s="632"/>
      <c r="H345" s="1127"/>
      <c r="I345" s="633">
        <f t="shared" si="36"/>
        <v>0</v>
      </c>
      <c r="J345" s="633">
        <f t="shared" si="37"/>
        <v>0</v>
      </c>
      <c r="K345" s="633">
        <f t="shared" si="38"/>
        <v>0</v>
      </c>
      <c r="L345" s="1127"/>
      <c r="M345" s="1127"/>
      <c r="N345" s="1691">
        <f t="shared" si="33"/>
        <v>0</v>
      </c>
      <c r="O345" s="634">
        <f t="shared" si="34"/>
        <v>0</v>
      </c>
      <c r="P345" s="144"/>
      <c r="Q345" s="144"/>
      <c r="R345" s="144"/>
      <c r="S345" s="144"/>
    </row>
    <row r="346" spans="1:19" ht="14.25" customHeight="1">
      <c r="A346" s="630"/>
      <c r="B346" s="631"/>
      <c r="C346" s="1127"/>
      <c r="D346" s="632"/>
      <c r="E346" s="1127"/>
      <c r="F346" s="633">
        <f t="shared" si="35"/>
        <v>0</v>
      </c>
      <c r="G346" s="632"/>
      <c r="H346" s="1127"/>
      <c r="I346" s="633">
        <f t="shared" si="36"/>
        <v>0</v>
      </c>
      <c r="J346" s="633">
        <f t="shared" si="37"/>
        <v>0</v>
      </c>
      <c r="K346" s="633">
        <f t="shared" si="38"/>
        <v>0</v>
      </c>
      <c r="L346" s="1127"/>
      <c r="M346" s="1127"/>
      <c r="N346" s="1691">
        <f t="shared" si="33"/>
        <v>0</v>
      </c>
      <c r="O346" s="634">
        <f t="shared" si="34"/>
        <v>0</v>
      </c>
      <c r="P346" s="144"/>
      <c r="Q346" s="144"/>
      <c r="R346" s="144"/>
      <c r="S346" s="144"/>
    </row>
    <row r="347" spans="1:19" ht="14.25" customHeight="1">
      <c r="A347" s="630"/>
      <c r="B347" s="631"/>
      <c r="C347" s="1127"/>
      <c r="D347" s="632"/>
      <c r="E347" s="1127"/>
      <c r="F347" s="633">
        <f t="shared" si="35"/>
        <v>0</v>
      </c>
      <c r="G347" s="632"/>
      <c r="H347" s="1127"/>
      <c r="I347" s="633">
        <f t="shared" si="36"/>
        <v>0</v>
      </c>
      <c r="J347" s="633">
        <f t="shared" si="37"/>
        <v>0</v>
      </c>
      <c r="K347" s="633">
        <f t="shared" si="38"/>
        <v>0</v>
      </c>
      <c r="L347" s="1127"/>
      <c r="M347" s="1127"/>
      <c r="N347" s="1691">
        <f t="shared" si="33"/>
        <v>0</v>
      </c>
      <c r="O347" s="634">
        <f t="shared" si="34"/>
        <v>0</v>
      </c>
      <c r="P347" s="144"/>
      <c r="Q347" s="144"/>
      <c r="R347" s="144"/>
      <c r="S347" s="144"/>
    </row>
    <row r="348" spans="1:19" ht="14.25" customHeight="1">
      <c r="A348" s="630"/>
      <c r="B348" s="631"/>
      <c r="C348" s="1127"/>
      <c r="D348" s="632"/>
      <c r="E348" s="1127"/>
      <c r="F348" s="633">
        <f t="shared" si="35"/>
        <v>0</v>
      </c>
      <c r="G348" s="632"/>
      <c r="H348" s="1127"/>
      <c r="I348" s="633">
        <f t="shared" si="36"/>
        <v>0</v>
      </c>
      <c r="J348" s="633">
        <f t="shared" si="37"/>
        <v>0</v>
      </c>
      <c r="K348" s="633">
        <f t="shared" si="38"/>
        <v>0</v>
      </c>
      <c r="L348" s="1127"/>
      <c r="M348" s="1127"/>
      <c r="N348" s="1691">
        <f t="shared" si="33"/>
        <v>0</v>
      </c>
      <c r="O348" s="634">
        <f t="shared" si="34"/>
        <v>0</v>
      </c>
      <c r="P348" s="144"/>
      <c r="Q348" s="144"/>
      <c r="R348" s="144"/>
      <c r="S348" s="144"/>
    </row>
    <row r="349" spans="1:19" ht="14.25" customHeight="1">
      <c r="A349" s="630"/>
      <c r="B349" s="631"/>
      <c r="C349" s="1127"/>
      <c r="D349" s="632"/>
      <c r="E349" s="1127"/>
      <c r="F349" s="633">
        <f t="shared" si="35"/>
        <v>0</v>
      </c>
      <c r="G349" s="632"/>
      <c r="H349" s="1127"/>
      <c r="I349" s="633">
        <f t="shared" si="36"/>
        <v>0</v>
      </c>
      <c r="J349" s="633">
        <f t="shared" si="37"/>
        <v>0</v>
      </c>
      <c r="K349" s="633">
        <f t="shared" si="38"/>
        <v>0</v>
      </c>
      <c r="L349" s="1127"/>
      <c r="M349" s="1127"/>
      <c r="N349" s="1691">
        <f t="shared" si="33"/>
        <v>0</v>
      </c>
      <c r="O349" s="634">
        <f t="shared" si="34"/>
        <v>0</v>
      </c>
      <c r="P349" s="144"/>
      <c r="Q349" s="144"/>
      <c r="R349" s="144"/>
      <c r="S349" s="144"/>
    </row>
    <row r="350" spans="1:19" ht="14.25" customHeight="1">
      <c r="A350" s="630"/>
      <c r="B350" s="631"/>
      <c r="C350" s="1127"/>
      <c r="D350" s="632"/>
      <c r="E350" s="1127"/>
      <c r="F350" s="633">
        <f t="shared" si="35"/>
        <v>0</v>
      </c>
      <c r="G350" s="632"/>
      <c r="H350" s="1127"/>
      <c r="I350" s="633">
        <f t="shared" si="36"/>
        <v>0</v>
      </c>
      <c r="J350" s="633">
        <f t="shared" si="37"/>
        <v>0</v>
      </c>
      <c r="K350" s="633">
        <f t="shared" si="38"/>
        <v>0</v>
      </c>
      <c r="L350" s="1127"/>
      <c r="M350" s="1127"/>
      <c r="N350" s="1691">
        <f t="shared" si="33"/>
        <v>0</v>
      </c>
      <c r="O350" s="634">
        <f t="shared" si="34"/>
        <v>0</v>
      </c>
      <c r="P350" s="144"/>
      <c r="Q350" s="144"/>
      <c r="R350" s="144"/>
      <c r="S350" s="144"/>
    </row>
    <row r="351" spans="1:19" ht="14.25" customHeight="1">
      <c r="A351" s="630"/>
      <c r="B351" s="631"/>
      <c r="C351" s="1127"/>
      <c r="D351" s="632"/>
      <c r="E351" s="1127"/>
      <c r="F351" s="633">
        <f t="shared" si="35"/>
        <v>0</v>
      </c>
      <c r="G351" s="632"/>
      <c r="H351" s="1127"/>
      <c r="I351" s="633">
        <f t="shared" si="36"/>
        <v>0</v>
      </c>
      <c r="J351" s="633">
        <f t="shared" si="37"/>
        <v>0</v>
      </c>
      <c r="K351" s="633">
        <f t="shared" si="38"/>
        <v>0</v>
      </c>
      <c r="L351" s="1127"/>
      <c r="M351" s="1127"/>
      <c r="N351" s="1691">
        <f t="shared" si="33"/>
        <v>0</v>
      </c>
      <c r="O351" s="634">
        <f t="shared" si="34"/>
        <v>0</v>
      </c>
      <c r="P351" s="144"/>
      <c r="Q351" s="144"/>
      <c r="R351" s="144"/>
      <c r="S351" s="144"/>
    </row>
    <row r="352" spans="1:19" ht="14.25" customHeight="1">
      <c r="A352" s="630"/>
      <c r="B352" s="631"/>
      <c r="C352" s="1127"/>
      <c r="D352" s="632"/>
      <c r="E352" s="1127"/>
      <c r="F352" s="633">
        <f t="shared" si="35"/>
        <v>0</v>
      </c>
      <c r="G352" s="632"/>
      <c r="H352" s="1127"/>
      <c r="I352" s="633">
        <f t="shared" si="36"/>
        <v>0</v>
      </c>
      <c r="J352" s="633">
        <f t="shared" si="37"/>
        <v>0</v>
      </c>
      <c r="K352" s="633">
        <f t="shared" si="38"/>
        <v>0</v>
      </c>
      <c r="L352" s="1127"/>
      <c r="M352" s="1127"/>
      <c r="N352" s="1691">
        <f t="shared" si="33"/>
        <v>0</v>
      </c>
      <c r="O352" s="634">
        <f t="shared" si="34"/>
        <v>0</v>
      </c>
      <c r="P352" s="144"/>
      <c r="Q352" s="144"/>
      <c r="R352" s="144"/>
      <c r="S352" s="144"/>
    </row>
    <row r="353" spans="1:19" ht="14.25" customHeight="1">
      <c r="A353" s="630"/>
      <c r="B353" s="631"/>
      <c r="C353" s="1127"/>
      <c r="D353" s="632"/>
      <c r="E353" s="1127"/>
      <c r="F353" s="633">
        <f t="shared" si="35"/>
        <v>0</v>
      </c>
      <c r="G353" s="632"/>
      <c r="H353" s="1127"/>
      <c r="I353" s="633">
        <f t="shared" si="36"/>
        <v>0</v>
      </c>
      <c r="J353" s="633">
        <f t="shared" si="37"/>
        <v>0</v>
      </c>
      <c r="K353" s="633">
        <f t="shared" si="38"/>
        <v>0</v>
      </c>
      <c r="L353" s="1127"/>
      <c r="M353" s="1127"/>
      <c r="N353" s="1691">
        <f t="shared" si="33"/>
        <v>0</v>
      </c>
      <c r="O353" s="634">
        <f t="shared" si="34"/>
        <v>0</v>
      </c>
      <c r="P353" s="144"/>
      <c r="Q353" s="144"/>
      <c r="R353" s="144"/>
      <c r="S353" s="144"/>
    </row>
    <row r="354" spans="1:19" ht="14.25" customHeight="1">
      <c r="A354" s="630"/>
      <c r="B354" s="631"/>
      <c r="C354" s="1127"/>
      <c r="D354" s="632"/>
      <c r="E354" s="1127"/>
      <c r="F354" s="633">
        <f t="shared" si="35"/>
        <v>0</v>
      </c>
      <c r="G354" s="632"/>
      <c r="H354" s="1127"/>
      <c r="I354" s="633">
        <f t="shared" si="36"/>
        <v>0</v>
      </c>
      <c r="J354" s="633">
        <f t="shared" si="37"/>
        <v>0</v>
      </c>
      <c r="K354" s="633">
        <f t="shared" si="38"/>
        <v>0</v>
      </c>
      <c r="L354" s="1127"/>
      <c r="M354" s="1127"/>
      <c r="N354" s="1691">
        <f t="shared" si="33"/>
        <v>0</v>
      </c>
      <c r="O354" s="634">
        <f t="shared" si="34"/>
        <v>0</v>
      </c>
      <c r="P354" s="144"/>
      <c r="Q354" s="144"/>
      <c r="R354" s="144"/>
      <c r="S354" s="144"/>
    </row>
    <row r="355" spans="1:19" ht="14.25" customHeight="1">
      <c r="A355" s="630"/>
      <c r="B355" s="631"/>
      <c r="C355" s="1127"/>
      <c r="D355" s="632"/>
      <c r="E355" s="1127"/>
      <c r="F355" s="633">
        <f t="shared" si="35"/>
        <v>0</v>
      </c>
      <c r="G355" s="632"/>
      <c r="H355" s="1127"/>
      <c r="I355" s="633">
        <f t="shared" si="36"/>
        <v>0</v>
      </c>
      <c r="J355" s="633">
        <f t="shared" si="37"/>
        <v>0</v>
      </c>
      <c r="K355" s="633">
        <f t="shared" si="38"/>
        <v>0</v>
      </c>
      <c r="L355" s="1127"/>
      <c r="M355" s="1127"/>
      <c r="N355" s="1691">
        <f t="shared" si="33"/>
        <v>0</v>
      </c>
      <c r="O355" s="634">
        <f t="shared" si="34"/>
        <v>0</v>
      </c>
      <c r="P355" s="144"/>
      <c r="Q355" s="144"/>
      <c r="R355" s="144"/>
      <c r="S355" s="144"/>
    </row>
    <row r="356" spans="1:19" ht="14.25" customHeight="1">
      <c r="A356" s="630"/>
      <c r="B356" s="631"/>
      <c r="C356" s="1127"/>
      <c r="D356" s="632"/>
      <c r="E356" s="1127"/>
      <c r="F356" s="633">
        <f t="shared" si="35"/>
        <v>0</v>
      </c>
      <c r="G356" s="632"/>
      <c r="H356" s="1127"/>
      <c r="I356" s="633">
        <f t="shared" si="36"/>
        <v>0</v>
      </c>
      <c r="J356" s="633">
        <f t="shared" si="37"/>
        <v>0</v>
      </c>
      <c r="K356" s="633">
        <f t="shared" si="38"/>
        <v>0</v>
      </c>
      <c r="L356" s="1127"/>
      <c r="M356" s="1127"/>
      <c r="N356" s="1691">
        <f t="shared" si="33"/>
        <v>0</v>
      </c>
      <c r="O356" s="634">
        <f t="shared" si="34"/>
        <v>0</v>
      </c>
      <c r="P356" s="144"/>
      <c r="Q356" s="144"/>
      <c r="R356" s="144"/>
      <c r="S356" s="144"/>
    </row>
    <row r="357" spans="1:19" ht="14.25" customHeight="1">
      <c r="A357" s="630"/>
      <c r="B357" s="631"/>
      <c r="C357" s="1127"/>
      <c r="D357" s="632"/>
      <c r="E357" s="1127"/>
      <c r="F357" s="633">
        <f t="shared" si="35"/>
        <v>0</v>
      </c>
      <c r="G357" s="632"/>
      <c r="H357" s="1127"/>
      <c r="I357" s="633">
        <f t="shared" si="36"/>
        <v>0</v>
      </c>
      <c r="J357" s="633">
        <f t="shared" si="37"/>
        <v>0</v>
      </c>
      <c r="K357" s="633">
        <f t="shared" si="38"/>
        <v>0</v>
      </c>
      <c r="L357" s="1127"/>
      <c r="M357" s="1127"/>
      <c r="N357" s="1691">
        <f t="shared" si="33"/>
        <v>0</v>
      </c>
      <c r="O357" s="634">
        <f t="shared" si="34"/>
        <v>0</v>
      </c>
      <c r="P357" s="144"/>
      <c r="Q357" s="144"/>
      <c r="R357" s="144"/>
      <c r="S357" s="144"/>
    </row>
    <row r="358" spans="1:19" ht="14.25" customHeight="1">
      <c r="A358" s="630"/>
      <c r="B358" s="631"/>
      <c r="C358" s="1127"/>
      <c r="D358" s="632"/>
      <c r="E358" s="1127"/>
      <c r="F358" s="633">
        <f t="shared" si="35"/>
        <v>0</v>
      </c>
      <c r="G358" s="632"/>
      <c r="H358" s="1127"/>
      <c r="I358" s="633">
        <f t="shared" si="36"/>
        <v>0</v>
      </c>
      <c r="J358" s="633">
        <f t="shared" si="37"/>
        <v>0</v>
      </c>
      <c r="K358" s="633">
        <f t="shared" si="38"/>
        <v>0</v>
      </c>
      <c r="L358" s="1127"/>
      <c r="M358" s="1127"/>
      <c r="N358" s="1691">
        <f t="shared" si="33"/>
        <v>0</v>
      </c>
      <c r="O358" s="634">
        <f t="shared" si="34"/>
        <v>0</v>
      </c>
      <c r="P358" s="144"/>
      <c r="Q358" s="144"/>
      <c r="R358" s="144"/>
      <c r="S358" s="144"/>
    </row>
    <row r="359" spans="1:19" ht="14.25" customHeight="1">
      <c r="A359" s="630"/>
      <c r="B359" s="631"/>
      <c r="C359" s="1127"/>
      <c r="D359" s="632"/>
      <c r="E359" s="1127"/>
      <c r="F359" s="633">
        <f t="shared" si="35"/>
        <v>0</v>
      </c>
      <c r="G359" s="632"/>
      <c r="H359" s="1127"/>
      <c r="I359" s="633">
        <f t="shared" si="36"/>
        <v>0</v>
      </c>
      <c r="J359" s="633">
        <f t="shared" si="37"/>
        <v>0</v>
      </c>
      <c r="K359" s="633">
        <f t="shared" si="38"/>
        <v>0</v>
      </c>
      <c r="L359" s="1127"/>
      <c r="M359" s="1127"/>
      <c r="N359" s="1691">
        <f t="shared" si="33"/>
        <v>0</v>
      </c>
      <c r="O359" s="634">
        <f t="shared" si="34"/>
        <v>0</v>
      </c>
      <c r="P359" s="144"/>
      <c r="Q359" s="144"/>
      <c r="R359" s="144"/>
      <c r="S359" s="144"/>
    </row>
    <row r="360" spans="1:19" ht="14.25" customHeight="1">
      <c r="A360" s="630"/>
      <c r="B360" s="631"/>
      <c r="C360" s="1127"/>
      <c r="D360" s="632"/>
      <c r="E360" s="1127"/>
      <c r="F360" s="633">
        <f t="shared" si="35"/>
        <v>0</v>
      </c>
      <c r="G360" s="632"/>
      <c r="H360" s="1127"/>
      <c r="I360" s="633">
        <f t="shared" si="36"/>
        <v>0</v>
      </c>
      <c r="J360" s="633">
        <f t="shared" si="37"/>
        <v>0</v>
      </c>
      <c r="K360" s="633">
        <f t="shared" si="38"/>
        <v>0</v>
      </c>
      <c r="L360" s="1127"/>
      <c r="M360" s="1127"/>
      <c r="N360" s="1691">
        <f t="shared" si="33"/>
        <v>0</v>
      </c>
      <c r="O360" s="634">
        <f t="shared" si="34"/>
        <v>0</v>
      </c>
      <c r="P360" s="144"/>
      <c r="Q360" s="144"/>
      <c r="R360" s="144"/>
      <c r="S360" s="144"/>
    </row>
    <row r="361" spans="1:19" ht="14.25" customHeight="1">
      <c r="A361" s="630"/>
      <c r="B361" s="631"/>
      <c r="C361" s="1127"/>
      <c r="D361" s="632"/>
      <c r="E361" s="1127"/>
      <c r="F361" s="633">
        <f t="shared" si="35"/>
        <v>0</v>
      </c>
      <c r="G361" s="632"/>
      <c r="H361" s="1127"/>
      <c r="I361" s="633">
        <f t="shared" si="36"/>
        <v>0</v>
      </c>
      <c r="J361" s="633">
        <f t="shared" si="37"/>
        <v>0</v>
      </c>
      <c r="K361" s="633">
        <f t="shared" si="38"/>
        <v>0</v>
      </c>
      <c r="L361" s="1127"/>
      <c r="M361" s="1127"/>
      <c r="N361" s="1691">
        <f t="shared" si="33"/>
        <v>0</v>
      </c>
      <c r="O361" s="634">
        <f t="shared" si="34"/>
        <v>0</v>
      </c>
      <c r="P361" s="144"/>
      <c r="Q361" s="144"/>
      <c r="R361" s="144"/>
      <c r="S361" s="144"/>
    </row>
    <row r="362" spans="1:19" ht="14.25" customHeight="1">
      <c r="A362" s="630"/>
      <c r="B362" s="631"/>
      <c r="C362" s="1127"/>
      <c r="D362" s="632"/>
      <c r="E362" s="1127"/>
      <c r="F362" s="633">
        <f t="shared" si="35"/>
        <v>0</v>
      </c>
      <c r="G362" s="632"/>
      <c r="H362" s="1127"/>
      <c r="I362" s="633">
        <f t="shared" si="36"/>
        <v>0</v>
      </c>
      <c r="J362" s="633">
        <f t="shared" si="37"/>
        <v>0</v>
      </c>
      <c r="K362" s="633">
        <f t="shared" si="38"/>
        <v>0</v>
      </c>
      <c r="L362" s="1127"/>
      <c r="M362" s="1127"/>
      <c r="N362" s="1691">
        <f t="shared" si="33"/>
        <v>0</v>
      </c>
      <c r="O362" s="634">
        <f t="shared" si="34"/>
        <v>0</v>
      </c>
      <c r="P362" s="144"/>
      <c r="Q362" s="144"/>
      <c r="R362" s="144"/>
      <c r="S362" s="144"/>
    </row>
    <row r="363" spans="1:19" ht="14.25" customHeight="1">
      <c r="A363" s="630"/>
      <c r="B363" s="631"/>
      <c r="C363" s="1127"/>
      <c r="D363" s="632"/>
      <c r="E363" s="1127"/>
      <c r="F363" s="633">
        <f t="shared" si="35"/>
        <v>0</v>
      </c>
      <c r="G363" s="632"/>
      <c r="H363" s="1127"/>
      <c r="I363" s="633">
        <f t="shared" si="36"/>
        <v>0</v>
      </c>
      <c r="J363" s="633">
        <f t="shared" si="37"/>
        <v>0</v>
      </c>
      <c r="K363" s="633">
        <f t="shared" si="38"/>
        <v>0</v>
      </c>
      <c r="L363" s="1127"/>
      <c r="M363" s="1127"/>
      <c r="N363" s="1691">
        <f t="shared" si="33"/>
        <v>0</v>
      </c>
      <c r="O363" s="634">
        <f t="shared" si="34"/>
        <v>0</v>
      </c>
      <c r="P363" s="144"/>
      <c r="Q363" s="144"/>
      <c r="R363" s="144"/>
      <c r="S363" s="144"/>
    </row>
    <row r="364" spans="1:19" ht="14.25" customHeight="1">
      <c r="A364" s="630"/>
      <c r="B364" s="631"/>
      <c r="C364" s="1127"/>
      <c r="D364" s="632"/>
      <c r="E364" s="1127"/>
      <c r="F364" s="633">
        <f t="shared" si="35"/>
        <v>0</v>
      </c>
      <c r="G364" s="632"/>
      <c r="H364" s="1127"/>
      <c r="I364" s="633">
        <f t="shared" si="36"/>
        <v>0</v>
      </c>
      <c r="J364" s="633">
        <f t="shared" si="37"/>
        <v>0</v>
      </c>
      <c r="K364" s="633">
        <f t="shared" si="38"/>
        <v>0</v>
      </c>
      <c r="L364" s="1127"/>
      <c r="M364" s="1127"/>
      <c r="N364" s="1691">
        <f t="shared" si="33"/>
        <v>0</v>
      </c>
      <c r="O364" s="634">
        <f t="shared" si="34"/>
        <v>0</v>
      </c>
      <c r="P364" s="144"/>
      <c r="Q364" s="144"/>
      <c r="R364" s="144"/>
      <c r="S364" s="144"/>
    </row>
    <row r="365" spans="1:19" ht="14.25" customHeight="1">
      <c r="A365" s="630"/>
      <c r="B365" s="631"/>
      <c r="C365" s="1127"/>
      <c r="D365" s="632"/>
      <c r="E365" s="1127"/>
      <c r="F365" s="633">
        <f t="shared" si="35"/>
        <v>0</v>
      </c>
      <c r="G365" s="632"/>
      <c r="H365" s="1127"/>
      <c r="I365" s="633">
        <f t="shared" si="36"/>
        <v>0</v>
      </c>
      <c r="J365" s="633">
        <f t="shared" si="37"/>
        <v>0</v>
      </c>
      <c r="K365" s="633">
        <f t="shared" si="38"/>
        <v>0</v>
      </c>
      <c r="L365" s="1127"/>
      <c r="M365" s="1127"/>
      <c r="N365" s="1691">
        <f t="shared" si="33"/>
        <v>0</v>
      </c>
      <c r="O365" s="634">
        <f t="shared" si="34"/>
        <v>0</v>
      </c>
      <c r="P365" s="144"/>
      <c r="Q365" s="144"/>
      <c r="R365" s="144"/>
      <c r="S365" s="144"/>
    </row>
    <row r="366" spans="1:19" ht="14.25" customHeight="1">
      <c r="A366" s="630"/>
      <c r="B366" s="631"/>
      <c r="C366" s="1127"/>
      <c r="D366" s="632"/>
      <c r="E366" s="1127"/>
      <c r="F366" s="633">
        <f t="shared" si="35"/>
        <v>0</v>
      </c>
      <c r="G366" s="632"/>
      <c r="H366" s="1127"/>
      <c r="I366" s="633">
        <f t="shared" si="36"/>
        <v>0</v>
      </c>
      <c r="J366" s="633">
        <f t="shared" si="37"/>
        <v>0</v>
      </c>
      <c r="K366" s="633">
        <f t="shared" si="38"/>
        <v>0</v>
      </c>
      <c r="L366" s="1127"/>
      <c r="M366" s="1127"/>
      <c r="N366" s="1691">
        <f t="shared" si="33"/>
        <v>0</v>
      </c>
      <c r="O366" s="634">
        <f t="shared" si="34"/>
        <v>0</v>
      </c>
      <c r="P366" s="144"/>
      <c r="Q366" s="144"/>
      <c r="R366" s="144"/>
      <c r="S366" s="144"/>
    </row>
    <row r="367" spans="1:19" ht="14.25" customHeight="1">
      <c r="A367" s="630"/>
      <c r="B367" s="631"/>
      <c r="C367" s="1127"/>
      <c r="D367" s="632"/>
      <c r="E367" s="1127"/>
      <c r="F367" s="633">
        <f t="shared" si="35"/>
        <v>0</v>
      </c>
      <c r="G367" s="632"/>
      <c r="H367" s="1127"/>
      <c r="I367" s="633">
        <f t="shared" si="36"/>
        <v>0</v>
      </c>
      <c r="J367" s="633">
        <f t="shared" si="37"/>
        <v>0</v>
      </c>
      <c r="K367" s="633">
        <f t="shared" si="38"/>
        <v>0</v>
      </c>
      <c r="L367" s="1127"/>
      <c r="M367" s="1127"/>
      <c r="N367" s="1691">
        <f t="shared" si="33"/>
        <v>0</v>
      </c>
      <c r="O367" s="634">
        <f t="shared" si="34"/>
        <v>0</v>
      </c>
      <c r="P367" s="144"/>
      <c r="Q367" s="144"/>
      <c r="R367" s="144"/>
      <c r="S367" s="144"/>
    </row>
    <row r="368" spans="1:19" ht="14.25" customHeight="1">
      <c r="A368" s="630"/>
      <c r="B368" s="631"/>
      <c r="C368" s="1127"/>
      <c r="D368" s="632"/>
      <c r="E368" s="1127"/>
      <c r="F368" s="633">
        <f t="shared" si="35"/>
        <v>0</v>
      </c>
      <c r="G368" s="632"/>
      <c r="H368" s="1127"/>
      <c r="I368" s="633">
        <f t="shared" si="36"/>
        <v>0</v>
      </c>
      <c r="J368" s="633">
        <f t="shared" si="37"/>
        <v>0</v>
      </c>
      <c r="K368" s="633">
        <f t="shared" si="38"/>
        <v>0</v>
      </c>
      <c r="L368" s="1127"/>
      <c r="M368" s="1127"/>
      <c r="N368" s="1691">
        <f t="shared" si="33"/>
        <v>0</v>
      </c>
      <c r="O368" s="634">
        <f t="shared" si="34"/>
        <v>0</v>
      </c>
      <c r="P368" s="144"/>
      <c r="Q368" s="144"/>
      <c r="R368" s="144"/>
      <c r="S368" s="144"/>
    </row>
    <row r="369" spans="1:19" ht="14.25" customHeight="1">
      <c r="A369" s="630"/>
      <c r="B369" s="631"/>
      <c r="C369" s="1127"/>
      <c r="D369" s="632"/>
      <c r="E369" s="1127"/>
      <c r="F369" s="633">
        <f t="shared" si="35"/>
        <v>0</v>
      </c>
      <c r="G369" s="632"/>
      <c r="H369" s="1127"/>
      <c r="I369" s="633">
        <f t="shared" si="36"/>
        <v>0</v>
      </c>
      <c r="J369" s="633">
        <f t="shared" si="37"/>
        <v>0</v>
      </c>
      <c r="K369" s="633">
        <f t="shared" si="38"/>
        <v>0</v>
      </c>
      <c r="L369" s="1127"/>
      <c r="M369" s="1127"/>
      <c r="N369" s="1691">
        <f t="shared" si="33"/>
        <v>0</v>
      </c>
      <c r="O369" s="634">
        <f t="shared" si="34"/>
        <v>0</v>
      </c>
      <c r="P369" s="144"/>
      <c r="Q369" s="144"/>
      <c r="R369" s="144"/>
      <c r="S369" s="144"/>
    </row>
    <row r="370" spans="1:19" ht="14.25" customHeight="1">
      <c r="A370" s="630"/>
      <c r="B370" s="631"/>
      <c r="C370" s="1127"/>
      <c r="D370" s="632"/>
      <c r="E370" s="1127"/>
      <c r="F370" s="633">
        <f t="shared" si="35"/>
        <v>0</v>
      </c>
      <c r="G370" s="632"/>
      <c r="H370" s="1127"/>
      <c r="I370" s="633">
        <f t="shared" si="36"/>
        <v>0</v>
      </c>
      <c r="J370" s="633">
        <f t="shared" si="37"/>
        <v>0</v>
      </c>
      <c r="K370" s="633">
        <f t="shared" si="38"/>
        <v>0</v>
      </c>
      <c r="L370" s="1127"/>
      <c r="M370" s="1127"/>
      <c r="N370" s="1691">
        <f t="shared" si="33"/>
        <v>0</v>
      </c>
      <c r="O370" s="634">
        <f t="shared" si="34"/>
        <v>0</v>
      </c>
      <c r="P370" s="144"/>
      <c r="Q370" s="144"/>
      <c r="R370" s="144"/>
      <c r="S370" s="144"/>
    </row>
    <row r="371" spans="1:19" ht="14.25" customHeight="1">
      <c r="A371" s="630"/>
      <c r="B371" s="631"/>
      <c r="C371" s="1127"/>
      <c r="D371" s="632"/>
      <c r="E371" s="1127"/>
      <c r="F371" s="633">
        <f t="shared" si="35"/>
        <v>0</v>
      </c>
      <c r="G371" s="632"/>
      <c r="H371" s="1127"/>
      <c r="I371" s="633">
        <f t="shared" si="36"/>
        <v>0</v>
      </c>
      <c r="J371" s="633">
        <f t="shared" si="37"/>
        <v>0</v>
      </c>
      <c r="K371" s="633">
        <f t="shared" si="38"/>
        <v>0</v>
      </c>
      <c r="L371" s="1127"/>
      <c r="M371" s="1127"/>
      <c r="N371" s="1691">
        <f t="shared" si="33"/>
        <v>0</v>
      </c>
      <c r="O371" s="634">
        <f t="shared" si="34"/>
        <v>0</v>
      </c>
      <c r="P371" s="144"/>
      <c r="Q371" s="144"/>
      <c r="R371" s="144"/>
      <c r="S371" s="144"/>
    </row>
    <row r="372" spans="1:19" ht="14.25" customHeight="1">
      <c r="A372" s="630"/>
      <c r="B372" s="631"/>
      <c r="C372" s="1127"/>
      <c r="D372" s="632"/>
      <c r="E372" s="1127"/>
      <c r="F372" s="633">
        <f t="shared" si="35"/>
        <v>0</v>
      </c>
      <c r="G372" s="632"/>
      <c r="H372" s="1127"/>
      <c r="I372" s="633">
        <f t="shared" si="36"/>
        <v>0</v>
      </c>
      <c r="J372" s="633">
        <f t="shared" si="37"/>
        <v>0</v>
      </c>
      <c r="K372" s="633">
        <f t="shared" si="38"/>
        <v>0</v>
      </c>
      <c r="L372" s="1127"/>
      <c r="M372" s="1127"/>
      <c r="N372" s="1691">
        <f t="shared" si="33"/>
        <v>0</v>
      </c>
      <c r="O372" s="634">
        <f t="shared" si="34"/>
        <v>0</v>
      </c>
      <c r="P372" s="144"/>
      <c r="Q372" s="144"/>
      <c r="R372" s="144"/>
      <c r="S372" s="144"/>
    </row>
    <row r="373" spans="1:19" ht="14.25" customHeight="1">
      <c r="A373" s="630"/>
      <c r="B373" s="631"/>
      <c r="C373" s="1127"/>
      <c r="D373" s="632"/>
      <c r="E373" s="1127"/>
      <c r="F373" s="633">
        <f t="shared" si="35"/>
        <v>0</v>
      </c>
      <c r="G373" s="632"/>
      <c r="H373" s="1127"/>
      <c r="I373" s="633">
        <f t="shared" si="36"/>
        <v>0</v>
      </c>
      <c r="J373" s="633">
        <f t="shared" si="37"/>
        <v>0</v>
      </c>
      <c r="K373" s="633">
        <f t="shared" si="38"/>
        <v>0</v>
      </c>
      <c r="L373" s="1127"/>
      <c r="M373" s="1127"/>
      <c r="N373" s="1691">
        <f t="shared" si="33"/>
        <v>0</v>
      </c>
      <c r="O373" s="634">
        <f t="shared" si="34"/>
        <v>0</v>
      </c>
      <c r="P373" s="144"/>
      <c r="Q373" s="144"/>
      <c r="R373" s="144"/>
      <c r="S373" s="144"/>
    </row>
    <row r="374" spans="1:19" ht="14.25" customHeight="1">
      <c r="A374" s="630"/>
      <c r="B374" s="631"/>
      <c r="C374" s="1127"/>
      <c r="D374" s="632"/>
      <c r="E374" s="1127"/>
      <c r="F374" s="633">
        <f t="shared" si="35"/>
        <v>0</v>
      </c>
      <c r="G374" s="632"/>
      <c r="H374" s="1127"/>
      <c r="I374" s="633">
        <f t="shared" si="36"/>
        <v>0</v>
      </c>
      <c r="J374" s="633">
        <f t="shared" si="37"/>
        <v>0</v>
      </c>
      <c r="K374" s="633">
        <f t="shared" si="38"/>
        <v>0</v>
      </c>
      <c r="L374" s="1127"/>
      <c r="M374" s="1127"/>
      <c r="N374" s="1691">
        <f t="shared" si="33"/>
        <v>0</v>
      </c>
      <c r="O374" s="634">
        <f t="shared" si="34"/>
        <v>0</v>
      </c>
      <c r="P374" s="144"/>
      <c r="Q374" s="144"/>
      <c r="R374" s="144"/>
      <c r="S374" s="144"/>
    </row>
    <row r="375" spans="1:19" ht="14.25" customHeight="1">
      <c r="A375" s="630"/>
      <c r="B375" s="631"/>
      <c r="C375" s="1127"/>
      <c r="D375" s="632"/>
      <c r="E375" s="1127"/>
      <c r="F375" s="633">
        <f t="shared" si="35"/>
        <v>0</v>
      </c>
      <c r="G375" s="632"/>
      <c r="H375" s="1127"/>
      <c r="I375" s="633">
        <f t="shared" si="36"/>
        <v>0</v>
      </c>
      <c r="J375" s="633">
        <f t="shared" si="37"/>
        <v>0</v>
      </c>
      <c r="K375" s="633">
        <f t="shared" si="38"/>
        <v>0</v>
      </c>
      <c r="L375" s="1127"/>
      <c r="M375" s="1127"/>
      <c r="N375" s="1691">
        <f t="shared" si="33"/>
        <v>0</v>
      </c>
      <c r="O375" s="634">
        <f t="shared" si="34"/>
        <v>0</v>
      </c>
      <c r="P375" s="144"/>
      <c r="Q375" s="144"/>
      <c r="R375" s="144"/>
      <c r="S375" s="144"/>
    </row>
    <row r="376" spans="1:19" ht="14.25" customHeight="1">
      <c r="A376" s="630"/>
      <c r="B376" s="631"/>
      <c r="C376" s="1127"/>
      <c r="D376" s="632"/>
      <c r="E376" s="1127"/>
      <c r="F376" s="633">
        <f t="shared" si="35"/>
        <v>0</v>
      </c>
      <c r="G376" s="632"/>
      <c r="H376" s="1127"/>
      <c r="I376" s="633">
        <f t="shared" si="36"/>
        <v>0</v>
      </c>
      <c r="J376" s="633">
        <f t="shared" si="37"/>
        <v>0</v>
      </c>
      <c r="K376" s="633">
        <f t="shared" si="38"/>
        <v>0</v>
      </c>
      <c r="L376" s="1127"/>
      <c r="M376" s="1127"/>
      <c r="N376" s="1691">
        <f t="shared" si="33"/>
        <v>0</v>
      </c>
      <c r="O376" s="634">
        <f t="shared" si="34"/>
        <v>0</v>
      </c>
      <c r="P376" s="144"/>
      <c r="Q376" s="144"/>
      <c r="R376" s="144"/>
      <c r="S376" s="144"/>
    </row>
    <row r="377" spans="1:19" ht="14.25" customHeight="1">
      <c r="A377" s="630"/>
      <c r="B377" s="631"/>
      <c r="C377" s="1127"/>
      <c r="D377" s="632"/>
      <c r="E377" s="1127"/>
      <c r="F377" s="633">
        <f t="shared" si="35"/>
        <v>0</v>
      </c>
      <c r="G377" s="632"/>
      <c r="H377" s="1127"/>
      <c r="I377" s="633">
        <f t="shared" si="36"/>
        <v>0</v>
      </c>
      <c r="J377" s="633">
        <f t="shared" si="37"/>
        <v>0</v>
      </c>
      <c r="K377" s="633">
        <f t="shared" si="38"/>
        <v>0</v>
      </c>
      <c r="L377" s="1127"/>
      <c r="M377" s="1127"/>
      <c r="N377" s="1691">
        <f t="shared" si="33"/>
        <v>0</v>
      </c>
      <c r="O377" s="634">
        <f t="shared" si="34"/>
        <v>0</v>
      </c>
      <c r="P377" s="144"/>
      <c r="Q377" s="144"/>
      <c r="R377" s="144"/>
      <c r="S377" s="144"/>
    </row>
    <row r="378" spans="1:19" ht="14.25" customHeight="1">
      <c r="A378" s="630"/>
      <c r="B378" s="631"/>
      <c r="C378" s="1127"/>
      <c r="D378" s="632"/>
      <c r="E378" s="1127"/>
      <c r="F378" s="633">
        <f t="shared" si="35"/>
        <v>0</v>
      </c>
      <c r="G378" s="632"/>
      <c r="H378" s="1127"/>
      <c r="I378" s="633">
        <f t="shared" si="36"/>
        <v>0</v>
      </c>
      <c r="J378" s="633">
        <f t="shared" si="37"/>
        <v>0</v>
      </c>
      <c r="K378" s="633">
        <f t="shared" si="38"/>
        <v>0</v>
      </c>
      <c r="L378" s="1127"/>
      <c r="M378" s="1127"/>
      <c r="N378" s="1691">
        <f t="shared" si="33"/>
        <v>0</v>
      </c>
      <c r="O378" s="634">
        <f t="shared" si="34"/>
        <v>0</v>
      </c>
      <c r="P378" s="144"/>
      <c r="Q378" s="144"/>
      <c r="R378" s="144"/>
      <c r="S378" s="144"/>
    </row>
    <row r="379" spans="1:19" ht="14.25" customHeight="1">
      <c r="A379" s="630"/>
      <c r="B379" s="631"/>
      <c r="C379" s="1127"/>
      <c r="D379" s="632"/>
      <c r="E379" s="1127"/>
      <c r="F379" s="633">
        <f t="shared" si="35"/>
        <v>0</v>
      </c>
      <c r="G379" s="632"/>
      <c r="H379" s="1127"/>
      <c r="I379" s="633">
        <f t="shared" si="36"/>
        <v>0</v>
      </c>
      <c r="J379" s="633">
        <f t="shared" si="37"/>
        <v>0</v>
      </c>
      <c r="K379" s="633">
        <f t="shared" si="38"/>
        <v>0</v>
      </c>
      <c r="L379" s="1127"/>
      <c r="M379" s="1127"/>
      <c r="N379" s="1691">
        <f t="shared" si="33"/>
        <v>0</v>
      </c>
      <c r="O379" s="634">
        <f t="shared" si="34"/>
        <v>0</v>
      </c>
      <c r="P379" s="144"/>
      <c r="Q379" s="144"/>
      <c r="R379" s="144"/>
      <c r="S379" s="144"/>
    </row>
    <row r="380" spans="1:19" ht="14.25" customHeight="1">
      <c r="A380" s="630"/>
      <c r="B380" s="631"/>
      <c r="C380" s="1127"/>
      <c r="D380" s="632"/>
      <c r="E380" s="1127"/>
      <c r="F380" s="633">
        <f t="shared" si="35"/>
        <v>0</v>
      </c>
      <c r="G380" s="632"/>
      <c r="H380" s="1127"/>
      <c r="I380" s="633">
        <f t="shared" si="36"/>
        <v>0</v>
      </c>
      <c r="J380" s="633">
        <f t="shared" si="37"/>
        <v>0</v>
      </c>
      <c r="K380" s="633">
        <f t="shared" si="38"/>
        <v>0</v>
      </c>
      <c r="L380" s="1127"/>
      <c r="M380" s="1127"/>
      <c r="N380" s="1691">
        <f t="shared" si="33"/>
        <v>0</v>
      </c>
      <c r="O380" s="634">
        <f t="shared" si="34"/>
        <v>0</v>
      </c>
      <c r="P380" s="144"/>
      <c r="Q380" s="144"/>
      <c r="R380" s="144"/>
      <c r="S380" s="144"/>
    </row>
    <row r="381" spans="1:19" ht="14.25" customHeight="1">
      <c r="A381" s="630"/>
      <c r="B381" s="631"/>
      <c r="C381" s="1127"/>
      <c r="D381" s="632"/>
      <c r="E381" s="1127"/>
      <c r="F381" s="633">
        <f t="shared" si="35"/>
        <v>0</v>
      </c>
      <c r="G381" s="632"/>
      <c r="H381" s="1127"/>
      <c r="I381" s="633">
        <f t="shared" si="36"/>
        <v>0</v>
      </c>
      <c r="J381" s="633">
        <f t="shared" si="37"/>
        <v>0</v>
      </c>
      <c r="K381" s="633">
        <f t="shared" si="38"/>
        <v>0</v>
      </c>
      <c r="L381" s="1127"/>
      <c r="M381" s="1127"/>
      <c r="N381" s="1691">
        <f t="shared" si="33"/>
        <v>0</v>
      </c>
      <c r="O381" s="634">
        <f t="shared" si="34"/>
        <v>0</v>
      </c>
      <c r="P381" s="144"/>
      <c r="Q381" s="144"/>
      <c r="R381" s="144"/>
      <c r="S381" s="144"/>
    </row>
    <row r="382" spans="1:19" ht="14.25" customHeight="1">
      <c r="A382" s="630"/>
      <c r="B382" s="631"/>
      <c r="C382" s="1127"/>
      <c r="D382" s="632"/>
      <c r="E382" s="1127"/>
      <c r="F382" s="633">
        <f t="shared" si="35"/>
        <v>0</v>
      </c>
      <c r="G382" s="632"/>
      <c r="H382" s="1127"/>
      <c r="I382" s="633">
        <f t="shared" si="36"/>
        <v>0</v>
      </c>
      <c r="J382" s="633">
        <f t="shared" si="37"/>
        <v>0</v>
      </c>
      <c r="K382" s="633">
        <f t="shared" si="38"/>
        <v>0</v>
      </c>
      <c r="L382" s="1127"/>
      <c r="M382" s="1127"/>
      <c r="N382" s="1691">
        <f t="shared" si="33"/>
        <v>0</v>
      </c>
      <c r="O382" s="634">
        <f t="shared" si="34"/>
        <v>0</v>
      </c>
      <c r="P382" s="144"/>
      <c r="Q382" s="144"/>
      <c r="R382" s="144"/>
      <c r="S382" s="144"/>
    </row>
    <row r="383" spans="1:19" ht="14.25" customHeight="1">
      <c r="A383" s="630"/>
      <c r="B383" s="631"/>
      <c r="C383" s="1127"/>
      <c r="D383" s="632"/>
      <c r="E383" s="1127"/>
      <c r="F383" s="633">
        <f t="shared" si="35"/>
        <v>0</v>
      </c>
      <c r="G383" s="632"/>
      <c r="H383" s="1127"/>
      <c r="I383" s="633">
        <f t="shared" si="36"/>
        <v>0</v>
      </c>
      <c r="J383" s="633">
        <f t="shared" si="37"/>
        <v>0</v>
      </c>
      <c r="K383" s="633">
        <f t="shared" si="38"/>
        <v>0</v>
      </c>
      <c r="L383" s="1127"/>
      <c r="M383" s="1127"/>
      <c r="N383" s="1691">
        <f t="shared" si="33"/>
        <v>0</v>
      </c>
      <c r="O383" s="634">
        <f t="shared" si="34"/>
        <v>0</v>
      </c>
      <c r="P383" s="144"/>
      <c r="Q383" s="144"/>
      <c r="R383" s="144"/>
      <c r="S383" s="144"/>
    </row>
    <row r="384" spans="1:19" ht="14.25" customHeight="1">
      <c r="A384" s="630"/>
      <c r="B384" s="631"/>
      <c r="C384" s="1127"/>
      <c r="D384" s="632"/>
      <c r="E384" s="1127"/>
      <c r="F384" s="633">
        <f t="shared" si="35"/>
        <v>0</v>
      </c>
      <c r="G384" s="632"/>
      <c r="H384" s="1127"/>
      <c r="I384" s="633">
        <f t="shared" si="36"/>
        <v>0</v>
      </c>
      <c r="J384" s="633">
        <f t="shared" si="37"/>
        <v>0</v>
      </c>
      <c r="K384" s="633">
        <f t="shared" si="38"/>
        <v>0</v>
      </c>
      <c r="L384" s="1127"/>
      <c r="M384" s="1127"/>
      <c r="N384" s="1691">
        <f t="shared" si="33"/>
        <v>0</v>
      </c>
      <c r="O384" s="634">
        <f t="shared" si="34"/>
        <v>0</v>
      </c>
      <c r="P384" s="144"/>
      <c r="Q384" s="144"/>
      <c r="R384" s="144"/>
      <c r="S384" s="144"/>
    </row>
    <row r="385" spans="1:19" ht="14.25" customHeight="1">
      <c r="A385" s="630"/>
      <c r="B385" s="631"/>
      <c r="C385" s="1127"/>
      <c r="D385" s="632"/>
      <c r="E385" s="1127"/>
      <c r="F385" s="633">
        <f t="shared" si="35"/>
        <v>0</v>
      </c>
      <c r="G385" s="632"/>
      <c r="H385" s="1127"/>
      <c r="I385" s="633">
        <f t="shared" si="36"/>
        <v>0</v>
      </c>
      <c r="J385" s="633">
        <f t="shared" si="37"/>
        <v>0</v>
      </c>
      <c r="K385" s="633">
        <f t="shared" si="38"/>
        <v>0</v>
      </c>
      <c r="L385" s="1127"/>
      <c r="M385" s="1127"/>
      <c r="N385" s="1691">
        <f t="shared" si="33"/>
        <v>0</v>
      </c>
      <c r="O385" s="634">
        <f t="shared" si="34"/>
        <v>0</v>
      </c>
      <c r="P385" s="144"/>
      <c r="Q385" s="144"/>
      <c r="R385" s="144"/>
      <c r="S385" s="144"/>
    </row>
    <row r="386" spans="1:19" ht="14.25" customHeight="1">
      <c r="A386" s="630"/>
      <c r="B386" s="631"/>
      <c r="C386" s="1127"/>
      <c r="D386" s="632"/>
      <c r="E386" s="1127"/>
      <c r="F386" s="633">
        <f t="shared" si="35"/>
        <v>0</v>
      </c>
      <c r="G386" s="632"/>
      <c r="H386" s="1127"/>
      <c r="I386" s="633">
        <f t="shared" si="36"/>
        <v>0</v>
      </c>
      <c r="J386" s="633">
        <f t="shared" si="37"/>
        <v>0</v>
      </c>
      <c r="K386" s="633">
        <f t="shared" si="38"/>
        <v>0</v>
      </c>
      <c r="L386" s="1127"/>
      <c r="M386" s="1127"/>
      <c r="N386" s="1691">
        <f t="shared" si="33"/>
        <v>0</v>
      </c>
      <c r="O386" s="634">
        <f t="shared" si="34"/>
        <v>0</v>
      </c>
      <c r="P386" s="144"/>
      <c r="Q386" s="144"/>
      <c r="R386" s="144"/>
      <c r="S386" s="144"/>
    </row>
    <row r="387" spans="1:19" ht="14.25" customHeight="1">
      <c r="A387" s="630"/>
      <c r="B387" s="631"/>
      <c r="C387" s="1127"/>
      <c r="D387" s="632"/>
      <c r="E387" s="1127"/>
      <c r="F387" s="633">
        <f t="shared" si="35"/>
        <v>0</v>
      </c>
      <c r="G387" s="632"/>
      <c r="H387" s="1127"/>
      <c r="I387" s="633">
        <f t="shared" si="36"/>
        <v>0</v>
      </c>
      <c r="J387" s="633">
        <f t="shared" si="37"/>
        <v>0</v>
      </c>
      <c r="K387" s="633">
        <f t="shared" si="38"/>
        <v>0</v>
      </c>
      <c r="L387" s="1127"/>
      <c r="M387" s="1127"/>
      <c r="N387" s="1691">
        <f t="shared" si="33"/>
        <v>0</v>
      </c>
      <c r="O387" s="634">
        <f t="shared" si="34"/>
        <v>0</v>
      </c>
      <c r="P387" s="144"/>
      <c r="Q387" s="144"/>
      <c r="R387" s="144"/>
      <c r="S387" s="144"/>
    </row>
    <row r="388" spans="1:19" ht="14.25" customHeight="1">
      <c r="A388" s="630"/>
      <c r="B388" s="631"/>
      <c r="C388" s="1127"/>
      <c r="D388" s="632"/>
      <c r="E388" s="1127"/>
      <c r="F388" s="633">
        <f t="shared" si="35"/>
        <v>0</v>
      </c>
      <c r="G388" s="632"/>
      <c r="H388" s="1127"/>
      <c r="I388" s="633">
        <f t="shared" si="36"/>
        <v>0</v>
      </c>
      <c r="J388" s="633">
        <f t="shared" si="37"/>
        <v>0</v>
      </c>
      <c r="K388" s="633">
        <f t="shared" si="38"/>
        <v>0</v>
      </c>
      <c r="L388" s="1127"/>
      <c r="M388" s="1127"/>
      <c r="N388" s="1691">
        <f t="shared" si="33"/>
        <v>0</v>
      </c>
      <c r="O388" s="634">
        <f t="shared" si="34"/>
        <v>0</v>
      </c>
      <c r="P388" s="144"/>
      <c r="Q388" s="144"/>
      <c r="R388" s="144"/>
      <c r="S388" s="144"/>
    </row>
    <row r="389" spans="1:19" ht="14.25" customHeight="1">
      <c r="A389" s="630"/>
      <c r="B389" s="631"/>
      <c r="C389" s="1127"/>
      <c r="D389" s="632"/>
      <c r="E389" s="1127"/>
      <c r="F389" s="633">
        <f t="shared" si="35"/>
        <v>0</v>
      </c>
      <c r="G389" s="632"/>
      <c r="H389" s="1127"/>
      <c r="I389" s="633">
        <f t="shared" si="36"/>
        <v>0</v>
      </c>
      <c r="J389" s="633">
        <f t="shared" si="37"/>
        <v>0</v>
      </c>
      <c r="K389" s="633">
        <f t="shared" si="38"/>
        <v>0</v>
      </c>
      <c r="L389" s="1127"/>
      <c r="M389" s="1127"/>
      <c r="N389" s="1691">
        <f t="shared" si="33"/>
        <v>0</v>
      </c>
      <c r="O389" s="634">
        <f t="shared" si="34"/>
        <v>0</v>
      </c>
      <c r="P389" s="144"/>
      <c r="Q389" s="144"/>
      <c r="R389" s="144"/>
      <c r="S389" s="144"/>
    </row>
    <row r="390" spans="1:19" ht="14.25" customHeight="1">
      <c r="A390" s="630"/>
      <c r="B390" s="631"/>
      <c r="C390" s="1127"/>
      <c r="D390" s="632"/>
      <c r="E390" s="1127"/>
      <c r="F390" s="633">
        <f t="shared" si="35"/>
        <v>0</v>
      </c>
      <c r="G390" s="632"/>
      <c r="H390" s="1127"/>
      <c r="I390" s="633">
        <f t="shared" si="36"/>
        <v>0</v>
      </c>
      <c r="J390" s="633">
        <f t="shared" si="37"/>
        <v>0</v>
      </c>
      <c r="K390" s="633">
        <f t="shared" si="38"/>
        <v>0</v>
      </c>
      <c r="L390" s="1127"/>
      <c r="M390" s="1127"/>
      <c r="N390" s="1691">
        <f t="shared" si="33"/>
        <v>0</v>
      </c>
      <c r="O390" s="634">
        <f t="shared" si="34"/>
        <v>0</v>
      </c>
      <c r="P390" s="144"/>
      <c r="Q390" s="144"/>
      <c r="R390" s="144"/>
      <c r="S390" s="144"/>
    </row>
    <row r="391" spans="1:19" ht="14.25" customHeight="1">
      <c r="A391" s="630"/>
      <c r="B391" s="631"/>
      <c r="C391" s="1127"/>
      <c r="D391" s="632"/>
      <c r="E391" s="1127"/>
      <c r="F391" s="633">
        <f t="shared" si="35"/>
        <v>0</v>
      </c>
      <c r="G391" s="632"/>
      <c r="H391" s="1127"/>
      <c r="I391" s="633">
        <f t="shared" si="36"/>
        <v>0</v>
      </c>
      <c r="J391" s="633">
        <f t="shared" si="37"/>
        <v>0</v>
      </c>
      <c r="K391" s="633">
        <f t="shared" si="38"/>
        <v>0</v>
      </c>
      <c r="L391" s="1127"/>
      <c r="M391" s="1127"/>
      <c r="N391" s="1691">
        <f t="shared" si="33"/>
        <v>0</v>
      </c>
      <c r="O391" s="634">
        <f t="shared" si="34"/>
        <v>0</v>
      </c>
      <c r="P391" s="144"/>
      <c r="Q391" s="144"/>
      <c r="R391" s="144"/>
      <c r="S391" s="144"/>
    </row>
    <row r="392" spans="1:19" ht="14.25" customHeight="1">
      <c r="A392" s="630"/>
      <c r="B392" s="631"/>
      <c r="C392" s="1127"/>
      <c r="D392" s="632"/>
      <c r="E392" s="1127"/>
      <c r="F392" s="633">
        <f t="shared" si="35"/>
        <v>0</v>
      </c>
      <c r="G392" s="632"/>
      <c r="H392" s="1127"/>
      <c r="I392" s="633">
        <f t="shared" si="36"/>
        <v>0</v>
      </c>
      <c r="J392" s="633">
        <f t="shared" si="37"/>
        <v>0</v>
      </c>
      <c r="K392" s="633">
        <f t="shared" si="38"/>
        <v>0</v>
      </c>
      <c r="L392" s="1127"/>
      <c r="M392" s="1127"/>
      <c r="N392" s="1691">
        <f t="shared" si="33"/>
        <v>0</v>
      </c>
      <c r="O392" s="634">
        <f t="shared" si="34"/>
        <v>0</v>
      </c>
      <c r="P392" s="144"/>
      <c r="Q392" s="144"/>
      <c r="R392" s="144"/>
      <c r="S392" s="144"/>
    </row>
    <row r="393" spans="1:19" ht="14.25" customHeight="1">
      <c r="A393" s="630"/>
      <c r="B393" s="631"/>
      <c r="C393" s="1127"/>
      <c r="D393" s="632"/>
      <c r="E393" s="1127"/>
      <c r="F393" s="633">
        <f t="shared" si="35"/>
        <v>0</v>
      </c>
      <c r="G393" s="632"/>
      <c r="H393" s="1127"/>
      <c r="I393" s="633">
        <f t="shared" si="36"/>
        <v>0</v>
      </c>
      <c r="J393" s="633">
        <f t="shared" si="37"/>
        <v>0</v>
      </c>
      <c r="K393" s="633">
        <f t="shared" si="38"/>
        <v>0</v>
      </c>
      <c r="L393" s="1127"/>
      <c r="M393" s="1127"/>
      <c r="N393" s="1691">
        <f t="shared" si="33"/>
        <v>0</v>
      </c>
      <c r="O393" s="634">
        <f t="shared" si="34"/>
        <v>0</v>
      </c>
      <c r="P393" s="144"/>
      <c r="Q393" s="144"/>
      <c r="R393" s="144"/>
      <c r="S393" s="144"/>
    </row>
    <row r="394" spans="1:19" ht="14.25" customHeight="1">
      <c r="A394" s="630"/>
      <c r="B394" s="631"/>
      <c r="C394" s="1127"/>
      <c r="D394" s="632"/>
      <c r="E394" s="1127"/>
      <c r="F394" s="633">
        <f t="shared" si="35"/>
        <v>0</v>
      </c>
      <c r="G394" s="632"/>
      <c r="H394" s="1127"/>
      <c r="I394" s="633">
        <f t="shared" si="36"/>
        <v>0</v>
      </c>
      <c r="J394" s="633">
        <f t="shared" si="37"/>
        <v>0</v>
      </c>
      <c r="K394" s="633">
        <f t="shared" si="38"/>
        <v>0</v>
      </c>
      <c r="L394" s="1127"/>
      <c r="M394" s="1127"/>
      <c r="N394" s="1691">
        <f t="shared" ref="N394:N457" si="39">IF(M394&lt;&gt;0,ROUND(B394*K394,2)+M394,IF(ABS(ROUND(K394*B394,2)-L394)&lt;3,L394,MIN(ROUND(K394*B394,2),L394)))</f>
        <v>0</v>
      </c>
      <c r="O394" s="634">
        <f t="shared" ref="O394:O457" si="40">IF(ISERROR(L394-N394),"",IF(ABS(L394-N394)&lt;3,0,L394-N394))</f>
        <v>0</v>
      </c>
      <c r="P394" s="144"/>
      <c r="Q394" s="144"/>
      <c r="R394" s="144"/>
      <c r="S394" s="144"/>
    </row>
    <row r="395" spans="1:19" ht="14.25" customHeight="1">
      <c r="A395" s="630"/>
      <c r="B395" s="631"/>
      <c r="C395" s="1127"/>
      <c r="D395" s="632"/>
      <c r="E395" s="1127"/>
      <c r="F395" s="633">
        <f t="shared" ref="F395:F458" si="41">E395*(12-MONTH(D395))/12</f>
        <v>0</v>
      </c>
      <c r="G395" s="632"/>
      <c r="H395" s="1127"/>
      <c r="I395" s="633">
        <f t="shared" ref="I395:I458" si="42">H395*(12-MONTH(G395))/12</f>
        <v>0</v>
      </c>
      <c r="J395" s="633">
        <f t="shared" ref="J395:J458" si="43">C395+E395-H395</f>
        <v>0</v>
      </c>
      <c r="K395" s="633">
        <f t="shared" ref="K395:K458" si="44">C395+F395-I395</f>
        <v>0</v>
      </c>
      <c r="L395" s="1127"/>
      <c r="M395" s="1127"/>
      <c r="N395" s="1691">
        <f t="shared" si="39"/>
        <v>0</v>
      </c>
      <c r="O395" s="634">
        <f t="shared" si="40"/>
        <v>0</v>
      </c>
      <c r="P395" s="144"/>
      <c r="Q395" s="144"/>
      <c r="R395" s="144"/>
      <c r="S395" s="144"/>
    </row>
    <row r="396" spans="1:19" ht="14.25" customHeight="1">
      <c r="A396" s="630"/>
      <c r="B396" s="631"/>
      <c r="C396" s="1127"/>
      <c r="D396" s="632"/>
      <c r="E396" s="1127"/>
      <c r="F396" s="633">
        <f t="shared" si="41"/>
        <v>0</v>
      </c>
      <c r="G396" s="632"/>
      <c r="H396" s="1127"/>
      <c r="I396" s="633">
        <f t="shared" si="42"/>
        <v>0</v>
      </c>
      <c r="J396" s="633">
        <f t="shared" si="43"/>
        <v>0</v>
      </c>
      <c r="K396" s="633">
        <f t="shared" si="44"/>
        <v>0</v>
      </c>
      <c r="L396" s="1127"/>
      <c r="M396" s="1127"/>
      <c r="N396" s="1691">
        <f t="shared" si="39"/>
        <v>0</v>
      </c>
      <c r="O396" s="634">
        <f t="shared" si="40"/>
        <v>0</v>
      </c>
      <c r="P396" s="144"/>
      <c r="Q396" s="144"/>
      <c r="R396" s="144"/>
      <c r="S396" s="144"/>
    </row>
    <row r="397" spans="1:19" ht="14.25" customHeight="1">
      <c r="A397" s="630"/>
      <c r="B397" s="631"/>
      <c r="C397" s="1127"/>
      <c r="D397" s="632"/>
      <c r="E397" s="1127"/>
      <c r="F397" s="633">
        <f t="shared" si="41"/>
        <v>0</v>
      </c>
      <c r="G397" s="632"/>
      <c r="H397" s="1127"/>
      <c r="I397" s="633">
        <f t="shared" si="42"/>
        <v>0</v>
      </c>
      <c r="J397" s="633">
        <f t="shared" si="43"/>
        <v>0</v>
      </c>
      <c r="K397" s="633">
        <f t="shared" si="44"/>
        <v>0</v>
      </c>
      <c r="L397" s="1127"/>
      <c r="M397" s="1127"/>
      <c r="N397" s="1691">
        <f t="shared" si="39"/>
        <v>0</v>
      </c>
      <c r="O397" s="634">
        <f t="shared" si="40"/>
        <v>0</v>
      </c>
      <c r="P397" s="144"/>
      <c r="Q397" s="144"/>
      <c r="R397" s="144"/>
      <c r="S397" s="144"/>
    </row>
    <row r="398" spans="1:19" ht="14.25" customHeight="1">
      <c r="A398" s="630"/>
      <c r="B398" s="631"/>
      <c r="C398" s="1127"/>
      <c r="D398" s="632"/>
      <c r="E398" s="1127"/>
      <c r="F398" s="633">
        <f t="shared" si="41"/>
        <v>0</v>
      </c>
      <c r="G398" s="632"/>
      <c r="H398" s="1127"/>
      <c r="I398" s="633">
        <f t="shared" si="42"/>
        <v>0</v>
      </c>
      <c r="J398" s="633">
        <f t="shared" si="43"/>
        <v>0</v>
      </c>
      <c r="K398" s="633">
        <f t="shared" si="44"/>
        <v>0</v>
      </c>
      <c r="L398" s="1127"/>
      <c r="M398" s="1127"/>
      <c r="N398" s="1691">
        <f t="shared" si="39"/>
        <v>0</v>
      </c>
      <c r="O398" s="634">
        <f t="shared" si="40"/>
        <v>0</v>
      </c>
      <c r="P398" s="144"/>
      <c r="Q398" s="144"/>
      <c r="R398" s="144"/>
      <c r="S398" s="144"/>
    </row>
    <row r="399" spans="1:19" ht="14.25" customHeight="1">
      <c r="A399" s="630"/>
      <c r="B399" s="631"/>
      <c r="C399" s="1127"/>
      <c r="D399" s="632"/>
      <c r="E399" s="1127"/>
      <c r="F399" s="633">
        <f t="shared" si="41"/>
        <v>0</v>
      </c>
      <c r="G399" s="632"/>
      <c r="H399" s="1127"/>
      <c r="I399" s="633">
        <f t="shared" si="42"/>
        <v>0</v>
      </c>
      <c r="J399" s="633">
        <f t="shared" si="43"/>
        <v>0</v>
      </c>
      <c r="K399" s="633">
        <f t="shared" si="44"/>
        <v>0</v>
      </c>
      <c r="L399" s="1127"/>
      <c r="M399" s="1127"/>
      <c r="N399" s="1691">
        <f t="shared" si="39"/>
        <v>0</v>
      </c>
      <c r="O399" s="634">
        <f t="shared" si="40"/>
        <v>0</v>
      </c>
      <c r="P399" s="144"/>
      <c r="Q399" s="144"/>
      <c r="R399" s="144"/>
      <c r="S399" s="144"/>
    </row>
    <row r="400" spans="1:19" ht="14.25" customHeight="1">
      <c r="A400" s="630"/>
      <c r="B400" s="631"/>
      <c r="C400" s="1127"/>
      <c r="D400" s="632"/>
      <c r="E400" s="1127"/>
      <c r="F400" s="633">
        <f t="shared" si="41"/>
        <v>0</v>
      </c>
      <c r="G400" s="632"/>
      <c r="H400" s="1127"/>
      <c r="I400" s="633">
        <f t="shared" si="42"/>
        <v>0</v>
      </c>
      <c r="J400" s="633">
        <f t="shared" si="43"/>
        <v>0</v>
      </c>
      <c r="K400" s="633">
        <f t="shared" si="44"/>
        <v>0</v>
      </c>
      <c r="L400" s="1127"/>
      <c r="M400" s="1127"/>
      <c r="N400" s="1691">
        <f t="shared" si="39"/>
        <v>0</v>
      </c>
      <c r="O400" s="634">
        <f t="shared" si="40"/>
        <v>0</v>
      </c>
      <c r="P400" s="144"/>
      <c r="Q400" s="144"/>
      <c r="R400" s="144"/>
      <c r="S400" s="144"/>
    </row>
    <row r="401" spans="1:19" ht="14.25" customHeight="1">
      <c r="A401" s="630"/>
      <c r="B401" s="631"/>
      <c r="C401" s="1127"/>
      <c r="D401" s="632"/>
      <c r="E401" s="1127"/>
      <c r="F401" s="633">
        <f t="shared" si="41"/>
        <v>0</v>
      </c>
      <c r="G401" s="632"/>
      <c r="H401" s="1127"/>
      <c r="I401" s="633">
        <f t="shared" si="42"/>
        <v>0</v>
      </c>
      <c r="J401" s="633">
        <f t="shared" si="43"/>
        <v>0</v>
      </c>
      <c r="K401" s="633">
        <f t="shared" si="44"/>
        <v>0</v>
      </c>
      <c r="L401" s="1127"/>
      <c r="M401" s="1127"/>
      <c r="N401" s="1691">
        <f t="shared" si="39"/>
        <v>0</v>
      </c>
      <c r="O401" s="634">
        <f t="shared" si="40"/>
        <v>0</v>
      </c>
      <c r="P401" s="144"/>
      <c r="Q401" s="144"/>
      <c r="R401" s="144"/>
      <c r="S401" s="144"/>
    </row>
    <row r="402" spans="1:19" ht="14.25" customHeight="1">
      <c r="A402" s="630"/>
      <c r="B402" s="631"/>
      <c r="C402" s="1127"/>
      <c r="D402" s="632"/>
      <c r="E402" s="1127"/>
      <c r="F402" s="633">
        <f t="shared" si="41"/>
        <v>0</v>
      </c>
      <c r="G402" s="632"/>
      <c r="H402" s="1127"/>
      <c r="I402" s="633">
        <f t="shared" si="42"/>
        <v>0</v>
      </c>
      <c r="J402" s="633">
        <f t="shared" si="43"/>
        <v>0</v>
      </c>
      <c r="K402" s="633">
        <f t="shared" si="44"/>
        <v>0</v>
      </c>
      <c r="L402" s="1127"/>
      <c r="M402" s="1127"/>
      <c r="N402" s="1691">
        <f t="shared" si="39"/>
        <v>0</v>
      </c>
      <c r="O402" s="634">
        <f t="shared" si="40"/>
        <v>0</v>
      </c>
      <c r="P402" s="144"/>
      <c r="Q402" s="144"/>
      <c r="R402" s="144"/>
      <c r="S402" s="144"/>
    </row>
    <row r="403" spans="1:19" ht="14.25" customHeight="1">
      <c r="A403" s="630"/>
      <c r="B403" s="631"/>
      <c r="C403" s="1127"/>
      <c r="D403" s="632"/>
      <c r="E403" s="1127"/>
      <c r="F403" s="633">
        <f t="shared" si="41"/>
        <v>0</v>
      </c>
      <c r="G403" s="632"/>
      <c r="H403" s="1127"/>
      <c r="I403" s="633">
        <f t="shared" si="42"/>
        <v>0</v>
      </c>
      <c r="J403" s="633">
        <f t="shared" si="43"/>
        <v>0</v>
      </c>
      <c r="K403" s="633">
        <f t="shared" si="44"/>
        <v>0</v>
      </c>
      <c r="L403" s="1127"/>
      <c r="M403" s="1127"/>
      <c r="N403" s="1691">
        <f t="shared" si="39"/>
        <v>0</v>
      </c>
      <c r="O403" s="634">
        <f t="shared" si="40"/>
        <v>0</v>
      </c>
      <c r="P403" s="144"/>
      <c r="Q403" s="144"/>
      <c r="R403" s="144"/>
      <c r="S403" s="144"/>
    </row>
    <row r="404" spans="1:19" ht="14.25" customHeight="1">
      <c r="A404" s="630"/>
      <c r="B404" s="631"/>
      <c r="C404" s="1127"/>
      <c r="D404" s="632"/>
      <c r="E404" s="1127"/>
      <c r="F404" s="633">
        <f t="shared" si="41"/>
        <v>0</v>
      </c>
      <c r="G404" s="632"/>
      <c r="H404" s="1127"/>
      <c r="I404" s="633">
        <f t="shared" si="42"/>
        <v>0</v>
      </c>
      <c r="J404" s="633">
        <f t="shared" si="43"/>
        <v>0</v>
      </c>
      <c r="K404" s="633">
        <f t="shared" si="44"/>
        <v>0</v>
      </c>
      <c r="L404" s="1127"/>
      <c r="M404" s="1127"/>
      <c r="N404" s="1691">
        <f t="shared" si="39"/>
        <v>0</v>
      </c>
      <c r="O404" s="634">
        <f t="shared" si="40"/>
        <v>0</v>
      </c>
      <c r="P404" s="144"/>
      <c r="Q404" s="144"/>
      <c r="R404" s="144"/>
      <c r="S404" s="144"/>
    </row>
    <row r="405" spans="1:19" ht="14.25" customHeight="1">
      <c r="A405" s="630"/>
      <c r="B405" s="631"/>
      <c r="C405" s="1127"/>
      <c r="D405" s="632"/>
      <c r="E405" s="1127"/>
      <c r="F405" s="633">
        <f t="shared" si="41"/>
        <v>0</v>
      </c>
      <c r="G405" s="632"/>
      <c r="H405" s="1127"/>
      <c r="I405" s="633">
        <f t="shared" si="42"/>
        <v>0</v>
      </c>
      <c r="J405" s="633">
        <f t="shared" si="43"/>
        <v>0</v>
      </c>
      <c r="K405" s="633">
        <f t="shared" si="44"/>
        <v>0</v>
      </c>
      <c r="L405" s="1127"/>
      <c r="M405" s="1127"/>
      <c r="N405" s="1691">
        <f t="shared" si="39"/>
        <v>0</v>
      </c>
      <c r="O405" s="634">
        <f t="shared" si="40"/>
        <v>0</v>
      </c>
      <c r="P405" s="144"/>
      <c r="Q405" s="144"/>
      <c r="R405" s="144"/>
      <c r="S405" s="144"/>
    </row>
    <row r="406" spans="1:19" ht="14.25" customHeight="1">
      <c r="A406" s="630"/>
      <c r="B406" s="631"/>
      <c r="C406" s="1127"/>
      <c r="D406" s="632"/>
      <c r="E406" s="1127"/>
      <c r="F406" s="633">
        <f t="shared" si="41"/>
        <v>0</v>
      </c>
      <c r="G406" s="632"/>
      <c r="H406" s="1127"/>
      <c r="I406" s="633">
        <f t="shared" si="42"/>
        <v>0</v>
      </c>
      <c r="J406" s="633">
        <f t="shared" si="43"/>
        <v>0</v>
      </c>
      <c r="K406" s="633">
        <f t="shared" si="44"/>
        <v>0</v>
      </c>
      <c r="L406" s="1127"/>
      <c r="M406" s="1127"/>
      <c r="N406" s="1691">
        <f t="shared" si="39"/>
        <v>0</v>
      </c>
      <c r="O406" s="634">
        <f t="shared" si="40"/>
        <v>0</v>
      </c>
      <c r="P406" s="144"/>
      <c r="Q406" s="144"/>
      <c r="R406" s="144"/>
      <c r="S406" s="144"/>
    </row>
    <row r="407" spans="1:19" ht="14.25" customHeight="1">
      <c r="A407" s="630"/>
      <c r="B407" s="631"/>
      <c r="C407" s="1127"/>
      <c r="D407" s="632"/>
      <c r="E407" s="1127"/>
      <c r="F407" s="633">
        <f t="shared" si="41"/>
        <v>0</v>
      </c>
      <c r="G407" s="632"/>
      <c r="H407" s="1127"/>
      <c r="I407" s="633">
        <f t="shared" si="42"/>
        <v>0</v>
      </c>
      <c r="J407" s="633">
        <f t="shared" si="43"/>
        <v>0</v>
      </c>
      <c r="K407" s="633">
        <f t="shared" si="44"/>
        <v>0</v>
      </c>
      <c r="L407" s="1127"/>
      <c r="M407" s="1127"/>
      <c r="N407" s="1691">
        <f t="shared" si="39"/>
        <v>0</v>
      </c>
      <c r="O407" s="634">
        <f t="shared" si="40"/>
        <v>0</v>
      </c>
      <c r="P407" s="144"/>
      <c r="Q407" s="144"/>
      <c r="R407" s="144"/>
      <c r="S407" s="144"/>
    </row>
    <row r="408" spans="1:19" ht="14.25" customHeight="1">
      <c r="A408" s="630"/>
      <c r="B408" s="631"/>
      <c r="C408" s="1127"/>
      <c r="D408" s="632"/>
      <c r="E408" s="1127"/>
      <c r="F408" s="633">
        <f t="shared" si="41"/>
        <v>0</v>
      </c>
      <c r="G408" s="632"/>
      <c r="H408" s="1127"/>
      <c r="I408" s="633">
        <f t="shared" si="42"/>
        <v>0</v>
      </c>
      <c r="J408" s="633">
        <f t="shared" si="43"/>
        <v>0</v>
      </c>
      <c r="K408" s="633">
        <f t="shared" si="44"/>
        <v>0</v>
      </c>
      <c r="L408" s="1127"/>
      <c r="M408" s="1127"/>
      <c r="N408" s="1691">
        <f t="shared" si="39"/>
        <v>0</v>
      </c>
      <c r="O408" s="634">
        <f t="shared" si="40"/>
        <v>0</v>
      </c>
      <c r="P408" s="144"/>
      <c r="Q408" s="144"/>
      <c r="R408" s="144"/>
      <c r="S408" s="144"/>
    </row>
    <row r="409" spans="1:19" ht="14.25" customHeight="1">
      <c r="A409" s="630"/>
      <c r="B409" s="631"/>
      <c r="C409" s="1127"/>
      <c r="D409" s="632"/>
      <c r="E409" s="1127"/>
      <c r="F409" s="633">
        <f t="shared" si="41"/>
        <v>0</v>
      </c>
      <c r="G409" s="632"/>
      <c r="H409" s="1127"/>
      <c r="I409" s="633">
        <f t="shared" si="42"/>
        <v>0</v>
      </c>
      <c r="J409" s="633">
        <f t="shared" si="43"/>
        <v>0</v>
      </c>
      <c r="K409" s="633">
        <f t="shared" si="44"/>
        <v>0</v>
      </c>
      <c r="L409" s="1127"/>
      <c r="M409" s="1127"/>
      <c r="N409" s="1691">
        <f t="shared" si="39"/>
        <v>0</v>
      </c>
      <c r="O409" s="634">
        <f t="shared" si="40"/>
        <v>0</v>
      </c>
      <c r="P409" s="144"/>
      <c r="Q409" s="144"/>
      <c r="R409" s="144"/>
      <c r="S409" s="144"/>
    </row>
    <row r="410" spans="1:19" ht="14.25" customHeight="1">
      <c r="A410" s="630"/>
      <c r="B410" s="631"/>
      <c r="C410" s="1127"/>
      <c r="D410" s="632"/>
      <c r="E410" s="1127"/>
      <c r="F410" s="633">
        <f t="shared" si="41"/>
        <v>0</v>
      </c>
      <c r="G410" s="632"/>
      <c r="H410" s="1127"/>
      <c r="I410" s="633">
        <f t="shared" si="42"/>
        <v>0</v>
      </c>
      <c r="J410" s="633">
        <f t="shared" si="43"/>
        <v>0</v>
      </c>
      <c r="K410" s="633">
        <f t="shared" si="44"/>
        <v>0</v>
      </c>
      <c r="L410" s="1127"/>
      <c r="M410" s="1127"/>
      <c r="N410" s="1691">
        <f t="shared" si="39"/>
        <v>0</v>
      </c>
      <c r="O410" s="634">
        <f t="shared" si="40"/>
        <v>0</v>
      </c>
      <c r="P410" s="144"/>
      <c r="Q410" s="144"/>
      <c r="R410" s="144"/>
      <c r="S410" s="144"/>
    </row>
    <row r="411" spans="1:19" ht="14.25" customHeight="1">
      <c r="A411" s="630"/>
      <c r="B411" s="631"/>
      <c r="C411" s="1127"/>
      <c r="D411" s="632"/>
      <c r="E411" s="1127"/>
      <c r="F411" s="633">
        <f t="shared" si="41"/>
        <v>0</v>
      </c>
      <c r="G411" s="632"/>
      <c r="H411" s="1127"/>
      <c r="I411" s="633">
        <f t="shared" si="42"/>
        <v>0</v>
      </c>
      <c r="J411" s="633">
        <f t="shared" si="43"/>
        <v>0</v>
      </c>
      <c r="K411" s="633">
        <f t="shared" si="44"/>
        <v>0</v>
      </c>
      <c r="L411" s="1127"/>
      <c r="M411" s="1127"/>
      <c r="N411" s="1691">
        <f t="shared" si="39"/>
        <v>0</v>
      </c>
      <c r="O411" s="634">
        <f t="shared" si="40"/>
        <v>0</v>
      </c>
      <c r="P411" s="144"/>
      <c r="Q411" s="144"/>
      <c r="R411" s="144"/>
      <c r="S411" s="144"/>
    </row>
    <row r="412" spans="1:19" ht="14.25" customHeight="1">
      <c r="A412" s="630"/>
      <c r="B412" s="631"/>
      <c r="C412" s="1127"/>
      <c r="D412" s="632"/>
      <c r="E412" s="1127"/>
      <c r="F412" s="633">
        <f t="shared" si="41"/>
        <v>0</v>
      </c>
      <c r="G412" s="632"/>
      <c r="H412" s="1127"/>
      <c r="I412" s="633">
        <f t="shared" si="42"/>
        <v>0</v>
      </c>
      <c r="J412" s="633">
        <f t="shared" si="43"/>
        <v>0</v>
      </c>
      <c r="K412" s="633">
        <f t="shared" si="44"/>
        <v>0</v>
      </c>
      <c r="L412" s="1127"/>
      <c r="M412" s="1127"/>
      <c r="N412" s="1691">
        <f t="shared" si="39"/>
        <v>0</v>
      </c>
      <c r="O412" s="634">
        <f t="shared" si="40"/>
        <v>0</v>
      </c>
      <c r="P412" s="144"/>
      <c r="Q412" s="144"/>
      <c r="R412" s="144"/>
      <c r="S412" s="144"/>
    </row>
    <row r="413" spans="1:19" ht="14.25" customHeight="1">
      <c r="A413" s="630"/>
      <c r="B413" s="631"/>
      <c r="C413" s="1127"/>
      <c r="D413" s="632"/>
      <c r="E413" s="1127"/>
      <c r="F413" s="633">
        <f t="shared" si="41"/>
        <v>0</v>
      </c>
      <c r="G413" s="632"/>
      <c r="H413" s="1127"/>
      <c r="I413" s="633">
        <f t="shared" si="42"/>
        <v>0</v>
      </c>
      <c r="J413" s="633">
        <f t="shared" si="43"/>
        <v>0</v>
      </c>
      <c r="K413" s="633">
        <f t="shared" si="44"/>
        <v>0</v>
      </c>
      <c r="L413" s="1127"/>
      <c r="M413" s="1127"/>
      <c r="N413" s="1691">
        <f t="shared" si="39"/>
        <v>0</v>
      </c>
      <c r="O413" s="634">
        <f t="shared" si="40"/>
        <v>0</v>
      </c>
      <c r="P413" s="144"/>
      <c r="Q413" s="144"/>
      <c r="R413" s="144"/>
      <c r="S413" s="144"/>
    </row>
    <row r="414" spans="1:19" ht="14.25" customHeight="1">
      <c r="A414" s="630"/>
      <c r="B414" s="631"/>
      <c r="C414" s="1127"/>
      <c r="D414" s="632"/>
      <c r="E414" s="1127"/>
      <c r="F414" s="633">
        <f t="shared" si="41"/>
        <v>0</v>
      </c>
      <c r="G414" s="632"/>
      <c r="H414" s="1127"/>
      <c r="I414" s="633">
        <f t="shared" si="42"/>
        <v>0</v>
      </c>
      <c r="J414" s="633">
        <f t="shared" si="43"/>
        <v>0</v>
      </c>
      <c r="K414" s="633">
        <f t="shared" si="44"/>
        <v>0</v>
      </c>
      <c r="L414" s="1127"/>
      <c r="M414" s="1127"/>
      <c r="N414" s="1691">
        <f t="shared" si="39"/>
        <v>0</v>
      </c>
      <c r="O414" s="634">
        <f t="shared" si="40"/>
        <v>0</v>
      </c>
      <c r="P414" s="144"/>
      <c r="Q414" s="144"/>
      <c r="R414" s="144"/>
      <c r="S414" s="144"/>
    </row>
    <row r="415" spans="1:19" ht="14.25" customHeight="1">
      <c r="A415" s="630"/>
      <c r="B415" s="631"/>
      <c r="C415" s="1127"/>
      <c r="D415" s="632"/>
      <c r="E415" s="1127"/>
      <c r="F415" s="633">
        <f t="shared" si="41"/>
        <v>0</v>
      </c>
      <c r="G415" s="632"/>
      <c r="H415" s="1127"/>
      <c r="I415" s="633">
        <f t="shared" si="42"/>
        <v>0</v>
      </c>
      <c r="J415" s="633">
        <f t="shared" si="43"/>
        <v>0</v>
      </c>
      <c r="K415" s="633">
        <f t="shared" si="44"/>
        <v>0</v>
      </c>
      <c r="L415" s="1127"/>
      <c r="M415" s="1127"/>
      <c r="N415" s="1691">
        <f t="shared" si="39"/>
        <v>0</v>
      </c>
      <c r="O415" s="634">
        <f t="shared" si="40"/>
        <v>0</v>
      </c>
      <c r="P415" s="144"/>
      <c r="Q415" s="144"/>
      <c r="R415" s="144"/>
      <c r="S415" s="144"/>
    </row>
    <row r="416" spans="1:19" ht="14.25" customHeight="1">
      <c r="A416" s="630"/>
      <c r="B416" s="631"/>
      <c r="C416" s="1127"/>
      <c r="D416" s="632"/>
      <c r="E416" s="1127"/>
      <c r="F416" s="633">
        <f t="shared" si="41"/>
        <v>0</v>
      </c>
      <c r="G416" s="632"/>
      <c r="H416" s="1127"/>
      <c r="I416" s="633">
        <f t="shared" si="42"/>
        <v>0</v>
      </c>
      <c r="J416" s="633">
        <f t="shared" si="43"/>
        <v>0</v>
      </c>
      <c r="K416" s="633">
        <f t="shared" si="44"/>
        <v>0</v>
      </c>
      <c r="L416" s="1127"/>
      <c r="M416" s="1127"/>
      <c r="N416" s="1691">
        <f t="shared" si="39"/>
        <v>0</v>
      </c>
      <c r="O416" s="634">
        <f t="shared" si="40"/>
        <v>0</v>
      </c>
      <c r="P416" s="144"/>
      <c r="Q416" s="144"/>
      <c r="R416" s="144"/>
      <c r="S416" s="144"/>
    </row>
    <row r="417" spans="1:19" ht="14.25" customHeight="1">
      <c r="A417" s="630"/>
      <c r="B417" s="631"/>
      <c r="C417" s="1127"/>
      <c r="D417" s="632"/>
      <c r="E417" s="1127"/>
      <c r="F417" s="633">
        <f t="shared" si="41"/>
        <v>0</v>
      </c>
      <c r="G417" s="632"/>
      <c r="H417" s="1127"/>
      <c r="I417" s="633">
        <f t="shared" si="42"/>
        <v>0</v>
      </c>
      <c r="J417" s="633">
        <f t="shared" si="43"/>
        <v>0</v>
      </c>
      <c r="K417" s="633">
        <f t="shared" si="44"/>
        <v>0</v>
      </c>
      <c r="L417" s="1127"/>
      <c r="M417" s="1127"/>
      <c r="N417" s="1691">
        <f t="shared" si="39"/>
        <v>0</v>
      </c>
      <c r="O417" s="634">
        <f t="shared" si="40"/>
        <v>0</v>
      </c>
      <c r="P417" s="144"/>
      <c r="Q417" s="144"/>
      <c r="R417" s="144"/>
      <c r="S417" s="144"/>
    </row>
    <row r="418" spans="1:19" ht="14.25" customHeight="1">
      <c r="A418" s="630"/>
      <c r="B418" s="631"/>
      <c r="C418" s="1127"/>
      <c r="D418" s="632"/>
      <c r="E418" s="1127"/>
      <c r="F418" s="633">
        <f t="shared" si="41"/>
        <v>0</v>
      </c>
      <c r="G418" s="632"/>
      <c r="H418" s="1127"/>
      <c r="I418" s="633">
        <f t="shared" si="42"/>
        <v>0</v>
      </c>
      <c r="J418" s="633">
        <f t="shared" si="43"/>
        <v>0</v>
      </c>
      <c r="K418" s="633">
        <f t="shared" si="44"/>
        <v>0</v>
      </c>
      <c r="L418" s="1127"/>
      <c r="M418" s="1127"/>
      <c r="N418" s="1691">
        <f t="shared" si="39"/>
        <v>0</v>
      </c>
      <c r="O418" s="634">
        <f t="shared" si="40"/>
        <v>0</v>
      </c>
      <c r="P418" s="144"/>
      <c r="Q418" s="144"/>
      <c r="R418" s="144"/>
      <c r="S418" s="144"/>
    </row>
    <row r="419" spans="1:19" ht="14.25" customHeight="1">
      <c r="A419" s="630"/>
      <c r="B419" s="631"/>
      <c r="C419" s="1127"/>
      <c r="D419" s="632"/>
      <c r="E419" s="1127"/>
      <c r="F419" s="633">
        <f t="shared" si="41"/>
        <v>0</v>
      </c>
      <c r="G419" s="632"/>
      <c r="H419" s="1127"/>
      <c r="I419" s="633">
        <f t="shared" si="42"/>
        <v>0</v>
      </c>
      <c r="J419" s="633">
        <f t="shared" si="43"/>
        <v>0</v>
      </c>
      <c r="K419" s="633">
        <f t="shared" si="44"/>
        <v>0</v>
      </c>
      <c r="L419" s="1127"/>
      <c r="M419" s="1127"/>
      <c r="N419" s="1691">
        <f t="shared" si="39"/>
        <v>0</v>
      </c>
      <c r="O419" s="634">
        <f t="shared" si="40"/>
        <v>0</v>
      </c>
      <c r="P419" s="144"/>
      <c r="Q419" s="144"/>
      <c r="R419" s="144"/>
      <c r="S419" s="144"/>
    </row>
    <row r="420" spans="1:19" ht="14.25" customHeight="1">
      <c r="A420" s="630"/>
      <c r="B420" s="631"/>
      <c r="C420" s="1127"/>
      <c r="D420" s="632"/>
      <c r="E420" s="1127"/>
      <c r="F420" s="633">
        <f t="shared" si="41"/>
        <v>0</v>
      </c>
      <c r="G420" s="632"/>
      <c r="H420" s="1127"/>
      <c r="I420" s="633">
        <f t="shared" si="42"/>
        <v>0</v>
      </c>
      <c r="J420" s="633">
        <f t="shared" si="43"/>
        <v>0</v>
      </c>
      <c r="K420" s="633">
        <f t="shared" si="44"/>
        <v>0</v>
      </c>
      <c r="L420" s="1127"/>
      <c r="M420" s="1127"/>
      <c r="N420" s="1691">
        <f t="shared" si="39"/>
        <v>0</v>
      </c>
      <c r="O420" s="634">
        <f t="shared" si="40"/>
        <v>0</v>
      </c>
      <c r="P420" s="144"/>
      <c r="Q420" s="144"/>
      <c r="R420" s="144"/>
      <c r="S420" s="144"/>
    </row>
    <row r="421" spans="1:19" ht="14.25" customHeight="1">
      <c r="A421" s="630"/>
      <c r="B421" s="631"/>
      <c r="C421" s="1127"/>
      <c r="D421" s="632"/>
      <c r="E421" s="1127"/>
      <c r="F421" s="633">
        <f t="shared" si="41"/>
        <v>0</v>
      </c>
      <c r="G421" s="632"/>
      <c r="H421" s="1127"/>
      <c r="I421" s="633">
        <f t="shared" si="42"/>
        <v>0</v>
      </c>
      <c r="J421" s="633">
        <f t="shared" si="43"/>
        <v>0</v>
      </c>
      <c r="K421" s="633">
        <f t="shared" si="44"/>
        <v>0</v>
      </c>
      <c r="L421" s="1127"/>
      <c r="M421" s="1127"/>
      <c r="N421" s="1691">
        <f t="shared" si="39"/>
        <v>0</v>
      </c>
      <c r="O421" s="634">
        <f t="shared" si="40"/>
        <v>0</v>
      </c>
      <c r="P421" s="144"/>
      <c r="Q421" s="144"/>
      <c r="R421" s="144"/>
      <c r="S421" s="144"/>
    </row>
    <row r="422" spans="1:19" ht="14.25" customHeight="1">
      <c r="A422" s="630"/>
      <c r="B422" s="631"/>
      <c r="C422" s="1127"/>
      <c r="D422" s="632"/>
      <c r="E422" s="1127"/>
      <c r="F422" s="633">
        <f t="shared" si="41"/>
        <v>0</v>
      </c>
      <c r="G422" s="632"/>
      <c r="H422" s="1127"/>
      <c r="I422" s="633">
        <f t="shared" si="42"/>
        <v>0</v>
      </c>
      <c r="J422" s="633">
        <f t="shared" si="43"/>
        <v>0</v>
      </c>
      <c r="K422" s="633">
        <f t="shared" si="44"/>
        <v>0</v>
      </c>
      <c r="L422" s="1127"/>
      <c r="M422" s="1127"/>
      <c r="N422" s="1691">
        <f t="shared" si="39"/>
        <v>0</v>
      </c>
      <c r="O422" s="634">
        <f t="shared" si="40"/>
        <v>0</v>
      </c>
      <c r="P422" s="144"/>
      <c r="Q422" s="144"/>
      <c r="R422" s="144"/>
      <c r="S422" s="144"/>
    </row>
    <row r="423" spans="1:19" ht="14.25" customHeight="1">
      <c r="A423" s="630"/>
      <c r="B423" s="631"/>
      <c r="C423" s="1127"/>
      <c r="D423" s="632"/>
      <c r="E423" s="1127"/>
      <c r="F423" s="633">
        <f t="shared" si="41"/>
        <v>0</v>
      </c>
      <c r="G423" s="632"/>
      <c r="H423" s="1127"/>
      <c r="I423" s="633">
        <f t="shared" si="42"/>
        <v>0</v>
      </c>
      <c r="J423" s="633">
        <f t="shared" si="43"/>
        <v>0</v>
      </c>
      <c r="K423" s="633">
        <f t="shared" si="44"/>
        <v>0</v>
      </c>
      <c r="L423" s="1127"/>
      <c r="M423" s="1127"/>
      <c r="N423" s="1691">
        <f t="shared" si="39"/>
        <v>0</v>
      </c>
      <c r="O423" s="634">
        <f t="shared" si="40"/>
        <v>0</v>
      </c>
      <c r="P423" s="144"/>
      <c r="Q423" s="144"/>
      <c r="R423" s="144"/>
      <c r="S423" s="144"/>
    </row>
    <row r="424" spans="1:19" ht="14.25" customHeight="1">
      <c r="A424" s="630"/>
      <c r="B424" s="631"/>
      <c r="C424" s="1127"/>
      <c r="D424" s="632"/>
      <c r="E424" s="1127"/>
      <c r="F424" s="633">
        <f t="shared" si="41"/>
        <v>0</v>
      </c>
      <c r="G424" s="632"/>
      <c r="H424" s="1127"/>
      <c r="I424" s="633">
        <f t="shared" si="42"/>
        <v>0</v>
      </c>
      <c r="J424" s="633">
        <f t="shared" si="43"/>
        <v>0</v>
      </c>
      <c r="K424" s="633">
        <f t="shared" si="44"/>
        <v>0</v>
      </c>
      <c r="L424" s="1127"/>
      <c r="M424" s="1127"/>
      <c r="N424" s="1691">
        <f t="shared" si="39"/>
        <v>0</v>
      </c>
      <c r="O424" s="634">
        <f t="shared" si="40"/>
        <v>0</v>
      </c>
      <c r="P424" s="144"/>
      <c r="Q424" s="144"/>
      <c r="R424" s="144"/>
      <c r="S424" s="144"/>
    </row>
    <row r="425" spans="1:19" ht="14.25" customHeight="1">
      <c r="A425" s="630"/>
      <c r="B425" s="631"/>
      <c r="C425" s="1127"/>
      <c r="D425" s="632"/>
      <c r="E425" s="1127"/>
      <c r="F425" s="633">
        <f t="shared" si="41"/>
        <v>0</v>
      </c>
      <c r="G425" s="632"/>
      <c r="H425" s="1127"/>
      <c r="I425" s="633">
        <f t="shared" si="42"/>
        <v>0</v>
      </c>
      <c r="J425" s="633">
        <f t="shared" si="43"/>
        <v>0</v>
      </c>
      <c r="K425" s="633">
        <f t="shared" si="44"/>
        <v>0</v>
      </c>
      <c r="L425" s="1127"/>
      <c r="M425" s="1127"/>
      <c r="N425" s="1691">
        <f t="shared" si="39"/>
        <v>0</v>
      </c>
      <c r="O425" s="634">
        <f t="shared" si="40"/>
        <v>0</v>
      </c>
      <c r="P425" s="144"/>
      <c r="Q425" s="144"/>
      <c r="R425" s="144"/>
      <c r="S425" s="144"/>
    </row>
    <row r="426" spans="1:19" ht="14.25" customHeight="1">
      <c r="A426" s="630"/>
      <c r="B426" s="631"/>
      <c r="C426" s="1127"/>
      <c r="D426" s="632"/>
      <c r="E426" s="1127"/>
      <c r="F426" s="633">
        <f t="shared" si="41"/>
        <v>0</v>
      </c>
      <c r="G426" s="632"/>
      <c r="H426" s="1127"/>
      <c r="I426" s="633">
        <f t="shared" si="42"/>
        <v>0</v>
      </c>
      <c r="J426" s="633">
        <f t="shared" si="43"/>
        <v>0</v>
      </c>
      <c r="K426" s="633">
        <f t="shared" si="44"/>
        <v>0</v>
      </c>
      <c r="L426" s="1127"/>
      <c r="M426" s="1127"/>
      <c r="N426" s="1691">
        <f t="shared" si="39"/>
        <v>0</v>
      </c>
      <c r="O426" s="634">
        <f t="shared" si="40"/>
        <v>0</v>
      </c>
      <c r="P426" s="144"/>
      <c r="Q426" s="144"/>
      <c r="R426" s="144"/>
      <c r="S426" s="144"/>
    </row>
    <row r="427" spans="1:19" ht="14.25" customHeight="1">
      <c r="A427" s="630"/>
      <c r="B427" s="631"/>
      <c r="C427" s="1127"/>
      <c r="D427" s="632"/>
      <c r="E427" s="1127"/>
      <c r="F427" s="633">
        <f t="shared" si="41"/>
        <v>0</v>
      </c>
      <c r="G427" s="632"/>
      <c r="H427" s="1127"/>
      <c r="I427" s="633">
        <f t="shared" si="42"/>
        <v>0</v>
      </c>
      <c r="J427" s="633">
        <f t="shared" si="43"/>
        <v>0</v>
      </c>
      <c r="K427" s="633">
        <f t="shared" si="44"/>
        <v>0</v>
      </c>
      <c r="L427" s="1127"/>
      <c r="M427" s="1127"/>
      <c r="N427" s="1691">
        <f t="shared" si="39"/>
        <v>0</v>
      </c>
      <c r="O427" s="634">
        <f t="shared" si="40"/>
        <v>0</v>
      </c>
      <c r="P427" s="144"/>
      <c r="Q427" s="144"/>
      <c r="R427" s="144"/>
      <c r="S427" s="144"/>
    </row>
    <row r="428" spans="1:19" ht="14.25" customHeight="1">
      <c r="A428" s="630"/>
      <c r="B428" s="631"/>
      <c r="C428" s="1127"/>
      <c r="D428" s="632"/>
      <c r="E428" s="1127"/>
      <c r="F428" s="633">
        <f t="shared" si="41"/>
        <v>0</v>
      </c>
      <c r="G428" s="632"/>
      <c r="H428" s="1127"/>
      <c r="I428" s="633">
        <f t="shared" si="42"/>
        <v>0</v>
      </c>
      <c r="J428" s="633">
        <f t="shared" si="43"/>
        <v>0</v>
      </c>
      <c r="K428" s="633">
        <f t="shared" si="44"/>
        <v>0</v>
      </c>
      <c r="L428" s="1127"/>
      <c r="M428" s="1127"/>
      <c r="N428" s="1691">
        <f t="shared" si="39"/>
        <v>0</v>
      </c>
      <c r="O428" s="634">
        <f t="shared" si="40"/>
        <v>0</v>
      </c>
      <c r="P428" s="144"/>
      <c r="Q428" s="144"/>
      <c r="R428" s="144"/>
      <c r="S428" s="144"/>
    </row>
    <row r="429" spans="1:19" ht="14.25" customHeight="1">
      <c r="A429" s="630"/>
      <c r="B429" s="631"/>
      <c r="C429" s="1127"/>
      <c r="D429" s="632"/>
      <c r="E429" s="1127"/>
      <c r="F429" s="633">
        <f t="shared" si="41"/>
        <v>0</v>
      </c>
      <c r="G429" s="632"/>
      <c r="H429" s="1127"/>
      <c r="I429" s="633">
        <f t="shared" si="42"/>
        <v>0</v>
      </c>
      <c r="J429" s="633">
        <f t="shared" si="43"/>
        <v>0</v>
      </c>
      <c r="K429" s="633">
        <f t="shared" si="44"/>
        <v>0</v>
      </c>
      <c r="L429" s="1127"/>
      <c r="M429" s="1127"/>
      <c r="N429" s="1691">
        <f t="shared" si="39"/>
        <v>0</v>
      </c>
      <c r="O429" s="634">
        <f t="shared" si="40"/>
        <v>0</v>
      </c>
      <c r="P429" s="144"/>
      <c r="Q429" s="144"/>
      <c r="R429" s="144"/>
      <c r="S429" s="144"/>
    </row>
    <row r="430" spans="1:19" ht="14.25" customHeight="1">
      <c r="A430" s="630"/>
      <c r="B430" s="631"/>
      <c r="C430" s="1127"/>
      <c r="D430" s="632"/>
      <c r="E430" s="1127"/>
      <c r="F430" s="633">
        <f t="shared" si="41"/>
        <v>0</v>
      </c>
      <c r="G430" s="632"/>
      <c r="H430" s="1127"/>
      <c r="I430" s="633">
        <f t="shared" si="42"/>
        <v>0</v>
      </c>
      <c r="J430" s="633">
        <f t="shared" si="43"/>
        <v>0</v>
      </c>
      <c r="K430" s="633">
        <f t="shared" si="44"/>
        <v>0</v>
      </c>
      <c r="L430" s="1127"/>
      <c r="M430" s="1127"/>
      <c r="N430" s="1691">
        <f t="shared" si="39"/>
        <v>0</v>
      </c>
      <c r="O430" s="634">
        <f t="shared" si="40"/>
        <v>0</v>
      </c>
      <c r="P430" s="144"/>
      <c r="Q430" s="144"/>
      <c r="R430" s="144"/>
      <c r="S430" s="144"/>
    </row>
    <row r="431" spans="1:19" ht="14.25" customHeight="1">
      <c r="A431" s="630"/>
      <c r="B431" s="631"/>
      <c r="C431" s="1127"/>
      <c r="D431" s="632"/>
      <c r="E431" s="1127"/>
      <c r="F431" s="633">
        <f t="shared" si="41"/>
        <v>0</v>
      </c>
      <c r="G431" s="632"/>
      <c r="H431" s="1127"/>
      <c r="I431" s="633">
        <f t="shared" si="42"/>
        <v>0</v>
      </c>
      <c r="J431" s="633">
        <f t="shared" si="43"/>
        <v>0</v>
      </c>
      <c r="K431" s="633">
        <f t="shared" si="44"/>
        <v>0</v>
      </c>
      <c r="L431" s="1127"/>
      <c r="M431" s="1127"/>
      <c r="N431" s="1691">
        <f t="shared" si="39"/>
        <v>0</v>
      </c>
      <c r="O431" s="634">
        <f t="shared" si="40"/>
        <v>0</v>
      </c>
      <c r="P431" s="144"/>
      <c r="Q431" s="144"/>
      <c r="R431" s="144"/>
      <c r="S431" s="144"/>
    </row>
    <row r="432" spans="1:19" ht="14.25" customHeight="1">
      <c r="A432" s="630"/>
      <c r="B432" s="631"/>
      <c r="C432" s="1127"/>
      <c r="D432" s="632"/>
      <c r="E432" s="1127"/>
      <c r="F432" s="633">
        <f t="shared" si="41"/>
        <v>0</v>
      </c>
      <c r="G432" s="632"/>
      <c r="H432" s="1127"/>
      <c r="I432" s="633">
        <f t="shared" si="42"/>
        <v>0</v>
      </c>
      <c r="J432" s="633">
        <f t="shared" si="43"/>
        <v>0</v>
      </c>
      <c r="K432" s="633">
        <f t="shared" si="44"/>
        <v>0</v>
      </c>
      <c r="L432" s="1127"/>
      <c r="M432" s="1127"/>
      <c r="N432" s="1691">
        <f t="shared" si="39"/>
        <v>0</v>
      </c>
      <c r="O432" s="634">
        <f t="shared" si="40"/>
        <v>0</v>
      </c>
      <c r="P432" s="144"/>
      <c r="Q432" s="144"/>
      <c r="R432" s="144"/>
      <c r="S432" s="144"/>
    </row>
    <row r="433" spans="1:19" ht="14.25" customHeight="1">
      <c r="A433" s="630"/>
      <c r="B433" s="631"/>
      <c r="C433" s="1127"/>
      <c r="D433" s="632"/>
      <c r="E433" s="1127"/>
      <c r="F433" s="633">
        <f t="shared" si="41"/>
        <v>0</v>
      </c>
      <c r="G433" s="632"/>
      <c r="H433" s="1127"/>
      <c r="I433" s="633">
        <f t="shared" si="42"/>
        <v>0</v>
      </c>
      <c r="J433" s="633">
        <f t="shared" si="43"/>
        <v>0</v>
      </c>
      <c r="K433" s="633">
        <f t="shared" si="44"/>
        <v>0</v>
      </c>
      <c r="L433" s="1127"/>
      <c r="M433" s="1127"/>
      <c r="N433" s="1691">
        <f t="shared" si="39"/>
        <v>0</v>
      </c>
      <c r="O433" s="634">
        <f t="shared" si="40"/>
        <v>0</v>
      </c>
      <c r="P433" s="144"/>
      <c r="Q433" s="144"/>
      <c r="R433" s="144"/>
      <c r="S433" s="144"/>
    </row>
    <row r="434" spans="1:19" ht="14.25" customHeight="1">
      <c r="A434" s="630"/>
      <c r="B434" s="631"/>
      <c r="C434" s="1127"/>
      <c r="D434" s="632"/>
      <c r="E434" s="1127"/>
      <c r="F434" s="633">
        <f t="shared" si="41"/>
        <v>0</v>
      </c>
      <c r="G434" s="632"/>
      <c r="H434" s="1127"/>
      <c r="I434" s="633">
        <f t="shared" si="42"/>
        <v>0</v>
      </c>
      <c r="J434" s="633">
        <f t="shared" si="43"/>
        <v>0</v>
      </c>
      <c r="K434" s="633">
        <f t="shared" si="44"/>
        <v>0</v>
      </c>
      <c r="L434" s="1127"/>
      <c r="M434" s="1127"/>
      <c r="N434" s="1691">
        <f t="shared" si="39"/>
        <v>0</v>
      </c>
      <c r="O434" s="634">
        <f t="shared" si="40"/>
        <v>0</v>
      </c>
      <c r="P434" s="144"/>
      <c r="Q434" s="144"/>
      <c r="R434" s="144"/>
      <c r="S434" s="144"/>
    </row>
    <row r="435" spans="1:19" ht="14.25" customHeight="1">
      <c r="A435" s="630"/>
      <c r="B435" s="631"/>
      <c r="C435" s="1127"/>
      <c r="D435" s="632"/>
      <c r="E435" s="1127"/>
      <c r="F435" s="633">
        <f t="shared" si="41"/>
        <v>0</v>
      </c>
      <c r="G435" s="632"/>
      <c r="H435" s="1127"/>
      <c r="I435" s="633">
        <f t="shared" si="42"/>
        <v>0</v>
      </c>
      <c r="J435" s="633">
        <f t="shared" si="43"/>
        <v>0</v>
      </c>
      <c r="K435" s="633">
        <f t="shared" si="44"/>
        <v>0</v>
      </c>
      <c r="L435" s="1127"/>
      <c r="M435" s="1127"/>
      <c r="N435" s="1691">
        <f t="shared" si="39"/>
        <v>0</v>
      </c>
      <c r="O435" s="634">
        <f t="shared" si="40"/>
        <v>0</v>
      </c>
      <c r="P435" s="144"/>
      <c r="Q435" s="144"/>
      <c r="R435" s="144"/>
      <c r="S435" s="144"/>
    </row>
    <row r="436" spans="1:19" ht="14.25" customHeight="1">
      <c r="A436" s="630"/>
      <c r="B436" s="631"/>
      <c r="C436" s="1127"/>
      <c r="D436" s="632"/>
      <c r="E436" s="1127"/>
      <c r="F436" s="633">
        <f t="shared" si="41"/>
        <v>0</v>
      </c>
      <c r="G436" s="632"/>
      <c r="H436" s="1127"/>
      <c r="I436" s="633">
        <f t="shared" si="42"/>
        <v>0</v>
      </c>
      <c r="J436" s="633">
        <f t="shared" si="43"/>
        <v>0</v>
      </c>
      <c r="K436" s="633">
        <f t="shared" si="44"/>
        <v>0</v>
      </c>
      <c r="L436" s="1127"/>
      <c r="M436" s="1127"/>
      <c r="N436" s="1691">
        <f t="shared" si="39"/>
        <v>0</v>
      </c>
      <c r="O436" s="634">
        <f t="shared" si="40"/>
        <v>0</v>
      </c>
      <c r="P436" s="144"/>
      <c r="Q436" s="144"/>
      <c r="R436" s="144"/>
      <c r="S436" s="144"/>
    </row>
    <row r="437" spans="1:19" ht="14.25" customHeight="1">
      <c r="A437" s="630"/>
      <c r="B437" s="631"/>
      <c r="C437" s="1127"/>
      <c r="D437" s="632"/>
      <c r="E437" s="1127"/>
      <c r="F437" s="633">
        <f t="shared" si="41"/>
        <v>0</v>
      </c>
      <c r="G437" s="632"/>
      <c r="H437" s="1127"/>
      <c r="I437" s="633">
        <f t="shared" si="42"/>
        <v>0</v>
      </c>
      <c r="J437" s="633">
        <f t="shared" si="43"/>
        <v>0</v>
      </c>
      <c r="K437" s="633">
        <f t="shared" si="44"/>
        <v>0</v>
      </c>
      <c r="L437" s="1127"/>
      <c r="M437" s="1127"/>
      <c r="N437" s="1691">
        <f t="shared" si="39"/>
        <v>0</v>
      </c>
      <c r="O437" s="634">
        <f t="shared" si="40"/>
        <v>0</v>
      </c>
      <c r="P437" s="144"/>
      <c r="Q437" s="144"/>
      <c r="R437" s="144"/>
      <c r="S437" s="144"/>
    </row>
    <row r="438" spans="1:19" ht="14.25" customHeight="1">
      <c r="A438" s="630"/>
      <c r="B438" s="631"/>
      <c r="C438" s="1127"/>
      <c r="D438" s="632"/>
      <c r="E438" s="1127"/>
      <c r="F438" s="633">
        <f t="shared" si="41"/>
        <v>0</v>
      </c>
      <c r="G438" s="632"/>
      <c r="H438" s="1127"/>
      <c r="I438" s="633">
        <f t="shared" si="42"/>
        <v>0</v>
      </c>
      <c r="J438" s="633">
        <f t="shared" si="43"/>
        <v>0</v>
      </c>
      <c r="K438" s="633">
        <f t="shared" si="44"/>
        <v>0</v>
      </c>
      <c r="L438" s="1127"/>
      <c r="M438" s="1127"/>
      <c r="N438" s="1691">
        <f t="shared" si="39"/>
        <v>0</v>
      </c>
      <c r="O438" s="634">
        <f t="shared" si="40"/>
        <v>0</v>
      </c>
      <c r="P438" s="144"/>
      <c r="Q438" s="144"/>
      <c r="R438" s="144"/>
      <c r="S438" s="144"/>
    </row>
    <row r="439" spans="1:19" ht="14.25" customHeight="1">
      <c r="A439" s="630"/>
      <c r="B439" s="631"/>
      <c r="C439" s="1127"/>
      <c r="D439" s="632"/>
      <c r="E439" s="1127"/>
      <c r="F439" s="633">
        <f t="shared" si="41"/>
        <v>0</v>
      </c>
      <c r="G439" s="632"/>
      <c r="H439" s="1127"/>
      <c r="I439" s="633">
        <f t="shared" si="42"/>
        <v>0</v>
      </c>
      <c r="J439" s="633">
        <f t="shared" si="43"/>
        <v>0</v>
      </c>
      <c r="K439" s="633">
        <f t="shared" si="44"/>
        <v>0</v>
      </c>
      <c r="L439" s="1127"/>
      <c r="M439" s="1127"/>
      <c r="N439" s="1691">
        <f t="shared" si="39"/>
        <v>0</v>
      </c>
      <c r="O439" s="634">
        <f t="shared" si="40"/>
        <v>0</v>
      </c>
      <c r="P439" s="144"/>
      <c r="Q439" s="144"/>
      <c r="R439" s="144"/>
      <c r="S439" s="144"/>
    </row>
    <row r="440" spans="1:19" ht="14.25" customHeight="1">
      <c r="A440" s="630"/>
      <c r="B440" s="631"/>
      <c r="C440" s="1127"/>
      <c r="D440" s="632"/>
      <c r="E440" s="1127"/>
      <c r="F440" s="633">
        <f t="shared" si="41"/>
        <v>0</v>
      </c>
      <c r="G440" s="632"/>
      <c r="H440" s="1127"/>
      <c r="I440" s="633">
        <f t="shared" si="42"/>
        <v>0</v>
      </c>
      <c r="J440" s="633">
        <f t="shared" si="43"/>
        <v>0</v>
      </c>
      <c r="K440" s="633">
        <f t="shared" si="44"/>
        <v>0</v>
      </c>
      <c r="L440" s="1127"/>
      <c r="M440" s="1127"/>
      <c r="N440" s="1691">
        <f t="shared" si="39"/>
        <v>0</v>
      </c>
      <c r="O440" s="634">
        <f t="shared" si="40"/>
        <v>0</v>
      </c>
      <c r="P440" s="144"/>
      <c r="Q440" s="144"/>
      <c r="R440" s="144"/>
      <c r="S440" s="144"/>
    </row>
    <row r="441" spans="1:19" ht="14.25" customHeight="1">
      <c r="A441" s="630"/>
      <c r="B441" s="631"/>
      <c r="C441" s="1127"/>
      <c r="D441" s="632"/>
      <c r="E441" s="1127"/>
      <c r="F441" s="633">
        <f t="shared" si="41"/>
        <v>0</v>
      </c>
      <c r="G441" s="632"/>
      <c r="H441" s="1127"/>
      <c r="I441" s="633">
        <f t="shared" si="42"/>
        <v>0</v>
      </c>
      <c r="J441" s="633">
        <f t="shared" si="43"/>
        <v>0</v>
      </c>
      <c r="K441" s="633">
        <f t="shared" si="44"/>
        <v>0</v>
      </c>
      <c r="L441" s="1127"/>
      <c r="M441" s="1127"/>
      <c r="N441" s="1691">
        <f t="shared" si="39"/>
        <v>0</v>
      </c>
      <c r="O441" s="634">
        <f t="shared" si="40"/>
        <v>0</v>
      </c>
      <c r="P441" s="144"/>
      <c r="Q441" s="144"/>
      <c r="R441" s="144"/>
      <c r="S441" s="144"/>
    </row>
    <row r="442" spans="1:19" ht="14.25" customHeight="1">
      <c r="A442" s="630"/>
      <c r="B442" s="631"/>
      <c r="C442" s="1127"/>
      <c r="D442" s="632"/>
      <c r="E442" s="1127"/>
      <c r="F442" s="633">
        <f t="shared" si="41"/>
        <v>0</v>
      </c>
      <c r="G442" s="632"/>
      <c r="H442" s="1127"/>
      <c r="I442" s="633">
        <f t="shared" si="42"/>
        <v>0</v>
      </c>
      <c r="J442" s="633">
        <f t="shared" si="43"/>
        <v>0</v>
      </c>
      <c r="K442" s="633">
        <f t="shared" si="44"/>
        <v>0</v>
      </c>
      <c r="L442" s="1127"/>
      <c r="M442" s="1127"/>
      <c r="N442" s="1691">
        <f t="shared" si="39"/>
        <v>0</v>
      </c>
      <c r="O442" s="634">
        <f t="shared" si="40"/>
        <v>0</v>
      </c>
      <c r="P442" s="144"/>
      <c r="Q442" s="144"/>
      <c r="R442" s="144"/>
      <c r="S442" s="144"/>
    </row>
    <row r="443" spans="1:19" ht="14.25" customHeight="1">
      <c r="A443" s="630"/>
      <c r="B443" s="631"/>
      <c r="C443" s="1127"/>
      <c r="D443" s="632"/>
      <c r="E443" s="1127"/>
      <c r="F443" s="633">
        <f t="shared" si="41"/>
        <v>0</v>
      </c>
      <c r="G443" s="632"/>
      <c r="H443" s="1127"/>
      <c r="I443" s="633">
        <f t="shared" si="42"/>
        <v>0</v>
      </c>
      <c r="J443" s="633">
        <f t="shared" si="43"/>
        <v>0</v>
      </c>
      <c r="K443" s="633">
        <f t="shared" si="44"/>
        <v>0</v>
      </c>
      <c r="L443" s="1127"/>
      <c r="M443" s="1127"/>
      <c r="N443" s="1691">
        <f t="shared" si="39"/>
        <v>0</v>
      </c>
      <c r="O443" s="634">
        <f t="shared" si="40"/>
        <v>0</v>
      </c>
      <c r="P443" s="144"/>
      <c r="Q443" s="144"/>
      <c r="R443" s="144"/>
      <c r="S443" s="144"/>
    </row>
    <row r="444" spans="1:19" ht="14.25" customHeight="1">
      <c r="A444" s="630"/>
      <c r="B444" s="631"/>
      <c r="C444" s="1127"/>
      <c r="D444" s="632"/>
      <c r="E444" s="1127"/>
      <c r="F444" s="633">
        <f t="shared" si="41"/>
        <v>0</v>
      </c>
      <c r="G444" s="632"/>
      <c r="H444" s="1127"/>
      <c r="I444" s="633">
        <f t="shared" si="42"/>
        <v>0</v>
      </c>
      <c r="J444" s="633">
        <f t="shared" si="43"/>
        <v>0</v>
      </c>
      <c r="K444" s="633">
        <f t="shared" si="44"/>
        <v>0</v>
      </c>
      <c r="L444" s="1127"/>
      <c r="M444" s="1127"/>
      <c r="N444" s="1691">
        <f t="shared" si="39"/>
        <v>0</v>
      </c>
      <c r="O444" s="634">
        <f t="shared" si="40"/>
        <v>0</v>
      </c>
      <c r="P444" s="144"/>
      <c r="Q444" s="144"/>
      <c r="R444" s="144"/>
      <c r="S444" s="144"/>
    </row>
    <row r="445" spans="1:19" ht="14.25" customHeight="1">
      <c r="A445" s="630"/>
      <c r="B445" s="631"/>
      <c r="C445" s="1127"/>
      <c r="D445" s="632"/>
      <c r="E445" s="1127"/>
      <c r="F445" s="633">
        <f t="shared" si="41"/>
        <v>0</v>
      </c>
      <c r="G445" s="632"/>
      <c r="H445" s="1127"/>
      <c r="I445" s="633">
        <f t="shared" si="42"/>
        <v>0</v>
      </c>
      <c r="J445" s="633">
        <f t="shared" si="43"/>
        <v>0</v>
      </c>
      <c r="K445" s="633">
        <f t="shared" si="44"/>
        <v>0</v>
      </c>
      <c r="L445" s="1127"/>
      <c r="M445" s="1127"/>
      <c r="N445" s="1691">
        <f t="shared" si="39"/>
        <v>0</v>
      </c>
      <c r="O445" s="634">
        <f t="shared" si="40"/>
        <v>0</v>
      </c>
      <c r="P445" s="144"/>
      <c r="Q445" s="144"/>
      <c r="R445" s="144"/>
      <c r="S445" s="144"/>
    </row>
    <row r="446" spans="1:19" ht="14.25" customHeight="1">
      <c r="A446" s="630"/>
      <c r="B446" s="631"/>
      <c r="C446" s="1127"/>
      <c r="D446" s="632"/>
      <c r="E446" s="1127"/>
      <c r="F446" s="633">
        <f t="shared" si="41"/>
        <v>0</v>
      </c>
      <c r="G446" s="632"/>
      <c r="H446" s="1127"/>
      <c r="I446" s="633">
        <f t="shared" si="42"/>
        <v>0</v>
      </c>
      <c r="J446" s="633">
        <f t="shared" si="43"/>
        <v>0</v>
      </c>
      <c r="K446" s="633">
        <f t="shared" si="44"/>
        <v>0</v>
      </c>
      <c r="L446" s="1127"/>
      <c r="M446" s="1127"/>
      <c r="N446" s="1691">
        <f t="shared" si="39"/>
        <v>0</v>
      </c>
      <c r="O446" s="634">
        <f t="shared" si="40"/>
        <v>0</v>
      </c>
      <c r="P446" s="144"/>
      <c r="Q446" s="144"/>
      <c r="R446" s="144"/>
      <c r="S446" s="144"/>
    </row>
    <row r="447" spans="1:19" ht="14.25" customHeight="1">
      <c r="A447" s="630"/>
      <c r="B447" s="631"/>
      <c r="C447" s="1127"/>
      <c r="D447" s="632"/>
      <c r="E447" s="1127"/>
      <c r="F447" s="633">
        <f t="shared" si="41"/>
        <v>0</v>
      </c>
      <c r="G447" s="632"/>
      <c r="H447" s="1127"/>
      <c r="I447" s="633">
        <f t="shared" si="42"/>
        <v>0</v>
      </c>
      <c r="J447" s="633">
        <f t="shared" si="43"/>
        <v>0</v>
      </c>
      <c r="K447" s="633">
        <f t="shared" si="44"/>
        <v>0</v>
      </c>
      <c r="L447" s="1127"/>
      <c r="M447" s="1127"/>
      <c r="N447" s="1691">
        <f t="shared" si="39"/>
        <v>0</v>
      </c>
      <c r="O447" s="634">
        <f t="shared" si="40"/>
        <v>0</v>
      </c>
      <c r="P447" s="144"/>
      <c r="Q447" s="144"/>
      <c r="R447" s="144"/>
      <c r="S447" s="144"/>
    </row>
    <row r="448" spans="1:19" ht="14.25" customHeight="1">
      <c r="A448" s="630"/>
      <c r="B448" s="631"/>
      <c r="C448" s="1127"/>
      <c r="D448" s="632"/>
      <c r="E448" s="1127"/>
      <c r="F448" s="633">
        <f t="shared" si="41"/>
        <v>0</v>
      </c>
      <c r="G448" s="632"/>
      <c r="H448" s="1127"/>
      <c r="I448" s="633">
        <f t="shared" si="42"/>
        <v>0</v>
      </c>
      <c r="J448" s="633">
        <f t="shared" si="43"/>
        <v>0</v>
      </c>
      <c r="K448" s="633">
        <f t="shared" si="44"/>
        <v>0</v>
      </c>
      <c r="L448" s="1127"/>
      <c r="M448" s="1127"/>
      <c r="N448" s="1691">
        <f t="shared" si="39"/>
        <v>0</v>
      </c>
      <c r="O448" s="634">
        <f t="shared" si="40"/>
        <v>0</v>
      </c>
      <c r="P448" s="144"/>
      <c r="Q448" s="144"/>
      <c r="R448" s="144"/>
      <c r="S448" s="144"/>
    </row>
    <row r="449" spans="1:19" ht="14.25" customHeight="1">
      <c r="A449" s="630"/>
      <c r="B449" s="631"/>
      <c r="C449" s="1127"/>
      <c r="D449" s="632"/>
      <c r="E449" s="1127"/>
      <c r="F449" s="633">
        <f t="shared" si="41"/>
        <v>0</v>
      </c>
      <c r="G449" s="632"/>
      <c r="H449" s="1127"/>
      <c r="I449" s="633">
        <f t="shared" si="42"/>
        <v>0</v>
      </c>
      <c r="J449" s="633">
        <f t="shared" si="43"/>
        <v>0</v>
      </c>
      <c r="K449" s="633">
        <f t="shared" si="44"/>
        <v>0</v>
      </c>
      <c r="L449" s="1127"/>
      <c r="M449" s="1127"/>
      <c r="N449" s="1691">
        <f t="shared" si="39"/>
        <v>0</v>
      </c>
      <c r="O449" s="634">
        <f t="shared" si="40"/>
        <v>0</v>
      </c>
      <c r="P449" s="144"/>
      <c r="Q449" s="144"/>
      <c r="R449" s="144"/>
      <c r="S449" s="144"/>
    </row>
    <row r="450" spans="1:19" ht="14.25" customHeight="1">
      <c r="A450" s="630"/>
      <c r="B450" s="631"/>
      <c r="C450" s="1127"/>
      <c r="D450" s="632"/>
      <c r="E450" s="1127"/>
      <c r="F450" s="633">
        <f t="shared" si="41"/>
        <v>0</v>
      </c>
      <c r="G450" s="632"/>
      <c r="H450" s="1127"/>
      <c r="I450" s="633">
        <f t="shared" si="42"/>
        <v>0</v>
      </c>
      <c r="J450" s="633">
        <f t="shared" si="43"/>
        <v>0</v>
      </c>
      <c r="K450" s="633">
        <f t="shared" si="44"/>
        <v>0</v>
      </c>
      <c r="L450" s="1127"/>
      <c r="M450" s="1127"/>
      <c r="N450" s="1691">
        <f t="shared" si="39"/>
        <v>0</v>
      </c>
      <c r="O450" s="634">
        <f t="shared" si="40"/>
        <v>0</v>
      </c>
      <c r="P450" s="144"/>
      <c r="Q450" s="144"/>
      <c r="R450" s="144"/>
      <c r="S450" s="144"/>
    </row>
    <row r="451" spans="1:19" ht="14.25" customHeight="1">
      <c r="A451" s="630"/>
      <c r="B451" s="631"/>
      <c r="C451" s="1127"/>
      <c r="D451" s="632"/>
      <c r="E451" s="1127"/>
      <c r="F451" s="633">
        <f t="shared" si="41"/>
        <v>0</v>
      </c>
      <c r="G451" s="632"/>
      <c r="H451" s="1127"/>
      <c r="I451" s="633">
        <f t="shared" si="42"/>
        <v>0</v>
      </c>
      <c r="J451" s="633">
        <f t="shared" si="43"/>
        <v>0</v>
      </c>
      <c r="K451" s="633">
        <f t="shared" si="44"/>
        <v>0</v>
      </c>
      <c r="L451" s="1127"/>
      <c r="M451" s="1127"/>
      <c r="N451" s="1691">
        <f t="shared" si="39"/>
        <v>0</v>
      </c>
      <c r="O451" s="634">
        <f t="shared" si="40"/>
        <v>0</v>
      </c>
      <c r="P451" s="144"/>
      <c r="Q451" s="144"/>
      <c r="R451" s="144"/>
      <c r="S451" s="144"/>
    </row>
    <row r="452" spans="1:19" ht="14.25" customHeight="1">
      <c r="A452" s="630"/>
      <c r="B452" s="631"/>
      <c r="C452" s="1127"/>
      <c r="D452" s="632"/>
      <c r="E452" s="1127"/>
      <c r="F452" s="633">
        <f t="shared" si="41"/>
        <v>0</v>
      </c>
      <c r="G452" s="632"/>
      <c r="H452" s="1127"/>
      <c r="I452" s="633">
        <f t="shared" si="42"/>
        <v>0</v>
      </c>
      <c r="J452" s="633">
        <f t="shared" si="43"/>
        <v>0</v>
      </c>
      <c r="K452" s="633">
        <f t="shared" si="44"/>
        <v>0</v>
      </c>
      <c r="L452" s="1127"/>
      <c r="M452" s="1127"/>
      <c r="N452" s="1691">
        <f t="shared" si="39"/>
        <v>0</v>
      </c>
      <c r="O452" s="634">
        <f t="shared" si="40"/>
        <v>0</v>
      </c>
      <c r="P452" s="144"/>
      <c r="Q452" s="144"/>
      <c r="R452" s="144"/>
      <c r="S452" s="144"/>
    </row>
    <row r="453" spans="1:19" ht="14.25" customHeight="1">
      <c r="A453" s="630"/>
      <c r="B453" s="631"/>
      <c r="C453" s="1127"/>
      <c r="D453" s="632"/>
      <c r="E453" s="1127"/>
      <c r="F453" s="633">
        <f t="shared" si="41"/>
        <v>0</v>
      </c>
      <c r="G453" s="632"/>
      <c r="H453" s="1127"/>
      <c r="I453" s="633">
        <f t="shared" si="42"/>
        <v>0</v>
      </c>
      <c r="J453" s="633">
        <f t="shared" si="43"/>
        <v>0</v>
      </c>
      <c r="K453" s="633">
        <f t="shared" si="44"/>
        <v>0</v>
      </c>
      <c r="L453" s="1127"/>
      <c r="M453" s="1127"/>
      <c r="N453" s="1691">
        <f t="shared" si="39"/>
        <v>0</v>
      </c>
      <c r="O453" s="634">
        <f t="shared" si="40"/>
        <v>0</v>
      </c>
      <c r="P453" s="144"/>
      <c r="Q453" s="144"/>
      <c r="R453" s="144"/>
      <c r="S453" s="144"/>
    </row>
    <row r="454" spans="1:19" ht="14.25" customHeight="1">
      <c r="A454" s="630"/>
      <c r="B454" s="631"/>
      <c r="C454" s="1127"/>
      <c r="D454" s="632"/>
      <c r="E454" s="1127"/>
      <c r="F454" s="633">
        <f t="shared" si="41"/>
        <v>0</v>
      </c>
      <c r="G454" s="632"/>
      <c r="H454" s="1127"/>
      <c r="I454" s="633">
        <f t="shared" si="42"/>
        <v>0</v>
      </c>
      <c r="J454" s="633">
        <f t="shared" si="43"/>
        <v>0</v>
      </c>
      <c r="K454" s="633">
        <f t="shared" si="44"/>
        <v>0</v>
      </c>
      <c r="L454" s="1127"/>
      <c r="M454" s="1127"/>
      <c r="N454" s="1691">
        <f t="shared" si="39"/>
        <v>0</v>
      </c>
      <c r="O454" s="634">
        <f t="shared" si="40"/>
        <v>0</v>
      </c>
      <c r="P454" s="144"/>
      <c r="Q454" s="144"/>
      <c r="R454" s="144"/>
      <c r="S454" s="144"/>
    </row>
    <row r="455" spans="1:19" ht="14.25" customHeight="1">
      <c r="A455" s="630"/>
      <c r="B455" s="631"/>
      <c r="C455" s="1127"/>
      <c r="D455" s="632"/>
      <c r="E455" s="1127"/>
      <c r="F455" s="633">
        <f t="shared" si="41"/>
        <v>0</v>
      </c>
      <c r="G455" s="632"/>
      <c r="H455" s="1127"/>
      <c r="I455" s="633">
        <f t="shared" si="42"/>
        <v>0</v>
      </c>
      <c r="J455" s="633">
        <f t="shared" si="43"/>
        <v>0</v>
      </c>
      <c r="K455" s="633">
        <f t="shared" si="44"/>
        <v>0</v>
      </c>
      <c r="L455" s="1127"/>
      <c r="M455" s="1127"/>
      <c r="N455" s="1691">
        <f t="shared" si="39"/>
        <v>0</v>
      </c>
      <c r="O455" s="634">
        <f t="shared" si="40"/>
        <v>0</v>
      </c>
      <c r="P455" s="144"/>
      <c r="Q455" s="144"/>
      <c r="R455" s="144"/>
      <c r="S455" s="144"/>
    </row>
    <row r="456" spans="1:19" ht="14.25" customHeight="1">
      <c r="A456" s="630"/>
      <c r="B456" s="631"/>
      <c r="C456" s="1127"/>
      <c r="D456" s="632"/>
      <c r="E456" s="1127"/>
      <c r="F456" s="633">
        <f t="shared" si="41"/>
        <v>0</v>
      </c>
      <c r="G456" s="632"/>
      <c r="H456" s="1127"/>
      <c r="I456" s="633">
        <f t="shared" si="42"/>
        <v>0</v>
      </c>
      <c r="J456" s="633">
        <f t="shared" si="43"/>
        <v>0</v>
      </c>
      <c r="K456" s="633">
        <f t="shared" si="44"/>
        <v>0</v>
      </c>
      <c r="L456" s="1127"/>
      <c r="M456" s="1127"/>
      <c r="N456" s="1691">
        <f t="shared" si="39"/>
        <v>0</v>
      </c>
      <c r="O456" s="634">
        <f t="shared" si="40"/>
        <v>0</v>
      </c>
      <c r="P456" s="144"/>
      <c r="Q456" s="144"/>
      <c r="R456" s="144"/>
      <c r="S456" s="144"/>
    </row>
    <row r="457" spans="1:19" ht="14.25" customHeight="1">
      <c r="A457" s="630"/>
      <c r="B457" s="631"/>
      <c r="C457" s="1127"/>
      <c r="D457" s="632"/>
      <c r="E457" s="1127"/>
      <c r="F457" s="633">
        <f t="shared" si="41"/>
        <v>0</v>
      </c>
      <c r="G457" s="632"/>
      <c r="H457" s="1127"/>
      <c r="I457" s="633">
        <f t="shared" si="42"/>
        <v>0</v>
      </c>
      <c r="J457" s="633">
        <f t="shared" si="43"/>
        <v>0</v>
      </c>
      <c r="K457" s="633">
        <f t="shared" si="44"/>
        <v>0</v>
      </c>
      <c r="L457" s="1127"/>
      <c r="M457" s="1127"/>
      <c r="N457" s="1691">
        <f t="shared" si="39"/>
        <v>0</v>
      </c>
      <c r="O457" s="634">
        <f t="shared" si="40"/>
        <v>0</v>
      </c>
      <c r="P457" s="144"/>
      <c r="Q457" s="144"/>
      <c r="R457" s="144"/>
      <c r="S457" s="144"/>
    </row>
    <row r="458" spans="1:19" ht="14.25" customHeight="1">
      <c r="A458" s="630"/>
      <c r="B458" s="631"/>
      <c r="C458" s="1127"/>
      <c r="D458" s="632"/>
      <c r="E458" s="1127"/>
      <c r="F458" s="633">
        <f t="shared" si="41"/>
        <v>0</v>
      </c>
      <c r="G458" s="632"/>
      <c r="H458" s="1127"/>
      <c r="I458" s="633">
        <f t="shared" si="42"/>
        <v>0</v>
      </c>
      <c r="J458" s="633">
        <f t="shared" si="43"/>
        <v>0</v>
      </c>
      <c r="K458" s="633">
        <f t="shared" si="44"/>
        <v>0</v>
      </c>
      <c r="L458" s="1127"/>
      <c r="M458" s="1127"/>
      <c r="N458" s="1691">
        <f t="shared" ref="N458:N521" si="45">IF(M458&lt;&gt;0,ROUND(B458*K458,2)+M458,IF(ABS(ROUND(K458*B458,2)-L458)&lt;3,L458,MIN(ROUND(K458*B458,2),L458)))</f>
        <v>0</v>
      </c>
      <c r="O458" s="634">
        <f t="shared" ref="O458:O521" si="46">IF(ISERROR(L458-N458),"",IF(ABS(L458-N458)&lt;3,0,L458-N458))</f>
        <v>0</v>
      </c>
      <c r="P458" s="144"/>
      <c r="Q458" s="144"/>
      <c r="R458" s="144"/>
      <c r="S458" s="144"/>
    </row>
    <row r="459" spans="1:19" ht="14.25" customHeight="1">
      <c r="A459" s="630"/>
      <c r="B459" s="631"/>
      <c r="C459" s="1127"/>
      <c r="D459" s="632"/>
      <c r="E459" s="1127"/>
      <c r="F459" s="633">
        <f t="shared" ref="F459:F522" si="47">E459*(12-MONTH(D459))/12</f>
        <v>0</v>
      </c>
      <c r="G459" s="632"/>
      <c r="H459" s="1127"/>
      <c r="I459" s="633">
        <f t="shared" ref="I459:I522" si="48">H459*(12-MONTH(G459))/12</f>
        <v>0</v>
      </c>
      <c r="J459" s="633">
        <f t="shared" ref="J459:J522" si="49">C459+E459-H459</f>
        <v>0</v>
      </c>
      <c r="K459" s="633">
        <f t="shared" ref="K459:K522" si="50">C459+F459-I459</f>
        <v>0</v>
      </c>
      <c r="L459" s="1127"/>
      <c r="M459" s="1127"/>
      <c r="N459" s="1691">
        <f t="shared" si="45"/>
        <v>0</v>
      </c>
      <c r="O459" s="634">
        <f t="shared" si="46"/>
        <v>0</v>
      </c>
      <c r="P459" s="144"/>
      <c r="Q459" s="144"/>
      <c r="R459" s="144"/>
      <c r="S459" s="144"/>
    </row>
    <row r="460" spans="1:19" ht="14.25" customHeight="1">
      <c r="A460" s="630"/>
      <c r="B460" s="631"/>
      <c r="C460" s="1127"/>
      <c r="D460" s="632"/>
      <c r="E460" s="1127"/>
      <c r="F460" s="633">
        <f t="shared" si="47"/>
        <v>0</v>
      </c>
      <c r="G460" s="632"/>
      <c r="H460" s="1127"/>
      <c r="I460" s="633">
        <f t="shared" si="48"/>
        <v>0</v>
      </c>
      <c r="J460" s="633">
        <f t="shared" si="49"/>
        <v>0</v>
      </c>
      <c r="K460" s="633">
        <f t="shared" si="50"/>
        <v>0</v>
      </c>
      <c r="L460" s="1127"/>
      <c r="M460" s="1127"/>
      <c r="N460" s="1691">
        <f t="shared" si="45"/>
        <v>0</v>
      </c>
      <c r="O460" s="634">
        <f t="shared" si="46"/>
        <v>0</v>
      </c>
      <c r="P460" s="144"/>
      <c r="Q460" s="144"/>
      <c r="R460" s="144"/>
      <c r="S460" s="144"/>
    </row>
    <row r="461" spans="1:19" ht="14.25" customHeight="1">
      <c r="A461" s="630"/>
      <c r="B461" s="631"/>
      <c r="C461" s="1127"/>
      <c r="D461" s="632"/>
      <c r="E461" s="1127"/>
      <c r="F461" s="633">
        <f t="shared" si="47"/>
        <v>0</v>
      </c>
      <c r="G461" s="632"/>
      <c r="H461" s="1127"/>
      <c r="I461" s="633">
        <f t="shared" si="48"/>
        <v>0</v>
      </c>
      <c r="J461" s="633">
        <f t="shared" si="49"/>
        <v>0</v>
      </c>
      <c r="K461" s="633">
        <f t="shared" si="50"/>
        <v>0</v>
      </c>
      <c r="L461" s="1127"/>
      <c r="M461" s="1127"/>
      <c r="N461" s="1691">
        <f t="shared" si="45"/>
        <v>0</v>
      </c>
      <c r="O461" s="634">
        <f t="shared" si="46"/>
        <v>0</v>
      </c>
      <c r="P461" s="144"/>
      <c r="Q461" s="144"/>
      <c r="R461" s="144"/>
      <c r="S461" s="144"/>
    </row>
    <row r="462" spans="1:19" ht="14.25" customHeight="1">
      <c r="A462" s="630"/>
      <c r="B462" s="631"/>
      <c r="C462" s="1127"/>
      <c r="D462" s="632"/>
      <c r="E462" s="1127"/>
      <c r="F462" s="633">
        <f t="shared" si="47"/>
        <v>0</v>
      </c>
      <c r="G462" s="632"/>
      <c r="H462" s="1127"/>
      <c r="I462" s="633">
        <f t="shared" si="48"/>
        <v>0</v>
      </c>
      <c r="J462" s="633">
        <f t="shared" si="49"/>
        <v>0</v>
      </c>
      <c r="K462" s="633">
        <f t="shared" si="50"/>
        <v>0</v>
      </c>
      <c r="L462" s="1127"/>
      <c r="M462" s="1127"/>
      <c r="N462" s="1691">
        <f t="shared" si="45"/>
        <v>0</v>
      </c>
      <c r="O462" s="634">
        <f t="shared" si="46"/>
        <v>0</v>
      </c>
      <c r="P462" s="144"/>
      <c r="Q462" s="144"/>
      <c r="R462" s="144"/>
      <c r="S462" s="144"/>
    </row>
    <row r="463" spans="1:19" ht="14.25" customHeight="1">
      <c r="A463" s="630"/>
      <c r="B463" s="631"/>
      <c r="C463" s="1127"/>
      <c r="D463" s="632"/>
      <c r="E463" s="1127"/>
      <c r="F463" s="633">
        <f t="shared" si="47"/>
        <v>0</v>
      </c>
      <c r="G463" s="632"/>
      <c r="H463" s="1127"/>
      <c r="I463" s="633">
        <f t="shared" si="48"/>
        <v>0</v>
      </c>
      <c r="J463" s="633">
        <f t="shared" si="49"/>
        <v>0</v>
      </c>
      <c r="K463" s="633">
        <f t="shared" si="50"/>
        <v>0</v>
      </c>
      <c r="L463" s="1127"/>
      <c r="M463" s="1127"/>
      <c r="N463" s="1691">
        <f t="shared" si="45"/>
        <v>0</v>
      </c>
      <c r="O463" s="634">
        <f t="shared" si="46"/>
        <v>0</v>
      </c>
      <c r="P463" s="144"/>
      <c r="Q463" s="144"/>
      <c r="R463" s="144"/>
      <c r="S463" s="144"/>
    </row>
    <row r="464" spans="1:19" ht="14.25" customHeight="1">
      <c r="A464" s="630"/>
      <c r="B464" s="631"/>
      <c r="C464" s="1127"/>
      <c r="D464" s="632"/>
      <c r="E464" s="1127"/>
      <c r="F464" s="633">
        <f t="shared" si="47"/>
        <v>0</v>
      </c>
      <c r="G464" s="632"/>
      <c r="H464" s="1127"/>
      <c r="I464" s="633">
        <f t="shared" si="48"/>
        <v>0</v>
      </c>
      <c r="J464" s="633">
        <f t="shared" si="49"/>
        <v>0</v>
      </c>
      <c r="K464" s="633">
        <f t="shared" si="50"/>
        <v>0</v>
      </c>
      <c r="L464" s="1127"/>
      <c r="M464" s="1127"/>
      <c r="N464" s="1691">
        <f t="shared" si="45"/>
        <v>0</v>
      </c>
      <c r="O464" s="634">
        <f t="shared" si="46"/>
        <v>0</v>
      </c>
      <c r="P464" s="144"/>
      <c r="Q464" s="144"/>
      <c r="R464" s="144"/>
      <c r="S464" s="144"/>
    </row>
    <row r="465" spans="1:19" ht="14.25" customHeight="1">
      <c r="A465" s="630"/>
      <c r="B465" s="631"/>
      <c r="C465" s="1127"/>
      <c r="D465" s="632"/>
      <c r="E465" s="1127"/>
      <c r="F465" s="633">
        <f t="shared" si="47"/>
        <v>0</v>
      </c>
      <c r="G465" s="632"/>
      <c r="H465" s="1127"/>
      <c r="I465" s="633">
        <f t="shared" si="48"/>
        <v>0</v>
      </c>
      <c r="J465" s="633">
        <f t="shared" si="49"/>
        <v>0</v>
      </c>
      <c r="K465" s="633">
        <f t="shared" si="50"/>
        <v>0</v>
      </c>
      <c r="L465" s="1127"/>
      <c r="M465" s="1127"/>
      <c r="N465" s="1691">
        <f t="shared" si="45"/>
        <v>0</v>
      </c>
      <c r="O465" s="634">
        <f t="shared" si="46"/>
        <v>0</v>
      </c>
      <c r="P465" s="144"/>
      <c r="Q465" s="144"/>
      <c r="R465" s="144"/>
      <c r="S465" s="144"/>
    </row>
    <row r="466" spans="1:19" ht="14.25" customHeight="1">
      <c r="A466" s="630"/>
      <c r="B466" s="631"/>
      <c r="C466" s="1127"/>
      <c r="D466" s="632"/>
      <c r="E466" s="1127"/>
      <c r="F466" s="633">
        <f t="shared" si="47"/>
        <v>0</v>
      </c>
      <c r="G466" s="632"/>
      <c r="H466" s="1127"/>
      <c r="I466" s="633">
        <f t="shared" si="48"/>
        <v>0</v>
      </c>
      <c r="J466" s="633">
        <f t="shared" si="49"/>
        <v>0</v>
      </c>
      <c r="K466" s="633">
        <f t="shared" si="50"/>
        <v>0</v>
      </c>
      <c r="L466" s="1127"/>
      <c r="M466" s="1127"/>
      <c r="N466" s="1691">
        <f t="shared" si="45"/>
        <v>0</v>
      </c>
      <c r="O466" s="634">
        <f t="shared" si="46"/>
        <v>0</v>
      </c>
      <c r="P466" s="144"/>
      <c r="Q466" s="144"/>
      <c r="R466" s="144"/>
      <c r="S466" s="144"/>
    </row>
    <row r="467" spans="1:19" ht="14.25" customHeight="1">
      <c r="A467" s="630"/>
      <c r="B467" s="631"/>
      <c r="C467" s="1127"/>
      <c r="D467" s="632"/>
      <c r="E467" s="1127"/>
      <c r="F467" s="633">
        <f t="shared" si="47"/>
        <v>0</v>
      </c>
      <c r="G467" s="632"/>
      <c r="H467" s="1127"/>
      <c r="I467" s="633">
        <f t="shared" si="48"/>
        <v>0</v>
      </c>
      <c r="J467" s="633">
        <f t="shared" si="49"/>
        <v>0</v>
      </c>
      <c r="K467" s="633">
        <f t="shared" si="50"/>
        <v>0</v>
      </c>
      <c r="L467" s="1127"/>
      <c r="M467" s="1127"/>
      <c r="N467" s="1691">
        <f t="shared" si="45"/>
        <v>0</v>
      </c>
      <c r="O467" s="634">
        <f t="shared" si="46"/>
        <v>0</v>
      </c>
      <c r="P467" s="144"/>
      <c r="Q467" s="144"/>
      <c r="R467" s="144"/>
      <c r="S467" s="144"/>
    </row>
    <row r="468" spans="1:19" ht="14.25" customHeight="1">
      <c r="A468" s="630"/>
      <c r="B468" s="631"/>
      <c r="C468" s="1127"/>
      <c r="D468" s="632"/>
      <c r="E468" s="1127"/>
      <c r="F468" s="633">
        <f t="shared" si="47"/>
        <v>0</v>
      </c>
      <c r="G468" s="632"/>
      <c r="H468" s="1127"/>
      <c r="I468" s="633">
        <f t="shared" si="48"/>
        <v>0</v>
      </c>
      <c r="J468" s="633">
        <f t="shared" si="49"/>
        <v>0</v>
      </c>
      <c r="K468" s="633">
        <f t="shared" si="50"/>
        <v>0</v>
      </c>
      <c r="L468" s="1127"/>
      <c r="M468" s="1127"/>
      <c r="N468" s="1691">
        <f t="shared" si="45"/>
        <v>0</v>
      </c>
      <c r="O468" s="634">
        <f t="shared" si="46"/>
        <v>0</v>
      </c>
      <c r="P468" s="144"/>
      <c r="Q468" s="144"/>
      <c r="R468" s="144"/>
      <c r="S468" s="144"/>
    </row>
    <row r="469" spans="1:19" ht="14.25" customHeight="1">
      <c r="A469" s="630"/>
      <c r="B469" s="631"/>
      <c r="C469" s="1127"/>
      <c r="D469" s="632"/>
      <c r="E469" s="1127"/>
      <c r="F469" s="633">
        <f t="shared" si="47"/>
        <v>0</v>
      </c>
      <c r="G469" s="632"/>
      <c r="H469" s="1127"/>
      <c r="I469" s="633">
        <f t="shared" si="48"/>
        <v>0</v>
      </c>
      <c r="J469" s="633">
        <f t="shared" si="49"/>
        <v>0</v>
      </c>
      <c r="K469" s="633">
        <f t="shared" si="50"/>
        <v>0</v>
      </c>
      <c r="L469" s="1127"/>
      <c r="M469" s="1127"/>
      <c r="N469" s="1691">
        <f t="shared" si="45"/>
        <v>0</v>
      </c>
      <c r="O469" s="634">
        <f t="shared" si="46"/>
        <v>0</v>
      </c>
      <c r="P469" s="144"/>
      <c r="Q469" s="144"/>
      <c r="R469" s="144"/>
      <c r="S469" s="144"/>
    </row>
    <row r="470" spans="1:19" ht="14.25" customHeight="1">
      <c r="A470" s="630"/>
      <c r="B470" s="631"/>
      <c r="C470" s="1127"/>
      <c r="D470" s="632"/>
      <c r="E470" s="1127"/>
      <c r="F470" s="633">
        <f t="shared" si="47"/>
        <v>0</v>
      </c>
      <c r="G470" s="632"/>
      <c r="H470" s="1127"/>
      <c r="I470" s="633">
        <f t="shared" si="48"/>
        <v>0</v>
      </c>
      <c r="J470" s="633">
        <f t="shared" si="49"/>
        <v>0</v>
      </c>
      <c r="K470" s="633">
        <f t="shared" si="50"/>
        <v>0</v>
      </c>
      <c r="L470" s="1127"/>
      <c r="M470" s="1127"/>
      <c r="N470" s="1691">
        <f t="shared" si="45"/>
        <v>0</v>
      </c>
      <c r="O470" s="634">
        <f t="shared" si="46"/>
        <v>0</v>
      </c>
      <c r="P470" s="144"/>
      <c r="Q470" s="144"/>
      <c r="R470" s="144"/>
      <c r="S470" s="144"/>
    </row>
    <row r="471" spans="1:19" ht="14.25" customHeight="1">
      <c r="A471" s="630"/>
      <c r="B471" s="631"/>
      <c r="C471" s="1127"/>
      <c r="D471" s="632"/>
      <c r="E471" s="1127"/>
      <c r="F471" s="633">
        <f t="shared" si="47"/>
        <v>0</v>
      </c>
      <c r="G471" s="632"/>
      <c r="H471" s="1127"/>
      <c r="I471" s="633">
        <f t="shared" si="48"/>
        <v>0</v>
      </c>
      <c r="J471" s="633">
        <f t="shared" si="49"/>
        <v>0</v>
      </c>
      <c r="K471" s="633">
        <f t="shared" si="50"/>
        <v>0</v>
      </c>
      <c r="L471" s="1127"/>
      <c r="M471" s="1127"/>
      <c r="N471" s="1691">
        <f t="shared" si="45"/>
        <v>0</v>
      </c>
      <c r="O471" s="634">
        <f t="shared" si="46"/>
        <v>0</v>
      </c>
      <c r="P471" s="144"/>
      <c r="Q471" s="144"/>
      <c r="R471" s="144"/>
      <c r="S471" s="144"/>
    </row>
    <row r="472" spans="1:19" ht="14.25" customHeight="1">
      <c r="A472" s="630"/>
      <c r="B472" s="631"/>
      <c r="C472" s="1127"/>
      <c r="D472" s="632"/>
      <c r="E472" s="1127"/>
      <c r="F472" s="633">
        <f t="shared" si="47"/>
        <v>0</v>
      </c>
      <c r="G472" s="632"/>
      <c r="H472" s="1127"/>
      <c r="I472" s="633">
        <f t="shared" si="48"/>
        <v>0</v>
      </c>
      <c r="J472" s="633">
        <f t="shared" si="49"/>
        <v>0</v>
      </c>
      <c r="K472" s="633">
        <f t="shared" si="50"/>
        <v>0</v>
      </c>
      <c r="L472" s="1127"/>
      <c r="M472" s="1127"/>
      <c r="N472" s="1691">
        <f t="shared" si="45"/>
        <v>0</v>
      </c>
      <c r="O472" s="634">
        <f t="shared" si="46"/>
        <v>0</v>
      </c>
      <c r="P472" s="144"/>
      <c r="Q472" s="144"/>
      <c r="R472" s="144"/>
      <c r="S472" s="144"/>
    </row>
    <row r="473" spans="1:19" ht="14.25" customHeight="1">
      <c r="A473" s="630"/>
      <c r="B473" s="631"/>
      <c r="C473" s="1127"/>
      <c r="D473" s="632"/>
      <c r="E473" s="1127"/>
      <c r="F473" s="633">
        <f t="shared" si="47"/>
        <v>0</v>
      </c>
      <c r="G473" s="632"/>
      <c r="H473" s="1127"/>
      <c r="I473" s="633">
        <f t="shared" si="48"/>
        <v>0</v>
      </c>
      <c r="J473" s="633">
        <f t="shared" si="49"/>
        <v>0</v>
      </c>
      <c r="K473" s="633">
        <f t="shared" si="50"/>
        <v>0</v>
      </c>
      <c r="L473" s="1127"/>
      <c r="M473" s="1127"/>
      <c r="N473" s="1691">
        <f t="shared" si="45"/>
        <v>0</v>
      </c>
      <c r="O473" s="634">
        <f t="shared" si="46"/>
        <v>0</v>
      </c>
      <c r="P473" s="144"/>
      <c r="Q473" s="144"/>
      <c r="R473" s="144"/>
      <c r="S473" s="144"/>
    </row>
    <row r="474" spans="1:19" ht="14.25" customHeight="1">
      <c r="A474" s="630"/>
      <c r="B474" s="631"/>
      <c r="C474" s="1127"/>
      <c r="D474" s="632"/>
      <c r="E474" s="1127"/>
      <c r="F474" s="633">
        <f t="shared" si="47"/>
        <v>0</v>
      </c>
      <c r="G474" s="632"/>
      <c r="H474" s="1127"/>
      <c r="I474" s="633">
        <f t="shared" si="48"/>
        <v>0</v>
      </c>
      <c r="J474" s="633">
        <f t="shared" si="49"/>
        <v>0</v>
      </c>
      <c r="K474" s="633">
        <f t="shared" si="50"/>
        <v>0</v>
      </c>
      <c r="L474" s="1127"/>
      <c r="M474" s="1127"/>
      <c r="N474" s="1691">
        <f t="shared" si="45"/>
        <v>0</v>
      </c>
      <c r="O474" s="634">
        <f t="shared" si="46"/>
        <v>0</v>
      </c>
      <c r="P474" s="144"/>
      <c r="Q474" s="144"/>
      <c r="R474" s="144"/>
      <c r="S474" s="144"/>
    </row>
    <row r="475" spans="1:19" ht="14.25" customHeight="1">
      <c r="A475" s="630"/>
      <c r="B475" s="631"/>
      <c r="C475" s="1127"/>
      <c r="D475" s="632"/>
      <c r="E475" s="1127"/>
      <c r="F475" s="633">
        <f t="shared" si="47"/>
        <v>0</v>
      </c>
      <c r="G475" s="632"/>
      <c r="H475" s="1127"/>
      <c r="I475" s="633">
        <f t="shared" si="48"/>
        <v>0</v>
      </c>
      <c r="J475" s="633">
        <f t="shared" si="49"/>
        <v>0</v>
      </c>
      <c r="K475" s="633">
        <f t="shared" si="50"/>
        <v>0</v>
      </c>
      <c r="L475" s="1127"/>
      <c r="M475" s="1127"/>
      <c r="N475" s="1691">
        <f t="shared" si="45"/>
        <v>0</v>
      </c>
      <c r="O475" s="634">
        <f t="shared" si="46"/>
        <v>0</v>
      </c>
      <c r="P475" s="144"/>
      <c r="Q475" s="144"/>
      <c r="R475" s="144"/>
      <c r="S475" s="144"/>
    </row>
    <row r="476" spans="1:19" ht="14.25" customHeight="1">
      <c r="A476" s="630"/>
      <c r="B476" s="631"/>
      <c r="C476" s="1127"/>
      <c r="D476" s="632"/>
      <c r="E476" s="1127"/>
      <c r="F476" s="633">
        <f t="shared" si="47"/>
        <v>0</v>
      </c>
      <c r="G476" s="632"/>
      <c r="H476" s="1127"/>
      <c r="I476" s="633">
        <f t="shared" si="48"/>
        <v>0</v>
      </c>
      <c r="J476" s="633">
        <f t="shared" si="49"/>
        <v>0</v>
      </c>
      <c r="K476" s="633">
        <f t="shared" si="50"/>
        <v>0</v>
      </c>
      <c r="L476" s="1127"/>
      <c r="M476" s="1127"/>
      <c r="N476" s="1691">
        <f t="shared" si="45"/>
        <v>0</v>
      </c>
      <c r="O476" s="634">
        <f t="shared" si="46"/>
        <v>0</v>
      </c>
      <c r="P476" s="144"/>
      <c r="Q476" s="144"/>
      <c r="R476" s="144"/>
      <c r="S476" s="144"/>
    </row>
    <row r="477" spans="1:19" ht="14.25" customHeight="1">
      <c r="A477" s="630"/>
      <c r="B477" s="631"/>
      <c r="C477" s="1127"/>
      <c r="D477" s="632"/>
      <c r="E477" s="1127"/>
      <c r="F477" s="633">
        <f t="shared" si="47"/>
        <v>0</v>
      </c>
      <c r="G477" s="632"/>
      <c r="H477" s="1127"/>
      <c r="I477" s="633">
        <f t="shared" si="48"/>
        <v>0</v>
      </c>
      <c r="J477" s="633">
        <f t="shared" si="49"/>
        <v>0</v>
      </c>
      <c r="K477" s="633">
        <f t="shared" si="50"/>
        <v>0</v>
      </c>
      <c r="L477" s="1127"/>
      <c r="M477" s="1127"/>
      <c r="N477" s="1691">
        <f t="shared" si="45"/>
        <v>0</v>
      </c>
      <c r="O477" s="634">
        <f t="shared" si="46"/>
        <v>0</v>
      </c>
      <c r="P477" s="144"/>
      <c r="Q477" s="144"/>
      <c r="R477" s="144"/>
      <c r="S477" s="144"/>
    </row>
    <row r="478" spans="1:19" ht="14.25" customHeight="1">
      <c r="A478" s="630"/>
      <c r="B478" s="631"/>
      <c r="C478" s="1127"/>
      <c r="D478" s="632"/>
      <c r="E478" s="1127"/>
      <c r="F478" s="633">
        <f t="shared" si="47"/>
        <v>0</v>
      </c>
      <c r="G478" s="632"/>
      <c r="H478" s="1127"/>
      <c r="I478" s="633">
        <f t="shared" si="48"/>
        <v>0</v>
      </c>
      <c r="J478" s="633">
        <f t="shared" si="49"/>
        <v>0</v>
      </c>
      <c r="K478" s="633">
        <f t="shared" si="50"/>
        <v>0</v>
      </c>
      <c r="L478" s="1127"/>
      <c r="M478" s="1127"/>
      <c r="N478" s="1691">
        <f t="shared" si="45"/>
        <v>0</v>
      </c>
      <c r="O478" s="634">
        <f t="shared" si="46"/>
        <v>0</v>
      </c>
      <c r="P478" s="144"/>
      <c r="Q478" s="144"/>
      <c r="R478" s="144"/>
      <c r="S478" s="144"/>
    </row>
    <row r="479" spans="1:19" ht="14.25" customHeight="1">
      <c r="A479" s="630"/>
      <c r="B479" s="631"/>
      <c r="C479" s="1127"/>
      <c r="D479" s="632"/>
      <c r="E479" s="1127"/>
      <c r="F479" s="633">
        <f t="shared" si="47"/>
        <v>0</v>
      </c>
      <c r="G479" s="632"/>
      <c r="H479" s="1127"/>
      <c r="I479" s="633">
        <f t="shared" si="48"/>
        <v>0</v>
      </c>
      <c r="J479" s="633">
        <f t="shared" si="49"/>
        <v>0</v>
      </c>
      <c r="K479" s="633">
        <f t="shared" si="50"/>
        <v>0</v>
      </c>
      <c r="L479" s="1127"/>
      <c r="M479" s="1127"/>
      <c r="N479" s="1691">
        <f t="shared" si="45"/>
        <v>0</v>
      </c>
      <c r="O479" s="634">
        <f t="shared" si="46"/>
        <v>0</v>
      </c>
      <c r="P479" s="144"/>
      <c r="Q479" s="144"/>
      <c r="R479" s="144"/>
      <c r="S479" s="144"/>
    </row>
    <row r="480" spans="1:19" ht="14.25" customHeight="1">
      <c r="A480" s="630"/>
      <c r="B480" s="631"/>
      <c r="C480" s="1127"/>
      <c r="D480" s="632"/>
      <c r="E480" s="1127"/>
      <c r="F480" s="633">
        <f t="shared" si="47"/>
        <v>0</v>
      </c>
      <c r="G480" s="632"/>
      <c r="H480" s="1127"/>
      <c r="I480" s="633">
        <f t="shared" si="48"/>
        <v>0</v>
      </c>
      <c r="J480" s="633">
        <f t="shared" si="49"/>
        <v>0</v>
      </c>
      <c r="K480" s="633">
        <f t="shared" si="50"/>
        <v>0</v>
      </c>
      <c r="L480" s="1127"/>
      <c r="M480" s="1127"/>
      <c r="N480" s="1691">
        <f t="shared" si="45"/>
        <v>0</v>
      </c>
      <c r="O480" s="634">
        <f t="shared" si="46"/>
        <v>0</v>
      </c>
      <c r="P480" s="144"/>
      <c r="Q480" s="144"/>
      <c r="R480" s="144"/>
      <c r="S480" s="144"/>
    </row>
    <row r="481" spans="1:19" ht="14.25" customHeight="1">
      <c r="A481" s="630"/>
      <c r="B481" s="631"/>
      <c r="C481" s="1127"/>
      <c r="D481" s="632"/>
      <c r="E481" s="1127"/>
      <c r="F481" s="633">
        <f t="shared" si="47"/>
        <v>0</v>
      </c>
      <c r="G481" s="632"/>
      <c r="H481" s="1127"/>
      <c r="I481" s="633">
        <f t="shared" si="48"/>
        <v>0</v>
      </c>
      <c r="J481" s="633">
        <f t="shared" si="49"/>
        <v>0</v>
      </c>
      <c r="K481" s="633">
        <f t="shared" si="50"/>
        <v>0</v>
      </c>
      <c r="L481" s="1127"/>
      <c r="M481" s="1127"/>
      <c r="N481" s="1691">
        <f t="shared" si="45"/>
        <v>0</v>
      </c>
      <c r="O481" s="634">
        <f t="shared" si="46"/>
        <v>0</v>
      </c>
      <c r="P481" s="144"/>
      <c r="Q481" s="144"/>
      <c r="R481" s="144"/>
      <c r="S481" s="144"/>
    </row>
    <row r="482" spans="1:19" ht="14.25" customHeight="1">
      <c r="A482" s="630"/>
      <c r="B482" s="631"/>
      <c r="C482" s="1127"/>
      <c r="D482" s="632"/>
      <c r="E482" s="1127"/>
      <c r="F482" s="633">
        <f t="shared" si="47"/>
        <v>0</v>
      </c>
      <c r="G482" s="632"/>
      <c r="H482" s="1127"/>
      <c r="I482" s="633">
        <f t="shared" si="48"/>
        <v>0</v>
      </c>
      <c r="J482" s="633">
        <f t="shared" si="49"/>
        <v>0</v>
      </c>
      <c r="K482" s="633">
        <f t="shared" si="50"/>
        <v>0</v>
      </c>
      <c r="L482" s="1127"/>
      <c r="M482" s="1127"/>
      <c r="N482" s="1691">
        <f t="shared" si="45"/>
        <v>0</v>
      </c>
      <c r="O482" s="634">
        <f t="shared" si="46"/>
        <v>0</v>
      </c>
      <c r="P482" s="144"/>
      <c r="Q482" s="144"/>
      <c r="R482" s="144"/>
      <c r="S482" s="144"/>
    </row>
    <row r="483" spans="1:19" ht="14.25" customHeight="1">
      <c r="A483" s="630"/>
      <c r="B483" s="631"/>
      <c r="C483" s="1127"/>
      <c r="D483" s="632"/>
      <c r="E483" s="1127"/>
      <c r="F483" s="633">
        <f t="shared" si="47"/>
        <v>0</v>
      </c>
      <c r="G483" s="632"/>
      <c r="H483" s="1127"/>
      <c r="I483" s="633">
        <f t="shared" si="48"/>
        <v>0</v>
      </c>
      <c r="J483" s="633">
        <f t="shared" si="49"/>
        <v>0</v>
      </c>
      <c r="K483" s="633">
        <f t="shared" si="50"/>
        <v>0</v>
      </c>
      <c r="L483" s="1127"/>
      <c r="M483" s="1127"/>
      <c r="N483" s="1691">
        <f t="shared" si="45"/>
        <v>0</v>
      </c>
      <c r="O483" s="634">
        <f t="shared" si="46"/>
        <v>0</v>
      </c>
      <c r="P483" s="144"/>
      <c r="Q483" s="144"/>
      <c r="R483" s="144"/>
      <c r="S483" s="144"/>
    </row>
    <row r="484" spans="1:19" ht="14.25" customHeight="1">
      <c r="A484" s="630"/>
      <c r="B484" s="631"/>
      <c r="C484" s="1127"/>
      <c r="D484" s="632"/>
      <c r="E484" s="1127"/>
      <c r="F484" s="633">
        <f t="shared" si="47"/>
        <v>0</v>
      </c>
      <c r="G484" s="632"/>
      <c r="H484" s="1127"/>
      <c r="I484" s="633">
        <f t="shared" si="48"/>
        <v>0</v>
      </c>
      <c r="J484" s="633">
        <f t="shared" si="49"/>
        <v>0</v>
      </c>
      <c r="K484" s="633">
        <f t="shared" si="50"/>
        <v>0</v>
      </c>
      <c r="L484" s="1127"/>
      <c r="M484" s="1127"/>
      <c r="N484" s="1691">
        <f t="shared" si="45"/>
        <v>0</v>
      </c>
      <c r="O484" s="634">
        <f t="shared" si="46"/>
        <v>0</v>
      </c>
      <c r="P484" s="144"/>
      <c r="Q484" s="144"/>
      <c r="R484" s="144"/>
      <c r="S484" s="144"/>
    </row>
    <row r="485" spans="1:19" ht="14.25" customHeight="1">
      <c r="A485" s="630"/>
      <c r="B485" s="631"/>
      <c r="C485" s="1127"/>
      <c r="D485" s="632"/>
      <c r="E485" s="1127"/>
      <c r="F485" s="633">
        <f t="shared" si="47"/>
        <v>0</v>
      </c>
      <c r="G485" s="632"/>
      <c r="H485" s="1127"/>
      <c r="I485" s="633">
        <f t="shared" si="48"/>
        <v>0</v>
      </c>
      <c r="J485" s="633">
        <f t="shared" si="49"/>
        <v>0</v>
      </c>
      <c r="K485" s="633">
        <f t="shared" si="50"/>
        <v>0</v>
      </c>
      <c r="L485" s="1127"/>
      <c r="M485" s="1127"/>
      <c r="N485" s="1691">
        <f t="shared" si="45"/>
        <v>0</v>
      </c>
      <c r="O485" s="634">
        <f t="shared" si="46"/>
        <v>0</v>
      </c>
      <c r="P485" s="144"/>
      <c r="Q485" s="144"/>
      <c r="R485" s="144"/>
      <c r="S485" s="144"/>
    </row>
    <row r="486" spans="1:19" ht="14.25" customHeight="1">
      <c r="A486" s="630"/>
      <c r="B486" s="631"/>
      <c r="C486" s="1127"/>
      <c r="D486" s="632"/>
      <c r="E486" s="1127"/>
      <c r="F486" s="633">
        <f t="shared" si="47"/>
        <v>0</v>
      </c>
      <c r="G486" s="632"/>
      <c r="H486" s="1127"/>
      <c r="I486" s="633">
        <f t="shared" si="48"/>
        <v>0</v>
      </c>
      <c r="J486" s="633">
        <f t="shared" si="49"/>
        <v>0</v>
      </c>
      <c r="K486" s="633">
        <f t="shared" si="50"/>
        <v>0</v>
      </c>
      <c r="L486" s="1127"/>
      <c r="M486" s="1127"/>
      <c r="N486" s="1691">
        <f t="shared" si="45"/>
        <v>0</v>
      </c>
      <c r="O486" s="634">
        <f t="shared" si="46"/>
        <v>0</v>
      </c>
      <c r="P486" s="144"/>
      <c r="Q486" s="144"/>
      <c r="R486" s="144"/>
      <c r="S486" s="144"/>
    </row>
    <row r="487" spans="1:19" ht="14.25" customHeight="1">
      <c r="A487" s="630"/>
      <c r="B487" s="631"/>
      <c r="C487" s="1127"/>
      <c r="D487" s="632"/>
      <c r="E487" s="1127"/>
      <c r="F487" s="633">
        <f t="shared" si="47"/>
        <v>0</v>
      </c>
      <c r="G487" s="632"/>
      <c r="H487" s="1127"/>
      <c r="I487" s="633">
        <f t="shared" si="48"/>
        <v>0</v>
      </c>
      <c r="J487" s="633">
        <f t="shared" si="49"/>
        <v>0</v>
      </c>
      <c r="K487" s="633">
        <f t="shared" si="50"/>
        <v>0</v>
      </c>
      <c r="L487" s="1127"/>
      <c r="M487" s="1127"/>
      <c r="N487" s="1691">
        <f t="shared" si="45"/>
        <v>0</v>
      </c>
      <c r="O487" s="634">
        <f t="shared" si="46"/>
        <v>0</v>
      </c>
      <c r="P487" s="144"/>
      <c r="Q487" s="144"/>
      <c r="R487" s="144"/>
      <c r="S487" s="144"/>
    </row>
    <row r="488" spans="1:19" ht="14.25" customHeight="1">
      <c r="A488" s="630"/>
      <c r="B488" s="631"/>
      <c r="C488" s="1127"/>
      <c r="D488" s="632"/>
      <c r="E488" s="1127"/>
      <c r="F488" s="633">
        <f t="shared" si="47"/>
        <v>0</v>
      </c>
      <c r="G488" s="632"/>
      <c r="H488" s="1127"/>
      <c r="I488" s="633">
        <f t="shared" si="48"/>
        <v>0</v>
      </c>
      <c r="J488" s="633">
        <f t="shared" si="49"/>
        <v>0</v>
      </c>
      <c r="K488" s="633">
        <f t="shared" si="50"/>
        <v>0</v>
      </c>
      <c r="L488" s="1127"/>
      <c r="M488" s="1127"/>
      <c r="N488" s="1691">
        <f t="shared" si="45"/>
        <v>0</v>
      </c>
      <c r="O488" s="634">
        <f t="shared" si="46"/>
        <v>0</v>
      </c>
      <c r="P488" s="144"/>
      <c r="Q488" s="144"/>
      <c r="R488" s="144"/>
      <c r="S488" s="144"/>
    </row>
    <row r="489" spans="1:19" ht="14.25" customHeight="1">
      <c r="A489" s="630"/>
      <c r="B489" s="631"/>
      <c r="C489" s="1127"/>
      <c r="D489" s="632"/>
      <c r="E489" s="1127"/>
      <c r="F489" s="633">
        <f t="shared" si="47"/>
        <v>0</v>
      </c>
      <c r="G489" s="632"/>
      <c r="H489" s="1127"/>
      <c r="I489" s="633">
        <f t="shared" si="48"/>
        <v>0</v>
      </c>
      <c r="J489" s="633">
        <f t="shared" si="49"/>
        <v>0</v>
      </c>
      <c r="K489" s="633">
        <f t="shared" si="50"/>
        <v>0</v>
      </c>
      <c r="L489" s="1127"/>
      <c r="M489" s="1127"/>
      <c r="N489" s="1691">
        <f t="shared" si="45"/>
        <v>0</v>
      </c>
      <c r="O489" s="634">
        <f t="shared" si="46"/>
        <v>0</v>
      </c>
      <c r="P489" s="144"/>
      <c r="Q489" s="144"/>
      <c r="R489" s="144"/>
      <c r="S489" s="144"/>
    </row>
    <row r="490" spans="1:19" ht="14.25" customHeight="1">
      <c r="A490" s="630"/>
      <c r="B490" s="631"/>
      <c r="C490" s="1127"/>
      <c r="D490" s="632"/>
      <c r="E490" s="1127"/>
      <c r="F490" s="633">
        <f t="shared" si="47"/>
        <v>0</v>
      </c>
      <c r="G490" s="632"/>
      <c r="H490" s="1127"/>
      <c r="I490" s="633">
        <f t="shared" si="48"/>
        <v>0</v>
      </c>
      <c r="J490" s="633">
        <f t="shared" si="49"/>
        <v>0</v>
      </c>
      <c r="K490" s="633">
        <f t="shared" si="50"/>
        <v>0</v>
      </c>
      <c r="L490" s="1127"/>
      <c r="M490" s="1127"/>
      <c r="N490" s="1691">
        <f t="shared" si="45"/>
        <v>0</v>
      </c>
      <c r="O490" s="634">
        <f t="shared" si="46"/>
        <v>0</v>
      </c>
      <c r="P490" s="144"/>
      <c r="Q490" s="144"/>
      <c r="R490" s="144"/>
      <c r="S490" s="144"/>
    </row>
    <row r="491" spans="1:19" ht="14.25" customHeight="1">
      <c r="A491" s="630"/>
      <c r="B491" s="631"/>
      <c r="C491" s="1127"/>
      <c r="D491" s="632"/>
      <c r="E491" s="1127"/>
      <c r="F491" s="633">
        <f t="shared" si="47"/>
        <v>0</v>
      </c>
      <c r="G491" s="632"/>
      <c r="H491" s="1127"/>
      <c r="I491" s="633">
        <f t="shared" si="48"/>
        <v>0</v>
      </c>
      <c r="J491" s="633">
        <f t="shared" si="49"/>
        <v>0</v>
      </c>
      <c r="K491" s="633">
        <f t="shared" si="50"/>
        <v>0</v>
      </c>
      <c r="L491" s="1127"/>
      <c r="M491" s="1127"/>
      <c r="N491" s="1691">
        <f t="shared" si="45"/>
        <v>0</v>
      </c>
      <c r="O491" s="634">
        <f t="shared" si="46"/>
        <v>0</v>
      </c>
      <c r="P491" s="144"/>
      <c r="Q491" s="144"/>
      <c r="R491" s="144"/>
      <c r="S491" s="144"/>
    </row>
    <row r="492" spans="1:19" ht="14.25" customHeight="1">
      <c r="A492" s="630"/>
      <c r="B492" s="631"/>
      <c r="C492" s="1127"/>
      <c r="D492" s="632"/>
      <c r="E492" s="1127"/>
      <c r="F492" s="633">
        <f t="shared" si="47"/>
        <v>0</v>
      </c>
      <c r="G492" s="632"/>
      <c r="H492" s="1127"/>
      <c r="I492" s="633">
        <f t="shared" si="48"/>
        <v>0</v>
      </c>
      <c r="J492" s="633">
        <f t="shared" si="49"/>
        <v>0</v>
      </c>
      <c r="K492" s="633">
        <f t="shared" si="50"/>
        <v>0</v>
      </c>
      <c r="L492" s="1127"/>
      <c r="M492" s="1127"/>
      <c r="N492" s="1691">
        <f t="shared" si="45"/>
        <v>0</v>
      </c>
      <c r="O492" s="634">
        <f t="shared" si="46"/>
        <v>0</v>
      </c>
      <c r="P492" s="144"/>
      <c r="Q492" s="144"/>
      <c r="R492" s="144"/>
      <c r="S492" s="144"/>
    </row>
    <row r="493" spans="1:19" ht="14.25" customHeight="1">
      <c r="A493" s="630"/>
      <c r="B493" s="631"/>
      <c r="C493" s="1127"/>
      <c r="D493" s="632"/>
      <c r="E493" s="1127"/>
      <c r="F493" s="633">
        <f t="shared" si="47"/>
        <v>0</v>
      </c>
      <c r="G493" s="632"/>
      <c r="H493" s="1127"/>
      <c r="I493" s="633">
        <f t="shared" si="48"/>
        <v>0</v>
      </c>
      <c r="J493" s="633">
        <f t="shared" si="49"/>
        <v>0</v>
      </c>
      <c r="K493" s="633">
        <f t="shared" si="50"/>
        <v>0</v>
      </c>
      <c r="L493" s="1127"/>
      <c r="M493" s="1127"/>
      <c r="N493" s="1691">
        <f t="shared" si="45"/>
        <v>0</v>
      </c>
      <c r="O493" s="634">
        <f t="shared" si="46"/>
        <v>0</v>
      </c>
      <c r="P493" s="144"/>
      <c r="Q493" s="144"/>
      <c r="R493" s="144"/>
      <c r="S493" s="144"/>
    </row>
    <row r="494" spans="1:19" ht="14.25" customHeight="1">
      <c r="A494" s="630"/>
      <c r="B494" s="631"/>
      <c r="C494" s="1127"/>
      <c r="D494" s="632"/>
      <c r="E494" s="1127"/>
      <c r="F494" s="633">
        <f t="shared" si="47"/>
        <v>0</v>
      </c>
      <c r="G494" s="632"/>
      <c r="H494" s="1127"/>
      <c r="I494" s="633">
        <f t="shared" si="48"/>
        <v>0</v>
      </c>
      <c r="J494" s="633">
        <f t="shared" si="49"/>
        <v>0</v>
      </c>
      <c r="K494" s="633">
        <f t="shared" si="50"/>
        <v>0</v>
      </c>
      <c r="L494" s="1127"/>
      <c r="M494" s="1127"/>
      <c r="N494" s="1691">
        <f t="shared" si="45"/>
        <v>0</v>
      </c>
      <c r="O494" s="634">
        <f t="shared" si="46"/>
        <v>0</v>
      </c>
      <c r="P494" s="144"/>
      <c r="Q494" s="144"/>
      <c r="R494" s="144"/>
      <c r="S494" s="144"/>
    </row>
    <row r="495" spans="1:19" ht="14.25" customHeight="1">
      <c r="A495" s="630"/>
      <c r="B495" s="631"/>
      <c r="C495" s="1127"/>
      <c r="D495" s="632"/>
      <c r="E495" s="1127"/>
      <c r="F495" s="633">
        <f t="shared" si="47"/>
        <v>0</v>
      </c>
      <c r="G495" s="632"/>
      <c r="H495" s="1127"/>
      <c r="I495" s="633">
        <f t="shared" si="48"/>
        <v>0</v>
      </c>
      <c r="J495" s="633">
        <f t="shared" si="49"/>
        <v>0</v>
      </c>
      <c r="K495" s="633">
        <f t="shared" si="50"/>
        <v>0</v>
      </c>
      <c r="L495" s="1127"/>
      <c r="M495" s="1127"/>
      <c r="N495" s="1691">
        <f t="shared" si="45"/>
        <v>0</v>
      </c>
      <c r="O495" s="634">
        <f t="shared" si="46"/>
        <v>0</v>
      </c>
      <c r="P495" s="144"/>
      <c r="Q495" s="144"/>
      <c r="R495" s="144"/>
      <c r="S495" s="144"/>
    </row>
    <row r="496" spans="1:19" ht="14.25" customHeight="1">
      <c r="A496" s="630"/>
      <c r="B496" s="631"/>
      <c r="C496" s="1127"/>
      <c r="D496" s="632"/>
      <c r="E496" s="1127"/>
      <c r="F496" s="633">
        <f t="shared" si="47"/>
        <v>0</v>
      </c>
      <c r="G496" s="632"/>
      <c r="H496" s="1127"/>
      <c r="I496" s="633">
        <f t="shared" si="48"/>
        <v>0</v>
      </c>
      <c r="J496" s="633">
        <f t="shared" si="49"/>
        <v>0</v>
      </c>
      <c r="K496" s="633">
        <f t="shared" si="50"/>
        <v>0</v>
      </c>
      <c r="L496" s="1127"/>
      <c r="M496" s="1127"/>
      <c r="N496" s="1691">
        <f t="shared" si="45"/>
        <v>0</v>
      </c>
      <c r="O496" s="634">
        <f t="shared" si="46"/>
        <v>0</v>
      </c>
      <c r="P496" s="144"/>
      <c r="Q496" s="144"/>
      <c r="R496" s="144"/>
      <c r="S496" s="144"/>
    </row>
    <row r="497" spans="1:19" ht="14.25" customHeight="1">
      <c r="A497" s="630"/>
      <c r="B497" s="631"/>
      <c r="C497" s="1127"/>
      <c r="D497" s="632"/>
      <c r="E497" s="1127"/>
      <c r="F497" s="633">
        <f t="shared" si="47"/>
        <v>0</v>
      </c>
      <c r="G497" s="632"/>
      <c r="H497" s="1127"/>
      <c r="I497" s="633">
        <f t="shared" si="48"/>
        <v>0</v>
      </c>
      <c r="J497" s="633">
        <f t="shared" si="49"/>
        <v>0</v>
      </c>
      <c r="K497" s="633">
        <f t="shared" si="50"/>
        <v>0</v>
      </c>
      <c r="L497" s="1127"/>
      <c r="M497" s="1127"/>
      <c r="N497" s="1691">
        <f t="shared" si="45"/>
        <v>0</v>
      </c>
      <c r="O497" s="634">
        <f t="shared" si="46"/>
        <v>0</v>
      </c>
      <c r="P497" s="144"/>
      <c r="Q497" s="144"/>
      <c r="R497" s="144"/>
      <c r="S497" s="144"/>
    </row>
    <row r="498" spans="1:19" ht="14.25" customHeight="1">
      <c r="A498" s="630"/>
      <c r="B498" s="631"/>
      <c r="C498" s="1127"/>
      <c r="D498" s="632"/>
      <c r="E498" s="1127"/>
      <c r="F498" s="633">
        <f t="shared" si="47"/>
        <v>0</v>
      </c>
      <c r="G498" s="632"/>
      <c r="H498" s="1127"/>
      <c r="I498" s="633">
        <f t="shared" si="48"/>
        <v>0</v>
      </c>
      <c r="J498" s="633">
        <f t="shared" si="49"/>
        <v>0</v>
      </c>
      <c r="K498" s="633">
        <f t="shared" si="50"/>
        <v>0</v>
      </c>
      <c r="L498" s="1127"/>
      <c r="M498" s="1127"/>
      <c r="N498" s="1691">
        <f t="shared" si="45"/>
        <v>0</v>
      </c>
      <c r="O498" s="634">
        <f t="shared" si="46"/>
        <v>0</v>
      </c>
      <c r="P498" s="144"/>
      <c r="Q498" s="144"/>
      <c r="R498" s="144"/>
      <c r="S498" s="144"/>
    </row>
    <row r="499" spans="1:19" ht="14.25" customHeight="1">
      <c r="A499" s="630"/>
      <c r="B499" s="631"/>
      <c r="C499" s="1127"/>
      <c r="D499" s="632"/>
      <c r="E499" s="1127"/>
      <c r="F499" s="633">
        <f t="shared" si="47"/>
        <v>0</v>
      </c>
      <c r="G499" s="632"/>
      <c r="H499" s="1127"/>
      <c r="I499" s="633">
        <f t="shared" si="48"/>
        <v>0</v>
      </c>
      <c r="J499" s="633">
        <f t="shared" si="49"/>
        <v>0</v>
      </c>
      <c r="K499" s="633">
        <f t="shared" si="50"/>
        <v>0</v>
      </c>
      <c r="L499" s="1127"/>
      <c r="M499" s="1127"/>
      <c r="N499" s="1691">
        <f t="shared" si="45"/>
        <v>0</v>
      </c>
      <c r="O499" s="634">
        <f t="shared" si="46"/>
        <v>0</v>
      </c>
      <c r="P499" s="144"/>
      <c r="Q499" s="144"/>
      <c r="R499" s="144"/>
      <c r="S499" s="144"/>
    </row>
    <row r="500" spans="1:19" ht="14.25" customHeight="1">
      <c r="A500" s="630"/>
      <c r="B500" s="631"/>
      <c r="C500" s="1127"/>
      <c r="D500" s="632"/>
      <c r="E500" s="1127"/>
      <c r="F500" s="633">
        <f t="shared" si="47"/>
        <v>0</v>
      </c>
      <c r="G500" s="632"/>
      <c r="H500" s="1127"/>
      <c r="I500" s="633">
        <f t="shared" si="48"/>
        <v>0</v>
      </c>
      <c r="J500" s="633">
        <f t="shared" si="49"/>
        <v>0</v>
      </c>
      <c r="K500" s="633">
        <f t="shared" si="50"/>
        <v>0</v>
      </c>
      <c r="L500" s="1127"/>
      <c r="M500" s="1127"/>
      <c r="N500" s="1691">
        <f t="shared" si="45"/>
        <v>0</v>
      </c>
      <c r="O500" s="634">
        <f t="shared" si="46"/>
        <v>0</v>
      </c>
      <c r="P500" s="144"/>
      <c r="Q500" s="144"/>
      <c r="R500" s="144"/>
      <c r="S500" s="144"/>
    </row>
    <row r="501" spans="1:19" ht="14.25" customHeight="1">
      <c r="A501" s="630"/>
      <c r="B501" s="631"/>
      <c r="C501" s="1127"/>
      <c r="D501" s="632"/>
      <c r="E501" s="1127"/>
      <c r="F501" s="633">
        <f t="shared" si="47"/>
        <v>0</v>
      </c>
      <c r="G501" s="632"/>
      <c r="H501" s="1127"/>
      <c r="I501" s="633">
        <f t="shared" si="48"/>
        <v>0</v>
      </c>
      <c r="J501" s="633">
        <f t="shared" si="49"/>
        <v>0</v>
      </c>
      <c r="K501" s="633">
        <f t="shared" si="50"/>
        <v>0</v>
      </c>
      <c r="L501" s="1127"/>
      <c r="M501" s="1127"/>
      <c r="N501" s="1691">
        <f t="shared" si="45"/>
        <v>0</v>
      </c>
      <c r="O501" s="634">
        <f t="shared" si="46"/>
        <v>0</v>
      </c>
      <c r="P501" s="144"/>
      <c r="Q501" s="144"/>
      <c r="R501" s="144"/>
      <c r="S501" s="144"/>
    </row>
    <row r="502" spans="1:19" ht="14.25" customHeight="1">
      <c r="A502" s="630"/>
      <c r="B502" s="631"/>
      <c r="C502" s="1127"/>
      <c r="D502" s="632"/>
      <c r="E502" s="1127"/>
      <c r="F502" s="633">
        <f t="shared" si="47"/>
        <v>0</v>
      </c>
      <c r="G502" s="632"/>
      <c r="H502" s="1127"/>
      <c r="I502" s="633">
        <f t="shared" si="48"/>
        <v>0</v>
      </c>
      <c r="J502" s="633">
        <f t="shared" si="49"/>
        <v>0</v>
      </c>
      <c r="K502" s="633">
        <f t="shared" si="50"/>
        <v>0</v>
      </c>
      <c r="L502" s="1127"/>
      <c r="M502" s="1127"/>
      <c r="N502" s="1691">
        <f t="shared" si="45"/>
        <v>0</v>
      </c>
      <c r="O502" s="634">
        <f t="shared" si="46"/>
        <v>0</v>
      </c>
      <c r="P502" s="144"/>
      <c r="Q502" s="144"/>
      <c r="R502" s="144"/>
      <c r="S502" s="144"/>
    </row>
    <row r="503" spans="1:19" ht="14.25" customHeight="1">
      <c r="A503" s="630"/>
      <c r="B503" s="631"/>
      <c r="C503" s="1127"/>
      <c r="D503" s="632"/>
      <c r="E503" s="1127"/>
      <c r="F503" s="633">
        <f t="shared" si="47"/>
        <v>0</v>
      </c>
      <c r="G503" s="632"/>
      <c r="H503" s="1127"/>
      <c r="I503" s="633">
        <f t="shared" si="48"/>
        <v>0</v>
      </c>
      <c r="J503" s="633">
        <f t="shared" si="49"/>
        <v>0</v>
      </c>
      <c r="K503" s="633">
        <f t="shared" si="50"/>
        <v>0</v>
      </c>
      <c r="L503" s="1127"/>
      <c r="M503" s="1127"/>
      <c r="N503" s="1691">
        <f t="shared" si="45"/>
        <v>0</v>
      </c>
      <c r="O503" s="634">
        <f t="shared" si="46"/>
        <v>0</v>
      </c>
      <c r="P503" s="144"/>
      <c r="Q503" s="144"/>
      <c r="R503" s="144"/>
      <c r="S503" s="144"/>
    </row>
    <row r="504" spans="1:19" ht="14.25" customHeight="1">
      <c r="A504" s="630"/>
      <c r="B504" s="631"/>
      <c r="C504" s="1127"/>
      <c r="D504" s="632"/>
      <c r="E504" s="1127"/>
      <c r="F504" s="633">
        <f t="shared" si="47"/>
        <v>0</v>
      </c>
      <c r="G504" s="632"/>
      <c r="H504" s="1127"/>
      <c r="I504" s="633">
        <f t="shared" si="48"/>
        <v>0</v>
      </c>
      <c r="J504" s="633">
        <f t="shared" si="49"/>
        <v>0</v>
      </c>
      <c r="K504" s="633">
        <f t="shared" si="50"/>
        <v>0</v>
      </c>
      <c r="L504" s="1127"/>
      <c r="M504" s="1127"/>
      <c r="N504" s="1691">
        <f t="shared" si="45"/>
        <v>0</v>
      </c>
      <c r="O504" s="634">
        <f t="shared" si="46"/>
        <v>0</v>
      </c>
      <c r="P504" s="144"/>
      <c r="Q504" s="144"/>
      <c r="R504" s="144"/>
      <c r="S504" s="144"/>
    </row>
    <row r="505" spans="1:19" ht="14.25" customHeight="1">
      <c r="A505" s="630"/>
      <c r="B505" s="631"/>
      <c r="C505" s="1127"/>
      <c r="D505" s="632"/>
      <c r="E505" s="1127"/>
      <c r="F505" s="633">
        <f t="shared" si="47"/>
        <v>0</v>
      </c>
      <c r="G505" s="632"/>
      <c r="H505" s="1127"/>
      <c r="I505" s="633">
        <f t="shared" si="48"/>
        <v>0</v>
      </c>
      <c r="J505" s="633">
        <f t="shared" si="49"/>
        <v>0</v>
      </c>
      <c r="K505" s="633">
        <f t="shared" si="50"/>
        <v>0</v>
      </c>
      <c r="L505" s="1127"/>
      <c r="M505" s="1127"/>
      <c r="N505" s="1691">
        <f t="shared" si="45"/>
        <v>0</v>
      </c>
      <c r="O505" s="634">
        <f t="shared" si="46"/>
        <v>0</v>
      </c>
      <c r="P505" s="144"/>
      <c r="Q505" s="144"/>
      <c r="R505" s="144"/>
      <c r="S505" s="144"/>
    </row>
    <row r="506" spans="1:19" ht="14.25" customHeight="1">
      <c r="A506" s="630"/>
      <c r="B506" s="631"/>
      <c r="C506" s="1127"/>
      <c r="D506" s="632"/>
      <c r="E506" s="1127"/>
      <c r="F506" s="633">
        <f t="shared" si="47"/>
        <v>0</v>
      </c>
      <c r="G506" s="632"/>
      <c r="H506" s="1127"/>
      <c r="I506" s="633">
        <f t="shared" si="48"/>
        <v>0</v>
      </c>
      <c r="J506" s="633">
        <f t="shared" si="49"/>
        <v>0</v>
      </c>
      <c r="K506" s="633">
        <f t="shared" si="50"/>
        <v>0</v>
      </c>
      <c r="L506" s="1127"/>
      <c r="M506" s="1127"/>
      <c r="N506" s="1691">
        <f t="shared" si="45"/>
        <v>0</v>
      </c>
      <c r="O506" s="634">
        <f t="shared" si="46"/>
        <v>0</v>
      </c>
      <c r="P506" s="144"/>
      <c r="Q506" s="144"/>
      <c r="R506" s="144"/>
      <c r="S506" s="144"/>
    </row>
    <row r="507" spans="1:19" ht="14.25" customHeight="1">
      <c r="A507" s="630"/>
      <c r="B507" s="631"/>
      <c r="C507" s="1127"/>
      <c r="D507" s="632"/>
      <c r="E507" s="1127"/>
      <c r="F507" s="633">
        <f t="shared" si="47"/>
        <v>0</v>
      </c>
      <c r="G507" s="632"/>
      <c r="H507" s="1127"/>
      <c r="I507" s="633">
        <f t="shared" si="48"/>
        <v>0</v>
      </c>
      <c r="J507" s="633">
        <f t="shared" si="49"/>
        <v>0</v>
      </c>
      <c r="K507" s="633">
        <f t="shared" si="50"/>
        <v>0</v>
      </c>
      <c r="L507" s="1127"/>
      <c r="M507" s="1127"/>
      <c r="N507" s="1691">
        <f t="shared" si="45"/>
        <v>0</v>
      </c>
      <c r="O507" s="634">
        <f t="shared" si="46"/>
        <v>0</v>
      </c>
      <c r="P507" s="144"/>
      <c r="Q507" s="144"/>
      <c r="R507" s="144"/>
      <c r="S507" s="144"/>
    </row>
    <row r="508" spans="1:19" ht="14.25" customHeight="1">
      <c r="A508" s="630"/>
      <c r="B508" s="631"/>
      <c r="C508" s="1127"/>
      <c r="D508" s="632"/>
      <c r="E508" s="1127"/>
      <c r="F508" s="633">
        <f t="shared" si="47"/>
        <v>0</v>
      </c>
      <c r="G508" s="632"/>
      <c r="H508" s="1127"/>
      <c r="I508" s="633">
        <f t="shared" si="48"/>
        <v>0</v>
      </c>
      <c r="J508" s="633">
        <f t="shared" si="49"/>
        <v>0</v>
      </c>
      <c r="K508" s="633">
        <f t="shared" si="50"/>
        <v>0</v>
      </c>
      <c r="L508" s="1127"/>
      <c r="M508" s="1127"/>
      <c r="N508" s="1691">
        <f t="shared" si="45"/>
        <v>0</v>
      </c>
      <c r="O508" s="634">
        <f t="shared" si="46"/>
        <v>0</v>
      </c>
      <c r="P508" s="144"/>
      <c r="Q508" s="144"/>
      <c r="R508" s="144"/>
      <c r="S508" s="144"/>
    </row>
    <row r="509" spans="1:19" ht="14.25" customHeight="1">
      <c r="A509" s="630"/>
      <c r="B509" s="631"/>
      <c r="C509" s="1127"/>
      <c r="D509" s="632"/>
      <c r="E509" s="1127"/>
      <c r="F509" s="633">
        <f t="shared" si="47"/>
        <v>0</v>
      </c>
      <c r="G509" s="632"/>
      <c r="H509" s="1127"/>
      <c r="I509" s="633">
        <f t="shared" si="48"/>
        <v>0</v>
      </c>
      <c r="J509" s="633">
        <f t="shared" si="49"/>
        <v>0</v>
      </c>
      <c r="K509" s="633">
        <f t="shared" si="50"/>
        <v>0</v>
      </c>
      <c r="L509" s="1127"/>
      <c r="M509" s="1127"/>
      <c r="N509" s="1691">
        <f t="shared" si="45"/>
        <v>0</v>
      </c>
      <c r="O509" s="634">
        <f t="shared" si="46"/>
        <v>0</v>
      </c>
      <c r="P509" s="144"/>
      <c r="Q509" s="144"/>
      <c r="R509" s="144"/>
      <c r="S509" s="144"/>
    </row>
    <row r="510" spans="1:19" ht="14.25" customHeight="1">
      <c r="A510" s="630"/>
      <c r="B510" s="631"/>
      <c r="C510" s="1127"/>
      <c r="D510" s="632"/>
      <c r="E510" s="1127"/>
      <c r="F510" s="633">
        <f t="shared" si="47"/>
        <v>0</v>
      </c>
      <c r="G510" s="632"/>
      <c r="H510" s="1127"/>
      <c r="I510" s="633">
        <f t="shared" si="48"/>
        <v>0</v>
      </c>
      <c r="J510" s="633">
        <f t="shared" si="49"/>
        <v>0</v>
      </c>
      <c r="K510" s="633">
        <f t="shared" si="50"/>
        <v>0</v>
      </c>
      <c r="L510" s="1127"/>
      <c r="M510" s="1127"/>
      <c r="N510" s="1691">
        <f t="shared" si="45"/>
        <v>0</v>
      </c>
      <c r="O510" s="634">
        <f t="shared" si="46"/>
        <v>0</v>
      </c>
      <c r="P510" s="144"/>
      <c r="Q510" s="144"/>
      <c r="R510" s="144"/>
      <c r="S510" s="144"/>
    </row>
    <row r="511" spans="1:19" ht="14.25" customHeight="1">
      <c r="A511" s="630"/>
      <c r="B511" s="631"/>
      <c r="C511" s="1127"/>
      <c r="D511" s="632"/>
      <c r="E511" s="1127"/>
      <c r="F511" s="633">
        <f t="shared" si="47"/>
        <v>0</v>
      </c>
      <c r="G511" s="632"/>
      <c r="H511" s="1127"/>
      <c r="I511" s="633">
        <f t="shared" si="48"/>
        <v>0</v>
      </c>
      <c r="J511" s="633">
        <f t="shared" si="49"/>
        <v>0</v>
      </c>
      <c r="K511" s="633">
        <f t="shared" si="50"/>
        <v>0</v>
      </c>
      <c r="L511" s="1127"/>
      <c r="M511" s="1127"/>
      <c r="N511" s="1691">
        <f t="shared" si="45"/>
        <v>0</v>
      </c>
      <c r="O511" s="634">
        <f t="shared" si="46"/>
        <v>0</v>
      </c>
      <c r="P511" s="144"/>
      <c r="Q511" s="144"/>
      <c r="R511" s="144"/>
      <c r="S511" s="144"/>
    </row>
    <row r="512" spans="1:19" ht="14.25" customHeight="1">
      <c r="A512" s="630"/>
      <c r="B512" s="631"/>
      <c r="C512" s="1127"/>
      <c r="D512" s="632"/>
      <c r="E512" s="1127"/>
      <c r="F512" s="633">
        <f t="shared" si="47"/>
        <v>0</v>
      </c>
      <c r="G512" s="632"/>
      <c r="H512" s="1127"/>
      <c r="I512" s="633">
        <f t="shared" si="48"/>
        <v>0</v>
      </c>
      <c r="J512" s="633">
        <f t="shared" si="49"/>
        <v>0</v>
      </c>
      <c r="K512" s="633">
        <f t="shared" si="50"/>
        <v>0</v>
      </c>
      <c r="L512" s="1127"/>
      <c r="M512" s="1127"/>
      <c r="N512" s="1691">
        <f t="shared" si="45"/>
        <v>0</v>
      </c>
      <c r="O512" s="634">
        <f t="shared" si="46"/>
        <v>0</v>
      </c>
      <c r="P512" s="144"/>
      <c r="Q512" s="144"/>
      <c r="R512" s="144"/>
      <c r="S512" s="144"/>
    </row>
    <row r="513" spans="1:19" ht="14.25" customHeight="1">
      <c r="A513" s="630"/>
      <c r="B513" s="631"/>
      <c r="C513" s="1127"/>
      <c r="D513" s="632"/>
      <c r="E513" s="1127"/>
      <c r="F513" s="633">
        <f t="shared" si="47"/>
        <v>0</v>
      </c>
      <c r="G513" s="632"/>
      <c r="H513" s="1127"/>
      <c r="I513" s="633">
        <f t="shared" si="48"/>
        <v>0</v>
      </c>
      <c r="J513" s="633">
        <f t="shared" si="49"/>
        <v>0</v>
      </c>
      <c r="K513" s="633">
        <f t="shared" si="50"/>
        <v>0</v>
      </c>
      <c r="L513" s="1127"/>
      <c r="M513" s="1127"/>
      <c r="N513" s="1691">
        <f t="shared" si="45"/>
        <v>0</v>
      </c>
      <c r="O513" s="634">
        <f t="shared" si="46"/>
        <v>0</v>
      </c>
      <c r="P513" s="144"/>
      <c r="Q513" s="144"/>
      <c r="R513" s="144"/>
      <c r="S513" s="144"/>
    </row>
    <row r="514" spans="1:19" ht="14.25" customHeight="1">
      <c r="A514" s="630"/>
      <c r="B514" s="631"/>
      <c r="C514" s="1127"/>
      <c r="D514" s="632"/>
      <c r="E514" s="1127"/>
      <c r="F514" s="633">
        <f t="shared" si="47"/>
        <v>0</v>
      </c>
      <c r="G514" s="632"/>
      <c r="H514" s="1127"/>
      <c r="I514" s="633">
        <f t="shared" si="48"/>
        <v>0</v>
      </c>
      <c r="J514" s="633">
        <f t="shared" si="49"/>
        <v>0</v>
      </c>
      <c r="K514" s="633">
        <f t="shared" si="50"/>
        <v>0</v>
      </c>
      <c r="L514" s="1127"/>
      <c r="M514" s="1127"/>
      <c r="N514" s="1691">
        <f t="shared" si="45"/>
        <v>0</v>
      </c>
      <c r="O514" s="634">
        <f t="shared" si="46"/>
        <v>0</v>
      </c>
      <c r="P514" s="144"/>
      <c r="Q514" s="144"/>
      <c r="R514" s="144"/>
      <c r="S514" s="144"/>
    </row>
    <row r="515" spans="1:19" ht="14.25" customHeight="1">
      <c r="A515" s="630"/>
      <c r="B515" s="631"/>
      <c r="C515" s="1127"/>
      <c r="D515" s="632"/>
      <c r="E515" s="1127"/>
      <c r="F515" s="633">
        <f t="shared" si="47"/>
        <v>0</v>
      </c>
      <c r="G515" s="632"/>
      <c r="H515" s="1127"/>
      <c r="I515" s="633">
        <f t="shared" si="48"/>
        <v>0</v>
      </c>
      <c r="J515" s="633">
        <f t="shared" si="49"/>
        <v>0</v>
      </c>
      <c r="K515" s="633">
        <f t="shared" si="50"/>
        <v>0</v>
      </c>
      <c r="L515" s="1127"/>
      <c r="M515" s="1127"/>
      <c r="N515" s="1691">
        <f t="shared" si="45"/>
        <v>0</v>
      </c>
      <c r="O515" s="634">
        <f t="shared" si="46"/>
        <v>0</v>
      </c>
      <c r="P515" s="144"/>
      <c r="Q515" s="144"/>
      <c r="R515" s="144"/>
      <c r="S515" s="144"/>
    </row>
    <row r="516" spans="1:19" ht="14.25" customHeight="1">
      <c r="A516" s="630"/>
      <c r="B516" s="631"/>
      <c r="C516" s="1127"/>
      <c r="D516" s="632"/>
      <c r="E516" s="1127"/>
      <c r="F516" s="633">
        <f t="shared" si="47"/>
        <v>0</v>
      </c>
      <c r="G516" s="632"/>
      <c r="H516" s="1127"/>
      <c r="I516" s="633">
        <f t="shared" si="48"/>
        <v>0</v>
      </c>
      <c r="J516" s="633">
        <f t="shared" si="49"/>
        <v>0</v>
      </c>
      <c r="K516" s="633">
        <f t="shared" si="50"/>
        <v>0</v>
      </c>
      <c r="L516" s="1127"/>
      <c r="M516" s="1127"/>
      <c r="N516" s="1691">
        <f t="shared" si="45"/>
        <v>0</v>
      </c>
      <c r="O516" s="634">
        <f t="shared" si="46"/>
        <v>0</v>
      </c>
      <c r="P516" s="144"/>
      <c r="Q516" s="144"/>
      <c r="R516" s="144"/>
      <c r="S516" s="144"/>
    </row>
    <row r="517" spans="1:19" ht="14.25" customHeight="1">
      <c r="A517" s="630"/>
      <c r="B517" s="631"/>
      <c r="C517" s="1127"/>
      <c r="D517" s="632"/>
      <c r="E517" s="1127"/>
      <c r="F517" s="633">
        <f t="shared" si="47"/>
        <v>0</v>
      </c>
      <c r="G517" s="632"/>
      <c r="H517" s="1127"/>
      <c r="I517" s="633">
        <f t="shared" si="48"/>
        <v>0</v>
      </c>
      <c r="J517" s="633">
        <f t="shared" si="49"/>
        <v>0</v>
      </c>
      <c r="K517" s="633">
        <f t="shared" si="50"/>
        <v>0</v>
      </c>
      <c r="L517" s="1127"/>
      <c r="M517" s="1127"/>
      <c r="N517" s="1691">
        <f t="shared" si="45"/>
        <v>0</v>
      </c>
      <c r="O517" s="634">
        <f t="shared" si="46"/>
        <v>0</v>
      </c>
      <c r="P517" s="144"/>
      <c r="Q517" s="144"/>
      <c r="R517" s="144"/>
      <c r="S517" s="144"/>
    </row>
    <row r="518" spans="1:19" ht="14.25" customHeight="1">
      <c r="A518" s="630"/>
      <c r="B518" s="631"/>
      <c r="C518" s="1127"/>
      <c r="D518" s="632"/>
      <c r="E518" s="1127"/>
      <c r="F518" s="633">
        <f t="shared" si="47"/>
        <v>0</v>
      </c>
      <c r="G518" s="632"/>
      <c r="H518" s="1127"/>
      <c r="I518" s="633">
        <f t="shared" si="48"/>
        <v>0</v>
      </c>
      <c r="J518" s="633">
        <f t="shared" si="49"/>
        <v>0</v>
      </c>
      <c r="K518" s="633">
        <f t="shared" si="50"/>
        <v>0</v>
      </c>
      <c r="L518" s="1127"/>
      <c r="M518" s="1127"/>
      <c r="N518" s="1691">
        <f t="shared" si="45"/>
        <v>0</v>
      </c>
      <c r="O518" s="634">
        <f t="shared" si="46"/>
        <v>0</v>
      </c>
      <c r="P518" s="144"/>
      <c r="Q518" s="144"/>
      <c r="R518" s="144"/>
      <c r="S518" s="144"/>
    </row>
    <row r="519" spans="1:19" ht="14.25" customHeight="1">
      <c r="A519" s="630"/>
      <c r="B519" s="631"/>
      <c r="C519" s="1127"/>
      <c r="D519" s="632"/>
      <c r="E519" s="1127"/>
      <c r="F519" s="633">
        <f t="shared" si="47"/>
        <v>0</v>
      </c>
      <c r="G519" s="632"/>
      <c r="H519" s="1127"/>
      <c r="I519" s="633">
        <f t="shared" si="48"/>
        <v>0</v>
      </c>
      <c r="J519" s="633">
        <f t="shared" si="49"/>
        <v>0</v>
      </c>
      <c r="K519" s="633">
        <f t="shared" si="50"/>
        <v>0</v>
      </c>
      <c r="L519" s="1127"/>
      <c r="M519" s="1127"/>
      <c r="N519" s="1691">
        <f t="shared" si="45"/>
        <v>0</v>
      </c>
      <c r="O519" s="634">
        <f t="shared" si="46"/>
        <v>0</v>
      </c>
      <c r="P519" s="144"/>
      <c r="Q519" s="144"/>
      <c r="R519" s="144"/>
      <c r="S519" s="144"/>
    </row>
    <row r="520" spans="1:19" ht="14.25" customHeight="1">
      <c r="A520" s="630"/>
      <c r="B520" s="631"/>
      <c r="C520" s="1127"/>
      <c r="D520" s="632"/>
      <c r="E520" s="1127"/>
      <c r="F520" s="633">
        <f t="shared" si="47"/>
        <v>0</v>
      </c>
      <c r="G520" s="632"/>
      <c r="H520" s="1127"/>
      <c r="I520" s="633">
        <f t="shared" si="48"/>
        <v>0</v>
      </c>
      <c r="J520" s="633">
        <f t="shared" si="49"/>
        <v>0</v>
      </c>
      <c r="K520" s="633">
        <f t="shared" si="50"/>
        <v>0</v>
      </c>
      <c r="L520" s="1127"/>
      <c r="M520" s="1127"/>
      <c r="N520" s="1691">
        <f t="shared" si="45"/>
        <v>0</v>
      </c>
      <c r="O520" s="634">
        <f t="shared" si="46"/>
        <v>0</v>
      </c>
      <c r="P520" s="144"/>
      <c r="Q520" s="144"/>
      <c r="R520" s="144"/>
      <c r="S520" s="144"/>
    </row>
    <row r="521" spans="1:19" ht="14.25" customHeight="1">
      <c r="A521" s="630"/>
      <c r="B521" s="631"/>
      <c r="C521" s="1127"/>
      <c r="D521" s="632"/>
      <c r="E521" s="1127"/>
      <c r="F521" s="633">
        <f t="shared" si="47"/>
        <v>0</v>
      </c>
      <c r="G521" s="632"/>
      <c r="H521" s="1127"/>
      <c r="I521" s="633">
        <f t="shared" si="48"/>
        <v>0</v>
      </c>
      <c r="J521" s="633">
        <f t="shared" si="49"/>
        <v>0</v>
      </c>
      <c r="K521" s="633">
        <f t="shared" si="50"/>
        <v>0</v>
      </c>
      <c r="L521" s="1127"/>
      <c r="M521" s="1127"/>
      <c r="N521" s="1691">
        <f t="shared" si="45"/>
        <v>0</v>
      </c>
      <c r="O521" s="634">
        <f t="shared" si="46"/>
        <v>0</v>
      </c>
      <c r="P521" s="144"/>
      <c r="Q521" s="144"/>
      <c r="R521" s="144"/>
      <c r="S521" s="144"/>
    </row>
    <row r="522" spans="1:19" ht="14.25" customHeight="1">
      <c r="A522" s="630"/>
      <c r="B522" s="631"/>
      <c r="C522" s="1127"/>
      <c r="D522" s="632"/>
      <c r="E522" s="1127"/>
      <c r="F522" s="633">
        <f t="shared" si="47"/>
        <v>0</v>
      </c>
      <c r="G522" s="632"/>
      <c r="H522" s="1127"/>
      <c r="I522" s="633">
        <f t="shared" si="48"/>
        <v>0</v>
      </c>
      <c r="J522" s="633">
        <f t="shared" si="49"/>
        <v>0</v>
      </c>
      <c r="K522" s="633">
        <f t="shared" si="50"/>
        <v>0</v>
      </c>
      <c r="L522" s="1127"/>
      <c r="M522" s="1127"/>
      <c r="N522" s="1691">
        <f t="shared" ref="N522:N585" si="51">IF(M522&lt;&gt;0,ROUND(B522*K522,2)+M522,IF(ABS(ROUND(K522*B522,2)-L522)&lt;3,L522,MIN(ROUND(K522*B522,2),L522)))</f>
        <v>0</v>
      </c>
      <c r="O522" s="634">
        <f t="shared" ref="O522:O585" si="52">IF(ISERROR(L522-N522),"",IF(ABS(L522-N522)&lt;3,0,L522-N522))</f>
        <v>0</v>
      </c>
      <c r="P522" s="144"/>
      <c r="Q522" s="144"/>
      <c r="R522" s="144"/>
      <c r="S522" s="144"/>
    </row>
    <row r="523" spans="1:19" ht="14.25" customHeight="1">
      <c r="A523" s="630"/>
      <c r="B523" s="631"/>
      <c r="C523" s="1127"/>
      <c r="D523" s="632"/>
      <c r="E523" s="1127"/>
      <c r="F523" s="633">
        <f t="shared" ref="F523:F586" si="53">E523*(12-MONTH(D523))/12</f>
        <v>0</v>
      </c>
      <c r="G523" s="632"/>
      <c r="H523" s="1127"/>
      <c r="I523" s="633">
        <f t="shared" ref="I523:I586" si="54">H523*(12-MONTH(G523))/12</f>
        <v>0</v>
      </c>
      <c r="J523" s="633">
        <f t="shared" ref="J523:J586" si="55">C523+E523-H523</f>
        <v>0</v>
      </c>
      <c r="K523" s="633">
        <f t="shared" ref="K523:K586" si="56">C523+F523-I523</f>
        <v>0</v>
      </c>
      <c r="L523" s="1127"/>
      <c r="M523" s="1127"/>
      <c r="N523" s="1691">
        <f t="shared" si="51"/>
        <v>0</v>
      </c>
      <c r="O523" s="634">
        <f t="shared" si="52"/>
        <v>0</v>
      </c>
      <c r="P523" s="144"/>
      <c r="Q523" s="144"/>
      <c r="R523" s="144"/>
      <c r="S523" s="144"/>
    </row>
    <row r="524" spans="1:19" ht="14.25" customHeight="1">
      <c r="A524" s="630"/>
      <c r="B524" s="631"/>
      <c r="C524" s="1127"/>
      <c r="D524" s="632"/>
      <c r="E524" s="1127"/>
      <c r="F524" s="633">
        <f t="shared" si="53"/>
        <v>0</v>
      </c>
      <c r="G524" s="632"/>
      <c r="H524" s="1127"/>
      <c r="I524" s="633">
        <f t="shared" si="54"/>
        <v>0</v>
      </c>
      <c r="J524" s="633">
        <f t="shared" si="55"/>
        <v>0</v>
      </c>
      <c r="K524" s="633">
        <f t="shared" si="56"/>
        <v>0</v>
      </c>
      <c r="L524" s="1127"/>
      <c r="M524" s="1127"/>
      <c r="N524" s="1691">
        <f t="shared" si="51"/>
        <v>0</v>
      </c>
      <c r="O524" s="634">
        <f t="shared" si="52"/>
        <v>0</v>
      </c>
      <c r="P524" s="144"/>
      <c r="Q524" s="144"/>
      <c r="R524" s="144"/>
      <c r="S524" s="144"/>
    </row>
    <row r="525" spans="1:19" ht="14.25" customHeight="1">
      <c r="A525" s="630"/>
      <c r="B525" s="631"/>
      <c r="C525" s="1127"/>
      <c r="D525" s="632"/>
      <c r="E525" s="1127"/>
      <c r="F525" s="633">
        <f t="shared" si="53"/>
        <v>0</v>
      </c>
      <c r="G525" s="632"/>
      <c r="H525" s="1127"/>
      <c r="I525" s="633">
        <f t="shared" si="54"/>
        <v>0</v>
      </c>
      <c r="J525" s="633">
        <f t="shared" si="55"/>
        <v>0</v>
      </c>
      <c r="K525" s="633">
        <f t="shared" si="56"/>
        <v>0</v>
      </c>
      <c r="L525" s="1127"/>
      <c r="M525" s="1127"/>
      <c r="N525" s="1691">
        <f t="shared" si="51"/>
        <v>0</v>
      </c>
      <c r="O525" s="634">
        <f t="shared" si="52"/>
        <v>0</v>
      </c>
      <c r="P525" s="144"/>
      <c r="Q525" s="144"/>
      <c r="R525" s="144"/>
      <c r="S525" s="144"/>
    </row>
    <row r="526" spans="1:19" ht="14.25" customHeight="1">
      <c r="A526" s="630"/>
      <c r="B526" s="631"/>
      <c r="C526" s="1127"/>
      <c r="D526" s="632"/>
      <c r="E526" s="1127"/>
      <c r="F526" s="633">
        <f t="shared" si="53"/>
        <v>0</v>
      </c>
      <c r="G526" s="632"/>
      <c r="H526" s="1127"/>
      <c r="I526" s="633">
        <f t="shared" si="54"/>
        <v>0</v>
      </c>
      <c r="J526" s="633">
        <f t="shared" si="55"/>
        <v>0</v>
      </c>
      <c r="K526" s="633">
        <f t="shared" si="56"/>
        <v>0</v>
      </c>
      <c r="L526" s="1127"/>
      <c r="M526" s="1127"/>
      <c r="N526" s="1691">
        <f t="shared" si="51"/>
        <v>0</v>
      </c>
      <c r="O526" s="634">
        <f t="shared" si="52"/>
        <v>0</v>
      </c>
      <c r="P526" s="144"/>
      <c r="Q526" s="144"/>
      <c r="R526" s="144"/>
      <c r="S526" s="144"/>
    </row>
    <row r="527" spans="1:19" ht="14.25" customHeight="1">
      <c r="A527" s="630"/>
      <c r="B527" s="631"/>
      <c r="C527" s="1127"/>
      <c r="D527" s="632"/>
      <c r="E527" s="1127"/>
      <c r="F527" s="633">
        <f t="shared" si="53"/>
        <v>0</v>
      </c>
      <c r="G527" s="632"/>
      <c r="H527" s="1127"/>
      <c r="I527" s="633">
        <f t="shared" si="54"/>
        <v>0</v>
      </c>
      <c r="J527" s="633">
        <f t="shared" si="55"/>
        <v>0</v>
      </c>
      <c r="K527" s="633">
        <f t="shared" si="56"/>
        <v>0</v>
      </c>
      <c r="L527" s="1127"/>
      <c r="M527" s="1127"/>
      <c r="N527" s="1691">
        <f t="shared" si="51"/>
        <v>0</v>
      </c>
      <c r="O527" s="634">
        <f t="shared" si="52"/>
        <v>0</v>
      </c>
      <c r="P527" s="144"/>
      <c r="Q527" s="144"/>
      <c r="R527" s="144"/>
      <c r="S527" s="144"/>
    </row>
    <row r="528" spans="1:19" ht="14.25" customHeight="1">
      <c r="A528" s="630"/>
      <c r="B528" s="631"/>
      <c r="C528" s="1127"/>
      <c r="D528" s="632"/>
      <c r="E528" s="1127"/>
      <c r="F528" s="633">
        <f t="shared" si="53"/>
        <v>0</v>
      </c>
      <c r="G528" s="632"/>
      <c r="H528" s="1127"/>
      <c r="I528" s="633">
        <f t="shared" si="54"/>
        <v>0</v>
      </c>
      <c r="J528" s="633">
        <f t="shared" si="55"/>
        <v>0</v>
      </c>
      <c r="K528" s="633">
        <f t="shared" si="56"/>
        <v>0</v>
      </c>
      <c r="L528" s="1127"/>
      <c r="M528" s="1127"/>
      <c r="N528" s="1691">
        <f t="shared" si="51"/>
        <v>0</v>
      </c>
      <c r="O528" s="634">
        <f t="shared" si="52"/>
        <v>0</v>
      </c>
      <c r="P528" s="144"/>
      <c r="Q528" s="144"/>
      <c r="R528" s="144"/>
      <c r="S528" s="144"/>
    </row>
    <row r="529" spans="1:19" ht="14.25" customHeight="1">
      <c r="A529" s="630"/>
      <c r="B529" s="631"/>
      <c r="C529" s="1127"/>
      <c r="D529" s="632"/>
      <c r="E529" s="1127"/>
      <c r="F529" s="633">
        <f t="shared" si="53"/>
        <v>0</v>
      </c>
      <c r="G529" s="632"/>
      <c r="H529" s="1127"/>
      <c r="I529" s="633">
        <f t="shared" si="54"/>
        <v>0</v>
      </c>
      <c r="J529" s="633">
        <f t="shared" si="55"/>
        <v>0</v>
      </c>
      <c r="K529" s="633">
        <f t="shared" si="56"/>
        <v>0</v>
      </c>
      <c r="L529" s="1127"/>
      <c r="M529" s="1127"/>
      <c r="N529" s="1691">
        <f t="shared" si="51"/>
        <v>0</v>
      </c>
      <c r="O529" s="634">
        <f t="shared" si="52"/>
        <v>0</v>
      </c>
      <c r="P529" s="144"/>
      <c r="Q529" s="144"/>
      <c r="R529" s="144"/>
      <c r="S529" s="144"/>
    </row>
    <row r="530" spans="1:19" ht="14.25" customHeight="1">
      <c r="A530" s="630"/>
      <c r="B530" s="631"/>
      <c r="C530" s="1127"/>
      <c r="D530" s="632"/>
      <c r="E530" s="1127"/>
      <c r="F530" s="633">
        <f t="shared" si="53"/>
        <v>0</v>
      </c>
      <c r="G530" s="632"/>
      <c r="H530" s="1127"/>
      <c r="I530" s="633">
        <f t="shared" si="54"/>
        <v>0</v>
      </c>
      <c r="J530" s="633">
        <f t="shared" si="55"/>
        <v>0</v>
      </c>
      <c r="K530" s="633">
        <f t="shared" si="56"/>
        <v>0</v>
      </c>
      <c r="L530" s="1127"/>
      <c r="M530" s="1127"/>
      <c r="N530" s="1691">
        <f t="shared" si="51"/>
        <v>0</v>
      </c>
      <c r="O530" s="634">
        <f t="shared" si="52"/>
        <v>0</v>
      </c>
      <c r="P530" s="144"/>
      <c r="Q530" s="144"/>
      <c r="R530" s="144"/>
      <c r="S530" s="144"/>
    </row>
    <row r="531" spans="1:19" ht="14.25" customHeight="1">
      <c r="A531" s="630"/>
      <c r="B531" s="631"/>
      <c r="C531" s="1127"/>
      <c r="D531" s="632"/>
      <c r="E531" s="1127"/>
      <c r="F531" s="633">
        <f t="shared" si="53"/>
        <v>0</v>
      </c>
      <c r="G531" s="632"/>
      <c r="H531" s="1127"/>
      <c r="I531" s="633">
        <f t="shared" si="54"/>
        <v>0</v>
      </c>
      <c r="J531" s="633">
        <f t="shared" si="55"/>
        <v>0</v>
      </c>
      <c r="K531" s="633">
        <f t="shared" si="56"/>
        <v>0</v>
      </c>
      <c r="L531" s="1127"/>
      <c r="M531" s="1127"/>
      <c r="N531" s="1691">
        <f t="shared" si="51"/>
        <v>0</v>
      </c>
      <c r="O531" s="634">
        <f t="shared" si="52"/>
        <v>0</v>
      </c>
      <c r="P531" s="144"/>
      <c r="Q531" s="144"/>
      <c r="R531" s="144"/>
      <c r="S531" s="144"/>
    </row>
    <row r="532" spans="1:19" ht="14.25" customHeight="1">
      <c r="A532" s="630"/>
      <c r="B532" s="631"/>
      <c r="C532" s="1127"/>
      <c r="D532" s="632"/>
      <c r="E532" s="1127"/>
      <c r="F532" s="633">
        <f t="shared" si="53"/>
        <v>0</v>
      </c>
      <c r="G532" s="632"/>
      <c r="H532" s="1127"/>
      <c r="I532" s="633">
        <f t="shared" si="54"/>
        <v>0</v>
      </c>
      <c r="J532" s="633">
        <f t="shared" si="55"/>
        <v>0</v>
      </c>
      <c r="K532" s="633">
        <f t="shared" si="56"/>
        <v>0</v>
      </c>
      <c r="L532" s="1127"/>
      <c r="M532" s="1127"/>
      <c r="N532" s="1691">
        <f t="shared" si="51"/>
        <v>0</v>
      </c>
      <c r="O532" s="634">
        <f t="shared" si="52"/>
        <v>0</v>
      </c>
      <c r="P532" s="144"/>
      <c r="Q532" s="144"/>
      <c r="R532" s="144"/>
      <c r="S532" s="144"/>
    </row>
    <row r="533" spans="1:19" ht="14.25" customHeight="1">
      <c r="A533" s="630"/>
      <c r="B533" s="631"/>
      <c r="C533" s="1127"/>
      <c r="D533" s="632"/>
      <c r="E533" s="1127"/>
      <c r="F533" s="633">
        <f t="shared" si="53"/>
        <v>0</v>
      </c>
      <c r="G533" s="632"/>
      <c r="H533" s="1127"/>
      <c r="I533" s="633">
        <f t="shared" si="54"/>
        <v>0</v>
      </c>
      <c r="J533" s="633">
        <f t="shared" si="55"/>
        <v>0</v>
      </c>
      <c r="K533" s="633">
        <f t="shared" si="56"/>
        <v>0</v>
      </c>
      <c r="L533" s="1127"/>
      <c r="M533" s="1127"/>
      <c r="N533" s="1691">
        <f t="shared" si="51"/>
        <v>0</v>
      </c>
      <c r="O533" s="634">
        <f t="shared" si="52"/>
        <v>0</v>
      </c>
      <c r="P533" s="144"/>
      <c r="Q533" s="144"/>
      <c r="R533" s="144"/>
      <c r="S533" s="144"/>
    </row>
    <row r="534" spans="1:19" ht="14.25" customHeight="1">
      <c r="A534" s="630"/>
      <c r="B534" s="631"/>
      <c r="C534" s="1127"/>
      <c r="D534" s="632"/>
      <c r="E534" s="1127"/>
      <c r="F534" s="633">
        <f t="shared" si="53"/>
        <v>0</v>
      </c>
      <c r="G534" s="632"/>
      <c r="H534" s="1127"/>
      <c r="I534" s="633">
        <f t="shared" si="54"/>
        <v>0</v>
      </c>
      <c r="J534" s="633">
        <f t="shared" si="55"/>
        <v>0</v>
      </c>
      <c r="K534" s="633">
        <f t="shared" si="56"/>
        <v>0</v>
      </c>
      <c r="L534" s="1127"/>
      <c r="M534" s="1127"/>
      <c r="N534" s="1691">
        <f t="shared" si="51"/>
        <v>0</v>
      </c>
      <c r="O534" s="634">
        <f t="shared" si="52"/>
        <v>0</v>
      </c>
      <c r="P534" s="144"/>
      <c r="Q534" s="144"/>
      <c r="R534" s="144"/>
      <c r="S534" s="144"/>
    </row>
    <row r="535" spans="1:19" ht="14.25" customHeight="1">
      <c r="A535" s="630"/>
      <c r="B535" s="631"/>
      <c r="C535" s="1127"/>
      <c r="D535" s="632"/>
      <c r="E535" s="1127"/>
      <c r="F535" s="633">
        <f t="shared" si="53"/>
        <v>0</v>
      </c>
      <c r="G535" s="632"/>
      <c r="H535" s="1127"/>
      <c r="I535" s="633">
        <f t="shared" si="54"/>
        <v>0</v>
      </c>
      <c r="J535" s="633">
        <f t="shared" si="55"/>
        <v>0</v>
      </c>
      <c r="K535" s="633">
        <f t="shared" si="56"/>
        <v>0</v>
      </c>
      <c r="L535" s="1127"/>
      <c r="M535" s="1127"/>
      <c r="N535" s="1691">
        <f t="shared" si="51"/>
        <v>0</v>
      </c>
      <c r="O535" s="634">
        <f t="shared" si="52"/>
        <v>0</v>
      </c>
      <c r="P535" s="144"/>
      <c r="Q535" s="144"/>
      <c r="R535" s="144"/>
      <c r="S535" s="144"/>
    </row>
    <row r="536" spans="1:19" ht="14.25" customHeight="1">
      <c r="A536" s="630"/>
      <c r="B536" s="631"/>
      <c r="C536" s="1127"/>
      <c r="D536" s="632"/>
      <c r="E536" s="1127"/>
      <c r="F536" s="633">
        <f t="shared" si="53"/>
        <v>0</v>
      </c>
      <c r="G536" s="632"/>
      <c r="H536" s="1127"/>
      <c r="I536" s="633">
        <f t="shared" si="54"/>
        <v>0</v>
      </c>
      <c r="J536" s="633">
        <f t="shared" si="55"/>
        <v>0</v>
      </c>
      <c r="K536" s="633">
        <f t="shared" si="56"/>
        <v>0</v>
      </c>
      <c r="L536" s="1127"/>
      <c r="M536" s="1127"/>
      <c r="N536" s="1691">
        <f t="shared" si="51"/>
        <v>0</v>
      </c>
      <c r="O536" s="634">
        <f t="shared" si="52"/>
        <v>0</v>
      </c>
      <c r="P536" s="144"/>
      <c r="Q536" s="144"/>
      <c r="R536" s="144"/>
      <c r="S536" s="144"/>
    </row>
    <row r="537" spans="1:19" ht="14.25" customHeight="1">
      <c r="A537" s="630"/>
      <c r="B537" s="631"/>
      <c r="C537" s="1127"/>
      <c r="D537" s="632"/>
      <c r="E537" s="1127"/>
      <c r="F537" s="633">
        <f t="shared" si="53"/>
        <v>0</v>
      </c>
      <c r="G537" s="632"/>
      <c r="H537" s="1127"/>
      <c r="I537" s="633">
        <f t="shared" si="54"/>
        <v>0</v>
      </c>
      <c r="J537" s="633">
        <f t="shared" si="55"/>
        <v>0</v>
      </c>
      <c r="K537" s="633">
        <f t="shared" si="56"/>
        <v>0</v>
      </c>
      <c r="L537" s="1127"/>
      <c r="M537" s="1127"/>
      <c r="N537" s="1691">
        <f t="shared" si="51"/>
        <v>0</v>
      </c>
      <c r="O537" s="634">
        <f t="shared" si="52"/>
        <v>0</v>
      </c>
      <c r="P537" s="144"/>
      <c r="Q537" s="144"/>
      <c r="R537" s="144"/>
      <c r="S537" s="144"/>
    </row>
    <row r="538" spans="1:19" ht="14.25" customHeight="1">
      <c r="A538" s="630"/>
      <c r="B538" s="631"/>
      <c r="C538" s="1127"/>
      <c r="D538" s="632"/>
      <c r="E538" s="1127"/>
      <c r="F538" s="633">
        <f t="shared" si="53"/>
        <v>0</v>
      </c>
      <c r="G538" s="632"/>
      <c r="H538" s="1127"/>
      <c r="I538" s="633">
        <f t="shared" si="54"/>
        <v>0</v>
      </c>
      <c r="J538" s="633">
        <f t="shared" si="55"/>
        <v>0</v>
      </c>
      <c r="K538" s="633">
        <f t="shared" si="56"/>
        <v>0</v>
      </c>
      <c r="L538" s="1127"/>
      <c r="M538" s="1127"/>
      <c r="N538" s="1691">
        <f t="shared" si="51"/>
        <v>0</v>
      </c>
      <c r="O538" s="634">
        <f t="shared" si="52"/>
        <v>0</v>
      </c>
      <c r="P538" s="144"/>
      <c r="Q538" s="144"/>
      <c r="R538" s="144"/>
      <c r="S538" s="144"/>
    </row>
    <row r="539" spans="1:19" ht="14.25" customHeight="1">
      <c r="A539" s="630"/>
      <c r="B539" s="631"/>
      <c r="C539" s="1127"/>
      <c r="D539" s="632"/>
      <c r="E539" s="1127"/>
      <c r="F539" s="633">
        <f t="shared" si="53"/>
        <v>0</v>
      </c>
      <c r="G539" s="632"/>
      <c r="H539" s="1127"/>
      <c r="I539" s="633">
        <f t="shared" si="54"/>
        <v>0</v>
      </c>
      <c r="J539" s="633">
        <f t="shared" si="55"/>
        <v>0</v>
      </c>
      <c r="K539" s="633">
        <f t="shared" si="56"/>
        <v>0</v>
      </c>
      <c r="L539" s="1127"/>
      <c r="M539" s="1127"/>
      <c r="N539" s="1691">
        <f t="shared" si="51"/>
        <v>0</v>
      </c>
      <c r="O539" s="634">
        <f t="shared" si="52"/>
        <v>0</v>
      </c>
      <c r="P539" s="144"/>
      <c r="Q539" s="144"/>
      <c r="R539" s="144"/>
      <c r="S539" s="144"/>
    </row>
    <row r="540" spans="1:19" ht="14.25" customHeight="1">
      <c r="A540" s="630"/>
      <c r="B540" s="631"/>
      <c r="C540" s="1127"/>
      <c r="D540" s="632"/>
      <c r="E540" s="1127"/>
      <c r="F540" s="633">
        <f t="shared" si="53"/>
        <v>0</v>
      </c>
      <c r="G540" s="632"/>
      <c r="H540" s="1127"/>
      <c r="I540" s="633">
        <f t="shared" si="54"/>
        <v>0</v>
      </c>
      <c r="J540" s="633">
        <f t="shared" si="55"/>
        <v>0</v>
      </c>
      <c r="K540" s="633">
        <f t="shared" si="56"/>
        <v>0</v>
      </c>
      <c r="L540" s="1127"/>
      <c r="M540" s="1127"/>
      <c r="N540" s="1691">
        <f t="shared" si="51"/>
        <v>0</v>
      </c>
      <c r="O540" s="634">
        <f t="shared" si="52"/>
        <v>0</v>
      </c>
      <c r="P540" s="144"/>
      <c r="Q540" s="144"/>
      <c r="R540" s="144"/>
      <c r="S540" s="144"/>
    </row>
    <row r="541" spans="1:19" ht="14.25" customHeight="1">
      <c r="A541" s="630"/>
      <c r="B541" s="631"/>
      <c r="C541" s="1127"/>
      <c r="D541" s="632"/>
      <c r="E541" s="1127"/>
      <c r="F541" s="633">
        <f t="shared" si="53"/>
        <v>0</v>
      </c>
      <c r="G541" s="632"/>
      <c r="H541" s="1127"/>
      <c r="I541" s="633">
        <f t="shared" si="54"/>
        <v>0</v>
      </c>
      <c r="J541" s="633">
        <f t="shared" si="55"/>
        <v>0</v>
      </c>
      <c r="K541" s="633">
        <f t="shared" si="56"/>
        <v>0</v>
      </c>
      <c r="L541" s="1127"/>
      <c r="M541" s="1127"/>
      <c r="N541" s="1691">
        <f t="shared" si="51"/>
        <v>0</v>
      </c>
      <c r="O541" s="634">
        <f t="shared" si="52"/>
        <v>0</v>
      </c>
      <c r="P541" s="144"/>
      <c r="Q541" s="144"/>
      <c r="R541" s="144"/>
      <c r="S541" s="144"/>
    </row>
    <row r="542" spans="1:19" ht="14.25" customHeight="1">
      <c r="A542" s="630"/>
      <c r="B542" s="631"/>
      <c r="C542" s="1127"/>
      <c r="D542" s="632"/>
      <c r="E542" s="1127"/>
      <c r="F542" s="633">
        <f t="shared" si="53"/>
        <v>0</v>
      </c>
      <c r="G542" s="632"/>
      <c r="H542" s="1127"/>
      <c r="I542" s="633">
        <f t="shared" si="54"/>
        <v>0</v>
      </c>
      <c r="J542" s="633">
        <f t="shared" si="55"/>
        <v>0</v>
      </c>
      <c r="K542" s="633">
        <f t="shared" si="56"/>
        <v>0</v>
      </c>
      <c r="L542" s="1127"/>
      <c r="M542" s="1127"/>
      <c r="N542" s="1691">
        <f t="shared" si="51"/>
        <v>0</v>
      </c>
      <c r="O542" s="634">
        <f t="shared" si="52"/>
        <v>0</v>
      </c>
      <c r="P542" s="144"/>
      <c r="Q542" s="144"/>
      <c r="R542" s="144"/>
      <c r="S542" s="144"/>
    </row>
    <row r="543" spans="1:19" ht="14.25" customHeight="1">
      <c r="A543" s="630"/>
      <c r="B543" s="631"/>
      <c r="C543" s="1127"/>
      <c r="D543" s="632"/>
      <c r="E543" s="1127"/>
      <c r="F543" s="633">
        <f t="shared" si="53"/>
        <v>0</v>
      </c>
      <c r="G543" s="632"/>
      <c r="H543" s="1127"/>
      <c r="I543" s="633">
        <f t="shared" si="54"/>
        <v>0</v>
      </c>
      <c r="J543" s="633">
        <f t="shared" si="55"/>
        <v>0</v>
      </c>
      <c r="K543" s="633">
        <f t="shared" si="56"/>
        <v>0</v>
      </c>
      <c r="L543" s="1127"/>
      <c r="M543" s="1127"/>
      <c r="N543" s="1691">
        <f t="shared" si="51"/>
        <v>0</v>
      </c>
      <c r="O543" s="634">
        <f t="shared" si="52"/>
        <v>0</v>
      </c>
      <c r="P543" s="144"/>
      <c r="Q543" s="144"/>
      <c r="R543" s="144"/>
      <c r="S543" s="144"/>
    </row>
    <row r="544" spans="1:19" ht="14.25" customHeight="1">
      <c r="A544" s="630"/>
      <c r="B544" s="631"/>
      <c r="C544" s="1127"/>
      <c r="D544" s="632"/>
      <c r="E544" s="1127"/>
      <c r="F544" s="633">
        <f t="shared" si="53"/>
        <v>0</v>
      </c>
      <c r="G544" s="632"/>
      <c r="H544" s="1127"/>
      <c r="I544" s="633">
        <f t="shared" si="54"/>
        <v>0</v>
      </c>
      <c r="J544" s="633">
        <f t="shared" si="55"/>
        <v>0</v>
      </c>
      <c r="K544" s="633">
        <f t="shared" si="56"/>
        <v>0</v>
      </c>
      <c r="L544" s="1127"/>
      <c r="M544" s="1127"/>
      <c r="N544" s="1691">
        <f t="shared" si="51"/>
        <v>0</v>
      </c>
      <c r="O544" s="634">
        <f t="shared" si="52"/>
        <v>0</v>
      </c>
      <c r="P544" s="144"/>
      <c r="Q544" s="144"/>
      <c r="R544" s="144"/>
      <c r="S544" s="144"/>
    </row>
    <row r="545" spans="1:19" ht="14.25" customHeight="1">
      <c r="A545" s="630"/>
      <c r="B545" s="631"/>
      <c r="C545" s="1127"/>
      <c r="D545" s="632"/>
      <c r="E545" s="1127"/>
      <c r="F545" s="633">
        <f t="shared" si="53"/>
        <v>0</v>
      </c>
      <c r="G545" s="632"/>
      <c r="H545" s="1127"/>
      <c r="I545" s="633">
        <f t="shared" si="54"/>
        <v>0</v>
      </c>
      <c r="J545" s="633">
        <f t="shared" si="55"/>
        <v>0</v>
      </c>
      <c r="K545" s="633">
        <f t="shared" si="56"/>
        <v>0</v>
      </c>
      <c r="L545" s="1127"/>
      <c r="M545" s="1127"/>
      <c r="N545" s="1691">
        <f t="shared" si="51"/>
        <v>0</v>
      </c>
      <c r="O545" s="634">
        <f t="shared" si="52"/>
        <v>0</v>
      </c>
      <c r="P545" s="144"/>
      <c r="Q545" s="144"/>
      <c r="R545" s="144"/>
      <c r="S545" s="144"/>
    </row>
    <row r="546" spans="1:19" ht="14.25" customHeight="1">
      <c r="A546" s="630"/>
      <c r="B546" s="631"/>
      <c r="C546" s="1127"/>
      <c r="D546" s="632"/>
      <c r="E546" s="1127"/>
      <c r="F546" s="633">
        <f t="shared" si="53"/>
        <v>0</v>
      </c>
      <c r="G546" s="632"/>
      <c r="H546" s="1127"/>
      <c r="I546" s="633">
        <f t="shared" si="54"/>
        <v>0</v>
      </c>
      <c r="J546" s="633">
        <f t="shared" si="55"/>
        <v>0</v>
      </c>
      <c r="K546" s="633">
        <f t="shared" si="56"/>
        <v>0</v>
      </c>
      <c r="L546" s="1127"/>
      <c r="M546" s="1127"/>
      <c r="N546" s="1691">
        <f t="shared" si="51"/>
        <v>0</v>
      </c>
      <c r="O546" s="634">
        <f t="shared" si="52"/>
        <v>0</v>
      </c>
      <c r="P546" s="144"/>
      <c r="Q546" s="144"/>
      <c r="R546" s="144"/>
      <c r="S546" s="144"/>
    </row>
    <row r="547" spans="1:19" ht="14.25" customHeight="1">
      <c r="A547" s="630"/>
      <c r="B547" s="631"/>
      <c r="C547" s="1127"/>
      <c r="D547" s="632"/>
      <c r="E547" s="1127"/>
      <c r="F547" s="633">
        <f t="shared" si="53"/>
        <v>0</v>
      </c>
      <c r="G547" s="632"/>
      <c r="H547" s="1127"/>
      <c r="I547" s="633">
        <f t="shared" si="54"/>
        <v>0</v>
      </c>
      <c r="J547" s="633">
        <f t="shared" si="55"/>
        <v>0</v>
      </c>
      <c r="K547" s="633">
        <f t="shared" si="56"/>
        <v>0</v>
      </c>
      <c r="L547" s="1127"/>
      <c r="M547" s="1127"/>
      <c r="N547" s="1691">
        <f t="shared" si="51"/>
        <v>0</v>
      </c>
      <c r="O547" s="634">
        <f t="shared" si="52"/>
        <v>0</v>
      </c>
      <c r="P547" s="144"/>
      <c r="Q547" s="144"/>
      <c r="R547" s="144"/>
      <c r="S547" s="144"/>
    </row>
    <row r="548" spans="1:19" ht="14.25" customHeight="1">
      <c r="A548" s="630"/>
      <c r="B548" s="631"/>
      <c r="C548" s="1127"/>
      <c r="D548" s="632"/>
      <c r="E548" s="1127"/>
      <c r="F548" s="633">
        <f t="shared" si="53"/>
        <v>0</v>
      </c>
      <c r="G548" s="632"/>
      <c r="H548" s="1127"/>
      <c r="I548" s="633">
        <f t="shared" si="54"/>
        <v>0</v>
      </c>
      <c r="J548" s="633">
        <f t="shared" si="55"/>
        <v>0</v>
      </c>
      <c r="K548" s="633">
        <f t="shared" si="56"/>
        <v>0</v>
      </c>
      <c r="L548" s="1127"/>
      <c r="M548" s="1127"/>
      <c r="N548" s="1691">
        <f t="shared" si="51"/>
        <v>0</v>
      </c>
      <c r="O548" s="634">
        <f t="shared" si="52"/>
        <v>0</v>
      </c>
      <c r="P548" s="144"/>
      <c r="Q548" s="144"/>
      <c r="R548" s="144"/>
      <c r="S548" s="144"/>
    </row>
    <row r="549" spans="1:19" ht="14.25" customHeight="1">
      <c r="A549" s="630"/>
      <c r="B549" s="631"/>
      <c r="C549" s="1127"/>
      <c r="D549" s="632"/>
      <c r="E549" s="1127"/>
      <c r="F549" s="633">
        <f t="shared" si="53"/>
        <v>0</v>
      </c>
      <c r="G549" s="632"/>
      <c r="H549" s="1127"/>
      <c r="I549" s="633">
        <f t="shared" si="54"/>
        <v>0</v>
      </c>
      <c r="J549" s="633">
        <f t="shared" si="55"/>
        <v>0</v>
      </c>
      <c r="K549" s="633">
        <f t="shared" si="56"/>
        <v>0</v>
      </c>
      <c r="L549" s="1127"/>
      <c r="M549" s="1127"/>
      <c r="N549" s="1691">
        <f t="shared" si="51"/>
        <v>0</v>
      </c>
      <c r="O549" s="634">
        <f t="shared" si="52"/>
        <v>0</v>
      </c>
      <c r="P549" s="144"/>
      <c r="Q549" s="144"/>
      <c r="R549" s="144"/>
      <c r="S549" s="144"/>
    </row>
    <row r="550" spans="1:19" ht="14.25" customHeight="1">
      <c r="A550" s="630"/>
      <c r="B550" s="631"/>
      <c r="C550" s="1127"/>
      <c r="D550" s="632"/>
      <c r="E550" s="1127"/>
      <c r="F550" s="633">
        <f t="shared" si="53"/>
        <v>0</v>
      </c>
      <c r="G550" s="632"/>
      <c r="H550" s="1127"/>
      <c r="I550" s="633">
        <f t="shared" si="54"/>
        <v>0</v>
      </c>
      <c r="J550" s="633">
        <f t="shared" si="55"/>
        <v>0</v>
      </c>
      <c r="K550" s="633">
        <f t="shared" si="56"/>
        <v>0</v>
      </c>
      <c r="L550" s="1127"/>
      <c r="M550" s="1127"/>
      <c r="N550" s="1691">
        <f t="shared" si="51"/>
        <v>0</v>
      </c>
      <c r="O550" s="634">
        <f t="shared" si="52"/>
        <v>0</v>
      </c>
      <c r="P550" s="144"/>
      <c r="Q550" s="144"/>
      <c r="R550" s="144"/>
      <c r="S550" s="144"/>
    </row>
    <row r="551" spans="1:19" ht="14.25" customHeight="1">
      <c r="A551" s="630"/>
      <c r="B551" s="631"/>
      <c r="C551" s="1127"/>
      <c r="D551" s="632"/>
      <c r="E551" s="1127"/>
      <c r="F551" s="633">
        <f t="shared" si="53"/>
        <v>0</v>
      </c>
      <c r="G551" s="632"/>
      <c r="H551" s="1127"/>
      <c r="I551" s="633">
        <f t="shared" si="54"/>
        <v>0</v>
      </c>
      <c r="J551" s="633">
        <f t="shared" si="55"/>
        <v>0</v>
      </c>
      <c r="K551" s="633">
        <f t="shared" si="56"/>
        <v>0</v>
      </c>
      <c r="L551" s="1127"/>
      <c r="M551" s="1127"/>
      <c r="N551" s="1691">
        <f t="shared" si="51"/>
        <v>0</v>
      </c>
      <c r="O551" s="634">
        <f t="shared" si="52"/>
        <v>0</v>
      </c>
      <c r="P551" s="144"/>
      <c r="Q551" s="144"/>
      <c r="R551" s="144"/>
      <c r="S551" s="144"/>
    </row>
    <row r="552" spans="1:19" ht="14.25" customHeight="1">
      <c r="A552" s="630"/>
      <c r="B552" s="631"/>
      <c r="C552" s="1127"/>
      <c r="D552" s="632"/>
      <c r="E552" s="1127"/>
      <c r="F552" s="633">
        <f t="shared" si="53"/>
        <v>0</v>
      </c>
      <c r="G552" s="632"/>
      <c r="H552" s="1127"/>
      <c r="I552" s="633">
        <f t="shared" si="54"/>
        <v>0</v>
      </c>
      <c r="J552" s="633">
        <f t="shared" si="55"/>
        <v>0</v>
      </c>
      <c r="K552" s="633">
        <f t="shared" si="56"/>
        <v>0</v>
      </c>
      <c r="L552" s="1127"/>
      <c r="M552" s="1127"/>
      <c r="N552" s="1691">
        <f t="shared" si="51"/>
        <v>0</v>
      </c>
      <c r="O552" s="634">
        <f t="shared" si="52"/>
        <v>0</v>
      </c>
      <c r="P552" s="144"/>
      <c r="Q552" s="144"/>
      <c r="R552" s="144"/>
      <c r="S552" s="144"/>
    </row>
    <row r="553" spans="1:19" ht="14.25" customHeight="1">
      <c r="A553" s="630"/>
      <c r="B553" s="631"/>
      <c r="C553" s="1127"/>
      <c r="D553" s="632"/>
      <c r="E553" s="1127"/>
      <c r="F553" s="633">
        <f t="shared" si="53"/>
        <v>0</v>
      </c>
      <c r="G553" s="632"/>
      <c r="H553" s="1127"/>
      <c r="I553" s="633">
        <f t="shared" si="54"/>
        <v>0</v>
      </c>
      <c r="J553" s="633">
        <f t="shared" si="55"/>
        <v>0</v>
      </c>
      <c r="K553" s="633">
        <f t="shared" si="56"/>
        <v>0</v>
      </c>
      <c r="L553" s="1127"/>
      <c r="M553" s="1127"/>
      <c r="N553" s="1691">
        <f t="shared" si="51"/>
        <v>0</v>
      </c>
      <c r="O553" s="634">
        <f t="shared" si="52"/>
        <v>0</v>
      </c>
      <c r="P553" s="144"/>
      <c r="Q553" s="144"/>
      <c r="R553" s="144"/>
      <c r="S553" s="144"/>
    </row>
    <row r="554" spans="1:19" ht="14.25" customHeight="1">
      <c r="A554" s="630"/>
      <c r="B554" s="631"/>
      <c r="C554" s="1127"/>
      <c r="D554" s="632"/>
      <c r="E554" s="1127"/>
      <c r="F554" s="633">
        <f t="shared" si="53"/>
        <v>0</v>
      </c>
      <c r="G554" s="632"/>
      <c r="H554" s="1127"/>
      <c r="I554" s="633">
        <f t="shared" si="54"/>
        <v>0</v>
      </c>
      <c r="J554" s="633">
        <f t="shared" si="55"/>
        <v>0</v>
      </c>
      <c r="K554" s="633">
        <f t="shared" si="56"/>
        <v>0</v>
      </c>
      <c r="L554" s="1127"/>
      <c r="M554" s="1127"/>
      <c r="N554" s="1691">
        <f t="shared" si="51"/>
        <v>0</v>
      </c>
      <c r="O554" s="634">
        <f t="shared" si="52"/>
        <v>0</v>
      </c>
      <c r="P554" s="144"/>
      <c r="Q554" s="144"/>
      <c r="R554" s="144"/>
      <c r="S554" s="144"/>
    </row>
    <row r="555" spans="1:19" ht="14.25" customHeight="1">
      <c r="A555" s="630"/>
      <c r="B555" s="631"/>
      <c r="C555" s="1127"/>
      <c r="D555" s="632"/>
      <c r="E555" s="1127"/>
      <c r="F555" s="633">
        <f t="shared" si="53"/>
        <v>0</v>
      </c>
      <c r="G555" s="632"/>
      <c r="H555" s="1127"/>
      <c r="I555" s="633">
        <f t="shared" si="54"/>
        <v>0</v>
      </c>
      <c r="J555" s="633">
        <f t="shared" si="55"/>
        <v>0</v>
      </c>
      <c r="K555" s="633">
        <f t="shared" si="56"/>
        <v>0</v>
      </c>
      <c r="L555" s="1127"/>
      <c r="M555" s="1127"/>
      <c r="N555" s="1691">
        <f t="shared" si="51"/>
        <v>0</v>
      </c>
      <c r="O555" s="634">
        <f t="shared" si="52"/>
        <v>0</v>
      </c>
      <c r="P555" s="144"/>
      <c r="Q555" s="144"/>
      <c r="R555" s="144"/>
      <c r="S555" s="144"/>
    </row>
    <row r="556" spans="1:19" ht="14.25" customHeight="1">
      <c r="A556" s="630"/>
      <c r="B556" s="631"/>
      <c r="C556" s="1127"/>
      <c r="D556" s="632"/>
      <c r="E556" s="1127"/>
      <c r="F556" s="633">
        <f t="shared" si="53"/>
        <v>0</v>
      </c>
      <c r="G556" s="632"/>
      <c r="H556" s="1127"/>
      <c r="I556" s="633">
        <f t="shared" si="54"/>
        <v>0</v>
      </c>
      <c r="J556" s="633">
        <f t="shared" si="55"/>
        <v>0</v>
      </c>
      <c r="K556" s="633">
        <f t="shared" si="56"/>
        <v>0</v>
      </c>
      <c r="L556" s="1127"/>
      <c r="M556" s="1127"/>
      <c r="N556" s="1691">
        <f t="shared" si="51"/>
        <v>0</v>
      </c>
      <c r="O556" s="634">
        <f t="shared" si="52"/>
        <v>0</v>
      </c>
      <c r="P556" s="144"/>
      <c r="Q556" s="144"/>
      <c r="R556" s="144"/>
      <c r="S556" s="144"/>
    </row>
    <row r="557" spans="1:19" ht="14.25" customHeight="1">
      <c r="A557" s="630"/>
      <c r="B557" s="631"/>
      <c r="C557" s="1127"/>
      <c r="D557" s="632"/>
      <c r="E557" s="1127"/>
      <c r="F557" s="633">
        <f t="shared" si="53"/>
        <v>0</v>
      </c>
      <c r="G557" s="632"/>
      <c r="H557" s="1127"/>
      <c r="I557" s="633">
        <f t="shared" si="54"/>
        <v>0</v>
      </c>
      <c r="J557" s="633">
        <f t="shared" si="55"/>
        <v>0</v>
      </c>
      <c r="K557" s="633">
        <f t="shared" si="56"/>
        <v>0</v>
      </c>
      <c r="L557" s="1127"/>
      <c r="M557" s="1127"/>
      <c r="N557" s="1691">
        <f t="shared" si="51"/>
        <v>0</v>
      </c>
      <c r="O557" s="634">
        <f t="shared" si="52"/>
        <v>0</v>
      </c>
      <c r="P557" s="144"/>
      <c r="Q557" s="144"/>
      <c r="R557" s="144"/>
      <c r="S557" s="144"/>
    </row>
    <row r="558" spans="1:19" ht="14.25" customHeight="1">
      <c r="A558" s="630"/>
      <c r="B558" s="631"/>
      <c r="C558" s="1127"/>
      <c r="D558" s="632"/>
      <c r="E558" s="1127"/>
      <c r="F558" s="633">
        <f t="shared" si="53"/>
        <v>0</v>
      </c>
      <c r="G558" s="632"/>
      <c r="H558" s="1127"/>
      <c r="I558" s="633">
        <f t="shared" si="54"/>
        <v>0</v>
      </c>
      <c r="J558" s="633">
        <f t="shared" si="55"/>
        <v>0</v>
      </c>
      <c r="K558" s="633">
        <f t="shared" si="56"/>
        <v>0</v>
      </c>
      <c r="L558" s="1127"/>
      <c r="M558" s="1127"/>
      <c r="N558" s="1691">
        <f t="shared" si="51"/>
        <v>0</v>
      </c>
      <c r="O558" s="634">
        <f t="shared" si="52"/>
        <v>0</v>
      </c>
      <c r="P558" s="144"/>
      <c r="Q558" s="144"/>
      <c r="R558" s="144"/>
      <c r="S558" s="144"/>
    </row>
    <row r="559" spans="1:19" ht="14.25" customHeight="1">
      <c r="A559" s="630"/>
      <c r="B559" s="631"/>
      <c r="C559" s="1127"/>
      <c r="D559" s="632"/>
      <c r="E559" s="1127"/>
      <c r="F559" s="633">
        <f t="shared" si="53"/>
        <v>0</v>
      </c>
      <c r="G559" s="632"/>
      <c r="H559" s="1127"/>
      <c r="I559" s="633">
        <f t="shared" si="54"/>
        <v>0</v>
      </c>
      <c r="J559" s="633">
        <f t="shared" si="55"/>
        <v>0</v>
      </c>
      <c r="K559" s="633">
        <f t="shared" si="56"/>
        <v>0</v>
      </c>
      <c r="L559" s="1127"/>
      <c r="M559" s="1127"/>
      <c r="N559" s="1691">
        <f t="shared" si="51"/>
        <v>0</v>
      </c>
      <c r="O559" s="634">
        <f t="shared" si="52"/>
        <v>0</v>
      </c>
      <c r="P559" s="144"/>
      <c r="Q559" s="144"/>
      <c r="R559" s="144"/>
      <c r="S559" s="144"/>
    </row>
    <row r="560" spans="1:19" ht="14.25" customHeight="1">
      <c r="A560" s="630"/>
      <c r="B560" s="631"/>
      <c r="C560" s="1127"/>
      <c r="D560" s="632"/>
      <c r="E560" s="1127"/>
      <c r="F560" s="633">
        <f t="shared" si="53"/>
        <v>0</v>
      </c>
      <c r="G560" s="632"/>
      <c r="H560" s="1127"/>
      <c r="I560" s="633">
        <f t="shared" si="54"/>
        <v>0</v>
      </c>
      <c r="J560" s="633">
        <f t="shared" si="55"/>
        <v>0</v>
      </c>
      <c r="K560" s="633">
        <f t="shared" si="56"/>
        <v>0</v>
      </c>
      <c r="L560" s="1127"/>
      <c r="M560" s="1127"/>
      <c r="N560" s="1691">
        <f t="shared" si="51"/>
        <v>0</v>
      </c>
      <c r="O560" s="634">
        <f t="shared" si="52"/>
        <v>0</v>
      </c>
      <c r="P560" s="144"/>
      <c r="Q560" s="144"/>
      <c r="R560" s="144"/>
      <c r="S560" s="144"/>
    </row>
    <row r="561" spans="1:19" ht="14.25" customHeight="1">
      <c r="A561" s="630"/>
      <c r="B561" s="631"/>
      <c r="C561" s="1127"/>
      <c r="D561" s="632"/>
      <c r="E561" s="1127"/>
      <c r="F561" s="633">
        <f t="shared" si="53"/>
        <v>0</v>
      </c>
      <c r="G561" s="632"/>
      <c r="H561" s="1127"/>
      <c r="I561" s="633">
        <f t="shared" si="54"/>
        <v>0</v>
      </c>
      <c r="J561" s="633">
        <f t="shared" si="55"/>
        <v>0</v>
      </c>
      <c r="K561" s="633">
        <f t="shared" si="56"/>
        <v>0</v>
      </c>
      <c r="L561" s="1127"/>
      <c r="M561" s="1127"/>
      <c r="N561" s="1691">
        <f t="shared" si="51"/>
        <v>0</v>
      </c>
      <c r="O561" s="634">
        <f t="shared" si="52"/>
        <v>0</v>
      </c>
      <c r="P561" s="144"/>
      <c r="Q561" s="144"/>
      <c r="R561" s="144"/>
      <c r="S561" s="144"/>
    </row>
    <row r="562" spans="1:19" ht="14.25" customHeight="1">
      <c r="A562" s="630"/>
      <c r="B562" s="631"/>
      <c r="C562" s="1127"/>
      <c r="D562" s="632"/>
      <c r="E562" s="1127"/>
      <c r="F562" s="633">
        <f t="shared" si="53"/>
        <v>0</v>
      </c>
      <c r="G562" s="632"/>
      <c r="H562" s="1127"/>
      <c r="I562" s="633">
        <f t="shared" si="54"/>
        <v>0</v>
      </c>
      <c r="J562" s="633">
        <f t="shared" si="55"/>
        <v>0</v>
      </c>
      <c r="K562" s="633">
        <f t="shared" si="56"/>
        <v>0</v>
      </c>
      <c r="L562" s="1127"/>
      <c r="M562" s="1127"/>
      <c r="N562" s="1691">
        <f t="shared" si="51"/>
        <v>0</v>
      </c>
      <c r="O562" s="634">
        <f t="shared" si="52"/>
        <v>0</v>
      </c>
      <c r="P562" s="144"/>
      <c r="Q562" s="144"/>
      <c r="R562" s="144"/>
      <c r="S562" s="144"/>
    </row>
    <row r="563" spans="1:19" ht="14.25" customHeight="1">
      <c r="A563" s="630"/>
      <c r="B563" s="631"/>
      <c r="C563" s="1127"/>
      <c r="D563" s="632"/>
      <c r="E563" s="1127"/>
      <c r="F563" s="633">
        <f t="shared" si="53"/>
        <v>0</v>
      </c>
      <c r="G563" s="632"/>
      <c r="H563" s="1127"/>
      <c r="I563" s="633">
        <f t="shared" si="54"/>
        <v>0</v>
      </c>
      <c r="J563" s="633">
        <f t="shared" si="55"/>
        <v>0</v>
      </c>
      <c r="K563" s="633">
        <f t="shared" si="56"/>
        <v>0</v>
      </c>
      <c r="L563" s="1127"/>
      <c r="M563" s="1127"/>
      <c r="N563" s="1691">
        <f t="shared" si="51"/>
        <v>0</v>
      </c>
      <c r="O563" s="634">
        <f t="shared" si="52"/>
        <v>0</v>
      </c>
      <c r="P563" s="144"/>
      <c r="Q563" s="144"/>
      <c r="R563" s="144"/>
      <c r="S563" s="144"/>
    </row>
    <row r="564" spans="1:19" ht="14.25" customHeight="1">
      <c r="A564" s="630"/>
      <c r="B564" s="631"/>
      <c r="C564" s="1127"/>
      <c r="D564" s="632"/>
      <c r="E564" s="1127"/>
      <c r="F564" s="633">
        <f t="shared" si="53"/>
        <v>0</v>
      </c>
      <c r="G564" s="632"/>
      <c r="H564" s="1127"/>
      <c r="I564" s="633">
        <f t="shared" si="54"/>
        <v>0</v>
      </c>
      <c r="J564" s="633">
        <f t="shared" si="55"/>
        <v>0</v>
      </c>
      <c r="K564" s="633">
        <f t="shared" si="56"/>
        <v>0</v>
      </c>
      <c r="L564" s="1127"/>
      <c r="M564" s="1127"/>
      <c r="N564" s="1691">
        <f t="shared" si="51"/>
        <v>0</v>
      </c>
      <c r="O564" s="634">
        <f t="shared" si="52"/>
        <v>0</v>
      </c>
      <c r="P564" s="144"/>
      <c r="Q564" s="144"/>
      <c r="R564" s="144"/>
      <c r="S564" s="144"/>
    </row>
    <row r="565" spans="1:19" ht="14.25" customHeight="1">
      <c r="A565" s="630"/>
      <c r="B565" s="631"/>
      <c r="C565" s="1127"/>
      <c r="D565" s="632"/>
      <c r="E565" s="1127"/>
      <c r="F565" s="633">
        <f t="shared" si="53"/>
        <v>0</v>
      </c>
      <c r="G565" s="632"/>
      <c r="H565" s="1127"/>
      <c r="I565" s="633">
        <f t="shared" si="54"/>
        <v>0</v>
      </c>
      <c r="J565" s="633">
        <f t="shared" si="55"/>
        <v>0</v>
      </c>
      <c r="K565" s="633">
        <f t="shared" si="56"/>
        <v>0</v>
      </c>
      <c r="L565" s="1127"/>
      <c r="M565" s="1127"/>
      <c r="N565" s="1691">
        <f t="shared" si="51"/>
        <v>0</v>
      </c>
      <c r="O565" s="634">
        <f t="shared" si="52"/>
        <v>0</v>
      </c>
      <c r="P565" s="144"/>
      <c r="Q565" s="144"/>
      <c r="R565" s="144"/>
      <c r="S565" s="144"/>
    </row>
    <row r="566" spans="1:19" ht="14.25" customHeight="1">
      <c r="A566" s="630"/>
      <c r="B566" s="631"/>
      <c r="C566" s="1127"/>
      <c r="D566" s="632"/>
      <c r="E566" s="1127"/>
      <c r="F566" s="633">
        <f t="shared" si="53"/>
        <v>0</v>
      </c>
      <c r="G566" s="632"/>
      <c r="H566" s="1127"/>
      <c r="I566" s="633">
        <f t="shared" si="54"/>
        <v>0</v>
      </c>
      <c r="J566" s="633">
        <f t="shared" si="55"/>
        <v>0</v>
      </c>
      <c r="K566" s="633">
        <f t="shared" si="56"/>
        <v>0</v>
      </c>
      <c r="L566" s="1127"/>
      <c r="M566" s="1127"/>
      <c r="N566" s="1691">
        <f t="shared" si="51"/>
        <v>0</v>
      </c>
      <c r="O566" s="634">
        <f t="shared" si="52"/>
        <v>0</v>
      </c>
      <c r="P566" s="144"/>
      <c r="Q566" s="144"/>
      <c r="R566" s="144"/>
      <c r="S566" s="144"/>
    </row>
    <row r="567" spans="1:19" ht="14.25" customHeight="1">
      <c r="A567" s="630"/>
      <c r="B567" s="631"/>
      <c r="C567" s="1127"/>
      <c r="D567" s="632"/>
      <c r="E567" s="1127"/>
      <c r="F567" s="633">
        <f t="shared" si="53"/>
        <v>0</v>
      </c>
      <c r="G567" s="632"/>
      <c r="H567" s="1127"/>
      <c r="I567" s="633">
        <f t="shared" si="54"/>
        <v>0</v>
      </c>
      <c r="J567" s="633">
        <f t="shared" si="55"/>
        <v>0</v>
      </c>
      <c r="K567" s="633">
        <f t="shared" si="56"/>
        <v>0</v>
      </c>
      <c r="L567" s="1127"/>
      <c r="M567" s="1127"/>
      <c r="N567" s="1691">
        <f t="shared" si="51"/>
        <v>0</v>
      </c>
      <c r="O567" s="634">
        <f t="shared" si="52"/>
        <v>0</v>
      </c>
      <c r="P567" s="144"/>
      <c r="Q567" s="144"/>
      <c r="R567" s="144"/>
      <c r="S567" s="144"/>
    </row>
    <row r="568" spans="1:19" ht="14.25" customHeight="1">
      <c r="A568" s="630"/>
      <c r="B568" s="631"/>
      <c r="C568" s="1127"/>
      <c r="D568" s="632"/>
      <c r="E568" s="1127"/>
      <c r="F568" s="633">
        <f t="shared" si="53"/>
        <v>0</v>
      </c>
      <c r="G568" s="632"/>
      <c r="H568" s="1127"/>
      <c r="I568" s="633">
        <f t="shared" si="54"/>
        <v>0</v>
      </c>
      <c r="J568" s="633">
        <f t="shared" si="55"/>
        <v>0</v>
      </c>
      <c r="K568" s="633">
        <f t="shared" si="56"/>
        <v>0</v>
      </c>
      <c r="L568" s="1127"/>
      <c r="M568" s="1127"/>
      <c r="N568" s="1691">
        <f t="shared" si="51"/>
        <v>0</v>
      </c>
      <c r="O568" s="634">
        <f t="shared" si="52"/>
        <v>0</v>
      </c>
      <c r="P568" s="144"/>
      <c r="Q568" s="144"/>
      <c r="R568" s="144"/>
      <c r="S568" s="144"/>
    </row>
    <row r="569" spans="1:19" ht="14.25" customHeight="1">
      <c r="A569" s="630"/>
      <c r="B569" s="631"/>
      <c r="C569" s="1127"/>
      <c r="D569" s="632"/>
      <c r="E569" s="1127"/>
      <c r="F569" s="633">
        <f t="shared" si="53"/>
        <v>0</v>
      </c>
      <c r="G569" s="632"/>
      <c r="H569" s="1127"/>
      <c r="I569" s="633">
        <f t="shared" si="54"/>
        <v>0</v>
      </c>
      <c r="J569" s="633">
        <f t="shared" si="55"/>
        <v>0</v>
      </c>
      <c r="K569" s="633">
        <f t="shared" si="56"/>
        <v>0</v>
      </c>
      <c r="L569" s="1127"/>
      <c r="M569" s="1127"/>
      <c r="N569" s="1691">
        <f t="shared" si="51"/>
        <v>0</v>
      </c>
      <c r="O569" s="634">
        <f t="shared" si="52"/>
        <v>0</v>
      </c>
      <c r="P569" s="144"/>
      <c r="Q569" s="144"/>
      <c r="R569" s="144"/>
      <c r="S569" s="144"/>
    </row>
    <row r="570" spans="1:19" ht="14.25" customHeight="1">
      <c r="A570" s="630"/>
      <c r="B570" s="631"/>
      <c r="C570" s="1127"/>
      <c r="D570" s="632"/>
      <c r="E570" s="1127"/>
      <c r="F570" s="633">
        <f t="shared" si="53"/>
        <v>0</v>
      </c>
      <c r="G570" s="632"/>
      <c r="H570" s="1127"/>
      <c r="I570" s="633">
        <f t="shared" si="54"/>
        <v>0</v>
      </c>
      <c r="J570" s="633">
        <f t="shared" si="55"/>
        <v>0</v>
      </c>
      <c r="K570" s="633">
        <f t="shared" si="56"/>
        <v>0</v>
      </c>
      <c r="L570" s="1127"/>
      <c r="M570" s="1127"/>
      <c r="N570" s="1691">
        <f t="shared" si="51"/>
        <v>0</v>
      </c>
      <c r="O570" s="634">
        <f t="shared" si="52"/>
        <v>0</v>
      </c>
      <c r="P570" s="144"/>
      <c r="Q570" s="144"/>
      <c r="R570" s="144"/>
      <c r="S570" s="144"/>
    </row>
    <row r="571" spans="1:19" ht="14.25" customHeight="1">
      <c r="A571" s="630"/>
      <c r="B571" s="631"/>
      <c r="C571" s="1127"/>
      <c r="D571" s="632"/>
      <c r="E571" s="1127"/>
      <c r="F571" s="633">
        <f t="shared" si="53"/>
        <v>0</v>
      </c>
      <c r="G571" s="632"/>
      <c r="H571" s="1127"/>
      <c r="I571" s="633">
        <f t="shared" si="54"/>
        <v>0</v>
      </c>
      <c r="J571" s="633">
        <f t="shared" si="55"/>
        <v>0</v>
      </c>
      <c r="K571" s="633">
        <f t="shared" si="56"/>
        <v>0</v>
      </c>
      <c r="L571" s="1127"/>
      <c r="M571" s="1127"/>
      <c r="N571" s="1691">
        <f t="shared" si="51"/>
        <v>0</v>
      </c>
      <c r="O571" s="634">
        <f t="shared" si="52"/>
        <v>0</v>
      </c>
      <c r="P571" s="144"/>
      <c r="Q571" s="144"/>
      <c r="R571" s="144"/>
      <c r="S571" s="144"/>
    </row>
    <row r="572" spans="1:19" ht="14.25" customHeight="1">
      <c r="A572" s="630"/>
      <c r="B572" s="631"/>
      <c r="C572" s="1127"/>
      <c r="D572" s="632"/>
      <c r="E572" s="1127"/>
      <c r="F572" s="633">
        <f t="shared" si="53"/>
        <v>0</v>
      </c>
      <c r="G572" s="632"/>
      <c r="H572" s="1127"/>
      <c r="I572" s="633">
        <f t="shared" si="54"/>
        <v>0</v>
      </c>
      <c r="J572" s="633">
        <f t="shared" si="55"/>
        <v>0</v>
      </c>
      <c r="K572" s="633">
        <f t="shared" si="56"/>
        <v>0</v>
      </c>
      <c r="L572" s="1127"/>
      <c r="M572" s="1127"/>
      <c r="N572" s="1691">
        <f t="shared" si="51"/>
        <v>0</v>
      </c>
      <c r="O572" s="634">
        <f t="shared" si="52"/>
        <v>0</v>
      </c>
      <c r="P572" s="144"/>
      <c r="Q572" s="144"/>
      <c r="R572" s="144"/>
      <c r="S572" s="144"/>
    </row>
    <row r="573" spans="1:19" ht="14.25" customHeight="1">
      <c r="A573" s="630"/>
      <c r="B573" s="631"/>
      <c r="C573" s="1127"/>
      <c r="D573" s="632"/>
      <c r="E573" s="1127"/>
      <c r="F573" s="633">
        <f t="shared" si="53"/>
        <v>0</v>
      </c>
      <c r="G573" s="632"/>
      <c r="H573" s="1127"/>
      <c r="I573" s="633">
        <f t="shared" si="54"/>
        <v>0</v>
      </c>
      <c r="J573" s="633">
        <f t="shared" si="55"/>
        <v>0</v>
      </c>
      <c r="K573" s="633">
        <f t="shared" si="56"/>
        <v>0</v>
      </c>
      <c r="L573" s="1127"/>
      <c r="M573" s="1127"/>
      <c r="N573" s="1691">
        <f t="shared" si="51"/>
        <v>0</v>
      </c>
      <c r="O573" s="634">
        <f t="shared" si="52"/>
        <v>0</v>
      </c>
      <c r="P573" s="144"/>
      <c r="Q573" s="144"/>
      <c r="R573" s="144"/>
      <c r="S573" s="144"/>
    </row>
    <row r="574" spans="1:19" ht="14.25" customHeight="1">
      <c r="A574" s="630"/>
      <c r="B574" s="631"/>
      <c r="C574" s="1127"/>
      <c r="D574" s="632"/>
      <c r="E574" s="1127"/>
      <c r="F574" s="633">
        <f t="shared" si="53"/>
        <v>0</v>
      </c>
      <c r="G574" s="632"/>
      <c r="H574" s="1127"/>
      <c r="I574" s="633">
        <f t="shared" si="54"/>
        <v>0</v>
      </c>
      <c r="J574" s="633">
        <f t="shared" si="55"/>
        <v>0</v>
      </c>
      <c r="K574" s="633">
        <f t="shared" si="56"/>
        <v>0</v>
      </c>
      <c r="L574" s="1127"/>
      <c r="M574" s="1127"/>
      <c r="N574" s="1691">
        <f t="shared" si="51"/>
        <v>0</v>
      </c>
      <c r="O574" s="634">
        <f t="shared" si="52"/>
        <v>0</v>
      </c>
      <c r="P574" s="144"/>
      <c r="Q574" s="144"/>
      <c r="R574" s="144"/>
      <c r="S574" s="144"/>
    </row>
    <row r="575" spans="1:19" ht="14.25" customHeight="1">
      <c r="A575" s="630"/>
      <c r="B575" s="631"/>
      <c r="C575" s="1127"/>
      <c r="D575" s="632"/>
      <c r="E575" s="1127"/>
      <c r="F575" s="633">
        <f t="shared" si="53"/>
        <v>0</v>
      </c>
      <c r="G575" s="632"/>
      <c r="H575" s="1127"/>
      <c r="I575" s="633">
        <f t="shared" si="54"/>
        <v>0</v>
      </c>
      <c r="J575" s="633">
        <f t="shared" si="55"/>
        <v>0</v>
      </c>
      <c r="K575" s="633">
        <f t="shared" si="56"/>
        <v>0</v>
      </c>
      <c r="L575" s="1127"/>
      <c r="M575" s="1127"/>
      <c r="N575" s="1691">
        <f t="shared" si="51"/>
        <v>0</v>
      </c>
      <c r="O575" s="634">
        <f t="shared" si="52"/>
        <v>0</v>
      </c>
      <c r="P575" s="144"/>
      <c r="Q575" s="144"/>
      <c r="R575" s="144"/>
      <c r="S575" s="144"/>
    </row>
    <row r="576" spans="1:19" ht="14.25" customHeight="1">
      <c r="A576" s="630"/>
      <c r="B576" s="631"/>
      <c r="C576" s="1127"/>
      <c r="D576" s="632"/>
      <c r="E576" s="1127"/>
      <c r="F576" s="633">
        <f t="shared" si="53"/>
        <v>0</v>
      </c>
      <c r="G576" s="632"/>
      <c r="H576" s="1127"/>
      <c r="I576" s="633">
        <f t="shared" si="54"/>
        <v>0</v>
      </c>
      <c r="J576" s="633">
        <f t="shared" si="55"/>
        <v>0</v>
      </c>
      <c r="K576" s="633">
        <f t="shared" si="56"/>
        <v>0</v>
      </c>
      <c r="L576" s="1127"/>
      <c r="M576" s="1127"/>
      <c r="N576" s="1691">
        <f t="shared" si="51"/>
        <v>0</v>
      </c>
      <c r="O576" s="634">
        <f t="shared" si="52"/>
        <v>0</v>
      </c>
      <c r="P576" s="144"/>
      <c r="Q576" s="144"/>
      <c r="R576" s="144"/>
      <c r="S576" s="144"/>
    </row>
    <row r="577" spans="1:19" ht="14.25" customHeight="1">
      <c r="A577" s="630"/>
      <c r="B577" s="631"/>
      <c r="C577" s="1127"/>
      <c r="D577" s="632"/>
      <c r="E577" s="1127"/>
      <c r="F577" s="633">
        <f t="shared" si="53"/>
        <v>0</v>
      </c>
      <c r="G577" s="632"/>
      <c r="H577" s="1127"/>
      <c r="I577" s="633">
        <f t="shared" si="54"/>
        <v>0</v>
      </c>
      <c r="J577" s="633">
        <f t="shared" si="55"/>
        <v>0</v>
      </c>
      <c r="K577" s="633">
        <f t="shared" si="56"/>
        <v>0</v>
      </c>
      <c r="L577" s="1127"/>
      <c r="M577" s="1127"/>
      <c r="N577" s="1691">
        <f t="shared" si="51"/>
        <v>0</v>
      </c>
      <c r="O577" s="634">
        <f t="shared" si="52"/>
        <v>0</v>
      </c>
      <c r="P577" s="144"/>
      <c r="Q577" s="144"/>
      <c r="R577" s="144"/>
      <c r="S577" s="144"/>
    </row>
    <row r="578" spans="1:19" ht="14.25" customHeight="1">
      <c r="A578" s="630"/>
      <c r="B578" s="631"/>
      <c r="C578" s="1127"/>
      <c r="D578" s="632"/>
      <c r="E578" s="1127"/>
      <c r="F578" s="633">
        <f t="shared" si="53"/>
        <v>0</v>
      </c>
      <c r="G578" s="632"/>
      <c r="H578" s="1127"/>
      <c r="I578" s="633">
        <f t="shared" si="54"/>
        <v>0</v>
      </c>
      <c r="J578" s="633">
        <f t="shared" si="55"/>
        <v>0</v>
      </c>
      <c r="K578" s="633">
        <f t="shared" si="56"/>
        <v>0</v>
      </c>
      <c r="L578" s="1127"/>
      <c r="M578" s="1127"/>
      <c r="N578" s="1691">
        <f t="shared" si="51"/>
        <v>0</v>
      </c>
      <c r="O578" s="634">
        <f t="shared" si="52"/>
        <v>0</v>
      </c>
      <c r="P578" s="144"/>
      <c r="Q578" s="144"/>
      <c r="R578" s="144"/>
      <c r="S578" s="144"/>
    </row>
    <row r="579" spans="1:19" ht="14.25" customHeight="1">
      <c r="A579" s="630"/>
      <c r="B579" s="631"/>
      <c r="C579" s="1127"/>
      <c r="D579" s="632"/>
      <c r="E579" s="1127"/>
      <c r="F579" s="633">
        <f t="shared" si="53"/>
        <v>0</v>
      </c>
      <c r="G579" s="632"/>
      <c r="H579" s="1127"/>
      <c r="I579" s="633">
        <f t="shared" si="54"/>
        <v>0</v>
      </c>
      <c r="J579" s="633">
        <f t="shared" si="55"/>
        <v>0</v>
      </c>
      <c r="K579" s="633">
        <f t="shared" si="56"/>
        <v>0</v>
      </c>
      <c r="L579" s="1127"/>
      <c r="M579" s="1127"/>
      <c r="N579" s="1691">
        <f t="shared" si="51"/>
        <v>0</v>
      </c>
      <c r="O579" s="634">
        <f t="shared" si="52"/>
        <v>0</v>
      </c>
      <c r="P579" s="144"/>
      <c r="Q579" s="144"/>
      <c r="R579" s="144"/>
      <c r="S579" s="144"/>
    </row>
    <row r="580" spans="1:19" ht="14.25" customHeight="1">
      <c r="A580" s="630"/>
      <c r="B580" s="631"/>
      <c r="C580" s="1127"/>
      <c r="D580" s="632"/>
      <c r="E580" s="1127"/>
      <c r="F580" s="633">
        <f t="shared" si="53"/>
        <v>0</v>
      </c>
      <c r="G580" s="632"/>
      <c r="H580" s="1127"/>
      <c r="I580" s="633">
        <f t="shared" si="54"/>
        <v>0</v>
      </c>
      <c r="J580" s="633">
        <f t="shared" si="55"/>
        <v>0</v>
      </c>
      <c r="K580" s="633">
        <f t="shared" si="56"/>
        <v>0</v>
      </c>
      <c r="L580" s="1127"/>
      <c r="M580" s="1127"/>
      <c r="N580" s="1691">
        <f t="shared" si="51"/>
        <v>0</v>
      </c>
      <c r="O580" s="634">
        <f t="shared" si="52"/>
        <v>0</v>
      </c>
      <c r="P580" s="144"/>
      <c r="Q580" s="144"/>
      <c r="R580" s="144"/>
      <c r="S580" s="144"/>
    </row>
    <row r="581" spans="1:19" ht="14.25" customHeight="1">
      <c r="A581" s="630"/>
      <c r="B581" s="631"/>
      <c r="C581" s="1127"/>
      <c r="D581" s="632"/>
      <c r="E581" s="1127"/>
      <c r="F581" s="633">
        <f t="shared" si="53"/>
        <v>0</v>
      </c>
      <c r="G581" s="632"/>
      <c r="H581" s="1127"/>
      <c r="I581" s="633">
        <f t="shared" si="54"/>
        <v>0</v>
      </c>
      <c r="J581" s="633">
        <f t="shared" si="55"/>
        <v>0</v>
      </c>
      <c r="K581" s="633">
        <f t="shared" si="56"/>
        <v>0</v>
      </c>
      <c r="L581" s="1127"/>
      <c r="M581" s="1127"/>
      <c r="N581" s="1691">
        <f t="shared" si="51"/>
        <v>0</v>
      </c>
      <c r="O581" s="634">
        <f t="shared" si="52"/>
        <v>0</v>
      </c>
      <c r="P581" s="144"/>
      <c r="Q581" s="144"/>
      <c r="R581" s="144"/>
      <c r="S581" s="144"/>
    </row>
    <row r="582" spans="1:19" ht="14.25" customHeight="1">
      <c r="A582" s="630"/>
      <c r="B582" s="631"/>
      <c r="C582" s="1127"/>
      <c r="D582" s="632"/>
      <c r="E582" s="1127"/>
      <c r="F582" s="633">
        <f t="shared" si="53"/>
        <v>0</v>
      </c>
      <c r="G582" s="632"/>
      <c r="H582" s="1127"/>
      <c r="I582" s="633">
        <f t="shared" si="54"/>
        <v>0</v>
      </c>
      <c r="J582" s="633">
        <f t="shared" si="55"/>
        <v>0</v>
      </c>
      <c r="K582" s="633">
        <f t="shared" si="56"/>
        <v>0</v>
      </c>
      <c r="L582" s="1127"/>
      <c r="M582" s="1127"/>
      <c r="N582" s="1691">
        <f t="shared" si="51"/>
        <v>0</v>
      </c>
      <c r="O582" s="634">
        <f t="shared" si="52"/>
        <v>0</v>
      </c>
      <c r="P582" s="144"/>
      <c r="Q582" s="144"/>
      <c r="R582" s="144"/>
      <c r="S582" s="144"/>
    </row>
    <row r="583" spans="1:19" ht="14.25" customHeight="1">
      <c r="A583" s="630"/>
      <c r="B583" s="631"/>
      <c r="C583" s="1127"/>
      <c r="D583" s="632"/>
      <c r="E583" s="1127"/>
      <c r="F583" s="633">
        <f t="shared" si="53"/>
        <v>0</v>
      </c>
      <c r="G583" s="632"/>
      <c r="H583" s="1127"/>
      <c r="I583" s="633">
        <f t="shared" si="54"/>
        <v>0</v>
      </c>
      <c r="J583" s="633">
        <f t="shared" si="55"/>
        <v>0</v>
      </c>
      <c r="K583" s="633">
        <f t="shared" si="56"/>
        <v>0</v>
      </c>
      <c r="L583" s="1127"/>
      <c r="M583" s="1127"/>
      <c r="N583" s="1691">
        <f t="shared" si="51"/>
        <v>0</v>
      </c>
      <c r="O583" s="634">
        <f t="shared" si="52"/>
        <v>0</v>
      </c>
      <c r="P583" s="144"/>
      <c r="Q583" s="144"/>
      <c r="R583" s="144"/>
      <c r="S583" s="144"/>
    </row>
    <row r="584" spans="1:19" ht="14.25" customHeight="1">
      <c r="A584" s="630"/>
      <c r="B584" s="631"/>
      <c r="C584" s="1127"/>
      <c r="D584" s="632"/>
      <c r="E584" s="1127"/>
      <c r="F584" s="633">
        <f t="shared" si="53"/>
        <v>0</v>
      </c>
      <c r="G584" s="632"/>
      <c r="H584" s="1127"/>
      <c r="I584" s="633">
        <f t="shared" si="54"/>
        <v>0</v>
      </c>
      <c r="J584" s="633">
        <f t="shared" si="55"/>
        <v>0</v>
      </c>
      <c r="K584" s="633">
        <f t="shared" si="56"/>
        <v>0</v>
      </c>
      <c r="L584" s="1127"/>
      <c r="M584" s="1127"/>
      <c r="N584" s="1691">
        <f t="shared" si="51"/>
        <v>0</v>
      </c>
      <c r="O584" s="634">
        <f t="shared" si="52"/>
        <v>0</v>
      </c>
      <c r="P584" s="144"/>
      <c r="Q584" s="144"/>
      <c r="R584" s="144"/>
      <c r="S584" s="144"/>
    </row>
    <row r="585" spans="1:19" ht="14.25" customHeight="1">
      <c r="A585" s="630"/>
      <c r="B585" s="631"/>
      <c r="C585" s="1127"/>
      <c r="D585" s="632"/>
      <c r="E585" s="1127"/>
      <c r="F585" s="633">
        <f t="shared" si="53"/>
        <v>0</v>
      </c>
      <c r="G585" s="632"/>
      <c r="H585" s="1127"/>
      <c r="I585" s="633">
        <f t="shared" si="54"/>
        <v>0</v>
      </c>
      <c r="J585" s="633">
        <f t="shared" si="55"/>
        <v>0</v>
      </c>
      <c r="K585" s="633">
        <f t="shared" si="56"/>
        <v>0</v>
      </c>
      <c r="L585" s="1127"/>
      <c r="M585" s="1127"/>
      <c r="N585" s="1691">
        <f t="shared" si="51"/>
        <v>0</v>
      </c>
      <c r="O585" s="634">
        <f t="shared" si="52"/>
        <v>0</v>
      </c>
      <c r="P585" s="144"/>
      <c r="Q585" s="144"/>
      <c r="R585" s="144"/>
      <c r="S585" s="144"/>
    </row>
    <row r="586" spans="1:19" ht="14.25" customHeight="1">
      <c r="A586" s="630"/>
      <c r="B586" s="631"/>
      <c r="C586" s="1127"/>
      <c r="D586" s="632"/>
      <c r="E586" s="1127"/>
      <c r="F586" s="633">
        <f t="shared" si="53"/>
        <v>0</v>
      </c>
      <c r="G586" s="632"/>
      <c r="H586" s="1127"/>
      <c r="I586" s="633">
        <f t="shared" si="54"/>
        <v>0</v>
      </c>
      <c r="J586" s="633">
        <f t="shared" si="55"/>
        <v>0</v>
      </c>
      <c r="K586" s="633">
        <f t="shared" si="56"/>
        <v>0</v>
      </c>
      <c r="L586" s="1127"/>
      <c r="M586" s="1127"/>
      <c r="N586" s="1691">
        <f t="shared" ref="N586:N649" si="57">IF(M586&lt;&gt;0,ROUND(B586*K586,2)+M586,IF(ABS(ROUND(K586*B586,2)-L586)&lt;3,L586,MIN(ROUND(K586*B586,2),L586)))</f>
        <v>0</v>
      </c>
      <c r="O586" s="634">
        <f t="shared" ref="O586:O649" si="58">IF(ISERROR(L586-N586),"",IF(ABS(L586-N586)&lt;3,0,L586-N586))</f>
        <v>0</v>
      </c>
      <c r="P586" s="144"/>
      <c r="Q586" s="144"/>
      <c r="R586" s="144"/>
      <c r="S586" s="144"/>
    </row>
    <row r="587" spans="1:19" ht="14.25" customHeight="1">
      <c r="A587" s="630"/>
      <c r="B587" s="631"/>
      <c r="C587" s="1127"/>
      <c r="D587" s="632"/>
      <c r="E587" s="1127"/>
      <c r="F587" s="633">
        <f t="shared" ref="F587:F650" si="59">E587*(12-MONTH(D587))/12</f>
        <v>0</v>
      </c>
      <c r="G587" s="632"/>
      <c r="H587" s="1127"/>
      <c r="I587" s="633">
        <f t="shared" ref="I587:I650" si="60">H587*(12-MONTH(G587))/12</f>
        <v>0</v>
      </c>
      <c r="J587" s="633">
        <f t="shared" ref="J587:J650" si="61">C587+E587-H587</f>
        <v>0</v>
      </c>
      <c r="K587" s="633">
        <f t="shared" ref="K587:K650" si="62">C587+F587-I587</f>
        <v>0</v>
      </c>
      <c r="L587" s="1127"/>
      <c r="M587" s="1127"/>
      <c r="N587" s="1691">
        <f t="shared" si="57"/>
        <v>0</v>
      </c>
      <c r="O587" s="634">
        <f t="shared" si="58"/>
        <v>0</v>
      </c>
      <c r="P587" s="144"/>
      <c r="Q587" s="144"/>
      <c r="R587" s="144"/>
      <c r="S587" s="144"/>
    </row>
    <row r="588" spans="1:19" ht="14.25" customHeight="1">
      <c r="A588" s="630"/>
      <c r="B588" s="631"/>
      <c r="C588" s="1127"/>
      <c r="D588" s="632"/>
      <c r="E588" s="1127"/>
      <c r="F588" s="633">
        <f t="shared" si="59"/>
        <v>0</v>
      </c>
      <c r="G588" s="632"/>
      <c r="H588" s="1127"/>
      <c r="I588" s="633">
        <f t="shared" si="60"/>
        <v>0</v>
      </c>
      <c r="J588" s="633">
        <f t="shared" si="61"/>
        <v>0</v>
      </c>
      <c r="K588" s="633">
        <f t="shared" si="62"/>
        <v>0</v>
      </c>
      <c r="L588" s="1127"/>
      <c r="M588" s="1127"/>
      <c r="N588" s="1691">
        <f t="shared" si="57"/>
        <v>0</v>
      </c>
      <c r="O588" s="634">
        <f t="shared" si="58"/>
        <v>0</v>
      </c>
      <c r="P588" s="144"/>
      <c r="Q588" s="144"/>
      <c r="R588" s="144"/>
      <c r="S588" s="144"/>
    </row>
    <row r="589" spans="1:19" ht="14.25" customHeight="1">
      <c r="A589" s="630"/>
      <c r="B589" s="631"/>
      <c r="C589" s="1127"/>
      <c r="D589" s="632"/>
      <c r="E589" s="1127"/>
      <c r="F589" s="633">
        <f t="shared" si="59"/>
        <v>0</v>
      </c>
      <c r="G589" s="632"/>
      <c r="H589" s="1127"/>
      <c r="I589" s="633">
        <f t="shared" si="60"/>
        <v>0</v>
      </c>
      <c r="J589" s="633">
        <f t="shared" si="61"/>
        <v>0</v>
      </c>
      <c r="K589" s="633">
        <f t="shared" si="62"/>
        <v>0</v>
      </c>
      <c r="L589" s="1127"/>
      <c r="M589" s="1127"/>
      <c r="N589" s="1691">
        <f t="shared" si="57"/>
        <v>0</v>
      </c>
      <c r="O589" s="634">
        <f t="shared" si="58"/>
        <v>0</v>
      </c>
      <c r="P589" s="144"/>
      <c r="Q589" s="144"/>
      <c r="R589" s="144"/>
      <c r="S589" s="144"/>
    </row>
    <row r="590" spans="1:19" ht="14.25" customHeight="1">
      <c r="A590" s="630"/>
      <c r="B590" s="631"/>
      <c r="C590" s="1127"/>
      <c r="D590" s="632"/>
      <c r="E590" s="1127"/>
      <c r="F590" s="633">
        <f t="shared" si="59"/>
        <v>0</v>
      </c>
      <c r="G590" s="632"/>
      <c r="H590" s="1127"/>
      <c r="I590" s="633">
        <f t="shared" si="60"/>
        <v>0</v>
      </c>
      <c r="J590" s="633">
        <f t="shared" si="61"/>
        <v>0</v>
      </c>
      <c r="K590" s="633">
        <f t="shared" si="62"/>
        <v>0</v>
      </c>
      <c r="L590" s="1127"/>
      <c r="M590" s="1127"/>
      <c r="N590" s="1691">
        <f t="shared" si="57"/>
        <v>0</v>
      </c>
      <c r="O590" s="634">
        <f t="shared" si="58"/>
        <v>0</v>
      </c>
      <c r="P590" s="144"/>
      <c r="Q590" s="144"/>
      <c r="R590" s="144"/>
      <c r="S590" s="144"/>
    </row>
    <row r="591" spans="1:19" ht="14.25" customHeight="1">
      <c r="A591" s="630"/>
      <c r="B591" s="631"/>
      <c r="C591" s="1127"/>
      <c r="D591" s="632"/>
      <c r="E591" s="1127"/>
      <c r="F591" s="633">
        <f t="shared" si="59"/>
        <v>0</v>
      </c>
      <c r="G591" s="632"/>
      <c r="H591" s="1127"/>
      <c r="I591" s="633">
        <f t="shared" si="60"/>
        <v>0</v>
      </c>
      <c r="J591" s="633">
        <f t="shared" si="61"/>
        <v>0</v>
      </c>
      <c r="K591" s="633">
        <f t="shared" si="62"/>
        <v>0</v>
      </c>
      <c r="L591" s="1127"/>
      <c r="M591" s="1127"/>
      <c r="N591" s="1691">
        <f t="shared" si="57"/>
        <v>0</v>
      </c>
      <c r="O591" s="634">
        <f t="shared" si="58"/>
        <v>0</v>
      </c>
      <c r="P591" s="144"/>
      <c r="Q591" s="144"/>
      <c r="R591" s="144"/>
      <c r="S591" s="144"/>
    </row>
    <row r="592" spans="1:19" ht="14.25" customHeight="1">
      <c r="A592" s="630"/>
      <c r="B592" s="631"/>
      <c r="C592" s="1127"/>
      <c r="D592" s="632"/>
      <c r="E592" s="1127"/>
      <c r="F592" s="633">
        <f t="shared" si="59"/>
        <v>0</v>
      </c>
      <c r="G592" s="632"/>
      <c r="H592" s="1127"/>
      <c r="I592" s="633">
        <f t="shared" si="60"/>
        <v>0</v>
      </c>
      <c r="J592" s="633">
        <f t="shared" si="61"/>
        <v>0</v>
      </c>
      <c r="K592" s="633">
        <f t="shared" si="62"/>
        <v>0</v>
      </c>
      <c r="L592" s="1127"/>
      <c r="M592" s="1127"/>
      <c r="N592" s="1691">
        <f t="shared" si="57"/>
        <v>0</v>
      </c>
      <c r="O592" s="634">
        <f t="shared" si="58"/>
        <v>0</v>
      </c>
      <c r="P592" s="144"/>
      <c r="Q592" s="144"/>
      <c r="R592" s="144"/>
      <c r="S592" s="144"/>
    </row>
    <row r="593" spans="1:19" ht="14.25" customHeight="1">
      <c r="A593" s="630"/>
      <c r="B593" s="631"/>
      <c r="C593" s="1127"/>
      <c r="D593" s="632"/>
      <c r="E593" s="1127"/>
      <c r="F593" s="633">
        <f t="shared" si="59"/>
        <v>0</v>
      </c>
      <c r="G593" s="632"/>
      <c r="H593" s="1127"/>
      <c r="I593" s="633">
        <f t="shared" si="60"/>
        <v>0</v>
      </c>
      <c r="J593" s="633">
        <f t="shared" si="61"/>
        <v>0</v>
      </c>
      <c r="K593" s="633">
        <f t="shared" si="62"/>
        <v>0</v>
      </c>
      <c r="L593" s="1127"/>
      <c r="M593" s="1127"/>
      <c r="N593" s="1691">
        <f t="shared" si="57"/>
        <v>0</v>
      </c>
      <c r="O593" s="634">
        <f t="shared" si="58"/>
        <v>0</v>
      </c>
      <c r="P593" s="144"/>
      <c r="Q593" s="144"/>
      <c r="R593" s="144"/>
      <c r="S593" s="144"/>
    </row>
    <row r="594" spans="1:19" ht="14.25" customHeight="1">
      <c r="A594" s="630"/>
      <c r="B594" s="631"/>
      <c r="C594" s="1127"/>
      <c r="D594" s="632"/>
      <c r="E594" s="1127"/>
      <c r="F594" s="633">
        <f t="shared" si="59"/>
        <v>0</v>
      </c>
      <c r="G594" s="632"/>
      <c r="H594" s="1127"/>
      <c r="I594" s="633">
        <f t="shared" si="60"/>
        <v>0</v>
      </c>
      <c r="J594" s="633">
        <f t="shared" si="61"/>
        <v>0</v>
      </c>
      <c r="K594" s="633">
        <f t="shared" si="62"/>
        <v>0</v>
      </c>
      <c r="L594" s="1127"/>
      <c r="M594" s="1127"/>
      <c r="N594" s="1691">
        <f t="shared" si="57"/>
        <v>0</v>
      </c>
      <c r="O594" s="634">
        <f t="shared" si="58"/>
        <v>0</v>
      </c>
      <c r="P594" s="144"/>
      <c r="Q594" s="144"/>
      <c r="R594" s="144"/>
      <c r="S594" s="144"/>
    </row>
    <row r="595" spans="1:19" ht="14.25" customHeight="1">
      <c r="A595" s="630"/>
      <c r="B595" s="631"/>
      <c r="C595" s="1127"/>
      <c r="D595" s="632"/>
      <c r="E595" s="1127"/>
      <c r="F595" s="633">
        <f t="shared" si="59"/>
        <v>0</v>
      </c>
      <c r="G595" s="632"/>
      <c r="H595" s="1127"/>
      <c r="I595" s="633">
        <f t="shared" si="60"/>
        <v>0</v>
      </c>
      <c r="J595" s="633">
        <f t="shared" si="61"/>
        <v>0</v>
      </c>
      <c r="K595" s="633">
        <f t="shared" si="62"/>
        <v>0</v>
      </c>
      <c r="L595" s="1127"/>
      <c r="M595" s="1127"/>
      <c r="N595" s="1691">
        <f t="shared" si="57"/>
        <v>0</v>
      </c>
      <c r="O595" s="634">
        <f t="shared" si="58"/>
        <v>0</v>
      </c>
      <c r="P595" s="144"/>
      <c r="Q595" s="144"/>
      <c r="R595" s="144"/>
      <c r="S595" s="144"/>
    </row>
    <row r="596" spans="1:19" ht="14.25" customHeight="1">
      <c r="A596" s="630"/>
      <c r="B596" s="631"/>
      <c r="C596" s="1127"/>
      <c r="D596" s="632"/>
      <c r="E596" s="1127"/>
      <c r="F596" s="633">
        <f t="shared" si="59"/>
        <v>0</v>
      </c>
      <c r="G596" s="632"/>
      <c r="H596" s="1127"/>
      <c r="I596" s="633">
        <f t="shared" si="60"/>
        <v>0</v>
      </c>
      <c r="J596" s="633">
        <f t="shared" si="61"/>
        <v>0</v>
      </c>
      <c r="K596" s="633">
        <f t="shared" si="62"/>
        <v>0</v>
      </c>
      <c r="L596" s="1127"/>
      <c r="M596" s="1127"/>
      <c r="N596" s="1691">
        <f t="shared" si="57"/>
        <v>0</v>
      </c>
      <c r="O596" s="634">
        <f t="shared" si="58"/>
        <v>0</v>
      </c>
      <c r="P596" s="144"/>
      <c r="Q596" s="144"/>
      <c r="R596" s="144"/>
      <c r="S596" s="144"/>
    </row>
    <row r="597" spans="1:19" ht="14.25" customHeight="1">
      <c r="A597" s="630"/>
      <c r="B597" s="631"/>
      <c r="C597" s="1127"/>
      <c r="D597" s="632"/>
      <c r="E597" s="1127"/>
      <c r="F597" s="633">
        <f t="shared" si="59"/>
        <v>0</v>
      </c>
      <c r="G597" s="632"/>
      <c r="H597" s="1127"/>
      <c r="I597" s="633">
        <f t="shared" si="60"/>
        <v>0</v>
      </c>
      <c r="J597" s="633">
        <f t="shared" si="61"/>
        <v>0</v>
      </c>
      <c r="K597" s="633">
        <f t="shared" si="62"/>
        <v>0</v>
      </c>
      <c r="L597" s="1127"/>
      <c r="M597" s="1127"/>
      <c r="N597" s="1691">
        <f t="shared" si="57"/>
        <v>0</v>
      </c>
      <c r="O597" s="634">
        <f t="shared" si="58"/>
        <v>0</v>
      </c>
      <c r="P597" s="144"/>
      <c r="Q597" s="144"/>
      <c r="R597" s="144"/>
      <c r="S597" s="144"/>
    </row>
    <row r="598" spans="1:19" ht="14.25" customHeight="1">
      <c r="A598" s="630"/>
      <c r="B598" s="631"/>
      <c r="C598" s="1127"/>
      <c r="D598" s="632"/>
      <c r="E598" s="1127"/>
      <c r="F598" s="633">
        <f t="shared" si="59"/>
        <v>0</v>
      </c>
      <c r="G598" s="632"/>
      <c r="H598" s="1127"/>
      <c r="I598" s="633">
        <f t="shared" si="60"/>
        <v>0</v>
      </c>
      <c r="J598" s="633">
        <f t="shared" si="61"/>
        <v>0</v>
      </c>
      <c r="K598" s="633">
        <f t="shared" si="62"/>
        <v>0</v>
      </c>
      <c r="L598" s="1127"/>
      <c r="M598" s="1127"/>
      <c r="N598" s="1691">
        <f t="shared" si="57"/>
        <v>0</v>
      </c>
      <c r="O598" s="634">
        <f t="shared" si="58"/>
        <v>0</v>
      </c>
      <c r="P598" s="144"/>
      <c r="Q598" s="144"/>
      <c r="R598" s="144"/>
      <c r="S598" s="144"/>
    </row>
    <row r="599" spans="1:19" ht="14.25" customHeight="1">
      <c r="A599" s="630"/>
      <c r="B599" s="631"/>
      <c r="C599" s="1127"/>
      <c r="D599" s="632"/>
      <c r="E599" s="1127"/>
      <c r="F599" s="633">
        <f t="shared" si="59"/>
        <v>0</v>
      </c>
      <c r="G599" s="632"/>
      <c r="H599" s="1127"/>
      <c r="I599" s="633">
        <f t="shared" si="60"/>
        <v>0</v>
      </c>
      <c r="J599" s="633">
        <f t="shared" si="61"/>
        <v>0</v>
      </c>
      <c r="K599" s="633">
        <f t="shared" si="62"/>
        <v>0</v>
      </c>
      <c r="L599" s="1127"/>
      <c r="M599" s="1127"/>
      <c r="N599" s="1691">
        <f t="shared" si="57"/>
        <v>0</v>
      </c>
      <c r="O599" s="634">
        <f t="shared" si="58"/>
        <v>0</v>
      </c>
      <c r="P599" s="144"/>
      <c r="Q599" s="144"/>
      <c r="R599" s="144"/>
      <c r="S599" s="144"/>
    </row>
    <row r="600" spans="1:19" ht="14.25" customHeight="1">
      <c r="A600" s="630"/>
      <c r="B600" s="631"/>
      <c r="C600" s="1127"/>
      <c r="D600" s="632"/>
      <c r="E600" s="1127"/>
      <c r="F600" s="633">
        <f t="shared" si="59"/>
        <v>0</v>
      </c>
      <c r="G600" s="632"/>
      <c r="H600" s="1127"/>
      <c r="I600" s="633">
        <f t="shared" si="60"/>
        <v>0</v>
      </c>
      <c r="J600" s="633">
        <f t="shared" si="61"/>
        <v>0</v>
      </c>
      <c r="K600" s="633">
        <f t="shared" si="62"/>
        <v>0</v>
      </c>
      <c r="L600" s="1127"/>
      <c r="M600" s="1127"/>
      <c r="N600" s="1691">
        <f t="shared" si="57"/>
        <v>0</v>
      </c>
      <c r="O600" s="634">
        <f t="shared" si="58"/>
        <v>0</v>
      </c>
      <c r="P600" s="144"/>
      <c r="Q600" s="144"/>
      <c r="R600" s="144"/>
      <c r="S600" s="144"/>
    </row>
    <row r="601" spans="1:19" ht="14.25" customHeight="1">
      <c r="A601" s="630"/>
      <c r="B601" s="631"/>
      <c r="C601" s="1127"/>
      <c r="D601" s="632"/>
      <c r="E601" s="1127"/>
      <c r="F601" s="633">
        <f t="shared" si="59"/>
        <v>0</v>
      </c>
      <c r="G601" s="632"/>
      <c r="H601" s="1127"/>
      <c r="I601" s="633">
        <f t="shared" si="60"/>
        <v>0</v>
      </c>
      <c r="J601" s="633">
        <f t="shared" si="61"/>
        <v>0</v>
      </c>
      <c r="K601" s="633">
        <f t="shared" si="62"/>
        <v>0</v>
      </c>
      <c r="L601" s="1127"/>
      <c r="M601" s="1127"/>
      <c r="N601" s="1691">
        <f t="shared" si="57"/>
        <v>0</v>
      </c>
      <c r="O601" s="634">
        <f t="shared" si="58"/>
        <v>0</v>
      </c>
      <c r="P601" s="144"/>
      <c r="Q601" s="144"/>
      <c r="R601" s="144"/>
      <c r="S601" s="144"/>
    </row>
    <row r="602" spans="1:19" ht="14.25" customHeight="1">
      <c r="A602" s="630"/>
      <c r="B602" s="631"/>
      <c r="C602" s="1127"/>
      <c r="D602" s="632"/>
      <c r="E602" s="1127"/>
      <c r="F602" s="633">
        <f t="shared" si="59"/>
        <v>0</v>
      </c>
      <c r="G602" s="632"/>
      <c r="H602" s="1127"/>
      <c r="I602" s="633">
        <f t="shared" si="60"/>
        <v>0</v>
      </c>
      <c r="J602" s="633">
        <f t="shared" si="61"/>
        <v>0</v>
      </c>
      <c r="K602" s="633">
        <f t="shared" si="62"/>
        <v>0</v>
      </c>
      <c r="L602" s="1127"/>
      <c r="M602" s="1127"/>
      <c r="N602" s="1691">
        <f t="shared" si="57"/>
        <v>0</v>
      </c>
      <c r="O602" s="634">
        <f t="shared" si="58"/>
        <v>0</v>
      </c>
      <c r="P602" s="144"/>
      <c r="Q602" s="144"/>
      <c r="R602" s="144"/>
      <c r="S602" s="144"/>
    </row>
    <row r="603" spans="1:19" ht="14.25" customHeight="1">
      <c r="A603" s="630"/>
      <c r="B603" s="631"/>
      <c r="C603" s="1127"/>
      <c r="D603" s="632"/>
      <c r="E603" s="1127"/>
      <c r="F603" s="633">
        <f t="shared" si="59"/>
        <v>0</v>
      </c>
      <c r="G603" s="632"/>
      <c r="H603" s="1127"/>
      <c r="I603" s="633">
        <f t="shared" si="60"/>
        <v>0</v>
      </c>
      <c r="J603" s="633">
        <f t="shared" si="61"/>
        <v>0</v>
      </c>
      <c r="K603" s="633">
        <f t="shared" si="62"/>
        <v>0</v>
      </c>
      <c r="L603" s="1127"/>
      <c r="M603" s="1127"/>
      <c r="N603" s="1691">
        <f t="shared" si="57"/>
        <v>0</v>
      </c>
      <c r="O603" s="634">
        <f t="shared" si="58"/>
        <v>0</v>
      </c>
      <c r="P603" s="144"/>
      <c r="Q603" s="144"/>
      <c r="R603" s="144"/>
      <c r="S603" s="144"/>
    </row>
    <row r="604" spans="1:19" ht="14.25" customHeight="1">
      <c r="A604" s="630"/>
      <c r="B604" s="631"/>
      <c r="C604" s="1127"/>
      <c r="D604" s="632"/>
      <c r="E604" s="1127"/>
      <c r="F604" s="633">
        <f t="shared" si="59"/>
        <v>0</v>
      </c>
      <c r="G604" s="632"/>
      <c r="H604" s="1127"/>
      <c r="I604" s="633">
        <f t="shared" si="60"/>
        <v>0</v>
      </c>
      <c r="J604" s="633">
        <f t="shared" si="61"/>
        <v>0</v>
      </c>
      <c r="K604" s="633">
        <f t="shared" si="62"/>
        <v>0</v>
      </c>
      <c r="L604" s="1127"/>
      <c r="M604" s="1127"/>
      <c r="N604" s="1691">
        <f t="shared" si="57"/>
        <v>0</v>
      </c>
      <c r="O604" s="634">
        <f t="shared" si="58"/>
        <v>0</v>
      </c>
      <c r="P604" s="144"/>
      <c r="Q604" s="144"/>
      <c r="R604" s="144"/>
      <c r="S604" s="144"/>
    </row>
    <row r="605" spans="1:19" ht="14.25" customHeight="1">
      <c r="A605" s="630"/>
      <c r="B605" s="631"/>
      <c r="C605" s="1127"/>
      <c r="D605" s="632"/>
      <c r="E605" s="1127"/>
      <c r="F605" s="633">
        <f t="shared" si="59"/>
        <v>0</v>
      </c>
      <c r="G605" s="632"/>
      <c r="H605" s="1127"/>
      <c r="I605" s="633">
        <f t="shared" si="60"/>
        <v>0</v>
      </c>
      <c r="J605" s="633">
        <f t="shared" si="61"/>
        <v>0</v>
      </c>
      <c r="K605" s="633">
        <f t="shared" si="62"/>
        <v>0</v>
      </c>
      <c r="L605" s="1127"/>
      <c r="M605" s="1127"/>
      <c r="N605" s="1691">
        <f t="shared" si="57"/>
        <v>0</v>
      </c>
      <c r="O605" s="634">
        <f t="shared" si="58"/>
        <v>0</v>
      </c>
      <c r="P605" s="144"/>
      <c r="Q605" s="144"/>
      <c r="R605" s="144"/>
      <c r="S605" s="144"/>
    </row>
    <row r="606" spans="1:19" ht="14.25" customHeight="1">
      <c r="A606" s="630"/>
      <c r="B606" s="631"/>
      <c r="C606" s="1127"/>
      <c r="D606" s="632"/>
      <c r="E606" s="1127"/>
      <c r="F606" s="633">
        <f t="shared" si="59"/>
        <v>0</v>
      </c>
      <c r="G606" s="632"/>
      <c r="H606" s="1127"/>
      <c r="I606" s="633">
        <f t="shared" si="60"/>
        <v>0</v>
      </c>
      <c r="J606" s="633">
        <f t="shared" si="61"/>
        <v>0</v>
      </c>
      <c r="K606" s="633">
        <f t="shared" si="62"/>
        <v>0</v>
      </c>
      <c r="L606" s="1127"/>
      <c r="M606" s="1127"/>
      <c r="N606" s="1691">
        <f t="shared" si="57"/>
        <v>0</v>
      </c>
      <c r="O606" s="634">
        <f t="shared" si="58"/>
        <v>0</v>
      </c>
      <c r="P606" s="144"/>
      <c r="Q606" s="144"/>
      <c r="R606" s="144"/>
      <c r="S606" s="144"/>
    </row>
    <row r="607" spans="1:19" ht="14.25" customHeight="1">
      <c r="A607" s="630"/>
      <c r="B607" s="631"/>
      <c r="C607" s="1127"/>
      <c r="D607" s="632"/>
      <c r="E607" s="1127"/>
      <c r="F607" s="633">
        <f t="shared" si="59"/>
        <v>0</v>
      </c>
      <c r="G607" s="632"/>
      <c r="H607" s="1127"/>
      <c r="I607" s="633">
        <f t="shared" si="60"/>
        <v>0</v>
      </c>
      <c r="J607" s="633">
        <f t="shared" si="61"/>
        <v>0</v>
      </c>
      <c r="K607" s="633">
        <f t="shared" si="62"/>
        <v>0</v>
      </c>
      <c r="L607" s="1127"/>
      <c r="M607" s="1127"/>
      <c r="N607" s="1691">
        <f t="shared" si="57"/>
        <v>0</v>
      </c>
      <c r="O607" s="634">
        <f t="shared" si="58"/>
        <v>0</v>
      </c>
      <c r="P607" s="144"/>
      <c r="Q607" s="144"/>
      <c r="R607" s="144"/>
      <c r="S607" s="144"/>
    </row>
    <row r="608" spans="1:19" ht="14.25" customHeight="1">
      <c r="A608" s="630"/>
      <c r="B608" s="631"/>
      <c r="C608" s="1127"/>
      <c r="D608" s="632"/>
      <c r="E608" s="1127"/>
      <c r="F608" s="633">
        <f t="shared" si="59"/>
        <v>0</v>
      </c>
      <c r="G608" s="632"/>
      <c r="H608" s="1127"/>
      <c r="I608" s="633">
        <f t="shared" si="60"/>
        <v>0</v>
      </c>
      <c r="J608" s="633">
        <f t="shared" si="61"/>
        <v>0</v>
      </c>
      <c r="K608" s="633">
        <f t="shared" si="62"/>
        <v>0</v>
      </c>
      <c r="L608" s="1127"/>
      <c r="M608" s="1127"/>
      <c r="N608" s="1691">
        <f t="shared" si="57"/>
        <v>0</v>
      </c>
      <c r="O608" s="634">
        <f t="shared" si="58"/>
        <v>0</v>
      </c>
      <c r="P608" s="144"/>
      <c r="Q608" s="144"/>
      <c r="R608" s="144"/>
      <c r="S608" s="144"/>
    </row>
    <row r="609" spans="1:19" ht="14.25" customHeight="1">
      <c r="A609" s="630"/>
      <c r="B609" s="631"/>
      <c r="C609" s="1127"/>
      <c r="D609" s="632"/>
      <c r="E609" s="1127"/>
      <c r="F609" s="633">
        <f t="shared" si="59"/>
        <v>0</v>
      </c>
      <c r="G609" s="632"/>
      <c r="H609" s="1127"/>
      <c r="I609" s="633">
        <f t="shared" si="60"/>
        <v>0</v>
      </c>
      <c r="J609" s="633">
        <f t="shared" si="61"/>
        <v>0</v>
      </c>
      <c r="K609" s="633">
        <f t="shared" si="62"/>
        <v>0</v>
      </c>
      <c r="L609" s="1127"/>
      <c r="M609" s="1127"/>
      <c r="N609" s="1691">
        <f t="shared" si="57"/>
        <v>0</v>
      </c>
      <c r="O609" s="634">
        <f t="shared" si="58"/>
        <v>0</v>
      </c>
      <c r="P609" s="144"/>
      <c r="Q609" s="144"/>
      <c r="R609" s="144"/>
      <c r="S609" s="144"/>
    </row>
    <row r="610" spans="1:19" ht="14.25" customHeight="1">
      <c r="A610" s="630"/>
      <c r="B610" s="631"/>
      <c r="C610" s="1127"/>
      <c r="D610" s="632"/>
      <c r="E610" s="1127"/>
      <c r="F610" s="633">
        <f t="shared" si="59"/>
        <v>0</v>
      </c>
      <c r="G610" s="632"/>
      <c r="H610" s="1127"/>
      <c r="I610" s="633">
        <f t="shared" si="60"/>
        <v>0</v>
      </c>
      <c r="J610" s="633">
        <f t="shared" si="61"/>
        <v>0</v>
      </c>
      <c r="K610" s="633">
        <f t="shared" si="62"/>
        <v>0</v>
      </c>
      <c r="L610" s="1127"/>
      <c r="M610" s="1127"/>
      <c r="N610" s="1691">
        <f t="shared" si="57"/>
        <v>0</v>
      </c>
      <c r="O610" s="634">
        <f t="shared" si="58"/>
        <v>0</v>
      </c>
      <c r="P610" s="144"/>
      <c r="Q610" s="144"/>
      <c r="R610" s="144"/>
      <c r="S610" s="144"/>
    </row>
    <row r="611" spans="1:19" ht="14.25" customHeight="1">
      <c r="A611" s="630"/>
      <c r="B611" s="631"/>
      <c r="C611" s="1127"/>
      <c r="D611" s="632"/>
      <c r="E611" s="1127"/>
      <c r="F611" s="633">
        <f t="shared" si="59"/>
        <v>0</v>
      </c>
      <c r="G611" s="632"/>
      <c r="H611" s="1127"/>
      <c r="I611" s="633">
        <f t="shared" si="60"/>
        <v>0</v>
      </c>
      <c r="J611" s="633">
        <f t="shared" si="61"/>
        <v>0</v>
      </c>
      <c r="K611" s="633">
        <f t="shared" si="62"/>
        <v>0</v>
      </c>
      <c r="L611" s="1127"/>
      <c r="M611" s="1127"/>
      <c r="N611" s="1691">
        <f t="shared" si="57"/>
        <v>0</v>
      </c>
      <c r="O611" s="634">
        <f t="shared" si="58"/>
        <v>0</v>
      </c>
      <c r="P611" s="144"/>
      <c r="Q611" s="144"/>
      <c r="R611" s="144"/>
      <c r="S611" s="144"/>
    </row>
    <row r="612" spans="1:19" ht="14.25" customHeight="1">
      <c r="A612" s="630"/>
      <c r="B612" s="631"/>
      <c r="C612" s="1127"/>
      <c r="D612" s="632"/>
      <c r="E612" s="1127"/>
      <c r="F612" s="633">
        <f t="shared" si="59"/>
        <v>0</v>
      </c>
      <c r="G612" s="632"/>
      <c r="H612" s="1127"/>
      <c r="I612" s="633">
        <f t="shared" si="60"/>
        <v>0</v>
      </c>
      <c r="J612" s="633">
        <f t="shared" si="61"/>
        <v>0</v>
      </c>
      <c r="K612" s="633">
        <f t="shared" si="62"/>
        <v>0</v>
      </c>
      <c r="L612" s="1127"/>
      <c r="M612" s="1127"/>
      <c r="N612" s="1691">
        <f t="shared" si="57"/>
        <v>0</v>
      </c>
      <c r="O612" s="634">
        <f t="shared" si="58"/>
        <v>0</v>
      </c>
      <c r="P612" s="144"/>
      <c r="Q612" s="144"/>
      <c r="R612" s="144"/>
      <c r="S612" s="144"/>
    </row>
    <row r="613" spans="1:19" ht="14.25" customHeight="1">
      <c r="A613" s="630"/>
      <c r="B613" s="631"/>
      <c r="C613" s="1127"/>
      <c r="D613" s="632"/>
      <c r="E613" s="1127"/>
      <c r="F613" s="633">
        <f t="shared" si="59"/>
        <v>0</v>
      </c>
      <c r="G613" s="632"/>
      <c r="H613" s="1127"/>
      <c r="I613" s="633">
        <f t="shared" si="60"/>
        <v>0</v>
      </c>
      <c r="J613" s="633">
        <f t="shared" si="61"/>
        <v>0</v>
      </c>
      <c r="K613" s="633">
        <f t="shared" si="62"/>
        <v>0</v>
      </c>
      <c r="L613" s="1127"/>
      <c r="M613" s="1127"/>
      <c r="N613" s="1691">
        <f t="shared" si="57"/>
        <v>0</v>
      </c>
      <c r="O613" s="634">
        <f t="shared" si="58"/>
        <v>0</v>
      </c>
      <c r="P613" s="144"/>
      <c r="Q613" s="144"/>
      <c r="R613" s="144"/>
      <c r="S613" s="144"/>
    </row>
    <row r="614" spans="1:19" ht="14.25" customHeight="1">
      <c r="A614" s="630"/>
      <c r="B614" s="631"/>
      <c r="C614" s="1127"/>
      <c r="D614" s="632"/>
      <c r="E614" s="1127"/>
      <c r="F614" s="633">
        <f t="shared" si="59"/>
        <v>0</v>
      </c>
      <c r="G614" s="632"/>
      <c r="H614" s="1127"/>
      <c r="I614" s="633">
        <f t="shared" si="60"/>
        <v>0</v>
      </c>
      <c r="J614" s="633">
        <f t="shared" si="61"/>
        <v>0</v>
      </c>
      <c r="K614" s="633">
        <f t="shared" si="62"/>
        <v>0</v>
      </c>
      <c r="L614" s="1127"/>
      <c r="M614" s="1127"/>
      <c r="N614" s="1691">
        <f t="shared" si="57"/>
        <v>0</v>
      </c>
      <c r="O614" s="634">
        <f t="shared" si="58"/>
        <v>0</v>
      </c>
      <c r="P614" s="144"/>
      <c r="Q614" s="144"/>
      <c r="R614" s="144"/>
      <c r="S614" s="144"/>
    </row>
    <row r="615" spans="1:19" ht="14.25" customHeight="1">
      <c r="A615" s="630"/>
      <c r="B615" s="631"/>
      <c r="C615" s="1127"/>
      <c r="D615" s="632"/>
      <c r="E615" s="1127"/>
      <c r="F615" s="633">
        <f t="shared" si="59"/>
        <v>0</v>
      </c>
      <c r="G615" s="632"/>
      <c r="H615" s="1127"/>
      <c r="I615" s="633">
        <f t="shared" si="60"/>
        <v>0</v>
      </c>
      <c r="J615" s="633">
        <f t="shared" si="61"/>
        <v>0</v>
      </c>
      <c r="K615" s="633">
        <f t="shared" si="62"/>
        <v>0</v>
      </c>
      <c r="L615" s="1127"/>
      <c r="M615" s="1127"/>
      <c r="N615" s="1691">
        <f t="shared" si="57"/>
        <v>0</v>
      </c>
      <c r="O615" s="634">
        <f t="shared" si="58"/>
        <v>0</v>
      </c>
      <c r="P615" s="144"/>
      <c r="Q615" s="144"/>
      <c r="R615" s="144"/>
      <c r="S615" s="144"/>
    </row>
    <row r="616" spans="1:19" ht="14.25" customHeight="1">
      <c r="A616" s="630"/>
      <c r="B616" s="631"/>
      <c r="C616" s="1127"/>
      <c r="D616" s="632"/>
      <c r="E616" s="1127"/>
      <c r="F616" s="633">
        <f t="shared" si="59"/>
        <v>0</v>
      </c>
      <c r="G616" s="632"/>
      <c r="H616" s="1127"/>
      <c r="I616" s="633">
        <f t="shared" si="60"/>
        <v>0</v>
      </c>
      <c r="J616" s="633">
        <f t="shared" si="61"/>
        <v>0</v>
      </c>
      <c r="K616" s="633">
        <f t="shared" si="62"/>
        <v>0</v>
      </c>
      <c r="L616" s="1127"/>
      <c r="M616" s="1127"/>
      <c r="N616" s="1691">
        <f t="shared" si="57"/>
        <v>0</v>
      </c>
      <c r="O616" s="634">
        <f t="shared" si="58"/>
        <v>0</v>
      </c>
      <c r="P616" s="144"/>
      <c r="Q616" s="144"/>
      <c r="R616" s="144"/>
      <c r="S616" s="144"/>
    </row>
    <row r="617" spans="1:19" ht="14.25" customHeight="1">
      <c r="A617" s="630"/>
      <c r="B617" s="631"/>
      <c r="C617" s="1127"/>
      <c r="D617" s="632"/>
      <c r="E617" s="1127"/>
      <c r="F617" s="633">
        <f t="shared" si="59"/>
        <v>0</v>
      </c>
      <c r="G617" s="632"/>
      <c r="H617" s="1127"/>
      <c r="I617" s="633">
        <f t="shared" si="60"/>
        <v>0</v>
      </c>
      <c r="J617" s="633">
        <f t="shared" si="61"/>
        <v>0</v>
      </c>
      <c r="K617" s="633">
        <f t="shared" si="62"/>
        <v>0</v>
      </c>
      <c r="L617" s="1127"/>
      <c r="M617" s="1127"/>
      <c r="N617" s="1691">
        <f t="shared" si="57"/>
        <v>0</v>
      </c>
      <c r="O617" s="634">
        <f t="shared" si="58"/>
        <v>0</v>
      </c>
      <c r="P617" s="144"/>
      <c r="Q617" s="144"/>
      <c r="R617" s="144"/>
      <c r="S617" s="144"/>
    </row>
    <row r="618" spans="1:19" ht="14.25" customHeight="1">
      <c r="A618" s="630"/>
      <c r="B618" s="631"/>
      <c r="C618" s="1127"/>
      <c r="D618" s="632"/>
      <c r="E618" s="1127"/>
      <c r="F618" s="633">
        <f t="shared" si="59"/>
        <v>0</v>
      </c>
      <c r="G618" s="632"/>
      <c r="H618" s="1127"/>
      <c r="I618" s="633">
        <f t="shared" si="60"/>
        <v>0</v>
      </c>
      <c r="J618" s="633">
        <f t="shared" si="61"/>
        <v>0</v>
      </c>
      <c r="K618" s="633">
        <f t="shared" si="62"/>
        <v>0</v>
      </c>
      <c r="L618" s="1127"/>
      <c r="M618" s="1127"/>
      <c r="N618" s="1691">
        <f t="shared" si="57"/>
        <v>0</v>
      </c>
      <c r="O618" s="634">
        <f t="shared" si="58"/>
        <v>0</v>
      </c>
      <c r="P618" s="144"/>
      <c r="Q618" s="144"/>
      <c r="R618" s="144"/>
      <c r="S618" s="144"/>
    </row>
    <row r="619" spans="1:19" ht="14.25" customHeight="1">
      <c r="A619" s="630"/>
      <c r="B619" s="631"/>
      <c r="C619" s="1127"/>
      <c r="D619" s="632"/>
      <c r="E619" s="1127"/>
      <c r="F619" s="633">
        <f t="shared" si="59"/>
        <v>0</v>
      </c>
      <c r="G619" s="632"/>
      <c r="H619" s="1127"/>
      <c r="I619" s="633">
        <f t="shared" si="60"/>
        <v>0</v>
      </c>
      <c r="J619" s="633">
        <f t="shared" si="61"/>
        <v>0</v>
      </c>
      <c r="K619" s="633">
        <f t="shared" si="62"/>
        <v>0</v>
      </c>
      <c r="L619" s="1127"/>
      <c r="M619" s="1127"/>
      <c r="N619" s="1691">
        <f t="shared" si="57"/>
        <v>0</v>
      </c>
      <c r="O619" s="634">
        <f t="shared" si="58"/>
        <v>0</v>
      </c>
      <c r="P619" s="144"/>
      <c r="Q619" s="144"/>
      <c r="R619" s="144"/>
      <c r="S619" s="144"/>
    </row>
    <row r="620" spans="1:19" ht="14.25" customHeight="1">
      <c r="A620" s="630"/>
      <c r="B620" s="631"/>
      <c r="C620" s="1127"/>
      <c r="D620" s="632"/>
      <c r="E620" s="1127"/>
      <c r="F620" s="633">
        <f t="shared" si="59"/>
        <v>0</v>
      </c>
      <c r="G620" s="632"/>
      <c r="H620" s="1127"/>
      <c r="I620" s="633">
        <f t="shared" si="60"/>
        <v>0</v>
      </c>
      <c r="J620" s="633">
        <f t="shared" si="61"/>
        <v>0</v>
      </c>
      <c r="K620" s="633">
        <f t="shared" si="62"/>
        <v>0</v>
      </c>
      <c r="L620" s="1127"/>
      <c r="M620" s="1127"/>
      <c r="N620" s="1691">
        <f t="shared" si="57"/>
        <v>0</v>
      </c>
      <c r="O620" s="634">
        <f t="shared" si="58"/>
        <v>0</v>
      </c>
      <c r="P620" s="144"/>
      <c r="Q620" s="144"/>
      <c r="R620" s="144"/>
      <c r="S620" s="144"/>
    </row>
    <row r="621" spans="1:19" ht="14.25" customHeight="1">
      <c r="A621" s="630"/>
      <c r="B621" s="631"/>
      <c r="C621" s="1127"/>
      <c r="D621" s="632"/>
      <c r="E621" s="1127"/>
      <c r="F621" s="633">
        <f t="shared" si="59"/>
        <v>0</v>
      </c>
      <c r="G621" s="632"/>
      <c r="H621" s="1127"/>
      <c r="I621" s="633">
        <f t="shared" si="60"/>
        <v>0</v>
      </c>
      <c r="J621" s="633">
        <f t="shared" si="61"/>
        <v>0</v>
      </c>
      <c r="K621" s="633">
        <f t="shared" si="62"/>
        <v>0</v>
      </c>
      <c r="L621" s="1127"/>
      <c r="M621" s="1127"/>
      <c r="N621" s="1691">
        <f t="shared" si="57"/>
        <v>0</v>
      </c>
      <c r="O621" s="634">
        <f t="shared" si="58"/>
        <v>0</v>
      </c>
      <c r="P621" s="144"/>
      <c r="Q621" s="144"/>
      <c r="R621" s="144"/>
      <c r="S621" s="144"/>
    </row>
    <row r="622" spans="1:19" ht="14.25" customHeight="1">
      <c r="A622" s="630"/>
      <c r="B622" s="631"/>
      <c r="C622" s="1127"/>
      <c r="D622" s="632"/>
      <c r="E622" s="1127"/>
      <c r="F622" s="633">
        <f t="shared" si="59"/>
        <v>0</v>
      </c>
      <c r="G622" s="632"/>
      <c r="H622" s="1127"/>
      <c r="I622" s="633">
        <f t="shared" si="60"/>
        <v>0</v>
      </c>
      <c r="J622" s="633">
        <f t="shared" si="61"/>
        <v>0</v>
      </c>
      <c r="K622" s="633">
        <f t="shared" si="62"/>
        <v>0</v>
      </c>
      <c r="L622" s="1127"/>
      <c r="M622" s="1127"/>
      <c r="N622" s="1691">
        <f t="shared" si="57"/>
        <v>0</v>
      </c>
      <c r="O622" s="634">
        <f t="shared" si="58"/>
        <v>0</v>
      </c>
      <c r="P622" s="144"/>
      <c r="Q622" s="144"/>
      <c r="R622" s="144"/>
      <c r="S622" s="144"/>
    </row>
    <row r="623" spans="1:19" ht="14.25" customHeight="1">
      <c r="A623" s="630"/>
      <c r="B623" s="631"/>
      <c r="C623" s="1127"/>
      <c r="D623" s="632"/>
      <c r="E623" s="1127"/>
      <c r="F623" s="633">
        <f t="shared" si="59"/>
        <v>0</v>
      </c>
      <c r="G623" s="632"/>
      <c r="H623" s="1127"/>
      <c r="I623" s="633">
        <f t="shared" si="60"/>
        <v>0</v>
      </c>
      <c r="J623" s="633">
        <f t="shared" si="61"/>
        <v>0</v>
      </c>
      <c r="K623" s="633">
        <f t="shared" si="62"/>
        <v>0</v>
      </c>
      <c r="L623" s="1127"/>
      <c r="M623" s="1127"/>
      <c r="N623" s="1691">
        <f t="shared" si="57"/>
        <v>0</v>
      </c>
      <c r="O623" s="634">
        <f t="shared" si="58"/>
        <v>0</v>
      </c>
      <c r="P623" s="144"/>
      <c r="Q623" s="144"/>
      <c r="R623" s="144"/>
      <c r="S623" s="144"/>
    </row>
    <row r="624" spans="1:19" ht="14.25" customHeight="1">
      <c r="A624" s="630"/>
      <c r="B624" s="631"/>
      <c r="C624" s="1127"/>
      <c r="D624" s="632"/>
      <c r="E624" s="1127"/>
      <c r="F624" s="633">
        <f t="shared" si="59"/>
        <v>0</v>
      </c>
      <c r="G624" s="632"/>
      <c r="H624" s="1127"/>
      <c r="I624" s="633">
        <f t="shared" si="60"/>
        <v>0</v>
      </c>
      <c r="J624" s="633">
        <f t="shared" si="61"/>
        <v>0</v>
      </c>
      <c r="K624" s="633">
        <f t="shared" si="62"/>
        <v>0</v>
      </c>
      <c r="L624" s="1127"/>
      <c r="M624" s="1127"/>
      <c r="N624" s="1691">
        <f t="shared" si="57"/>
        <v>0</v>
      </c>
      <c r="O624" s="634">
        <f t="shared" si="58"/>
        <v>0</v>
      </c>
      <c r="P624" s="144"/>
      <c r="Q624" s="144"/>
      <c r="R624" s="144"/>
      <c r="S624" s="144"/>
    </row>
    <row r="625" spans="1:19" ht="14.25" customHeight="1">
      <c r="A625" s="630"/>
      <c r="B625" s="631"/>
      <c r="C625" s="1127"/>
      <c r="D625" s="632"/>
      <c r="E625" s="1127"/>
      <c r="F625" s="633">
        <f t="shared" si="59"/>
        <v>0</v>
      </c>
      <c r="G625" s="632"/>
      <c r="H625" s="1127"/>
      <c r="I625" s="633">
        <f t="shared" si="60"/>
        <v>0</v>
      </c>
      <c r="J625" s="633">
        <f t="shared" si="61"/>
        <v>0</v>
      </c>
      <c r="K625" s="633">
        <f t="shared" si="62"/>
        <v>0</v>
      </c>
      <c r="L625" s="1127"/>
      <c r="M625" s="1127"/>
      <c r="N625" s="1691">
        <f t="shared" si="57"/>
        <v>0</v>
      </c>
      <c r="O625" s="634">
        <f t="shared" si="58"/>
        <v>0</v>
      </c>
      <c r="P625" s="144"/>
      <c r="Q625" s="144"/>
      <c r="R625" s="144"/>
      <c r="S625" s="144"/>
    </row>
    <row r="626" spans="1:19" ht="14.25" customHeight="1">
      <c r="A626" s="630"/>
      <c r="B626" s="631"/>
      <c r="C626" s="1127"/>
      <c r="D626" s="632"/>
      <c r="E626" s="1127"/>
      <c r="F626" s="633">
        <f t="shared" si="59"/>
        <v>0</v>
      </c>
      <c r="G626" s="632"/>
      <c r="H626" s="1127"/>
      <c r="I626" s="633">
        <f t="shared" si="60"/>
        <v>0</v>
      </c>
      <c r="J626" s="633">
        <f t="shared" si="61"/>
        <v>0</v>
      </c>
      <c r="K626" s="633">
        <f t="shared" si="62"/>
        <v>0</v>
      </c>
      <c r="L626" s="1127"/>
      <c r="M626" s="1127"/>
      <c r="N626" s="1691">
        <f t="shared" si="57"/>
        <v>0</v>
      </c>
      <c r="O626" s="634">
        <f t="shared" si="58"/>
        <v>0</v>
      </c>
      <c r="P626" s="144"/>
      <c r="Q626" s="144"/>
      <c r="R626" s="144"/>
      <c r="S626" s="144"/>
    </row>
    <row r="627" spans="1:19" ht="14.25" customHeight="1">
      <c r="A627" s="630"/>
      <c r="B627" s="631"/>
      <c r="C627" s="1127"/>
      <c r="D627" s="632"/>
      <c r="E627" s="1127"/>
      <c r="F627" s="633">
        <f t="shared" si="59"/>
        <v>0</v>
      </c>
      <c r="G627" s="632"/>
      <c r="H627" s="1127"/>
      <c r="I627" s="633">
        <f t="shared" si="60"/>
        <v>0</v>
      </c>
      <c r="J627" s="633">
        <f t="shared" si="61"/>
        <v>0</v>
      </c>
      <c r="K627" s="633">
        <f t="shared" si="62"/>
        <v>0</v>
      </c>
      <c r="L627" s="1127"/>
      <c r="M627" s="1127"/>
      <c r="N627" s="1691">
        <f t="shared" si="57"/>
        <v>0</v>
      </c>
      <c r="O627" s="634">
        <f t="shared" si="58"/>
        <v>0</v>
      </c>
      <c r="P627" s="144"/>
      <c r="Q627" s="144"/>
      <c r="R627" s="144"/>
      <c r="S627" s="144"/>
    </row>
    <row r="628" spans="1:19" ht="14.25" customHeight="1">
      <c r="A628" s="630"/>
      <c r="B628" s="631"/>
      <c r="C628" s="1127"/>
      <c r="D628" s="632"/>
      <c r="E628" s="1127"/>
      <c r="F628" s="633">
        <f t="shared" si="59"/>
        <v>0</v>
      </c>
      <c r="G628" s="632"/>
      <c r="H628" s="1127"/>
      <c r="I628" s="633">
        <f t="shared" si="60"/>
        <v>0</v>
      </c>
      <c r="J628" s="633">
        <f t="shared" si="61"/>
        <v>0</v>
      </c>
      <c r="K628" s="633">
        <f t="shared" si="62"/>
        <v>0</v>
      </c>
      <c r="L628" s="1127"/>
      <c r="M628" s="1127"/>
      <c r="N628" s="1691">
        <f t="shared" si="57"/>
        <v>0</v>
      </c>
      <c r="O628" s="634">
        <f t="shared" si="58"/>
        <v>0</v>
      </c>
      <c r="P628" s="144"/>
      <c r="Q628" s="144"/>
      <c r="R628" s="144"/>
      <c r="S628" s="144"/>
    </row>
    <row r="629" spans="1:19" ht="14.25" customHeight="1">
      <c r="A629" s="630"/>
      <c r="B629" s="631"/>
      <c r="C629" s="1127"/>
      <c r="D629" s="632"/>
      <c r="E629" s="1127"/>
      <c r="F629" s="633">
        <f t="shared" si="59"/>
        <v>0</v>
      </c>
      <c r="G629" s="632"/>
      <c r="H629" s="1127"/>
      <c r="I629" s="633">
        <f t="shared" si="60"/>
        <v>0</v>
      </c>
      <c r="J629" s="633">
        <f t="shared" si="61"/>
        <v>0</v>
      </c>
      <c r="K629" s="633">
        <f t="shared" si="62"/>
        <v>0</v>
      </c>
      <c r="L629" s="1127"/>
      <c r="M629" s="1127"/>
      <c r="N629" s="1691">
        <f t="shared" si="57"/>
        <v>0</v>
      </c>
      <c r="O629" s="634">
        <f t="shared" si="58"/>
        <v>0</v>
      </c>
      <c r="P629" s="144"/>
      <c r="Q629" s="144"/>
      <c r="R629" s="144"/>
      <c r="S629" s="144"/>
    </row>
    <row r="630" spans="1:19" ht="14.25" customHeight="1">
      <c r="A630" s="630"/>
      <c r="B630" s="631"/>
      <c r="C630" s="1127"/>
      <c r="D630" s="632"/>
      <c r="E630" s="1127"/>
      <c r="F630" s="633">
        <f t="shared" si="59"/>
        <v>0</v>
      </c>
      <c r="G630" s="632"/>
      <c r="H630" s="1127"/>
      <c r="I630" s="633">
        <f t="shared" si="60"/>
        <v>0</v>
      </c>
      <c r="J630" s="633">
        <f t="shared" si="61"/>
        <v>0</v>
      </c>
      <c r="K630" s="633">
        <f t="shared" si="62"/>
        <v>0</v>
      </c>
      <c r="L630" s="1127"/>
      <c r="M630" s="1127"/>
      <c r="N630" s="1691">
        <f t="shared" si="57"/>
        <v>0</v>
      </c>
      <c r="O630" s="634">
        <f t="shared" si="58"/>
        <v>0</v>
      </c>
      <c r="P630" s="144"/>
      <c r="Q630" s="144"/>
      <c r="R630" s="144"/>
      <c r="S630" s="144"/>
    </row>
    <row r="631" spans="1:19" ht="14.25" customHeight="1">
      <c r="A631" s="630"/>
      <c r="B631" s="631"/>
      <c r="C631" s="1127"/>
      <c r="D631" s="632"/>
      <c r="E631" s="1127"/>
      <c r="F631" s="633">
        <f t="shared" si="59"/>
        <v>0</v>
      </c>
      <c r="G631" s="632"/>
      <c r="H631" s="1127"/>
      <c r="I631" s="633">
        <f t="shared" si="60"/>
        <v>0</v>
      </c>
      <c r="J631" s="633">
        <f t="shared" si="61"/>
        <v>0</v>
      </c>
      <c r="K631" s="633">
        <f t="shared" si="62"/>
        <v>0</v>
      </c>
      <c r="L631" s="1127"/>
      <c r="M631" s="1127"/>
      <c r="N631" s="1691">
        <f t="shared" si="57"/>
        <v>0</v>
      </c>
      <c r="O631" s="634">
        <f t="shared" si="58"/>
        <v>0</v>
      </c>
      <c r="P631" s="144"/>
      <c r="Q631" s="144"/>
      <c r="R631" s="144"/>
      <c r="S631" s="144"/>
    </row>
    <row r="632" spans="1:19" ht="14.25" customHeight="1">
      <c r="A632" s="630"/>
      <c r="B632" s="631"/>
      <c r="C632" s="1127"/>
      <c r="D632" s="632"/>
      <c r="E632" s="1127"/>
      <c r="F632" s="633">
        <f t="shared" si="59"/>
        <v>0</v>
      </c>
      <c r="G632" s="632"/>
      <c r="H632" s="1127"/>
      <c r="I632" s="633">
        <f t="shared" si="60"/>
        <v>0</v>
      </c>
      <c r="J632" s="633">
        <f t="shared" si="61"/>
        <v>0</v>
      </c>
      <c r="K632" s="633">
        <f t="shared" si="62"/>
        <v>0</v>
      </c>
      <c r="L632" s="1127"/>
      <c r="M632" s="1127"/>
      <c r="N632" s="1691">
        <f t="shared" si="57"/>
        <v>0</v>
      </c>
      <c r="O632" s="634">
        <f t="shared" si="58"/>
        <v>0</v>
      </c>
      <c r="P632" s="144"/>
      <c r="Q632" s="144"/>
      <c r="R632" s="144"/>
      <c r="S632" s="144"/>
    </row>
    <row r="633" spans="1:19" ht="14.25" customHeight="1">
      <c r="A633" s="630"/>
      <c r="B633" s="631"/>
      <c r="C633" s="1127"/>
      <c r="D633" s="632"/>
      <c r="E633" s="1127"/>
      <c r="F633" s="633">
        <f t="shared" si="59"/>
        <v>0</v>
      </c>
      <c r="G633" s="632"/>
      <c r="H633" s="1127"/>
      <c r="I633" s="633">
        <f t="shared" si="60"/>
        <v>0</v>
      </c>
      <c r="J633" s="633">
        <f t="shared" si="61"/>
        <v>0</v>
      </c>
      <c r="K633" s="633">
        <f t="shared" si="62"/>
        <v>0</v>
      </c>
      <c r="L633" s="1127"/>
      <c r="M633" s="1127"/>
      <c r="N633" s="1691">
        <f t="shared" si="57"/>
        <v>0</v>
      </c>
      <c r="O633" s="634">
        <f t="shared" si="58"/>
        <v>0</v>
      </c>
      <c r="P633" s="144"/>
      <c r="Q633" s="144"/>
      <c r="R633" s="144"/>
      <c r="S633" s="144"/>
    </row>
    <row r="634" spans="1:19" ht="14.25" customHeight="1">
      <c r="A634" s="630"/>
      <c r="B634" s="631"/>
      <c r="C634" s="1127"/>
      <c r="D634" s="632"/>
      <c r="E634" s="1127"/>
      <c r="F634" s="633">
        <f t="shared" si="59"/>
        <v>0</v>
      </c>
      <c r="G634" s="632"/>
      <c r="H634" s="1127"/>
      <c r="I634" s="633">
        <f t="shared" si="60"/>
        <v>0</v>
      </c>
      <c r="J634" s="633">
        <f t="shared" si="61"/>
        <v>0</v>
      </c>
      <c r="K634" s="633">
        <f t="shared" si="62"/>
        <v>0</v>
      </c>
      <c r="L634" s="1127"/>
      <c r="M634" s="1127"/>
      <c r="N634" s="1691">
        <f t="shared" si="57"/>
        <v>0</v>
      </c>
      <c r="O634" s="634">
        <f t="shared" si="58"/>
        <v>0</v>
      </c>
      <c r="P634" s="144"/>
      <c r="Q634" s="144"/>
      <c r="R634" s="144"/>
      <c r="S634" s="144"/>
    </row>
    <row r="635" spans="1:19" ht="14.25" customHeight="1">
      <c r="A635" s="630"/>
      <c r="B635" s="631"/>
      <c r="C635" s="1127"/>
      <c r="D635" s="632"/>
      <c r="E635" s="1127"/>
      <c r="F635" s="633">
        <f t="shared" si="59"/>
        <v>0</v>
      </c>
      <c r="G635" s="632"/>
      <c r="H635" s="1127"/>
      <c r="I635" s="633">
        <f t="shared" si="60"/>
        <v>0</v>
      </c>
      <c r="J635" s="633">
        <f t="shared" si="61"/>
        <v>0</v>
      </c>
      <c r="K635" s="633">
        <f t="shared" si="62"/>
        <v>0</v>
      </c>
      <c r="L635" s="1127"/>
      <c r="M635" s="1127"/>
      <c r="N635" s="1691">
        <f t="shared" si="57"/>
        <v>0</v>
      </c>
      <c r="O635" s="634">
        <f t="shared" si="58"/>
        <v>0</v>
      </c>
      <c r="P635" s="144"/>
      <c r="Q635" s="144"/>
      <c r="R635" s="144"/>
      <c r="S635" s="144"/>
    </row>
    <row r="636" spans="1:19" ht="14.25" customHeight="1">
      <c r="A636" s="630"/>
      <c r="B636" s="631"/>
      <c r="C636" s="1127"/>
      <c r="D636" s="632"/>
      <c r="E636" s="1127"/>
      <c r="F636" s="633">
        <f t="shared" si="59"/>
        <v>0</v>
      </c>
      <c r="G636" s="632"/>
      <c r="H636" s="1127"/>
      <c r="I636" s="633">
        <f t="shared" si="60"/>
        <v>0</v>
      </c>
      <c r="J636" s="633">
        <f t="shared" si="61"/>
        <v>0</v>
      </c>
      <c r="K636" s="633">
        <f t="shared" si="62"/>
        <v>0</v>
      </c>
      <c r="L636" s="1127"/>
      <c r="M636" s="1127"/>
      <c r="N636" s="1691">
        <f t="shared" si="57"/>
        <v>0</v>
      </c>
      <c r="O636" s="634">
        <f t="shared" si="58"/>
        <v>0</v>
      </c>
      <c r="P636" s="144"/>
      <c r="Q636" s="144"/>
      <c r="R636" s="144"/>
      <c r="S636" s="144"/>
    </row>
    <row r="637" spans="1:19" ht="14.25" customHeight="1">
      <c r="A637" s="630"/>
      <c r="B637" s="631"/>
      <c r="C637" s="1127"/>
      <c r="D637" s="632"/>
      <c r="E637" s="1127"/>
      <c r="F637" s="633">
        <f t="shared" si="59"/>
        <v>0</v>
      </c>
      <c r="G637" s="632"/>
      <c r="H637" s="1127"/>
      <c r="I637" s="633">
        <f t="shared" si="60"/>
        <v>0</v>
      </c>
      <c r="J637" s="633">
        <f t="shared" si="61"/>
        <v>0</v>
      </c>
      <c r="K637" s="633">
        <f t="shared" si="62"/>
        <v>0</v>
      </c>
      <c r="L637" s="1127"/>
      <c r="M637" s="1127"/>
      <c r="N637" s="1691">
        <f t="shared" si="57"/>
        <v>0</v>
      </c>
      <c r="O637" s="634">
        <f t="shared" si="58"/>
        <v>0</v>
      </c>
      <c r="P637" s="144"/>
      <c r="Q637" s="144"/>
      <c r="R637" s="144"/>
      <c r="S637" s="144"/>
    </row>
    <row r="638" spans="1:19" ht="14.25" customHeight="1">
      <c r="A638" s="630"/>
      <c r="B638" s="631"/>
      <c r="C638" s="1127"/>
      <c r="D638" s="632"/>
      <c r="E638" s="1127"/>
      <c r="F638" s="633">
        <f t="shared" si="59"/>
        <v>0</v>
      </c>
      <c r="G638" s="632"/>
      <c r="H638" s="1127"/>
      <c r="I638" s="633">
        <f t="shared" si="60"/>
        <v>0</v>
      </c>
      <c r="J638" s="633">
        <f t="shared" si="61"/>
        <v>0</v>
      </c>
      <c r="K638" s="633">
        <f t="shared" si="62"/>
        <v>0</v>
      </c>
      <c r="L638" s="1127"/>
      <c r="M638" s="1127"/>
      <c r="N638" s="1691">
        <f t="shared" si="57"/>
        <v>0</v>
      </c>
      <c r="O638" s="634">
        <f t="shared" si="58"/>
        <v>0</v>
      </c>
      <c r="P638" s="144"/>
      <c r="Q638" s="144"/>
      <c r="R638" s="144"/>
      <c r="S638" s="144"/>
    </row>
    <row r="639" spans="1:19" ht="14.25" customHeight="1">
      <c r="A639" s="630"/>
      <c r="B639" s="631"/>
      <c r="C639" s="1127"/>
      <c r="D639" s="632"/>
      <c r="E639" s="1127"/>
      <c r="F639" s="633">
        <f t="shared" si="59"/>
        <v>0</v>
      </c>
      <c r="G639" s="632"/>
      <c r="H639" s="1127"/>
      <c r="I639" s="633">
        <f t="shared" si="60"/>
        <v>0</v>
      </c>
      <c r="J639" s="633">
        <f t="shared" si="61"/>
        <v>0</v>
      </c>
      <c r="K639" s="633">
        <f t="shared" si="62"/>
        <v>0</v>
      </c>
      <c r="L639" s="1127"/>
      <c r="M639" s="1127"/>
      <c r="N639" s="1691">
        <f t="shared" si="57"/>
        <v>0</v>
      </c>
      <c r="O639" s="634">
        <f t="shared" si="58"/>
        <v>0</v>
      </c>
      <c r="P639" s="144"/>
      <c r="Q639" s="144"/>
      <c r="R639" s="144"/>
      <c r="S639" s="144"/>
    </row>
    <row r="640" spans="1:19" ht="14.25" customHeight="1">
      <c r="A640" s="630"/>
      <c r="B640" s="631"/>
      <c r="C640" s="1127"/>
      <c r="D640" s="632"/>
      <c r="E640" s="1127"/>
      <c r="F640" s="633">
        <f t="shared" si="59"/>
        <v>0</v>
      </c>
      <c r="G640" s="632"/>
      <c r="H640" s="1127"/>
      <c r="I640" s="633">
        <f t="shared" si="60"/>
        <v>0</v>
      </c>
      <c r="J640" s="633">
        <f t="shared" si="61"/>
        <v>0</v>
      </c>
      <c r="K640" s="633">
        <f t="shared" si="62"/>
        <v>0</v>
      </c>
      <c r="L640" s="1127"/>
      <c r="M640" s="1127"/>
      <c r="N640" s="1691">
        <f t="shared" si="57"/>
        <v>0</v>
      </c>
      <c r="O640" s="634">
        <f t="shared" si="58"/>
        <v>0</v>
      </c>
      <c r="P640" s="144"/>
      <c r="Q640" s="144"/>
      <c r="R640" s="144"/>
      <c r="S640" s="144"/>
    </row>
    <row r="641" spans="1:19" ht="14.25" customHeight="1">
      <c r="A641" s="630"/>
      <c r="B641" s="631"/>
      <c r="C641" s="1127"/>
      <c r="D641" s="632"/>
      <c r="E641" s="1127"/>
      <c r="F641" s="633">
        <f t="shared" si="59"/>
        <v>0</v>
      </c>
      <c r="G641" s="632"/>
      <c r="H641" s="1127"/>
      <c r="I641" s="633">
        <f t="shared" si="60"/>
        <v>0</v>
      </c>
      <c r="J641" s="633">
        <f t="shared" si="61"/>
        <v>0</v>
      </c>
      <c r="K641" s="633">
        <f t="shared" si="62"/>
        <v>0</v>
      </c>
      <c r="L641" s="1127"/>
      <c r="M641" s="1127"/>
      <c r="N641" s="1691">
        <f t="shared" si="57"/>
        <v>0</v>
      </c>
      <c r="O641" s="634">
        <f t="shared" si="58"/>
        <v>0</v>
      </c>
      <c r="P641" s="144"/>
      <c r="Q641" s="144"/>
      <c r="R641" s="144"/>
      <c r="S641" s="144"/>
    </row>
    <row r="642" spans="1:19" ht="14.25" customHeight="1">
      <c r="A642" s="630"/>
      <c r="B642" s="631"/>
      <c r="C642" s="1127"/>
      <c r="D642" s="632"/>
      <c r="E642" s="1127"/>
      <c r="F642" s="633">
        <f t="shared" si="59"/>
        <v>0</v>
      </c>
      <c r="G642" s="632"/>
      <c r="H642" s="1127"/>
      <c r="I642" s="633">
        <f t="shared" si="60"/>
        <v>0</v>
      </c>
      <c r="J642" s="633">
        <f t="shared" si="61"/>
        <v>0</v>
      </c>
      <c r="K642" s="633">
        <f t="shared" si="62"/>
        <v>0</v>
      </c>
      <c r="L642" s="1127"/>
      <c r="M642" s="1127"/>
      <c r="N642" s="1691">
        <f t="shared" si="57"/>
        <v>0</v>
      </c>
      <c r="O642" s="634">
        <f t="shared" si="58"/>
        <v>0</v>
      </c>
      <c r="P642" s="144"/>
      <c r="Q642" s="144"/>
      <c r="R642" s="144"/>
      <c r="S642" s="144"/>
    </row>
    <row r="643" spans="1:19" ht="14.25" customHeight="1">
      <c r="A643" s="630"/>
      <c r="B643" s="631"/>
      <c r="C643" s="1127"/>
      <c r="D643" s="632"/>
      <c r="E643" s="1127"/>
      <c r="F643" s="633">
        <f t="shared" si="59"/>
        <v>0</v>
      </c>
      <c r="G643" s="632"/>
      <c r="H643" s="1127"/>
      <c r="I643" s="633">
        <f t="shared" si="60"/>
        <v>0</v>
      </c>
      <c r="J643" s="633">
        <f t="shared" si="61"/>
        <v>0</v>
      </c>
      <c r="K643" s="633">
        <f t="shared" si="62"/>
        <v>0</v>
      </c>
      <c r="L643" s="1127"/>
      <c r="M643" s="1127"/>
      <c r="N643" s="1691">
        <f t="shared" si="57"/>
        <v>0</v>
      </c>
      <c r="O643" s="634">
        <f t="shared" si="58"/>
        <v>0</v>
      </c>
      <c r="P643" s="144"/>
      <c r="Q643" s="144"/>
      <c r="R643" s="144"/>
      <c r="S643" s="144"/>
    </row>
    <row r="644" spans="1:19" ht="14.25" customHeight="1">
      <c r="A644" s="630"/>
      <c r="B644" s="631"/>
      <c r="C644" s="1127"/>
      <c r="D644" s="632"/>
      <c r="E644" s="1127"/>
      <c r="F644" s="633">
        <f t="shared" si="59"/>
        <v>0</v>
      </c>
      <c r="G644" s="632"/>
      <c r="H644" s="1127"/>
      <c r="I644" s="633">
        <f t="shared" si="60"/>
        <v>0</v>
      </c>
      <c r="J644" s="633">
        <f t="shared" si="61"/>
        <v>0</v>
      </c>
      <c r="K644" s="633">
        <f t="shared" si="62"/>
        <v>0</v>
      </c>
      <c r="L644" s="1127"/>
      <c r="M644" s="1127"/>
      <c r="N644" s="1691">
        <f t="shared" si="57"/>
        <v>0</v>
      </c>
      <c r="O644" s="634">
        <f t="shared" si="58"/>
        <v>0</v>
      </c>
      <c r="P644" s="144"/>
      <c r="Q644" s="144"/>
      <c r="R644" s="144"/>
      <c r="S644" s="144"/>
    </row>
    <row r="645" spans="1:19" ht="14.25" customHeight="1">
      <c r="A645" s="630"/>
      <c r="B645" s="631"/>
      <c r="C645" s="1127"/>
      <c r="D645" s="632"/>
      <c r="E645" s="1127"/>
      <c r="F645" s="633">
        <f t="shared" si="59"/>
        <v>0</v>
      </c>
      <c r="G645" s="632"/>
      <c r="H645" s="1127"/>
      <c r="I645" s="633">
        <f t="shared" si="60"/>
        <v>0</v>
      </c>
      <c r="J645" s="633">
        <f t="shared" si="61"/>
        <v>0</v>
      </c>
      <c r="K645" s="633">
        <f t="shared" si="62"/>
        <v>0</v>
      </c>
      <c r="L645" s="1127"/>
      <c r="M645" s="1127"/>
      <c r="N645" s="1691">
        <f t="shared" si="57"/>
        <v>0</v>
      </c>
      <c r="O645" s="634">
        <f t="shared" si="58"/>
        <v>0</v>
      </c>
      <c r="P645" s="144"/>
      <c r="Q645" s="144"/>
      <c r="R645" s="144"/>
      <c r="S645" s="144"/>
    </row>
    <row r="646" spans="1:19" ht="14.25" customHeight="1">
      <c r="A646" s="630"/>
      <c r="B646" s="631"/>
      <c r="C646" s="1127"/>
      <c r="D646" s="632"/>
      <c r="E646" s="1127"/>
      <c r="F646" s="633">
        <f t="shared" si="59"/>
        <v>0</v>
      </c>
      <c r="G646" s="632"/>
      <c r="H646" s="1127"/>
      <c r="I646" s="633">
        <f t="shared" si="60"/>
        <v>0</v>
      </c>
      <c r="J646" s="633">
        <f t="shared" si="61"/>
        <v>0</v>
      </c>
      <c r="K646" s="633">
        <f t="shared" si="62"/>
        <v>0</v>
      </c>
      <c r="L646" s="1127"/>
      <c r="M646" s="1127"/>
      <c r="N646" s="1691">
        <f t="shared" si="57"/>
        <v>0</v>
      </c>
      <c r="O646" s="634">
        <f t="shared" si="58"/>
        <v>0</v>
      </c>
      <c r="P646" s="144"/>
      <c r="Q646" s="144"/>
      <c r="R646" s="144"/>
      <c r="S646" s="144"/>
    </row>
    <row r="647" spans="1:19" ht="14.25" customHeight="1">
      <c r="A647" s="630"/>
      <c r="B647" s="631"/>
      <c r="C647" s="1127"/>
      <c r="D647" s="632"/>
      <c r="E647" s="1127"/>
      <c r="F647" s="633">
        <f t="shared" si="59"/>
        <v>0</v>
      </c>
      <c r="G647" s="632"/>
      <c r="H647" s="1127"/>
      <c r="I647" s="633">
        <f t="shared" si="60"/>
        <v>0</v>
      </c>
      <c r="J647" s="633">
        <f t="shared" si="61"/>
        <v>0</v>
      </c>
      <c r="K647" s="633">
        <f t="shared" si="62"/>
        <v>0</v>
      </c>
      <c r="L647" s="1127"/>
      <c r="M647" s="1127"/>
      <c r="N647" s="1691">
        <f t="shared" si="57"/>
        <v>0</v>
      </c>
      <c r="O647" s="634">
        <f t="shared" si="58"/>
        <v>0</v>
      </c>
      <c r="P647" s="144"/>
      <c r="Q647" s="144"/>
      <c r="R647" s="144"/>
      <c r="S647" s="144"/>
    </row>
    <row r="648" spans="1:19" ht="14.25" customHeight="1">
      <c r="A648" s="630"/>
      <c r="B648" s="631"/>
      <c r="C648" s="1127"/>
      <c r="D648" s="632"/>
      <c r="E648" s="1127"/>
      <c r="F648" s="633">
        <f t="shared" si="59"/>
        <v>0</v>
      </c>
      <c r="G648" s="632"/>
      <c r="H648" s="1127"/>
      <c r="I648" s="633">
        <f t="shared" si="60"/>
        <v>0</v>
      </c>
      <c r="J648" s="633">
        <f t="shared" si="61"/>
        <v>0</v>
      </c>
      <c r="K648" s="633">
        <f t="shared" si="62"/>
        <v>0</v>
      </c>
      <c r="L648" s="1127"/>
      <c r="M648" s="1127"/>
      <c r="N648" s="1691">
        <f t="shared" si="57"/>
        <v>0</v>
      </c>
      <c r="O648" s="634">
        <f t="shared" si="58"/>
        <v>0</v>
      </c>
      <c r="P648" s="144"/>
      <c r="Q648" s="144"/>
      <c r="R648" s="144"/>
      <c r="S648" s="144"/>
    </row>
    <row r="649" spans="1:19" ht="14.25" customHeight="1">
      <c r="A649" s="630"/>
      <c r="B649" s="631"/>
      <c r="C649" s="1127"/>
      <c r="D649" s="632"/>
      <c r="E649" s="1127"/>
      <c r="F649" s="633">
        <f t="shared" si="59"/>
        <v>0</v>
      </c>
      <c r="G649" s="632"/>
      <c r="H649" s="1127"/>
      <c r="I649" s="633">
        <f t="shared" si="60"/>
        <v>0</v>
      </c>
      <c r="J649" s="633">
        <f t="shared" si="61"/>
        <v>0</v>
      </c>
      <c r="K649" s="633">
        <f t="shared" si="62"/>
        <v>0</v>
      </c>
      <c r="L649" s="1127"/>
      <c r="M649" s="1127"/>
      <c r="N649" s="1691">
        <f t="shared" si="57"/>
        <v>0</v>
      </c>
      <c r="O649" s="634">
        <f t="shared" si="58"/>
        <v>0</v>
      </c>
      <c r="P649" s="144"/>
      <c r="Q649" s="144"/>
      <c r="R649" s="144"/>
      <c r="S649" s="144"/>
    </row>
    <row r="650" spans="1:19" ht="14.25" customHeight="1">
      <c r="A650" s="630"/>
      <c r="B650" s="631"/>
      <c r="C650" s="1127"/>
      <c r="D650" s="632"/>
      <c r="E650" s="1127"/>
      <c r="F650" s="633">
        <f t="shared" si="59"/>
        <v>0</v>
      </c>
      <c r="G650" s="632"/>
      <c r="H650" s="1127"/>
      <c r="I650" s="633">
        <f t="shared" si="60"/>
        <v>0</v>
      </c>
      <c r="J650" s="633">
        <f t="shared" si="61"/>
        <v>0</v>
      </c>
      <c r="K650" s="633">
        <f t="shared" si="62"/>
        <v>0</v>
      </c>
      <c r="L650" s="1127"/>
      <c r="M650" s="1127"/>
      <c r="N650" s="1691">
        <f t="shared" ref="N650:N713" si="63">IF(M650&lt;&gt;0,ROUND(B650*K650,2)+M650,IF(ABS(ROUND(K650*B650,2)-L650)&lt;3,L650,MIN(ROUND(K650*B650,2),L650)))</f>
        <v>0</v>
      </c>
      <c r="O650" s="634">
        <f t="shared" ref="O650:O713" si="64">IF(ISERROR(L650-N650),"",IF(ABS(L650-N650)&lt;3,0,L650-N650))</f>
        <v>0</v>
      </c>
      <c r="P650" s="144"/>
      <c r="Q650" s="144"/>
      <c r="R650" s="144"/>
      <c r="S650" s="144"/>
    </row>
    <row r="651" spans="1:19" ht="14.25" customHeight="1">
      <c r="A651" s="630"/>
      <c r="B651" s="631"/>
      <c r="C651" s="1127"/>
      <c r="D651" s="632"/>
      <c r="E651" s="1127"/>
      <c r="F651" s="633">
        <f t="shared" ref="F651:F714" si="65">E651*(12-MONTH(D651))/12</f>
        <v>0</v>
      </c>
      <c r="G651" s="632"/>
      <c r="H651" s="1127"/>
      <c r="I651" s="633">
        <f t="shared" ref="I651:I714" si="66">H651*(12-MONTH(G651))/12</f>
        <v>0</v>
      </c>
      <c r="J651" s="633">
        <f t="shared" ref="J651:J714" si="67">C651+E651-H651</f>
        <v>0</v>
      </c>
      <c r="K651" s="633">
        <f t="shared" ref="K651:K714" si="68">C651+F651-I651</f>
        <v>0</v>
      </c>
      <c r="L651" s="1127"/>
      <c r="M651" s="1127"/>
      <c r="N651" s="1691">
        <f t="shared" si="63"/>
        <v>0</v>
      </c>
      <c r="O651" s="634">
        <f t="shared" si="64"/>
        <v>0</v>
      </c>
      <c r="P651" s="144"/>
      <c r="Q651" s="144"/>
      <c r="R651" s="144"/>
      <c r="S651" s="144"/>
    </row>
    <row r="652" spans="1:19" ht="14.25" customHeight="1">
      <c r="A652" s="630"/>
      <c r="B652" s="631"/>
      <c r="C652" s="1127"/>
      <c r="D652" s="632"/>
      <c r="E652" s="1127"/>
      <c r="F652" s="633">
        <f t="shared" si="65"/>
        <v>0</v>
      </c>
      <c r="G652" s="632"/>
      <c r="H652" s="1127"/>
      <c r="I652" s="633">
        <f t="shared" si="66"/>
        <v>0</v>
      </c>
      <c r="J652" s="633">
        <f t="shared" si="67"/>
        <v>0</v>
      </c>
      <c r="K652" s="633">
        <f t="shared" si="68"/>
        <v>0</v>
      </c>
      <c r="L652" s="1127"/>
      <c r="M652" s="1127"/>
      <c r="N652" s="1691">
        <f t="shared" si="63"/>
        <v>0</v>
      </c>
      <c r="O652" s="634">
        <f t="shared" si="64"/>
        <v>0</v>
      </c>
      <c r="P652" s="144"/>
      <c r="Q652" s="144"/>
      <c r="R652" s="144"/>
      <c r="S652" s="144"/>
    </row>
    <row r="653" spans="1:19" ht="14.25" customHeight="1">
      <c r="A653" s="630"/>
      <c r="B653" s="631"/>
      <c r="C653" s="1127"/>
      <c r="D653" s="632"/>
      <c r="E653" s="1127"/>
      <c r="F653" s="633">
        <f t="shared" si="65"/>
        <v>0</v>
      </c>
      <c r="G653" s="632"/>
      <c r="H653" s="1127"/>
      <c r="I653" s="633">
        <f t="shared" si="66"/>
        <v>0</v>
      </c>
      <c r="J653" s="633">
        <f t="shared" si="67"/>
        <v>0</v>
      </c>
      <c r="K653" s="633">
        <f t="shared" si="68"/>
        <v>0</v>
      </c>
      <c r="L653" s="1127"/>
      <c r="M653" s="1127"/>
      <c r="N653" s="1691">
        <f t="shared" si="63"/>
        <v>0</v>
      </c>
      <c r="O653" s="634">
        <f t="shared" si="64"/>
        <v>0</v>
      </c>
      <c r="P653" s="144"/>
      <c r="Q653" s="144"/>
      <c r="R653" s="144"/>
      <c r="S653" s="144"/>
    </row>
    <row r="654" spans="1:19" ht="14.25" customHeight="1">
      <c r="A654" s="630"/>
      <c r="B654" s="631"/>
      <c r="C654" s="1127"/>
      <c r="D654" s="632"/>
      <c r="E654" s="1127"/>
      <c r="F654" s="633">
        <f t="shared" si="65"/>
        <v>0</v>
      </c>
      <c r="G654" s="632"/>
      <c r="H654" s="1127"/>
      <c r="I654" s="633">
        <f t="shared" si="66"/>
        <v>0</v>
      </c>
      <c r="J654" s="633">
        <f t="shared" si="67"/>
        <v>0</v>
      </c>
      <c r="K654" s="633">
        <f t="shared" si="68"/>
        <v>0</v>
      </c>
      <c r="L654" s="1127"/>
      <c r="M654" s="1127"/>
      <c r="N654" s="1691">
        <f t="shared" si="63"/>
        <v>0</v>
      </c>
      <c r="O654" s="634">
        <f t="shared" si="64"/>
        <v>0</v>
      </c>
      <c r="P654" s="144"/>
      <c r="Q654" s="144"/>
      <c r="R654" s="144"/>
      <c r="S654" s="144"/>
    </row>
    <row r="655" spans="1:19" ht="14.25" customHeight="1">
      <c r="A655" s="630"/>
      <c r="B655" s="631"/>
      <c r="C655" s="1127"/>
      <c r="D655" s="632"/>
      <c r="E655" s="1127"/>
      <c r="F655" s="633">
        <f t="shared" si="65"/>
        <v>0</v>
      </c>
      <c r="G655" s="632"/>
      <c r="H655" s="1127"/>
      <c r="I655" s="633">
        <f t="shared" si="66"/>
        <v>0</v>
      </c>
      <c r="J655" s="633">
        <f t="shared" si="67"/>
        <v>0</v>
      </c>
      <c r="K655" s="633">
        <f t="shared" si="68"/>
        <v>0</v>
      </c>
      <c r="L655" s="1127"/>
      <c r="M655" s="1127"/>
      <c r="N655" s="1691">
        <f t="shared" si="63"/>
        <v>0</v>
      </c>
      <c r="O655" s="634">
        <f t="shared" si="64"/>
        <v>0</v>
      </c>
      <c r="P655" s="144"/>
      <c r="Q655" s="144"/>
      <c r="R655" s="144"/>
      <c r="S655" s="144"/>
    </row>
    <row r="656" spans="1:19" ht="14.25" customHeight="1">
      <c r="A656" s="630"/>
      <c r="B656" s="631"/>
      <c r="C656" s="1127"/>
      <c r="D656" s="632"/>
      <c r="E656" s="1127"/>
      <c r="F656" s="633">
        <f t="shared" si="65"/>
        <v>0</v>
      </c>
      <c r="G656" s="632"/>
      <c r="H656" s="1127"/>
      <c r="I656" s="633">
        <f t="shared" si="66"/>
        <v>0</v>
      </c>
      <c r="J656" s="633">
        <f t="shared" si="67"/>
        <v>0</v>
      </c>
      <c r="K656" s="633">
        <f t="shared" si="68"/>
        <v>0</v>
      </c>
      <c r="L656" s="1127"/>
      <c r="M656" s="1127"/>
      <c r="N656" s="1691">
        <f t="shared" si="63"/>
        <v>0</v>
      </c>
      <c r="O656" s="634">
        <f t="shared" si="64"/>
        <v>0</v>
      </c>
      <c r="P656" s="144"/>
      <c r="Q656" s="144"/>
      <c r="R656" s="144"/>
      <c r="S656" s="144"/>
    </row>
    <row r="657" spans="1:19" ht="14.25" customHeight="1">
      <c r="A657" s="630"/>
      <c r="B657" s="631"/>
      <c r="C657" s="1127"/>
      <c r="D657" s="632"/>
      <c r="E657" s="1127"/>
      <c r="F657" s="633">
        <f t="shared" si="65"/>
        <v>0</v>
      </c>
      <c r="G657" s="632"/>
      <c r="H657" s="1127"/>
      <c r="I657" s="633">
        <f t="shared" si="66"/>
        <v>0</v>
      </c>
      <c r="J657" s="633">
        <f t="shared" si="67"/>
        <v>0</v>
      </c>
      <c r="K657" s="633">
        <f t="shared" si="68"/>
        <v>0</v>
      </c>
      <c r="L657" s="1127"/>
      <c r="M657" s="1127"/>
      <c r="N657" s="1691">
        <f t="shared" si="63"/>
        <v>0</v>
      </c>
      <c r="O657" s="634">
        <f t="shared" si="64"/>
        <v>0</v>
      </c>
      <c r="P657" s="144"/>
      <c r="Q657" s="144"/>
      <c r="R657" s="144"/>
      <c r="S657" s="144"/>
    </row>
    <row r="658" spans="1:19" ht="14.25" customHeight="1">
      <c r="A658" s="630"/>
      <c r="B658" s="631"/>
      <c r="C658" s="1127"/>
      <c r="D658" s="632"/>
      <c r="E658" s="1127"/>
      <c r="F658" s="633">
        <f t="shared" si="65"/>
        <v>0</v>
      </c>
      <c r="G658" s="632"/>
      <c r="H658" s="1127"/>
      <c r="I658" s="633">
        <f t="shared" si="66"/>
        <v>0</v>
      </c>
      <c r="J658" s="633">
        <f t="shared" si="67"/>
        <v>0</v>
      </c>
      <c r="K658" s="633">
        <f t="shared" si="68"/>
        <v>0</v>
      </c>
      <c r="L658" s="1127"/>
      <c r="M658" s="1127"/>
      <c r="N658" s="1691">
        <f t="shared" si="63"/>
        <v>0</v>
      </c>
      <c r="O658" s="634">
        <f t="shared" si="64"/>
        <v>0</v>
      </c>
      <c r="P658" s="144"/>
      <c r="Q658" s="144"/>
      <c r="R658" s="144"/>
      <c r="S658" s="144"/>
    </row>
    <row r="659" spans="1:19" ht="14.25" customHeight="1">
      <c r="A659" s="630"/>
      <c r="B659" s="631"/>
      <c r="C659" s="1127"/>
      <c r="D659" s="632"/>
      <c r="E659" s="1127"/>
      <c r="F659" s="633">
        <f t="shared" si="65"/>
        <v>0</v>
      </c>
      <c r="G659" s="632"/>
      <c r="H659" s="1127"/>
      <c r="I659" s="633">
        <f t="shared" si="66"/>
        <v>0</v>
      </c>
      <c r="J659" s="633">
        <f t="shared" si="67"/>
        <v>0</v>
      </c>
      <c r="K659" s="633">
        <f t="shared" si="68"/>
        <v>0</v>
      </c>
      <c r="L659" s="1127"/>
      <c r="M659" s="1127"/>
      <c r="N659" s="1691">
        <f t="shared" si="63"/>
        <v>0</v>
      </c>
      <c r="O659" s="634">
        <f t="shared" si="64"/>
        <v>0</v>
      </c>
      <c r="P659" s="144"/>
      <c r="Q659" s="144"/>
      <c r="R659" s="144"/>
      <c r="S659" s="144"/>
    </row>
    <row r="660" spans="1:19" ht="14.25" customHeight="1">
      <c r="A660" s="630"/>
      <c r="B660" s="631"/>
      <c r="C660" s="1127"/>
      <c r="D660" s="632"/>
      <c r="E660" s="1127"/>
      <c r="F660" s="633">
        <f t="shared" si="65"/>
        <v>0</v>
      </c>
      <c r="G660" s="632"/>
      <c r="H660" s="1127"/>
      <c r="I660" s="633">
        <f t="shared" si="66"/>
        <v>0</v>
      </c>
      <c r="J660" s="633">
        <f t="shared" si="67"/>
        <v>0</v>
      </c>
      <c r="K660" s="633">
        <f t="shared" si="68"/>
        <v>0</v>
      </c>
      <c r="L660" s="1127"/>
      <c r="M660" s="1127"/>
      <c r="N660" s="1691">
        <f t="shared" si="63"/>
        <v>0</v>
      </c>
      <c r="O660" s="634">
        <f t="shared" si="64"/>
        <v>0</v>
      </c>
      <c r="P660" s="144"/>
      <c r="Q660" s="144"/>
      <c r="R660" s="144"/>
      <c r="S660" s="144"/>
    </row>
    <row r="661" spans="1:19" ht="14.25" customHeight="1">
      <c r="A661" s="630"/>
      <c r="B661" s="631"/>
      <c r="C661" s="1127"/>
      <c r="D661" s="632"/>
      <c r="E661" s="1127"/>
      <c r="F661" s="633">
        <f t="shared" si="65"/>
        <v>0</v>
      </c>
      <c r="G661" s="632"/>
      <c r="H661" s="1127"/>
      <c r="I661" s="633">
        <f t="shared" si="66"/>
        <v>0</v>
      </c>
      <c r="J661" s="633">
        <f t="shared" si="67"/>
        <v>0</v>
      </c>
      <c r="K661" s="633">
        <f t="shared" si="68"/>
        <v>0</v>
      </c>
      <c r="L661" s="1127"/>
      <c r="M661" s="1127"/>
      <c r="N661" s="1691">
        <f t="shared" si="63"/>
        <v>0</v>
      </c>
      <c r="O661" s="634">
        <f t="shared" si="64"/>
        <v>0</v>
      </c>
      <c r="P661" s="144"/>
      <c r="Q661" s="144"/>
      <c r="R661" s="144"/>
      <c r="S661" s="144"/>
    </row>
    <row r="662" spans="1:19" ht="14.25" customHeight="1">
      <c r="A662" s="630"/>
      <c r="B662" s="631"/>
      <c r="C662" s="1127"/>
      <c r="D662" s="632"/>
      <c r="E662" s="1127"/>
      <c r="F662" s="633">
        <f t="shared" si="65"/>
        <v>0</v>
      </c>
      <c r="G662" s="632"/>
      <c r="H662" s="1127"/>
      <c r="I662" s="633">
        <f t="shared" si="66"/>
        <v>0</v>
      </c>
      <c r="J662" s="633">
        <f t="shared" si="67"/>
        <v>0</v>
      </c>
      <c r="K662" s="633">
        <f t="shared" si="68"/>
        <v>0</v>
      </c>
      <c r="L662" s="1127"/>
      <c r="M662" s="1127"/>
      <c r="N662" s="1691">
        <f t="shared" si="63"/>
        <v>0</v>
      </c>
      <c r="O662" s="634">
        <f t="shared" si="64"/>
        <v>0</v>
      </c>
      <c r="P662" s="144"/>
      <c r="Q662" s="144"/>
      <c r="R662" s="144"/>
      <c r="S662" s="144"/>
    </row>
    <row r="663" spans="1:19" ht="14.25" customHeight="1">
      <c r="A663" s="630"/>
      <c r="B663" s="631"/>
      <c r="C663" s="1127"/>
      <c r="D663" s="632"/>
      <c r="E663" s="1127"/>
      <c r="F663" s="633">
        <f t="shared" si="65"/>
        <v>0</v>
      </c>
      <c r="G663" s="632"/>
      <c r="H663" s="1127"/>
      <c r="I663" s="633">
        <f t="shared" si="66"/>
        <v>0</v>
      </c>
      <c r="J663" s="633">
        <f t="shared" si="67"/>
        <v>0</v>
      </c>
      <c r="K663" s="633">
        <f t="shared" si="68"/>
        <v>0</v>
      </c>
      <c r="L663" s="1127"/>
      <c r="M663" s="1127"/>
      <c r="N663" s="1691">
        <f t="shared" si="63"/>
        <v>0</v>
      </c>
      <c r="O663" s="634">
        <f t="shared" si="64"/>
        <v>0</v>
      </c>
      <c r="P663" s="144"/>
      <c r="Q663" s="144"/>
      <c r="R663" s="144"/>
      <c r="S663" s="144"/>
    </row>
    <row r="664" spans="1:19" ht="14.25" customHeight="1">
      <c r="A664" s="630"/>
      <c r="B664" s="631"/>
      <c r="C664" s="1127"/>
      <c r="D664" s="632"/>
      <c r="E664" s="1127"/>
      <c r="F664" s="633">
        <f t="shared" si="65"/>
        <v>0</v>
      </c>
      <c r="G664" s="632"/>
      <c r="H664" s="1127"/>
      <c r="I664" s="633">
        <f t="shared" si="66"/>
        <v>0</v>
      </c>
      <c r="J664" s="633">
        <f t="shared" si="67"/>
        <v>0</v>
      </c>
      <c r="K664" s="633">
        <f t="shared" si="68"/>
        <v>0</v>
      </c>
      <c r="L664" s="1127"/>
      <c r="M664" s="1127"/>
      <c r="N664" s="1691">
        <f t="shared" si="63"/>
        <v>0</v>
      </c>
      <c r="O664" s="634">
        <f t="shared" si="64"/>
        <v>0</v>
      </c>
      <c r="P664" s="144"/>
      <c r="Q664" s="144"/>
      <c r="R664" s="144"/>
      <c r="S664" s="144"/>
    </row>
    <row r="665" spans="1:19" ht="14.25" customHeight="1">
      <c r="A665" s="630"/>
      <c r="B665" s="631"/>
      <c r="C665" s="1127"/>
      <c r="D665" s="632"/>
      <c r="E665" s="1127"/>
      <c r="F665" s="633">
        <f t="shared" si="65"/>
        <v>0</v>
      </c>
      <c r="G665" s="632"/>
      <c r="H665" s="1127"/>
      <c r="I665" s="633">
        <f t="shared" si="66"/>
        <v>0</v>
      </c>
      <c r="J665" s="633">
        <f t="shared" si="67"/>
        <v>0</v>
      </c>
      <c r="K665" s="633">
        <f t="shared" si="68"/>
        <v>0</v>
      </c>
      <c r="L665" s="1127"/>
      <c r="M665" s="1127"/>
      <c r="N665" s="1691">
        <f t="shared" si="63"/>
        <v>0</v>
      </c>
      <c r="O665" s="634">
        <f t="shared" si="64"/>
        <v>0</v>
      </c>
      <c r="P665" s="144"/>
      <c r="Q665" s="144"/>
      <c r="R665" s="144"/>
      <c r="S665" s="144"/>
    </row>
    <row r="666" spans="1:19" ht="14.25" customHeight="1">
      <c r="A666" s="630"/>
      <c r="B666" s="631"/>
      <c r="C666" s="1127"/>
      <c r="D666" s="632"/>
      <c r="E666" s="1127"/>
      <c r="F666" s="633">
        <f t="shared" si="65"/>
        <v>0</v>
      </c>
      <c r="G666" s="632"/>
      <c r="H666" s="1127"/>
      <c r="I666" s="633">
        <f t="shared" si="66"/>
        <v>0</v>
      </c>
      <c r="J666" s="633">
        <f t="shared" si="67"/>
        <v>0</v>
      </c>
      <c r="K666" s="633">
        <f t="shared" si="68"/>
        <v>0</v>
      </c>
      <c r="L666" s="1127"/>
      <c r="M666" s="1127"/>
      <c r="N666" s="1691">
        <f t="shared" si="63"/>
        <v>0</v>
      </c>
      <c r="O666" s="634">
        <f t="shared" si="64"/>
        <v>0</v>
      </c>
      <c r="P666" s="144"/>
      <c r="Q666" s="144"/>
      <c r="R666" s="144"/>
      <c r="S666" s="144"/>
    </row>
    <row r="667" spans="1:19" ht="14.25" customHeight="1">
      <c r="A667" s="630"/>
      <c r="B667" s="631"/>
      <c r="C667" s="1127"/>
      <c r="D667" s="632"/>
      <c r="E667" s="1127"/>
      <c r="F667" s="633">
        <f t="shared" si="65"/>
        <v>0</v>
      </c>
      <c r="G667" s="632"/>
      <c r="H667" s="1127"/>
      <c r="I667" s="633">
        <f t="shared" si="66"/>
        <v>0</v>
      </c>
      <c r="J667" s="633">
        <f t="shared" si="67"/>
        <v>0</v>
      </c>
      <c r="K667" s="633">
        <f t="shared" si="68"/>
        <v>0</v>
      </c>
      <c r="L667" s="1127"/>
      <c r="M667" s="1127"/>
      <c r="N667" s="1691">
        <f t="shared" si="63"/>
        <v>0</v>
      </c>
      <c r="O667" s="634">
        <f t="shared" si="64"/>
        <v>0</v>
      </c>
      <c r="P667" s="144"/>
      <c r="Q667" s="144"/>
      <c r="R667" s="144"/>
      <c r="S667" s="144"/>
    </row>
    <row r="668" spans="1:19" ht="14.25" customHeight="1">
      <c r="A668" s="630"/>
      <c r="B668" s="631"/>
      <c r="C668" s="1127"/>
      <c r="D668" s="632"/>
      <c r="E668" s="1127"/>
      <c r="F668" s="633">
        <f t="shared" si="65"/>
        <v>0</v>
      </c>
      <c r="G668" s="632"/>
      <c r="H668" s="1127"/>
      <c r="I668" s="633">
        <f t="shared" si="66"/>
        <v>0</v>
      </c>
      <c r="J668" s="633">
        <f t="shared" si="67"/>
        <v>0</v>
      </c>
      <c r="K668" s="633">
        <f t="shared" si="68"/>
        <v>0</v>
      </c>
      <c r="L668" s="1127"/>
      <c r="M668" s="1127"/>
      <c r="N668" s="1691">
        <f t="shared" si="63"/>
        <v>0</v>
      </c>
      <c r="O668" s="634">
        <f t="shared" si="64"/>
        <v>0</v>
      </c>
      <c r="P668" s="144"/>
      <c r="Q668" s="144"/>
      <c r="R668" s="144"/>
      <c r="S668" s="144"/>
    </row>
    <row r="669" spans="1:19" ht="14.25" customHeight="1">
      <c r="A669" s="630"/>
      <c r="B669" s="631"/>
      <c r="C669" s="1127"/>
      <c r="D669" s="632"/>
      <c r="E669" s="1127"/>
      <c r="F669" s="633">
        <f t="shared" si="65"/>
        <v>0</v>
      </c>
      <c r="G669" s="632"/>
      <c r="H669" s="1127"/>
      <c r="I669" s="633">
        <f t="shared" si="66"/>
        <v>0</v>
      </c>
      <c r="J669" s="633">
        <f t="shared" si="67"/>
        <v>0</v>
      </c>
      <c r="K669" s="633">
        <f t="shared" si="68"/>
        <v>0</v>
      </c>
      <c r="L669" s="1127"/>
      <c r="M669" s="1127"/>
      <c r="N669" s="1691">
        <f t="shared" si="63"/>
        <v>0</v>
      </c>
      <c r="O669" s="634">
        <f t="shared" si="64"/>
        <v>0</v>
      </c>
      <c r="P669" s="144"/>
      <c r="Q669" s="144"/>
      <c r="R669" s="144"/>
      <c r="S669" s="144"/>
    </row>
    <row r="670" spans="1:19" ht="14.25" customHeight="1">
      <c r="A670" s="630"/>
      <c r="B670" s="631"/>
      <c r="C670" s="1127"/>
      <c r="D670" s="632"/>
      <c r="E670" s="1127"/>
      <c r="F670" s="633">
        <f t="shared" si="65"/>
        <v>0</v>
      </c>
      <c r="G670" s="632"/>
      <c r="H670" s="1127"/>
      <c r="I670" s="633">
        <f t="shared" si="66"/>
        <v>0</v>
      </c>
      <c r="J670" s="633">
        <f t="shared" si="67"/>
        <v>0</v>
      </c>
      <c r="K670" s="633">
        <f t="shared" si="68"/>
        <v>0</v>
      </c>
      <c r="L670" s="1127"/>
      <c r="M670" s="1127"/>
      <c r="N670" s="1691">
        <f t="shared" si="63"/>
        <v>0</v>
      </c>
      <c r="O670" s="634">
        <f t="shared" si="64"/>
        <v>0</v>
      </c>
      <c r="P670" s="144"/>
      <c r="Q670" s="144"/>
      <c r="R670" s="144"/>
      <c r="S670" s="144"/>
    </row>
    <row r="671" spans="1:19" ht="14.25" customHeight="1">
      <c r="A671" s="630"/>
      <c r="B671" s="631"/>
      <c r="C671" s="1127"/>
      <c r="D671" s="632"/>
      <c r="E671" s="1127"/>
      <c r="F671" s="633">
        <f t="shared" si="65"/>
        <v>0</v>
      </c>
      <c r="G671" s="632"/>
      <c r="H671" s="1127"/>
      <c r="I671" s="633">
        <f t="shared" si="66"/>
        <v>0</v>
      </c>
      <c r="J671" s="633">
        <f t="shared" si="67"/>
        <v>0</v>
      </c>
      <c r="K671" s="633">
        <f t="shared" si="68"/>
        <v>0</v>
      </c>
      <c r="L671" s="1127"/>
      <c r="M671" s="1127"/>
      <c r="N671" s="1691">
        <f t="shared" si="63"/>
        <v>0</v>
      </c>
      <c r="O671" s="634">
        <f t="shared" si="64"/>
        <v>0</v>
      </c>
      <c r="P671" s="144"/>
      <c r="Q671" s="144"/>
      <c r="R671" s="144"/>
      <c r="S671" s="144"/>
    </row>
    <row r="672" spans="1:19" ht="14.25" customHeight="1">
      <c r="A672" s="630"/>
      <c r="B672" s="631"/>
      <c r="C672" s="1127"/>
      <c r="D672" s="632"/>
      <c r="E672" s="1127"/>
      <c r="F672" s="633">
        <f t="shared" si="65"/>
        <v>0</v>
      </c>
      <c r="G672" s="632"/>
      <c r="H672" s="1127"/>
      <c r="I672" s="633">
        <f t="shared" si="66"/>
        <v>0</v>
      </c>
      <c r="J672" s="633">
        <f t="shared" si="67"/>
        <v>0</v>
      </c>
      <c r="K672" s="633">
        <f t="shared" si="68"/>
        <v>0</v>
      </c>
      <c r="L672" s="1127"/>
      <c r="M672" s="1127"/>
      <c r="N672" s="1691">
        <f t="shared" si="63"/>
        <v>0</v>
      </c>
      <c r="O672" s="634">
        <f t="shared" si="64"/>
        <v>0</v>
      </c>
      <c r="P672" s="144"/>
      <c r="Q672" s="144"/>
      <c r="R672" s="144"/>
      <c r="S672" s="144"/>
    </row>
    <row r="673" spans="1:19" ht="14.25" customHeight="1">
      <c r="A673" s="630"/>
      <c r="B673" s="631"/>
      <c r="C673" s="1127"/>
      <c r="D673" s="632"/>
      <c r="E673" s="1127"/>
      <c r="F673" s="633">
        <f t="shared" si="65"/>
        <v>0</v>
      </c>
      <c r="G673" s="632"/>
      <c r="H673" s="1127"/>
      <c r="I673" s="633">
        <f t="shared" si="66"/>
        <v>0</v>
      </c>
      <c r="J673" s="633">
        <f t="shared" si="67"/>
        <v>0</v>
      </c>
      <c r="K673" s="633">
        <f t="shared" si="68"/>
        <v>0</v>
      </c>
      <c r="L673" s="1127"/>
      <c r="M673" s="1127"/>
      <c r="N673" s="1691">
        <f t="shared" si="63"/>
        <v>0</v>
      </c>
      <c r="O673" s="634">
        <f t="shared" si="64"/>
        <v>0</v>
      </c>
      <c r="P673" s="144"/>
      <c r="Q673" s="144"/>
      <c r="R673" s="144"/>
      <c r="S673" s="144"/>
    </row>
    <row r="674" spans="1:19" ht="14.25" customHeight="1">
      <c r="A674" s="630"/>
      <c r="B674" s="631"/>
      <c r="C674" s="1127"/>
      <c r="D674" s="632"/>
      <c r="E674" s="1127"/>
      <c r="F674" s="633">
        <f t="shared" si="65"/>
        <v>0</v>
      </c>
      <c r="G674" s="632"/>
      <c r="H674" s="1127"/>
      <c r="I674" s="633">
        <f t="shared" si="66"/>
        <v>0</v>
      </c>
      <c r="J674" s="633">
        <f t="shared" si="67"/>
        <v>0</v>
      </c>
      <c r="K674" s="633">
        <f t="shared" si="68"/>
        <v>0</v>
      </c>
      <c r="L674" s="1127"/>
      <c r="M674" s="1127"/>
      <c r="N674" s="1691">
        <f t="shared" si="63"/>
        <v>0</v>
      </c>
      <c r="O674" s="634">
        <f t="shared" si="64"/>
        <v>0</v>
      </c>
      <c r="P674" s="144"/>
      <c r="Q674" s="144"/>
      <c r="R674" s="144"/>
      <c r="S674" s="144"/>
    </row>
    <row r="675" spans="1:19" ht="14.25" customHeight="1">
      <c r="A675" s="630"/>
      <c r="B675" s="631"/>
      <c r="C675" s="1127"/>
      <c r="D675" s="632"/>
      <c r="E675" s="1127"/>
      <c r="F675" s="633">
        <f t="shared" si="65"/>
        <v>0</v>
      </c>
      <c r="G675" s="632"/>
      <c r="H675" s="1127"/>
      <c r="I675" s="633">
        <f t="shared" si="66"/>
        <v>0</v>
      </c>
      <c r="J675" s="633">
        <f t="shared" si="67"/>
        <v>0</v>
      </c>
      <c r="K675" s="633">
        <f t="shared" si="68"/>
        <v>0</v>
      </c>
      <c r="L675" s="1127"/>
      <c r="M675" s="1127"/>
      <c r="N675" s="1691">
        <f t="shared" si="63"/>
        <v>0</v>
      </c>
      <c r="O675" s="634">
        <f t="shared" si="64"/>
        <v>0</v>
      </c>
      <c r="P675" s="144"/>
      <c r="Q675" s="144"/>
      <c r="R675" s="144"/>
      <c r="S675" s="144"/>
    </row>
    <row r="676" spans="1:19" ht="14.25" customHeight="1">
      <c r="A676" s="630"/>
      <c r="B676" s="631"/>
      <c r="C676" s="1127"/>
      <c r="D676" s="632"/>
      <c r="E676" s="1127"/>
      <c r="F676" s="633">
        <f t="shared" si="65"/>
        <v>0</v>
      </c>
      <c r="G676" s="632"/>
      <c r="H676" s="1127"/>
      <c r="I676" s="633">
        <f t="shared" si="66"/>
        <v>0</v>
      </c>
      <c r="J676" s="633">
        <f t="shared" si="67"/>
        <v>0</v>
      </c>
      <c r="K676" s="633">
        <f t="shared" si="68"/>
        <v>0</v>
      </c>
      <c r="L676" s="1127"/>
      <c r="M676" s="1127"/>
      <c r="N676" s="1691">
        <f t="shared" si="63"/>
        <v>0</v>
      </c>
      <c r="O676" s="634">
        <f t="shared" si="64"/>
        <v>0</v>
      </c>
      <c r="P676" s="144"/>
      <c r="Q676" s="144"/>
      <c r="R676" s="144"/>
      <c r="S676" s="144"/>
    </row>
    <row r="677" spans="1:19" ht="14.25" customHeight="1">
      <c r="A677" s="630"/>
      <c r="B677" s="631"/>
      <c r="C677" s="1127"/>
      <c r="D677" s="632"/>
      <c r="E677" s="1127"/>
      <c r="F677" s="633">
        <f t="shared" si="65"/>
        <v>0</v>
      </c>
      <c r="G677" s="632"/>
      <c r="H677" s="1127"/>
      <c r="I677" s="633">
        <f t="shared" si="66"/>
        <v>0</v>
      </c>
      <c r="J677" s="633">
        <f t="shared" si="67"/>
        <v>0</v>
      </c>
      <c r="K677" s="633">
        <f t="shared" si="68"/>
        <v>0</v>
      </c>
      <c r="L677" s="1127"/>
      <c r="M677" s="1127"/>
      <c r="N677" s="1691">
        <f t="shared" si="63"/>
        <v>0</v>
      </c>
      <c r="O677" s="634">
        <f t="shared" si="64"/>
        <v>0</v>
      </c>
      <c r="P677" s="144"/>
      <c r="Q677" s="144"/>
      <c r="R677" s="144"/>
      <c r="S677" s="144"/>
    </row>
    <row r="678" spans="1:19" ht="14.25" customHeight="1">
      <c r="A678" s="630"/>
      <c r="B678" s="631"/>
      <c r="C678" s="1127"/>
      <c r="D678" s="632"/>
      <c r="E678" s="1127"/>
      <c r="F678" s="633">
        <f t="shared" si="65"/>
        <v>0</v>
      </c>
      <c r="G678" s="632"/>
      <c r="H678" s="1127"/>
      <c r="I678" s="633">
        <f t="shared" si="66"/>
        <v>0</v>
      </c>
      <c r="J678" s="633">
        <f t="shared" si="67"/>
        <v>0</v>
      </c>
      <c r="K678" s="633">
        <f t="shared" si="68"/>
        <v>0</v>
      </c>
      <c r="L678" s="1127"/>
      <c r="M678" s="1127"/>
      <c r="N678" s="1691">
        <f t="shared" si="63"/>
        <v>0</v>
      </c>
      <c r="O678" s="634">
        <f t="shared" si="64"/>
        <v>0</v>
      </c>
      <c r="P678" s="144"/>
      <c r="Q678" s="144"/>
      <c r="R678" s="144"/>
      <c r="S678" s="144"/>
    </row>
    <row r="679" spans="1:19" ht="14.25" customHeight="1">
      <c r="A679" s="630"/>
      <c r="B679" s="631"/>
      <c r="C679" s="1127"/>
      <c r="D679" s="632"/>
      <c r="E679" s="1127"/>
      <c r="F679" s="633">
        <f t="shared" si="65"/>
        <v>0</v>
      </c>
      <c r="G679" s="632"/>
      <c r="H679" s="1127"/>
      <c r="I679" s="633">
        <f t="shared" si="66"/>
        <v>0</v>
      </c>
      <c r="J679" s="633">
        <f t="shared" si="67"/>
        <v>0</v>
      </c>
      <c r="K679" s="633">
        <f t="shared" si="68"/>
        <v>0</v>
      </c>
      <c r="L679" s="1127"/>
      <c r="M679" s="1127"/>
      <c r="N679" s="1691">
        <f t="shared" si="63"/>
        <v>0</v>
      </c>
      <c r="O679" s="634">
        <f t="shared" si="64"/>
        <v>0</v>
      </c>
      <c r="P679" s="144"/>
      <c r="Q679" s="144"/>
      <c r="R679" s="144"/>
      <c r="S679" s="144"/>
    </row>
    <row r="680" spans="1:19" ht="14.25" customHeight="1">
      <c r="A680" s="630"/>
      <c r="B680" s="631"/>
      <c r="C680" s="1127"/>
      <c r="D680" s="632"/>
      <c r="E680" s="1127"/>
      <c r="F680" s="633">
        <f t="shared" si="65"/>
        <v>0</v>
      </c>
      <c r="G680" s="632"/>
      <c r="H680" s="1127"/>
      <c r="I680" s="633">
        <f t="shared" si="66"/>
        <v>0</v>
      </c>
      <c r="J680" s="633">
        <f t="shared" si="67"/>
        <v>0</v>
      </c>
      <c r="K680" s="633">
        <f t="shared" si="68"/>
        <v>0</v>
      </c>
      <c r="L680" s="1127"/>
      <c r="M680" s="1127"/>
      <c r="N680" s="1691">
        <f t="shared" si="63"/>
        <v>0</v>
      </c>
      <c r="O680" s="634">
        <f t="shared" si="64"/>
        <v>0</v>
      </c>
      <c r="P680" s="144"/>
      <c r="Q680" s="144"/>
      <c r="R680" s="144"/>
      <c r="S680" s="144"/>
    </row>
    <row r="681" spans="1:19" ht="14.25" customHeight="1">
      <c r="A681" s="630"/>
      <c r="B681" s="631"/>
      <c r="C681" s="1127"/>
      <c r="D681" s="632"/>
      <c r="E681" s="1127"/>
      <c r="F681" s="633">
        <f t="shared" si="65"/>
        <v>0</v>
      </c>
      <c r="G681" s="632"/>
      <c r="H681" s="1127"/>
      <c r="I681" s="633">
        <f t="shared" si="66"/>
        <v>0</v>
      </c>
      <c r="J681" s="633">
        <f t="shared" si="67"/>
        <v>0</v>
      </c>
      <c r="K681" s="633">
        <f t="shared" si="68"/>
        <v>0</v>
      </c>
      <c r="L681" s="1127"/>
      <c r="M681" s="1127"/>
      <c r="N681" s="1691">
        <f t="shared" si="63"/>
        <v>0</v>
      </c>
      <c r="O681" s="634">
        <f t="shared" si="64"/>
        <v>0</v>
      </c>
      <c r="P681" s="144"/>
      <c r="Q681" s="144"/>
      <c r="R681" s="144"/>
      <c r="S681" s="144"/>
    </row>
    <row r="682" spans="1:19" ht="14.25" customHeight="1">
      <c r="A682" s="630"/>
      <c r="B682" s="631"/>
      <c r="C682" s="1127"/>
      <c r="D682" s="632"/>
      <c r="E682" s="1127"/>
      <c r="F682" s="633">
        <f t="shared" si="65"/>
        <v>0</v>
      </c>
      <c r="G682" s="632"/>
      <c r="H682" s="1127"/>
      <c r="I682" s="633">
        <f t="shared" si="66"/>
        <v>0</v>
      </c>
      <c r="J682" s="633">
        <f t="shared" si="67"/>
        <v>0</v>
      </c>
      <c r="K682" s="633">
        <f t="shared" si="68"/>
        <v>0</v>
      </c>
      <c r="L682" s="1127"/>
      <c r="M682" s="1127"/>
      <c r="N682" s="1691">
        <f t="shared" si="63"/>
        <v>0</v>
      </c>
      <c r="O682" s="634">
        <f t="shared" si="64"/>
        <v>0</v>
      </c>
      <c r="P682" s="144"/>
      <c r="Q682" s="144"/>
      <c r="R682" s="144"/>
      <c r="S682" s="144"/>
    </row>
    <row r="683" spans="1:19" ht="14.25" customHeight="1">
      <c r="A683" s="630"/>
      <c r="B683" s="631"/>
      <c r="C683" s="1127"/>
      <c r="D683" s="632"/>
      <c r="E683" s="1127"/>
      <c r="F683" s="633">
        <f t="shared" si="65"/>
        <v>0</v>
      </c>
      <c r="G683" s="632"/>
      <c r="H683" s="1127"/>
      <c r="I683" s="633">
        <f t="shared" si="66"/>
        <v>0</v>
      </c>
      <c r="J683" s="633">
        <f t="shared" si="67"/>
        <v>0</v>
      </c>
      <c r="K683" s="633">
        <f t="shared" si="68"/>
        <v>0</v>
      </c>
      <c r="L683" s="1127"/>
      <c r="M683" s="1127"/>
      <c r="N683" s="1691">
        <f t="shared" si="63"/>
        <v>0</v>
      </c>
      <c r="O683" s="634">
        <f t="shared" si="64"/>
        <v>0</v>
      </c>
      <c r="P683" s="144"/>
      <c r="Q683" s="144"/>
      <c r="R683" s="144"/>
      <c r="S683" s="144"/>
    </row>
    <row r="684" spans="1:19" ht="14.25" customHeight="1">
      <c r="A684" s="630"/>
      <c r="B684" s="631"/>
      <c r="C684" s="1127"/>
      <c r="D684" s="632"/>
      <c r="E684" s="1127"/>
      <c r="F684" s="633">
        <f t="shared" si="65"/>
        <v>0</v>
      </c>
      <c r="G684" s="632"/>
      <c r="H684" s="1127"/>
      <c r="I684" s="633">
        <f t="shared" si="66"/>
        <v>0</v>
      </c>
      <c r="J684" s="633">
        <f t="shared" si="67"/>
        <v>0</v>
      </c>
      <c r="K684" s="633">
        <f t="shared" si="68"/>
        <v>0</v>
      </c>
      <c r="L684" s="1127"/>
      <c r="M684" s="1127"/>
      <c r="N684" s="1691">
        <f t="shared" si="63"/>
        <v>0</v>
      </c>
      <c r="O684" s="634">
        <f t="shared" si="64"/>
        <v>0</v>
      </c>
      <c r="P684" s="144"/>
      <c r="Q684" s="144"/>
      <c r="R684" s="144"/>
      <c r="S684" s="144"/>
    </row>
    <row r="685" spans="1:19" ht="14.25" customHeight="1">
      <c r="A685" s="630"/>
      <c r="B685" s="631"/>
      <c r="C685" s="1127"/>
      <c r="D685" s="632"/>
      <c r="E685" s="1127"/>
      <c r="F685" s="633">
        <f t="shared" si="65"/>
        <v>0</v>
      </c>
      <c r="G685" s="632"/>
      <c r="H685" s="1127"/>
      <c r="I685" s="633">
        <f t="shared" si="66"/>
        <v>0</v>
      </c>
      <c r="J685" s="633">
        <f t="shared" si="67"/>
        <v>0</v>
      </c>
      <c r="K685" s="633">
        <f t="shared" si="68"/>
        <v>0</v>
      </c>
      <c r="L685" s="1127"/>
      <c r="M685" s="1127"/>
      <c r="N685" s="1691">
        <f t="shared" si="63"/>
        <v>0</v>
      </c>
      <c r="O685" s="634">
        <f t="shared" si="64"/>
        <v>0</v>
      </c>
      <c r="P685" s="144"/>
      <c r="Q685" s="144"/>
      <c r="R685" s="144"/>
      <c r="S685" s="144"/>
    </row>
    <row r="686" spans="1:19" ht="14.25" customHeight="1">
      <c r="A686" s="630"/>
      <c r="B686" s="631"/>
      <c r="C686" s="1127"/>
      <c r="D686" s="632"/>
      <c r="E686" s="1127"/>
      <c r="F686" s="633">
        <f t="shared" si="65"/>
        <v>0</v>
      </c>
      <c r="G686" s="632"/>
      <c r="H686" s="1127"/>
      <c r="I686" s="633">
        <f t="shared" si="66"/>
        <v>0</v>
      </c>
      <c r="J686" s="633">
        <f t="shared" si="67"/>
        <v>0</v>
      </c>
      <c r="K686" s="633">
        <f t="shared" si="68"/>
        <v>0</v>
      </c>
      <c r="L686" s="1127"/>
      <c r="M686" s="1127"/>
      <c r="N686" s="1691">
        <f t="shared" si="63"/>
        <v>0</v>
      </c>
      <c r="O686" s="634">
        <f t="shared" si="64"/>
        <v>0</v>
      </c>
      <c r="P686" s="144"/>
      <c r="Q686" s="144"/>
      <c r="R686" s="144"/>
      <c r="S686" s="144"/>
    </row>
    <row r="687" spans="1:19" ht="14.25" customHeight="1">
      <c r="A687" s="630"/>
      <c r="B687" s="631"/>
      <c r="C687" s="1127"/>
      <c r="D687" s="632"/>
      <c r="E687" s="1127"/>
      <c r="F687" s="633">
        <f t="shared" si="65"/>
        <v>0</v>
      </c>
      <c r="G687" s="632"/>
      <c r="H687" s="1127"/>
      <c r="I687" s="633">
        <f t="shared" si="66"/>
        <v>0</v>
      </c>
      <c r="J687" s="633">
        <f t="shared" si="67"/>
        <v>0</v>
      </c>
      <c r="K687" s="633">
        <f t="shared" si="68"/>
        <v>0</v>
      </c>
      <c r="L687" s="1127"/>
      <c r="M687" s="1127"/>
      <c r="N687" s="1691">
        <f t="shared" si="63"/>
        <v>0</v>
      </c>
      <c r="O687" s="634">
        <f t="shared" si="64"/>
        <v>0</v>
      </c>
      <c r="P687" s="144"/>
      <c r="Q687" s="144"/>
      <c r="R687" s="144"/>
      <c r="S687" s="144"/>
    </row>
    <row r="688" spans="1:19" ht="14.25" customHeight="1">
      <c r="A688" s="630"/>
      <c r="B688" s="631"/>
      <c r="C688" s="1127"/>
      <c r="D688" s="632"/>
      <c r="E688" s="1127"/>
      <c r="F688" s="633">
        <f t="shared" si="65"/>
        <v>0</v>
      </c>
      <c r="G688" s="632"/>
      <c r="H688" s="1127"/>
      <c r="I688" s="633">
        <f t="shared" si="66"/>
        <v>0</v>
      </c>
      <c r="J688" s="633">
        <f t="shared" si="67"/>
        <v>0</v>
      </c>
      <c r="K688" s="633">
        <f t="shared" si="68"/>
        <v>0</v>
      </c>
      <c r="L688" s="1127"/>
      <c r="M688" s="1127"/>
      <c r="N688" s="1691">
        <f t="shared" si="63"/>
        <v>0</v>
      </c>
      <c r="O688" s="634">
        <f t="shared" si="64"/>
        <v>0</v>
      </c>
      <c r="P688" s="144"/>
      <c r="Q688" s="144"/>
      <c r="R688" s="144"/>
      <c r="S688" s="144"/>
    </row>
    <row r="689" spans="1:19" ht="14.25" customHeight="1">
      <c r="A689" s="630"/>
      <c r="B689" s="631"/>
      <c r="C689" s="1127"/>
      <c r="D689" s="632"/>
      <c r="E689" s="1127"/>
      <c r="F689" s="633">
        <f t="shared" si="65"/>
        <v>0</v>
      </c>
      <c r="G689" s="632"/>
      <c r="H689" s="1127"/>
      <c r="I689" s="633">
        <f t="shared" si="66"/>
        <v>0</v>
      </c>
      <c r="J689" s="633">
        <f t="shared" si="67"/>
        <v>0</v>
      </c>
      <c r="K689" s="633">
        <f t="shared" si="68"/>
        <v>0</v>
      </c>
      <c r="L689" s="1127"/>
      <c r="M689" s="1127"/>
      <c r="N689" s="1691">
        <f t="shared" si="63"/>
        <v>0</v>
      </c>
      <c r="O689" s="634">
        <f t="shared" si="64"/>
        <v>0</v>
      </c>
      <c r="P689" s="144"/>
      <c r="Q689" s="144"/>
      <c r="R689" s="144"/>
      <c r="S689" s="144"/>
    </row>
    <row r="690" spans="1:19" ht="14.25" customHeight="1">
      <c r="A690" s="630"/>
      <c r="B690" s="631"/>
      <c r="C690" s="1127"/>
      <c r="D690" s="632"/>
      <c r="E690" s="1127"/>
      <c r="F690" s="633">
        <f t="shared" si="65"/>
        <v>0</v>
      </c>
      <c r="G690" s="632"/>
      <c r="H690" s="1127"/>
      <c r="I690" s="633">
        <f t="shared" si="66"/>
        <v>0</v>
      </c>
      <c r="J690" s="633">
        <f t="shared" si="67"/>
        <v>0</v>
      </c>
      <c r="K690" s="633">
        <f t="shared" si="68"/>
        <v>0</v>
      </c>
      <c r="L690" s="1127"/>
      <c r="M690" s="1127"/>
      <c r="N690" s="1691">
        <f t="shared" si="63"/>
        <v>0</v>
      </c>
      <c r="O690" s="634">
        <f t="shared" si="64"/>
        <v>0</v>
      </c>
      <c r="P690" s="144"/>
      <c r="Q690" s="144"/>
      <c r="R690" s="144"/>
      <c r="S690" s="144"/>
    </row>
    <row r="691" spans="1:19" ht="14.25" customHeight="1">
      <c r="A691" s="630"/>
      <c r="B691" s="631"/>
      <c r="C691" s="1127"/>
      <c r="D691" s="632"/>
      <c r="E691" s="1127"/>
      <c r="F691" s="633">
        <f t="shared" si="65"/>
        <v>0</v>
      </c>
      <c r="G691" s="632"/>
      <c r="H691" s="1127"/>
      <c r="I691" s="633">
        <f t="shared" si="66"/>
        <v>0</v>
      </c>
      <c r="J691" s="633">
        <f t="shared" si="67"/>
        <v>0</v>
      </c>
      <c r="K691" s="633">
        <f t="shared" si="68"/>
        <v>0</v>
      </c>
      <c r="L691" s="1127"/>
      <c r="M691" s="1127"/>
      <c r="N691" s="1691">
        <f t="shared" si="63"/>
        <v>0</v>
      </c>
      <c r="O691" s="634">
        <f t="shared" si="64"/>
        <v>0</v>
      </c>
      <c r="P691" s="144"/>
      <c r="Q691" s="144"/>
      <c r="R691" s="144"/>
      <c r="S691" s="144"/>
    </row>
    <row r="692" spans="1:19" ht="14.25" customHeight="1">
      <c r="A692" s="630"/>
      <c r="B692" s="631"/>
      <c r="C692" s="1127"/>
      <c r="D692" s="632"/>
      <c r="E692" s="1127"/>
      <c r="F692" s="633">
        <f t="shared" si="65"/>
        <v>0</v>
      </c>
      <c r="G692" s="632"/>
      <c r="H692" s="1127"/>
      <c r="I692" s="633">
        <f t="shared" si="66"/>
        <v>0</v>
      </c>
      <c r="J692" s="633">
        <f t="shared" si="67"/>
        <v>0</v>
      </c>
      <c r="K692" s="633">
        <f t="shared" si="68"/>
        <v>0</v>
      </c>
      <c r="L692" s="1127"/>
      <c r="M692" s="1127"/>
      <c r="N692" s="1691">
        <f t="shared" si="63"/>
        <v>0</v>
      </c>
      <c r="O692" s="634">
        <f t="shared" si="64"/>
        <v>0</v>
      </c>
      <c r="P692" s="144"/>
      <c r="Q692" s="144"/>
      <c r="R692" s="144"/>
      <c r="S692" s="144"/>
    </row>
    <row r="693" spans="1:19" ht="14.25" customHeight="1">
      <c r="A693" s="630"/>
      <c r="B693" s="631"/>
      <c r="C693" s="1127"/>
      <c r="D693" s="632"/>
      <c r="E693" s="1127"/>
      <c r="F693" s="633">
        <f t="shared" si="65"/>
        <v>0</v>
      </c>
      <c r="G693" s="632"/>
      <c r="H693" s="1127"/>
      <c r="I693" s="633">
        <f t="shared" si="66"/>
        <v>0</v>
      </c>
      <c r="J693" s="633">
        <f t="shared" si="67"/>
        <v>0</v>
      </c>
      <c r="K693" s="633">
        <f t="shared" si="68"/>
        <v>0</v>
      </c>
      <c r="L693" s="1127"/>
      <c r="M693" s="1127"/>
      <c r="N693" s="1691">
        <f t="shared" si="63"/>
        <v>0</v>
      </c>
      <c r="O693" s="634">
        <f t="shared" si="64"/>
        <v>0</v>
      </c>
      <c r="P693" s="144"/>
      <c r="Q693" s="144"/>
      <c r="R693" s="144"/>
      <c r="S693" s="144"/>
    </row>
    <row r="694" spans="1:19" ht="14.25" customHeight="1">
      <c r="A694" s="630"/>
      <c r="B694" s="631"/>
      <c r="C694" s="1127"/>
      <c r="D694" s="632"/>
      <c r="E694" s="1127"/>
      <c r="F694" s="633">
        <f t="shared" si="65"/>
        <v>0</v>
      </c>
      <c r="G694" s="632"/>
      <c r="H694" s="1127"/>
      <c r="I694" s="633">
        <f t="shared" si="66"/>
        <v>0</v>
      </c>
      <c r="J694" s="633">
        <f t="shared" si="67"/>
        <v>0</v>
      </c>
      <c r="K694" s="633">
        <f t="shared" si="68"/>
        <v>0</v>
      </c>
      <c r="L694" s="1127"/>
      <c r="M694" s="1127"/>
      <c r="N694" s="1691">
        <f t="shared" si="63"/>
        <v>0</v>
      </c>
      <c r="O694" s="634">
        <f t="shared" si="64"/>
        <v>0</v>
      </c>
      <c r="P694" s="144"/>
      <c r="Q694" s="144"/>
      <c r="R694" s="144"/>
      <c r="S694" s="144"/>
    </row>
    <row r="695" spans="1:19" ht="14.25" customHeight="1">
      <c r="A695" s="630"/>
      <c r="B695" s="631"/>
      <c r="C695" s="1127"/>
      <c r="D695" s="632"/>
      <c r="E695" s="1127"/>
      <c r="F695" s="633">
        <f t="shared" si="65"/>
        <v>0</v>
      </c>
      <c r="G695" s="632"/>
      <c r="H695" s="1127"/>
      <c r="I695" s="633">
        <f t="shared" si="66"/>
        <v>0</v>
      </c>
      <c r="J695" s="633">
        <f t="shared" si="67"/>
        <v>0</v>
      </c>
      <c r="K695" s="633">
        <f t="shared" si="68"/>
        <v>0</v>
      </c>
      <c r="L695" s="1127"/>
      <c r="M695" s="1127"/>
      <c r="N695" s="1691">
        <f t="shared" si="63"/>
        <v>0</v>
      </c>
      <c r="O695" s="634">
        <f t="shared" si="64"/>
        <v>0</v>
      </c>
      <c r="P695" s="144"/>
      <c r="Q695" s="144"/>
      <c r="R695" s="144"/>
      <c r="S695" s="144"/>
    </row>
    <row r="696" spans="1:19" ht="14.25" customHeight="1">
      <c r="A696" s="630"/>
      <c r="B696" s="631"/>
      <c r="C696" s="1127"/>
      <c r="D696" s="632"/>
      <c r="E696" s="1127"/>
      <c r="F696" s="633">
        <f t="shared" si="65"/>
        <v>0</v>
      </c>
      <c r="G696" s="632"/>
      <c r="H696" s="1127"/>
      <c r="I696" s="633">
        <f t="shared" si="66"/>
        <v>0</v>
      </c>
      <c r="J696" s="633">
        <f t="shared" si="67"/>
        <v>0</v>
      </c>
      <c r="K696" s="633">
        <f t="shared" si="68"/>
        <v>0</v>
      </c>
      <c r="L696" s="1127"/>
      <c r="M696" s="1127"/>
      <c r="N696" s="1691">
        <f t="shared" si="63"/>
        <v>0</v>
      </c>
      <c r="O696" s="634">
        <f t="shared" si="64"/>
        <v>0</v>
      </c>
      <c r="P696" s="144"/>
      <c r="Q696" s="144"/>
      <c r="R696" s="144"/>
      <c r="S696" s="144"/>
    </row>
    <row r="697" spans="1:19" ht="14.25" customHeight="1">
      <c r="A697" s="630"/>
      <c r="B697" s="631"/>
      <c r="C697" s="1127"/>
      <c r="D697" s="632"/>
      <c r="E697" s="1127"/>
      <c r="F697" s="633">
        <f t="shared" si="65"/>
        <v>0</v>
      </c>
      <c r="G697" s="632"/>
      <c r="H697" s="1127"/>
      <c r="I697" s="633">
        <f t="shared" si="66"/>
        <v>0</v>
      </c>
      <c r="J697" s="633">
        <f t="shared" si="67"/>
        <v>0</v>
      </c>
      <c r="K697" s="633">
        <f t="shared" si="68"/>
        <v>0</v>
      </c>
      <c r="L697" s="1127"/>
      <c r="M697" s="1127"/>
      <c r="N697" s="1691">
        <f t="shared" si="63"/>
        <v>0</v>
      </c>
      <c r="O697" s="634">
        <f t="shared" si="64"/>
        <v>0</v>
      </c>
      <c r="P697" s="144"/>
      <c r="Q697" s="144"/>
      <c r="R697" s="144"/>
      <c r="S697" s="144"/>
    </row>
    <row r="698" spans="1:19" ht="14.25" customHeight="1">
      <c r="A698" s="630"/>
      <c r="B698" s="631"/>
      <c r="C698" s="1127"/>
      <c r="D698" s="632"/>
      <c r="E698" s="1127"/>
      <c r="F698" s="633">
        <f t="shared" si="65"/>
        <v>0</v>
      </c>
      <c r="G698" s="632"/>
      <c r="H698" s="1127"/>
      <c r="I698" s="633">
        <f t="shared" si="66"/>
        <v>0</v>
      </c>
      <c r="J698" s="633">
        <f t="shared" si="67"/>
        <v>0</v>
      </c>
      <c r="K698" s="633">
        <f t="shared" si="68"/>
        <v>0</v>
      </c>
      <c r="L698" s="1127"/>
      <c r="M698" s="1127"/>
      <c r="N698" s="1691">
        <f t="shared" si="63"/>
        <v>0</v>
      </c>
      <c r="O698" s="634">
        <f t="shared" si="64"/>
        <v>0</v>
      </c>
      <c r="P698" s="144"/>
      <c r="Q698" s="144"/>
      <c r="R698" s="144"/>
      <c r="S698" s="144"/>
    </row>
    <row r="699" spans="1:19" ht="14.25" customHeight="1">
      <c r="A699" s="630"/>
      <c r="B699" s="631"/>
      <c r="C699" s="1127"/>
      <c r="D699" s="632"/>
      <c r="E699" s="1127"/>
      <c r="F699" s="633">
        <f t="shared" si="65"/>
        <v>0</v>
      </c>
      <c r="G699" s="632"/>
      <c r="H699" s="1127"/>
      <c r="I699" s="633">
        <f t="shared" si="66"/>
        <v>0</v>
      </c>
      <c r="J699" s="633">
        <f t="shared" si="67"/>
        <v>0</v>
      </c>
      <c r="K699" s="633">
        <f t="shared" si="68"/>
        <v>0</v>
      </c>
      <c r="L699" s="1127"/>
      <c r="M699" s="1127"/>
      <c r="N699" s="1691">
        <f t="shared" si="63"/>
        <v>0</v>
      </c>
      <c r="O699" s="634">
        <f t="shared" si="64"/>
        <v>0</v>
      </c>
      <c r="P699" s="144"/>
      <c r="Q699" s="144"/>
      <c r="R699" s="144"/>
      <c r="S699" s="144"/>
    </row>
    <row r="700" spans="1:19" ht="14.25" customHeight="1">
      <c r="A700" s="630"/>
      <c r="B700" s="631"/>
      <c r="C700" s="1127"/>
      <c r="D700" s="632"/>
      <c r="E700" s="1127"/>
      <c r="F700" s="633">
        <f t="shared" si="65"/>
        <v>0</v>
      </c>
      <c r="G700" s="632"/>
      <c r="H700" s="1127"/>
      <c r="I700" s="633">
        <f t="shared" si="66"/>
        <v>0</v>
      </c>
      <c r="J700" s="633">
        <f t="shared" si="67"/>
        <v>0</v>
      </c>
      <c r="K700" s="633">
        <f t="shared" si="68"/>
        <v>0</v>
      </c>
      <c r="L700" s="1127"/>
      <c r="M700" s="1127"/>
      <c r="N700" s="1691">
        <f t="shared" si="63"/>
        <v>0</v>
      </c>
      <c r="O700" s="634">
        <f t="shared" si="64"/>
        <v>0</v>
      </c>
      <c r="P700" s="144"/>
      <c r="Q700" s="144"/>
      <c r="R700" s="144"/>
      <c r="S700" s="144"/>
    </row>
    <row r="701" spans="1:19" ht="14.25" customHeight="1">
      <c r="A701" s="630"/>
      <c r="B701" s="631"/>
      <c r="C701" s="1127"/>
      <c r="D701" s="632"/>
      <c r="E701" s="1127"/>
      <c r="F701" s="633">
        <f t="shared" si="65"/>
        <v>0</v>
      </c>
      <c r="G701" s="632"/>
      <c r="H701" s="1127"/>
      <c r="I701" s="633">
        <f t="shared" si="66"/>
        <v>0</v>
      </c>
      <c r="J701" s="633">
        <f t="shared" si="67"/>
        <v>0</v>
      </c>
      <c r="K701" s="633">
        <f t="shared" si="68"/>
        <v>0</v>
      </c>
      <c r="L701" s="1127"/>
      <c r="M701" s="1127"/>
      <c r="N701" s="1691">
        <f t="shared" si="63"/>
        <v>0</v>
      </c>
      <c r="O701" s="634">
        <f t="shared" si="64"/>
        <v>0</v>
      </c>
      <c r="P701" s="144"/>
      <c r="Q701" s="144"/>
      <c r="R701" s="144"/>
      <c r="S701" s="144"/>
    </row>
    <row r="702" spans="1:19" ht="14.25" customHeight="1">
      <c r="A702" s="630"/>
      <c r="B702" s="631"/>
      <c r="C702" s="1127"/>
      <c r="D702" s="632"/>
      <c r="E702" s="1127"/>
      <c r="F702" s="633">
        <f t="shared" si="65"/>
        <v>0</v>
      </c>
      <c r="G702" s="632"/>
      <c r="H702" s="1127"/>
      <c r="I702" s="633">
        <f t="shared" si="66"/>
        <v>0</v>
      </c>
      <c r="J702" s="633">
        <f t="shared" si="67"/>
        <v>0</v>
      </c>
      <c r="K702" s="633">
        <f t="shared" si="68"/>
        <v>0</v>
      </c>
      <c r="L702" s="1127"/>
      <c r="M702" s="1127"/>
      <c r="N702" s="1691">
        <f t="shared" si="63"/>
        <v>0</v>
      </c>
      <c r="O702" s="634">
        <f t="shared" si="64"/>
        <v>0</v>
      </c>
      <c r="P702" s="144"/>
      <c r="Q702" s="144"/>
      <c r="R702" s="144"/>
      <c r="S702" s="144"/>
    </row>
    <row r="703" spans="1:19" ht="14.25" customHeight="1">
      <c r="A703" s="630"/>
      <c r="B703" s="631"/>
      <c r="C703" s="1127"/>
      <c r="D703" s="632"/>
      <c r="E703" s="1127"/>
      <c r="F703" s="633">
        <f t="shared" si="65"/>
        <v>0</v>
      </c>
      <c r="G703" s="632"/>
      <c r="H703" s="1127"/>
      <c r="I703" s="633">
        <f t="shared" si="66"/>
        <v>0</v>
      </c>
      <c r="J703" s="633">
        <f t="shared" si="67"/>
        <v>0</v>
      </c>
      <c r="K703" s="633">
        <f t="shared" si="68"/>
        <v>0</v>
      </c>
      <c r="L703" s="1127"/>
      <c r="M703" s="1127"/>
      <c r="N703" s="1691">
        <f t="shared" si="63"/>
        <v>0</v>
      </c>
      <c r="O703" s="634">
        <f t="shared" si="64"/>
        <v>0</v>
      </c>
      <c r="P703" s="144"/>
      <c r="Q703" s="144"/>
      <c r="R703" s="144"/>
      <c r="S703" s="144"/>
    </row>
    <row r="704" spans="1:19" ht="14.25" customHeight="1">
      <c r="A704" s="630"/>
      <c r="B704" s="631"/>
      <c r="C704" s="1127"/>
      <c r="D704" s="632"/>
      <c r="E704" s="1127"/>
      <c r="F704" s="633">
        <f t="shared" si="65"/>
        <v>0</v>
      </c>
      <c r="G704" s="632"/>
      <c r="H704" s="1127"/>
      <c r="I704" s="633">
        <f t="shared" si="66"/>
        <v>0</v>
      </c>
      <c r="J704" s="633">
        <f t="shared" si="67"/>
        <v>0</v>
      </c>
      <c r="K704" s="633">
        <f t="shared" si="68"/>
        <v>0</v>
      </c>
      <c r="L704" s="1127"/>
      <c r="M704" s="1127"/>
      <c r="N704" s="1691">
        <f t="shared" si="63"/>
        <v>0</v>
      </c>
      <c r="O704" s="634">
        <f t="shared" si="64"/>
        <v>0</v>
      </c>
      <c r="P704" s="144"/>
      <c r="Q704" s="144"/>
      <c r="R704" s="144"/>
      <c r="S704" s="144"/>
    </row>
    <row r="705" spans="1:19" ht="14.25" customHeight="1">
      <c r="A705" s="630"/>
      <c r="B705" s="631"/>
      <c r="C705" s="1127"/>
      <c r="D705" s="632"/>
      <c r="E705" s="1127"/>
      <c r="F705" s="633">
        <f t="shared" si="65"/>
        <v>0</v>
      </c>
      <c r="G705" s="632"/>
      <c r="H705" s="1127"/>
      <c r="I705" s="633">
        <f t="shared" si="66"/>
        <v>0</v>
      </c>
      <c r="J705" s="633">
        <f t="shared" si="67"/>
        <v>0</v>
      </c>
      <c r="K705" s="633">
        <f t="shared" si="68"/>
        <v>0</v>
      </c>
      <c r="L705" s="1127"/>
      <c r="M705" s="1127"/>
      <c r="N705" s="1691">
        <f t="shared" si="63"/>
        <v>0</v>
      </c>
      <c r="O705" s="634">
        <f t="shared" si="64"/>
        <v>0</v>
      </c>
      <c r="P705" s="144"/>
      <c r="Q705" s="144"/>
      <c r="R705" s="144"/>
      <c r="S705" s="144"/>
    </row>
    <row r="706" spans="1:19" ht="14.25" customHeight="1">
      <c r="A706" s="630"/>
      <c r="B706" s="631"/>
      <c r="C706" s="1127"/>
      <c r="D706" s="632"/>
      <c r="E706" s="1127"/>
      <c r="F706" s="633">
        <f t="shared" si="65"/>
        <v>0</v>
      </c>
      <c r="G706" s="632"/>
      <c r="H706" s="1127"/>
      <c r="I706" s="633">
        <f t="shared" si="66"/>
        <v>0</v>
      </c>
      <c r="J706" s="633">
        <f t="shared" si="67"/>
        <v>0</v>
      </c>
      <c r="K706" s="633">
        <f t="shared" si="68"/>
        <v>0</v>
      </c>
      <c r="L706" s="1127"/>
      <c r="M706" s="1127"/>
      <c r="N706" s="1691">
        <f t="shared" si="63"/>
        <v>0</v>
      </c>
      <c r="O706" s="634">
        <f t="shared" si="64"/>
        <v>0</v>
      </c>
      <c r="P706" s="144"/>
      <c r="Q706" s="144"/>
      <c r="R706" s="144"/>
      <c r="S706" s="144"/>
    </row>
    <row r="707" spans="1:19" ht="14.25" customHeight="1">
      <c r="A707" s="630"/>
      <c r="B707" s="631"/>
      <c r="C707" s="1127"/>
      <c r="D707" s="632"/>
      <c r="E707" s="1127"/>
      <c r="F707" s="633">
        <f t="shared" si="65"/>
        <v>0</v>
      </c>
      <c r="G707" s="632"/>
      <c r="H707" s="1127"/>
      <c r="I707" s="633">
        <f t="shared" si="66"/>
        <v>0</v>
      </c>
      <c r="J707" s="633">
        <f t="shared" si="67"/>
        <v>0</v>
      </c>
      <c r="K707" s="633">
        <f t="shared" si="68"/>
        <v>0</v>
      </c>
      <c r="L707" s="1127"/>
      <c r="M707" s="1127"/>
      <c r="N707" s="1691">
        <f t="shared" si="63"/>
        <v>0</v>
      </c>
      <c r="O707" s="634">
        <f t="shared" si="64"/>
        <v>0</v>
      </c>
      <c r="P707" s="144"/>
      <c r="Q707" s="144"/>
      <c r="R707" s="144"/>
      <c r="S707" s="144"/>
    </row>
    <row r="708" spans="1:19" ht="14.25" customHeight="1">
      <c r="A708" s="630"/>
      <c r="B708" s="631"/>
      <c r="C708" s="1127"/>
      <c r="D708" s="632"/>
      <c r="E708" s="1127"/>
      <c r="F708" s="633">
        <f t="shared" si="65"/>
        <v>0</v>
      </c>
      <c r="G708" s="632"/>
      <c r="H708" s="1127"/>
      <c r="I708" s="633">
        <f t="shared" si="66"/>
        <v>0</v>
      </c>
      <c r="J708" s="633">
        <f t="shared" si="67"/>
        <v>0</v>
      </c>
      <c r="K708" s="633">
        <f t="shared" si="68"/>
        <v>0</v>
      </c>
      <c r="L708" s="1127"/>
      <c r="M708" s="1127"/>
      <c r="N708" s="1691">
        <f t="shared" si="63"/>
        <v>0</v>
      </c>
      <c r="O708" s="634">
        <f t="shared" si="64"/>
        <v>0</v>
      </c>
      <c r="P708" s="144"/>
      <c r="Q708" s="144"/>
      <c r="R708" s="144"/>
      <c r="S708" s="144"/>
    </row>
    <row r="709" spans="1:19" ht="14.25" customHeight="1">
      <c r="A709" s="630"/>
      <c r="B709" s="631"/>
      <c r="C709" s="1127"/>
      <c r="D709" s="632"/>
      <c r="E709" s="1127"/>
      <c r="F709" s="633">
        <f t="shared" si="65"/>
        <v>0</v>
      </c>
      <c r="G709" s="632"/>
      <c r="H709" s="1127"/>
      <c r="I709" s="633">
        <f t="shared" si="66"/>
        <v>0</v>
      </c>
      <c r="J709" s="633">
        <f t="shared" si="67"/>
        <v>0</v>
      </c>
      <c r="K709" s="633">
        <f t="shared" si="68"/>
        <v>0</v>
      </c>
      <c r="L709" s="1127"/>
      <c r="M709" s="1127"/>
      <c r="N709" s="1691">
        <f t="shared" si="63"/>
        <v>0</v>
      </c>
      <c r="O709" s="634">
        <f t="shared" si="64"/>
        <v>0</v>
      </c>
      <c r="P709" s="144"/>
      <c r="Q709" s="144"/>
      <c r="R709" s="144"/>
      <c r="S709" s="144"/>
    </row>
    <row r="710" spans="1:19" ht="14.25" customHeight="1">
      <c r="A710" s="630"/>
      <c r="B710" s="631"/>
      <c r="C710" s="1127"/>
      <c r="D710" s="632"/>
      <c r="E710" s="1127"/>
      <c r="F710" s="633">
        <f t="shared" si="65"/>
        <v>0</v>
      </c>
      <c r="G710" s="632"/>
      <c r="H710" s="1127"/>
      <c r="I710" s="633">
        <f t="shared" si="66"/>
        <v>0</v>
      </c>
      <c r="J710" s="633">
        <f t="shared" si="67"/>
        <v>0</v>
      </c>
      <c r="K710" s="633">
        <f t="shared" si="68"/>
        <v>0</v>
      </c>
      <c r="L710" s="1127"/>
      <c r="M710" s="1127"/>
      <c r="N710" s="1691">
        <f t="shared" si="63"/>
        <v>0</v>
      </c>
      <c r="O710" s="634">
        <f t="shared" si="64"/>
        <v>0</v>
      </c>
      <c r="P710" s="144"/>
      <c r="Q710" s="144"/>
      <c r="R710" s="144"/>
      <c r="S710" s="144"/>
    </row>
    <row r="711" spans="1:19" ht="14.25" customHeight="1">
      <c r="A711" s="630"/>
      <c r="B711" s="631"/>
      <c r="C711" s="1127"/>
      <c r="D711" s="632"/>
      <c r="E711" s="1127"/>
      <c r="F711" s="633">
        <f t="shared" si="65"/>
        <v>0</v>
      </c>
      <c r="G711" s="632"/>
      <c r="H711" s="1127"/>
      <c r="I711" s="633">
        <f t="shared" si="66"/>
        <v>0</v>
      </c>
      <c r="J711" s="633">
        <f t="shared" si="67"/>
        <v>0</v>
      </c>
      <c r="K711" s="633">
        <f t="shared" si="68"/>
        <v>0</v>
      </c>
      <c r="L711" s="1127"/>
      <c r="M711" s="1127"/>
      <c r="N711" s="1691">
        <f t="shared" si="63"/>
        <v>0</v>
      </c>
      <c r="O711" s="634">
        <f t="shared" si="64"/>
        <v>0</v>
      </c>
      <c r="P711" s="144"/>
      <c r="Q711" s="144"/>
      <c r="R711" s="144"/>
      <c r="S711" s="144"/>
    </row>
    <row r="712" spans="1:19" ht="14.25" customHeight="1">
      <c r="A712" s="630"/>
      <c r="B712" s="631"/>
      <c r="C712" s="1127"/>
      <c r="D712" s="632"/>
      <c r="E712" s="1127"/>
      <c r="F712" s="633">
        <f t="shared" si="65"/>
        <v>0</v>
      </c>
      <c r="G712" s="632"/>
      <c r="H712" s="1127"/>
      <c r="I712" s="633">
        <f t="shared" si="66"/>
        <v>0</v>
      </c>
      <c r="J712" s="633">
        <f t="shared" si="67"/>
        <v>0</v>
      </c>
      <c r="K712" s="633">
        <f t="shared" si="68"/>
        <v>0</v>
      </c>
      <c r="L712" s="1127"/>
      <c r="M712" s="1127"/>
      <c r="N712" s="1691">
        <f t="shared" si="63"/>
        <v>0</v>
      </c>
      <c r="O712" s="634">
        <f t="shared" si="64"/>
        <v>0</v>
      </c>
      <c r="P712" s="144"/>
      <c r="Q712" s="144"/>
      <c r="R712" s="144"/>
      <c r="S712" s="144"/>
    </row>
    <row r="713" spans="1:19" ht="14.25" customHeight="1">
      <c r="A713" s="630"/>
      <c r="B713" s="631"/>
      <c r="C713" s="1127"/>
      <c r="D713" s="632"/>
      <c r="E713" s="1127"/>
      <c r="F713" s="633">
        <f t="shared" si="65"/>
        <v>0</v>
      </c>
      <c r="G713" s="632"/>
      <c r="H713" s="1127"/>
      <c r="I713" s="633">
        <f t="shared" si="66"/>
        <v>0</v>
      </c>
      <c r="J713" s="633">
        <f t="shared" si="67"/>
        <v>0</v>
      </c>
      <c r="K713" s="633">
        <f t="shared" si="68"/>
        <v>0</v>
      </c>
      <c r="L713" s="1127"/>
      <c r="M713" s="1127"/>
      <c r="N713" s="1691">
        <f t="shared" si="63"/>
        <v>0</v>
      </c>
      <c r="O713" s="634">
        <f t="shared" si="64"/>
        <v>0</v>
      </c>
      <c r="P713" s="144"/>
      <c r="Q713" s="144"/>
      <c r="R713" s="144"/>
      <c r="S713" s="144"/>
    </row>
    <row r="714" spans="1:19" ht="14.25" customHeight="1">
      <c r="A714" s="630"/>
      <c r="B714" s="631"/>
      <c r="C714" s="1127"/>
      <c r="D714" s="632"/>
      <c r="E714" s="1127"/>
      <c r="F714" s="633">
        <f t="shared" si="65"/>
        <v>0</v>
      </c>
      <c r="G714" s="632"/>
      <c r="H714" s="1127"/>
      <c r="I714" s="633">
        <f t="shared" si="66"/>
        <v>0</v>
      </c>
      <c r="J714" s="633">
        <f t="shared" si="67"/>
        <v>0</v>
      </c>
      <c r="K714" s="633">
        <f t="shared" si="68"/>
        <v>0</v>
      </c>
      <c r="L714" s="1127"/>
      <c r="M714" s="1127"/>
      <c r="N714" s="1691">
        <f t="shared" ref="N714:N777" si="69">IF(M714&lt;&gt;0,ROUND(B714*K714,2)+M714,IF(ABS(ROUND(K714*B714,2)-L714)&lt;3,L714,MIN(ROUND(K714*B714,2),L714)))</f>
        <v>0</v>
      </c>
      <c r="O714" s="634">
        <f t="shared" ref="O714:O777" si="70">IF(ISERROR(L714-N714),"",IF(ABS(L714-N714)&lt;3,0,L714-N714))</f>
        <v>0</v>
      </c>
      <c r="P714" s="144"/>
      <c r="Q714" s="144"/>
      <c r="R714" s="144"/>
      <c r="S714" s="144"/>
    </row>
    <row r="715" spans="1:19" ht="14.25" customHeight="1">
      <c r="A715" s="630"/>
      <c r="B715" s="631"/>
      <c r="C715" s="1127"/>
      <c r="D715" s="632"/>
      <c r="E715" s="1127"/>
      <c r="F715" s="633">
        <f t="shared" ref="F715:F778" si="71">E715*(12-MONTH(D715))/12</f>
        <v>0</v>
      </c>
      <c r="G715" s="632"/>
      <c r="H715" s="1127"/>
      <c r="I715" s="633">
        <f t="shared" ref="I715:I778" si="72">H715*(12-MONTH(G715))/12</f>
        <v>0</v>
      </c>
      <c r="J715" s="633">
        <f t="shared" ref="J715:J778" si="73">C715+E715-H715</f>
        <v>0</v>
      </c>
      <c r="K715" s="633">
        <f t="shared" ref="K715:K778" si="74">C715+F715-I715</f>
        <v>0</v>
      </c>
      <c r="L715" s="1127"/>
      <c r="M715" s="1127"/>
      <c r="N715" s="1691">
        <f t="shared" si="69"/>
        <v>0</v>
      </c>
      <c r="O715" s="634">
        <f t="shared" si="70"/>
        <v>0</v>
      </c>
      <c r="P715" s="144"/>
      <c r="Q715" s="144"/>
      <c r="R715" s="144"/>
      <c r="S715" s="144"/>
    </row>
    <row r="716" spans="1:19" ht="14.25" customHeight="1">
      <c r="A716" s="630"/>
      <c r="B716" s="631"/>
      <c r="C716" s="1127"/>
      <c r="D716" s="632"/>
      <c r="E716" s="1127"/>
      <c r="F716" s="633">
        <f t="shared" si="71"/>
        <v>0</v>
      </c>
      <c r="G716" s="632"/>
      <c r="H716" s="1127"/>
      <c r="I716" s="633">
        <f t="shared" si="72"/>
        <v>0</v>
      </c>
      <c r="J716" s="633">
        <f t="shared" si="73"/>
        <v>0</v>
      </c>
      <c r="K716" s="633">
        <f t="shared" si="74"/>
        <v>0</v>
      </c>
      <c r="L716" s="1127"/>
      <c r="M716" s="1127"/>
      <c r="N716" s="1691">
        <f t="shared" si="69"/>
        <v>0</v>
      </c>
      <c r="O716" s="634">
        <f t="shared" si="70"/>
        <v>0</v>
      </c>
      <c r="P716" s="144"/>
      <c r="Q716" s="144"/>
      <c r="R716" s="144"/>
      <c r="S716" s="144"/>
    </row>
    <row r="717" spans="1:19" ht="14.25" customHeight="1">
      <c r="A717" s="630"/>
      <c r="B717" s="631"/>
      <c r="C717" s="1127"/>
      <c r="D717" s="632"/>
      <c r="E717" s="1127"/>
      <c r="F717" s="633">
        <f t="shared" si="71"/>
        <v>0</v>
      </c>
      <c r="G717" s="632"/>
      <c r="H717" s="1127"/>
      <c r="I717" s="633">
        <f t="shared" si="72"/>
        <v>0</v>
      </c>
      <c r="J717" s="633">
        <f t="shared" si="73"/>
        <v>0</v>
      </c>
      <c r="K717" s="633">
        <f t="shared" si="74"/>
        <v>0</v>
      </c>
      <c r="L717" s="1127"/>
      <c r="M717" s="1127"/>
      <c r="N717" s="1691">
        <f t="shared" si="69"/>
        <v>0</v>
      </c>
      <c r="O717" s="634">
        <f t="shared" si="70"/>
        <v>0</v>
      </c>
      <c r="P717" s="144"/>
      <c r="Q717" s="144"/>
      <c r="R717" s="144"/>
      <c r="S717" s="144"/>
    </row>
    <row r="718" spans="1:19" ht="14.25" customHeight="1">
      <c r="A718" s="630"/>
      <c r="B718" s="631"/>
      <c r="C718" s="1127"/>
      <c r="D718" s="632"/>
      <c r="E718" s="1127"/>
      <c r="F718" s="633">
        <f t="shared" si="71"/>
        <v>0</v>
      </c>
      <c r="G718" s="632"/>
      <c r="H718" s="1127"/>
      <c r="I718" s="633">
        <f t="shared" si="72"/>
        <v>0</v>
      </c>
      <c r="J718" s="633">
        <f t="shared" si="73"/>
        <v>0</v>
      </c>
      <c r="K718" s="633">
        <f t="shared" si="74"/>
        <v>0</v>
      </c>
      <c r="L718" s="1127"/>
      <c r="M718" s="1127"/>
      <c r="N718" s="1691">
        <f t="shared" si="69"/>
        <v>0</v>
      </c>
      <c r="O718" s="634">
        <f t="shared" si="70"/>
        <v>0</v>
      </c>
      <c r="P718" s="144"/>
      <c r="Q718" s="144"/>
      <c r="R718" s="144"/>
      <c r="S718" s="144"/>
    </row>
    <row r="719" spans="1:19" ht="14.25" customHeight="1">
      <c r="A719" s="630"/>
      <c r="B719" s="631"/>
      <c r="C719" s="1127"/>
      <c r="D719" s="632"/>
      <c r="E719" s="1127"/>
      <c r="F719" s="633">
        <f t="shared" si="71"/>
        <v>0</v>
      </c>
      <c r="G719" s="632"/>
      <c r="H719" s="1127"/>
      <c r="I719" s="633">
        <f t="shared" si="72"/>
        <v>0</v>
      </c>
      <c r="J719" s="633">
        <f t="shared" si="73"/>
        <v>0</v>
      </c>
      <c r="K719" s="633">
        <f t="shared" si="74"/>
        <v>0</v>
      </c>
      <c r="L719" s="1127"/>
      <c r="M719" s="1127"/>
      <c r="N719" s="1691">
        <f t="shared" si="69"/>
        <v>0</v>
      </c>
      <c r="O719" s="634">
        <f t="shared" si="70"/>
        <v>0</v>
      </c>
      <c r="P719" s="144"/>
      <c r="Q719" s="144"/>
      <c r="R719" s="144"/>
      <c r="S719" s="144"/>
    </row>
    <row r="720" spans="1:19" ht="14.25" customHeight="1">
      <c r="A720" s="630"/>
      <c r="B720" s="631"/>
      <c r="C720" s="1127"/>
      <c r="D720" s="632"/>
      <c r="E720" s="1127"/>
      <c r="F720" s="633">
        <f t="shared" si="71"/>
        <v>0</v>
      </c>
      <c r="G720" s="632"/>
      <c r="H720" s="1127"/>
      <c r="I720" s="633">
        <f t="shared" si="72"/>
        <v>0</v>
      </c>
      <c r="J720" s="633">
        <f t="shared" si="73"/>
        <v>0</v>
      </c>
      <c r="K720" s="633">
        <f t="shared" si="74"/>
        <v>0</v>
      </c>
      <c r="L720" s="1127"/>
      <c r="M720" s="1127"/>
      <c r="N720" s="1691">
        <f t="shared" si="69"/>
        <v>0</v>
      </c>
      <c r="O720" s="634">
        <f t="shared" si="70"/>
        <v>0</v>
      </c>
      <c r="P720" s="144"/>
      <c r="Q720" s="144"/>
      <c r="R720" s="144"/>
      <c r="S720" s="144"/>
    </row>
    <row r="721" spans="1:19" ht="14.25" customHeight="1">
      <c r="A721" s="630"/>
      <c r="B721" s="631"/>
      <c r="C721" s="1127"/>
      <c r="D721" s="632"/>
      <c r="E721" s="1127"/>
      <c r="F721" s="633">
        <f t="shared" si="71"/>
        <v>0</v>
      </c>
      <c r="G721" s="632"/>
      <c r="H721" s="1127"/>
      <c r="I721" s="633">
        <f t="shared" si="72"/>
        <v>0</v>
      </c>
      <c r="J721" s="633">
        <f t="shared" si="73"/>
        <v>0</v>
      </c>
      <c r="K721" s="633">
        <f t="shared" si="74"/>
        <v>0</v>
      </c>
      <c r="L721" s="1127"/>
      <c r="M721" s="1127"/>
      <c r="N721" s="1691">
        <f t="shared" si="69"/>
        <v>0</v>
      </c>
      <c r="O721" s="634">
        <f t="shared" si="70"/>
        <v>0</v>
      </c>
      <c r="P721" s="144"/>
      <c r="Q721" s="144"/>
      <c r="R721" s="144"/>
      <c r="S721" s="144"/>
    </row>
    <row r="722" spans="1:19" ht="14.25" customHeight="1">
      <c r="A722" s="630"/>
      <c r="B722" s="631"/>
      <c r="C722" s="1127"/>
      <c r="D722" s="632"/>
      <c r="E722" s="1127"/>
      <c r="F722" s="633">
        <f t="shared" si="71"/>
        <v>0</v>
      </c>
      <c r="G722" s="632"/>
      <c r="H722" s="1127"/>
      <c r="I722" s="633">
        <f t="shared" si="72"/>
        <v>0</v>
      </c>
      <c r="J722" s="633">
        <f t="shared" si="73"/>
        <v>0</v>
      </c>
      <c r="K722" s="633">
        <f t="shared" si="74"/>
        <v>0</v>
      </c>
      <c r="L722" s="1127"/>
      <c r="M722" s="1127"/>
      <c r="N722" s="1691">
        <f t="shared" si="69"/>
        <v>0</v>
      </c>
      <c r="O722" s="634">
        <f t="shared" si="70"/>
        <v>0</v>
      </c>
      <c r="P722" s="144"/>
      <c r="Q722" s="144"/>
      <c r="R722" s="144"/>
      <c r="S722" s="144"/>
    </row>
    <row r="723" spans="1:19" ht="14.25" customHeight="1">
      <c r="A723" s="630"/>
      <c r="B723" s="631"/>
      <c r="C723" s="1127"/>
      <c r="D723" s="632"/>
      <c r="E723" s="1127"/>
      <c r="F723" s="633">
        <f t="shared" si="71"/>
        <v>0</v>
      </c>
      <c r="G723" s="632"/>
      <c r="H723" s="1127"/>
      <c r="I723" s="633">
        <f t="shared" si="72"/>
        <v>0</v>
      </c>
      <c r="J723" s="633">
        <f t="shared" si="73"/>
        <v>0</v>
      </c>
      <c r="K723" s="633">
        <f t="shared" si="74"/>
        <v>0</v>
      </c>
      <c r="L723" s="1127"/>
      <c r="M723" s="1127"/>
      <c r="N723" s="1691">
        <f t="shared" si="69"/>
        <v>0</v>
      </c>
      <c r="O723" s="634">
        <f t="shared" si="70"/>
        <v>0</v>
      </c>
      <c r="P723" s="144"/>
      <c r="Q723" s="144"/>
      <c r="R723" s="144"/>
      <c r="S723" s="144"/>
    </row>
    <row r="724" spans="1:19" ht="14.25" customHeight="1">
      <c r="A724" s="630"/>
      <c r="B724" s="631"/>
      <c r="C724" s="1127"/>
      <c r="D724" s="632"/>
      <c r="E724" s="1127"/>
      <c r="F724" s="633">
        <f t="shared" si="71"/>
        <v>0</v>
      </c>
      <c r="G724" s="632"/>
      <c r="H724" s="1127"/>
      <c r="I724" s="633">
        <f t="shared" si="72"/>
        <v>0</v>
      </c>
      <c r="J724" s="633">
        <f t="shared" si="73"/>
        <v>0</v>
      </c>
      <c r="K724" s="633">
        <f t="shared" si="74"/>
        <v>0</v>
      </c>
      <c r="L724" s="1127"/>
      <c r="M724" s="1127"/>
      <c r="N724" s="1691">
        <f t="shared" si="69"/>
        <v>0</v>
      </c>
      <c r="O724" s="634">
        <f t="shared" si="70"/>
        <v>0</v>
      </c>
      <c r="P724" s="144"/>
      <c r="Q724" s="144"/>
      <c r="R724" s="144"/>
      <c r="S724" s="144"/>
    </row>
    <row r="725" spans="1:19" ht="14.25" customHeight="1">
      <c r="A725" s="630"/>
      <c r="B725" s="631"/>
      <c r="C725" s="1127"/>
      <c r="D725" s="632"/>
      <c r="E725" s="1127"/>
      <c r="F725" s="633">
        <f t="shared" si="71"/>
        <v>0</v>
      </c>
      <c r="G725" s="632"/>
      <c r="H725" s="1127"/>
      <c r="I725" s="633">
        <f t="shared" si="72"/>
        <v>0</v>
      </c>
      <c r="J725" s="633">
        <f t="shared" si="73"/>
        <v>0</v>
      </c>
      <c r="K725" s="633">
        <f t="shared" si="74"/>
        <v>0</v>
      </c>
      <c r="L725" s="1127"/>
      <c r="M725" s="1127"/>
      <c r="N725" s="1691">
        <f t="shared" si="69"/>
        <v>0</v>
      </c>
      <c r="O725" s="634">
        <f t="shared" si="70"/>
        <v>0</v>
      </c>
      <c r="P725" s="144"/>
      <c r="Q725" s="144"/>
      <c r="R725" s="144"/>
      <c r="S725" s="144"/>
    </row>
    <row r="726" spans="1:19" ht="14.25" customHeight="1">
      <c r="A726" s="630"/>
      <c r="B726" s="631"/>
      <c r="C726" s="1127"/>
      <c r="D726" s="632"/>
      <c r="E726" s="1127"/>
      <c r="F726" s="633">
        <f t="shared" si="71"/>
        <v>0</v>
      </c>
      <c r="G726" s="632"/>
      <c r="H726" s="1127"/>
      <c r="I726" s="633">
        <f t="shared" si="72"/>
        <v>0</v>
      </c>
      <c r="J726" s="633">
        <f t="shared" si="73"/>
        <v>0</v>
      </c>
      <c r="K726" s="633">
        <f t="shared" si="74"/>
        <v>0</v>
      </c>
      <c r="L726" s="1127"/>
      <c r="M726" s="1127"/>
      <c r="N726" s="1691">
        <f t="shared" si="69"/>
        <v>0</v>
      </c>
      <c r="O726" s="634">
        <f t="shared" si="70"/>
        <v>0</v>
      </c>
      <c r="P726" s="144"/>
      <c r="Q726" s="144"/>
      <c r="R726" s="144"/>
      <c r="S726" s="144"/>
    </row>
    <row r="727" spans="1:19" ht="14.25" customHeight="1">
      <c r="A727" s="630"/>
      <c r="B727" s="631"/>
      <c r="C727" s="1127"/>
      <c r="D727" s="632"/>
      <c r="E727" s="1127"/>
      <c r="F727" s="633">
        <f t="shared" si="71"/>
        <v>0</v>
      </c>
      <c r="G727" s="632"/>
      <c r="H727" s="1127"/>
      <c r="I727" s="633">
        <f t="shared" si="72"/>
        <v>0</v>
      </c>
      <c r="J727" s="633">
        <f t="shared" si="73"/>
        <v>0</v>
      </c>
      <c r="K727" s="633">
        <f t="shared" si="74"/>
        <v>0</v>
      </c>
      <c r="L727" s="1127"/>
      <c r="M727" s="1127"/>
      <c r="N727" s="1691">
        <f t="shared" si="69"/>
        <v>0</v>
      </c>
      <c r="O727" s="634">
        <f t="shared" si="70"/>
        <v>0</v>
      </c>
      <c r="P727" s="144"/>
      <c r="Q727" s="144"/>
      <c r="R727" s="144"/>
      <c r="S727" s="144"/>
    </row>
    <row r="728" spans="1:19" ht="14.25" customHeight="1">
      <c r="A728" s="630"/>
      <c r="B728" s="631"/>
      <c r="C728" s="1127"/>
      <c r="D728" s="632"/>
      <c r="E728" s="1127"/>
      <c r="F728" s="633">
        <f t="shared" si="71"/>
        <v>0</v>
      </c>
      <c r="G728" s="632"/>
      <c r="H728" s="1127"/>
      <c r="I728" s="633">
        <f t="shared" si="72"/>
        <v>0</v>
      </c>
      <c r="J728" s="633">
        <f t="shared" si="73"/>
        <v>0</v>
      </c>
      <c r="K728" s="633">
        <f t="shared" si="74"/>
        <v>0</v>
      </c>
      <c r="L728" s="1127"/>
      <c r="M728" s="1127"/>
      <c r="N728" s="1691">
        <f t="shared" si="69"/>
        <v>0</v>
      </c>
      <c r="O728" s="634">
        <f t="shared" si="70"/>
        <v>0</v>
      </c>
      <c r="P728" s="144"/>
      <c r="Q728" s="144"/>
      <c r="R728" s="144"/>
      <c r="S728" s="144"/>
    </row>
    <row r="729" spans="1:19" ht="14.25" customHeight="1">
      <c r="A729" s="630"/>
      <c r="B729" s="631"/>
      <c r="C729" s="1127"/>
      <c r="D729" s="632"/>
      <c r="E729" s="1127"/>
      <c r="F729" s="633">
        <f t="shared" si="71"/>
        <v>0</v>
      </c>
      <c r="G729" s="632"/>
      <c r="H729" s="1127"/>
      <c r="I729" s="633">
        <f t="shared" si="72"/>
        <v>0</v>
      </c>
      <c r="J729" s="633">
        <f t="shared" si="73"/>
        <v>0</v>
      </c>
      <c r="K729" s="633">
        <f t="shared" si="74"/>
        <v>0</v>
      </c>
      <c r="L729" s="1127"/>
      <c r="M729" s="1127"/>
      <c r="N729" s="1691">
        <f t="shared" si="69"/>
        <v>0</v>
      </c>
      <c r="O729" s="634">
        <f t="shared" si="70"/>
        <v>0</v>
      </c>
      <c r="P729" s="144"/>
      <c r="Q729" s="144"/>
      <c r="R729" s="144"/>
      <c r="S729" s="144"/>
    </row>
    <row r="730" spans="1:19" ht="14.25" customHeight="1">
      <c r="A730" s="630"/>
      <c r="B730" s="631"/>
      <c r="C730" s="1127"/>
      <c r="D730" s="632"/>
      <c r="E730" s="1127"/>
      <c r="F730" s="633">
        <f t="shared" si="71"/>
        <v>0</v>
      </c>
      <c r="G730" s="632"/>
      <c r="H730" s="1127"/>
      <c r="I730" s="633">
        <f t="shared" si="72"/>
        <v>0</v>
      </c>
      <c r="J730" s="633">
        <f t="shared" si="73"/>
        <v>0</v>
      </c>
      <c r="K730" s="633">
        <f t="shared" si="74"/>
        <v>0</v>
      </c>
      <c r="L730" s="1127"/>
      <c r="M730" s="1127"/>
      <c r="N730" s="1691">
        <f t="shared" si="69"/>
        <v>0</v>
      </c>
      <c r="O730" s="634">
        <f t="shared" si="70"/>
        <v>0</v>
      </c>
      <c r="P730" s="144"/>
      <c r="Q730" s="144"/>
      <c r="R730" s="144"/>
      <c r="S730" s="144"/>
    </row>
    <row r="731" spans="1:19" ht="14.25" customHeight="1">
      <c r="A731" s="630"/>
      <c r="B731" s="631"/>
      <c r="C731" s="1127"/>
      <c r="D731" s="632"/>
      <c r="E731" s="1127"/>
      <c r="F731" s="633">
        <f t="shared" si="71"/>
        <v>0</v>
      </c>
      <c r="G731" s="632"/>
      <c r="H731" s="1127"/>
      <c r="I731" s="633">
        <f t="shared" si="72"/>
        <v>0</v>
      </c>
      <c r="J731" s="633">
        <f t="shared" si="73"/>
        <v>0</v>
      </c>
      <c r="K731" s="633">
        <f t="shared" si="74"/>
        <v>0</v>
      </c>
      <c r="L731" s="1127"/>
      <c r="M731" s="1127"/>
      <c r="N731" s="1691">
        <f t="shared" si="69"/>
        <v>0</v>
      </c>
      <c r="O731" s="634">
        <f t="shared" si="70"/>
        <v>0</v>
      </c>
      <c r="P731" s="144"/>
      <c r="Q731" s="144"/>
      <c r="R731" s="144"/>
      <c r="S731" s="144"/>
    </row>
    <row r="732" spans="1:19" ht="14.25" customHeight="1">
      <c r="A732" s="630"/>
      <c r="B732" s="631"/>
      <c r="C732" s="1127"/>
      <c r="D732" s="632"/>
      <c r="E732" s="1127"/>
      <c r="F732" s="633">
        <f t="shared" si="71"/>
        <v>0</v>
      </c>
      <c r="G732" s="632"/>
      <c r="H732" s="1127"/>
      <c r="I732" s="633">
        <f t="shared" si="72"/>
        <v>0</v>
      </c>
      <c r="J732" s="633">
        <f t="shared" si="73"/>
        <v>0</v>
      </c>
      <c r="K732" s="633">
        <f t="shared" si="74"/>
        <v>0</v>
      </c>
      <c r="L732" s="1127"/>
      <c r="M732" s="1127"/>
      <c r="N732" s="1691">
        <f t="shared" si="69"/>
        <v>0</v>
      </c>
      <c r="O732" s="634">
        <f t="shared" si="70"/>
        <v>0</v>
      </c>
      <c r="P732" s="144"/>
      <c r="Q732" s="144"/>
      <c r="R732" s="144"/>
      <c r="S732" s="144"/>
    </row>
    <row r="733" spans="1:19" ht="14.25" customHeight="1">
      <c r="A733" s="630"/>
      <c r="B733" s="631"/>
      <c r="C733" s="1127"/>
      <c r="D733" s="632"/>
      <c r="E733" s="1127"/>
      <c r="F733" s="633">
        <f t="shared" si="71"/>
        <v>0</v>
      </c>
      <c r="G733" s="632"/>
      <c r="H733" s="1127"/>
      <c r="I733" s="633">
        <f t="shared" si="72"/>
        <v>0</v>
      </c>
      <c r="J733" s="633">
        <f t="shared" si="73"/>
        <v>0</v>
      </c>
      <c r="K733" s="633">
        <f t="shared" si="74"/>
        <v>0</v>
      </c>
      <c r="L733" s="1127"/>
      <c r="M733" s="1127"/>
      <c r="N733" s="1691">
        <f t="shared" si="69"/>
        <v>0</v>
      </c>
      <c r="O733" s="634">
        <f t="shared" si="70"/>
        <v>0</v>
      </c>
      <c r="P733" s="144"/>
      <c r="Q733" s="144"/>
      <c r="R733" s="144"/>
      <c r="S733" s="144"/>
    </row>
    <row r="734" spans="1:19" ht="14.25" customHeight="1">
      <c r="A734" s="630"/>
      <c r="B734" s="631"/>
      <c r="C734" s="1127"/>
      <c r="D734" s="632"/>
      <c r="E734" s="1127"/>
      <c r="F734" s="633">
        <f t="shared" si="71"/>
        <v>0</v>
      </c>
      <c r="G734" s="632"/>
      <c r="H734" s="1127"/>
      <c r="I734" s="633">
        <f t="shared" si="72"/>
        <v>0</v>
      </c>
      <c r="J734" s="633">
        <f t="shared" si="73"/>
        <v>0</v>
      </c>
      <c r="K734" s="633">
        <f t="shared" si="74"/>
        <v>0</v>
      </c>
      <c r="L734" s="1127"/>
      <c r="M734" s="1127"/>
      <c r="N734" s="1691">
        <f t="shared" si="69"/>
        <v>0</v>
      </c>
      <c r="O734" s="634">
        <f t="shared" si="70"/>
        <v>0</v>
      </c>
      <c r="P734" s="144"/>
      <c r="Q734" s="144"/>
      <c r="R734" s="144"/>
      <c r="S734" s="144"/>
    </row>
    <row r="735" spans="1:19" ht="14.25" customHeight="1">
      <c r="A735" s="630"/>
      <c r="B735" s="631"/>
      <c r="C735" s="1127"/>
      <c r="D735" s="632"/>
      <c r="E735" s="1127"/>
      <c r="F735" s="633">
        <f t="shared" si="71"/>
        <v>0</v>
      </c>
      <c r="G735" s="632"/>
      <c r="H735" s="1127"/>
      <c r="I735" s="633">
        <f t="shared" si="72"/>
        <v>0</v>
      </c>
      <c r="J735" s="633">
        <f t="shared" si="73"/>
        <v>0</v>
      </c>
      <c r="K735" s="633">
        <f t="shared" si="74"/>
        <v>0</v>
      </c>
      <c r="L735" s="1127"/>
      <c r="M735" s="1127"/>
      <c r="N735" s="1691">
        <f t="shared" si="69"/>
        <v>0</v>
      </c>
      <c r="O735" s="634">
        <f t="shared" si="70"/>
        <v>0</v>
      </c>
      <c r="P735" s="144"/>
      <c r="Q735" s="144"/>
      <c r="R735" s="144"/>
      <c r="S735" s="144"/>
    </row>
    <row r="736" spans="1:19" ht="14.25" customHeight="1">
      <c r="A736" s="630"/>
      <c r="B736" s="631"/>
      <c r="C736" s="1127"/>
      <c r="D736" s="632"/>
      <c r="E736" s="1127"/>
      <c r="F736" s="633">
        <f t="shared" si="71"/>
        <v>0</v>
      </c>
      <c r="G736" s="632"/>
      <c r="H736" s="1127"/>
      <c r="I736" s="633">
        <f t="shared" si="72"/>
        <v>0</v>
      </c>
      <c r="J736" s="633">
        <f t="shared" si="73"/>
        <v>0</v>
      </c>
      <c r="K736" s="633">
        <f t="shared" si="74"/>
        <v>0</v>
      </c>
      <c r="L736" s="1127"/>
      <c r="M736" s="1127"/>
      <c r="N736" s="1691">
        <f t="shared" si="69"/>
        <v>0</v>
      </c>
      <c r="O736" s="634">
        <f t="shared" si="70"/>
        <v>0</v>
      </c>
      <c r="P736" s="144"/>
      <c r="Q736" s="144"/>
      <c r="R736" s="144"/>
      <c r="S736" s="144"/>
    </row>
    <row r="737" spans="1:19" ht="14.25" customHeight="1">
      <c r="A737" s="630"/>
      <c r="B737" s="631"/>
      <c r="C737" s="1127"/>
      <c r="D737" s="632"/>
      <c r="E737" s="1127"/>
      <c r="F737" s="633">
        <f t="shared" si="71"/>
        <v>0</v>
      </c>
      <c r="G737" s="632"/>
      <c r="H737" s="1127"/>
      <c r="I737" s="633">
        <f t="shared" si="72"/>
        <v>0</v>
      </c>
      <c r="J737" s="633">
        <f t="shared" si="73"/>
        <v>0</v>
      </c>
      <c r="K737" s="633">
        <f t="shared" si="74"/>
        <v>0</v>
      </c>
      <c r="L737" s="1127"/>
      <c r="M737" s="1127"/>
      <c r="N737" s="1691">
        <f t="shared" si="69"/>
        <v>0</v>
      </c>
      <c r="O737" s="634">
        <f t="shared" si="70"/>
        <v>0</v>
      </c>
      <c r="P737" s="144"/>
      <c r="Q737" s="144"/>
      <c r="R737" s="144"/>
      <c r="S737" s="144"/>
    </row>
    <row r="738" spans="1:19" ht="14.25" customHeight="1">
      <c r="A738" s="630"/>
      <c r="B738" s="631"/>
      <c r="C738" s="1127"/>
      <c r="D738" s="632"/>
      <c r="E738" s="1127"/>
      <c r="F738" s="633">
        <f t="shared" si="71"/>
        <v>0</v>
      </c>
      <c r="G738" s="632"/>
      <c r="H738" s="1127"/>
      <c r="I738" s="633">
        <f t="shared" si="72"/>
        <v>0</v>
      </c>
      <c r="J738" s="633">
        <f t="shared" si="73"/>
        <v>0</v>
      </c>
      <c r="K738" s="633">
        <f t="shared" si="74"/>
        <v>0</v>
      </c>
      <c r="L738" s="1127"/>
      <c r="M738" s="1127"/>
      <c r="N738" s="1691">
        <f t="shared" si="69"/>
        <v>0</v>
      </c>
      <c r="O738" s="634">
        <f t="shared" si="70"/>
        <v>0</v>
      </c>
      <c r="P738" s="144"/>
      <c r="Q738" s="144"/>
      <c r="R738" s="144"/>
      <c r="S738" s="144"/>
    </row>
    <row r="739" spans="1:19" ht="14.25" customHeight="1">
      <c r="A739" s="630"/>
      <c r="B739" s="631"/>
      <c r="C739" s="1127"/>
      <c r="D739" s="632"/>
      <c r="E739" s="1127"/>
      <c r="F739" s="633">
        <f t="shared" si="71"/>
        <v>0</v>
      </c>
      <c r="G739" s="632"/>
      <c r="H739" s="1127"/>
      <c r="I739" s="633">
        <f t="shared" si="72"/>
        <v>0</v>
      </c>
      <c r="J739" s="633">
        <f t="shared" si="73"/>
        <v>0</v>
      </c>
      <c r="K739" s="633">
        <f t="shared" si="74"/>
        <v>0</v>
      </c>
      <c r="L739" s="1127"/>
      <c r="M739" s="1127"/>
      <c r="N739" s="1691">
        <f t="shared" si="69"/>
        <v>0</v>
      </c>
      <c r="O739" s="634">
        <f t="shared" si="70"/>
        <v>0</v>
      </c>
      <c r="P739" s="144"/>
      <c r="Q739" s="144"/>
      <c r="R739" s="144"/>
      <c r="S739" s="144"/>
    </row>
    <row r="740" spans="1:19" ht="14.25" customHeight="1">
      <c r="A740" s="630"/>
      <c r="B740" s="631"/>
      <c r="C740" s="1127"/>
      <c r="D740" s="632"/>
      <c r="E740" s="1127"/>
      <c r="F740" s="633">
        <f t="shared" si="71"/>
        <v>0</v>
      </c>
      <c r="G740" s="632"/>
      <c r="H740" s="1127"/>
      <c r="I740" s="633">
        <f t="shared" si="72"/>
        <v>0</v>
      </c>
      <c r="J740" s="633">
        <f t="shared" si="73"/>
        <v>0</v>
      </c>
      <c r="K740" s="633">
        <f t="shared" si="74"/>
        <v>0</v>
      </c>
      <c r="L740" s="1127"/>
      <c r="M740" s="1127"/>
      <c r="N740" s="1691">
        <f t="shared" si="69"/>
        <v>0</v>
      </c>
      <c r="O740" s="634">
        <f t="shared" si="70"/>
        <v>0</v>
      </c>
      <c r="P740" s="144"/>
      <c r="Q740" s="144"/>
      <c r="R740" s="144"/>
      <c r="S740" s="144"/>
    </row>
    <row r="741" spans="1:19" ht="14.25" customHeight="1">
      <c r="A741" s="630"/>
      <c r="B741" s="631"/>
      <c r="C741" s="1127"/>
      <c r="D741" s="632"/>
      <c r="E741" s="1127"/>
      <c r="F741" s="633">
        <f t="shared" si="71"/>
        <v>0</v>
      </c>
      <c r="G741" s="632"/>
      <c r="H741" s="1127"/>
      <c r="I741" s="633">
        <f t="shared" si="72"/>
        <v>0</v>
      </c>
      <c r="J741" s="633">
        <f t="shared" si="73"/>
        <v>0</v>
      </c>
      <c r="K741" s="633">
        <f t="shared" si="74"/>
        <v>0</v>
      </c>
      <c r="L741" s="1127"/>
      <c r="M741" s="1127"/>
      <c r="N741" s="1691">
        <f t="shared" si="69"/>
        <v>0</v>
      </c>
      <c r="O741" s="634">
        <f t="shared" si="70"/>
        <v>0</v>
      </c>
      <c r="P741" s="144"/>
      <c r="Q741" s="144"/>
      <c r="R741" s="144"/>
      <c r="S741" s="144"/>
    </row>
    <row r="742" spans="1:19" ht="14.25" customHeight="1">
      <c r="A742" s="630"/>
      <c r="B742" s="631"/>
      <c r="C742" s="1127"/>
      <c r="D742" s="632"/>
      <c r="E742" s="1127"/>
      <c r="F742" s="633">
        <f t="shared" si="71"/>
        <v>0</v>
      </c>
      <c r="G742" s="632"/>
      <c r="H742" s="1127"/>
      <c r="I742" s="633">
        <f t="shared" si="72"/>
        <v>0</v>
      </c>
      <c r="J742" s="633">
        <f t="shared" si="73"/>
        <v>0</v>
      </c>
      <c r="K742" s="633">
        <f t="shared" si="74"/>
        <v>0</v>
      </c>
      <c r="L742" s="1127"/>
      <c r="M742" s="1127"/>
      <c r="N742" s="1691">
        <f t="shared" si="69"/>
        <v>0</v>
      </c>
      <c r="O742" s="634">
        <f t="shared" si="70"/>
        <v>0</v>
      </c>
      <c r="P742" s="144"/>
      <c r="Q742" s="144"/>
      <c r="R742" s="144"/>
      <c r="S742" s="144"/>
    </row>
    <row r="743" spans="1:19" ht="14.25" customHeight="1">
      <c r="A743" s="630"/>
      <c r="B743" s="631"/>
      <c r="C743" s="1127"/>
      <c r="D743" s="632"/>
      <c r="E743" s="1127"/>
      <c r="F743" s="633">
        <f t="shared" si="71"/>
        <v>0</v>
      </c>
      <c r="G743" s="632"/>
      <c r="H743" s="1127"/>
      <c r="I743" s="633">
        <f t="shared" si="72"/>
        <v>0</v>
      </c>
      <c r="J743" s="633">
        <f t="shared" si="73"/>
        <v>0</v>
      </c>
      <c r="K743" s="633">
        <f t="shared" si="74"/>
        <v>0</v>
      </c>
      <c r="L743" s="1127"/>
      <c r="M743" s="1127"/>
      <c r="N743" s="1691">
        <f t="shared" si="69"/>
        <v>0</v>
      </c>
      <c r="O743" s="634">
        <f t="shared" si="70"/>
        <v>0</v>
      </c>
      <c r="P743" s="144"/>
      <c r="Q743" s="144"/>
      <c r="R743" s="144"/>
      <c r="S743" s="144"/>
    </row>
    <row r="744" spans="1:19" ht="14.25" customHeight="1">
      <c r="A744" s="630"/>
      <c r="B744" s="631"/>
      <c r="C744" s="1127"/>
      <c r="D744" s="632"/>
      <c r="E744" s="1127"/>
      <c r="F744" s="633">
        <f t="shared" si="71"/>
        <v>0</v>
      </c>
      <c r="G744" s="632"/>
      <c r="H744" s="1127"/>
      <c r="I744" s="633">
        <f t="shared" si="72"/>
        <v>0</v>
      </c>
      <c r="J744" s="633">
        <f t="shared" si="73"/>
        <v>0</v>
      </c>
      <c r="K744" s="633">
        <f t="shared" si="74"/>
        <v>0</v>
      </c>
      <c r="L744" s="1127"/>
      <c r="M744" s="1127"/>
      <c r="N744" s="1691">
        <f t="shared" si="69"/>
        <v>0</v>
      </c>
      <c r="O744" s="634">
        <f t="shared" si="70"/>
        <v>0</v>
      </c>
      <c r="P744" s="144"/>
      <c r="Q744" s="144"/>
      <c r="R744" s="144"/>
      <c r="S744" s="144"/>
    </row>
    <row r="745" spans="1:19" ht="14.25" customHeight="1">
      <c r="A745" s="630"/>
      <c r="B745" s="631"/>
      <c r="C745" s="1127"/>
      <c r="D745" s="632"/>
      <c r="E745" s="1127"/>
      <c r="F745" s="633">
        <f t="shared" si="71"/>
        <v>0</v>
      </c>
      <c r="G745" s="632"/>
      <c r="H745" s="1127"/>
      <c r="I745" s="633">
        <f t="shared" si="72"/>
        <v>0</v>
      </c>
      <c r="J745" s="633">
        <f t="shared" si="73"/>
        <v>0</v>
      </c>
      <c r="K745" s="633">
        <f t="shared" si="74"/>
        <v>0</v>
      </c>
      <c r="L745" s="1127"/>
      <c r="M745" s="1127"/>
      <c r="N745" s="1691">
        <f t="shared" si="69"/>
        <v>0</v>
      </c>
      <c r="O745" s="634">
        <f t="shared" si="70"/>
        <v>0</v>
      </c>
      <c r="P745" s="144"/>
      <c r="Q745" s="144"/>
      <c r="R745" s="144"/>
      <c r="S745" s="144"/>
    </row>
    <row r="746" spans="1:19" ht="14.25" customHeight="1">
      <c r="A746" s="630"/>
      <c r="B746" s="631"/>
      <c r="C746" s="1127"/>
      <c r="D746" s="632"/>
      <c r="E746" s="1127"/>
      <c r="F746" s="633">
        <f t="shared" si="71"/>
        <v>0</v>
      </c>
      <c r="G746" s="632"/>
      <c r="H746" s="1127"/>
      <c r="I746" s="633">
        <f t="shared" si="72"/>
        <v>0</v>
      </c>
      <c r="J746" s="633">
        <f t="shared" si="73"/>
        <v>0</v>
      </c>
      <c r="K746" s="633">
        <f t="shared" si="74"/>
        <v>0</v>
      </c>
      <c r="L746" s="1127"/>
      <c r="M746" s="1127"/>
      <c r="N746" s="1691">
        <f t="shared" si="69"/>
        <v>0</v>
      </c>
      <c r="O746" s="634">
        <f t="shared" si="70"/>
        <v>0</v>
      </c>
      <c r="P746" s="144"/>
      <c r="Q746" s="144"/>
      <c r="R746" s="144"/>
      <c r="S746" s="144"/>
    </row>
    <row r="747" spans="1:19" ht="14.25" customHeight="1">
      <c r="A747" s="630"/>
      <c r="B747" s="631"/>
      <c r="C747" s="1127"/>
      <c r="D747" s="632"/>
      <c r="E747" s="1127"/>
      <c r="F747" s="633">
        <f t="shared" si="71"/>
        <v>0</v>
      </c>
      <c r="G747" s="632"/>
      <c r="H747" s="1127"/>
      <c r="I747" s="633">
        <f t="shared" si="72"/>
        <v>0</v>
      </c>
      <c r="J747" s="633">
        <f t="shared" si="73"/>
        <v>0</v>
      </c>
      <c r="K747" s="633">
        <f t="shared" si="74"/>
        <v>0</v>
      </c>
      <c r="L747" s="1127"/>
      <c r="M747" s="1127"/>
      <c r="N747" s="1691">
        <f t="shared" si="69"/>
        <v>0</v>
      </c>
      <c r="O747" s="634">
        <f t="shared" si="70"/>
        <v>0</v>
      </c>
      <c r="P747" s="144"/>
      <c r="Q747" s="144"/>
      <c r="R747" s="144"/>
      <c r="S747" s="144"/>
    </row>
    <row r="748" spans="1:19" ht="14.25" customHeight="1">
      <c r="A748" s="630"/>
      <c r="B748" s="631"/>
      <c r="C748" s="1127"/>
      <c r="D748" s="632"/>
      <c r="E748" s="1127"/>
      <c r="F748" s="633">
        <f t="shared" si="71"/>
        <v>0</v>
      </c>
      <c r="G748" s="632"/>
      <c r="H748" s="1127"/>
      <c r="I748" s="633">
        <f t="shared" si="72"/>
        <v>0</v>
      </c>
      <c r="J748" s="633">
        <f t="shared" si="73"/>
        <v>0</v>
      </c>
      <c r="K748" s="633">
        <f t="shared" si="74"/>
        <v>0</v>
      </c>
      <c r="L748" s="1127"/>
      <c r="M748" s="1127"/>
      <c r="N748" s="1691">
        <f t="shared" si="69"/>
        <v>0</v>
      </c>
      <c r="O748" s="634">
        <f t="shared" si="70"/>
        <v>0</v>
      </c>
      <c r="P748" s="144"/>
      <c r="Q748" s="144"/>
      <c r="R748" s="144"/>
      <c r="S748" s="144"/>
    </row>
    <row r="749" spans="1:19" ht="14.25" customHeight="1">
      <c r="A749" s="630"/>
      <c r="B749" s="631"/>
      <c r="C749" s="1127"/>
      <c r="D749" s="632"/>
      <c r="E749" s="1127"/>
      <c r="F749" s="633">
        <f t="shared" si="71"/>
        <v>0</v>
      </c>
      <c r="G749" s="632"/>
      <c r="H749" s="1127"/>
      <c r="I749" s="633">
        <f t="shared" si="72"/>
        <v>0</v>
      </c>
      <c r="J749" s="633">
        <f t="shared" si="73"/>
        <v>0</v>
      </c>
      <c r="K749" s="633">
        <f t="shared" si="74"/>
        <v>0</v>
      </c>
      <c r="L749" s="1127"/>
      <c r="M749" s="1127"/>
      <c r="N749" s="1691">
        <f t="shared" si="69"/>
        <v>0</v>
      </c>
      <c r="O749" s="634">
        <f t="shared" si="70"/>
        <v>0</v>
      </c>
      <c r="P749" s="144"/>
      <c r="Q749" s="144"/>
      <c r="R749" s="144"/>
      <c r="S749" s="144"/>
    </row>
    <row r="750" spans="1:19" ht="14.25" customHeight="1">
      <c r="A750" s="630"/>
      <c r="B750" s="631"/>
      <c r="C750" s="1127"/>
      <c r="D750" s="632"/>
      <c r="E750" s="1127"/>
      <c r="F750" s="633">
        <f t="shared" si="71"/>
        <v>0</v>
      </c>
      <c r="G750" s="632"/>
      <c r="H750" s="1127"/>
      <c r="I750" s="633">
        <f t="shared" si="72"/>
        <v>0</v>
      </c>
      <c r="J750" s="633">
        <f t="shared" si="73"/>
        <v>0</v>
      </c>
      <c r="K750" s="633">
        <f t="shared" si="74"/>
        <v>0</v>
      </c>
      <c r="L750" s="1127"/>
      <c r="M750" s="1127"/>
      <c r="N750" s="1691">
        <f t="shared" si="69"/>
        <v>0</v>
      </c>
      <c r="O750" s="634">
        <f t="shared" si="70"/>
        <v>0</v>
      </c>
      <c r="P750" s="144"/>
      <c r="Q750" s="144"/>
      <c r="R750" s="144"/>
      <c r="S750" s="144"/>
    </row>
    <row r="751" spans="1:19" ht="14.25" customHeight="1">
      <c r="A751" s="630"/>
      <c r="B751" s="631"/>
      <c r="C751" s="1127"/>
      <c r="D751" s="632"/>
      <c r="E751" s="1127"/>
      <c r="F751" s="633">
        <f t="shared" si="71"/>
        <v>0</v>
      </c>
      <c r="G751" s="632"/>
      <c r="H751" s="1127"/>
      <c r="I751" s="633">
        <f t="shared" si="72"/>
        <v>0</v>
      </c>
      <c r="J751" s="633">
        <f t="shared" si="73"/>
        <v>0</v>
      </c>
      <c r="K751" s="633">
        <f t="shared" si="74"/>
        <v>0</v>
      </c>
      <c r="L751" s="1127"/>
      <c r="M751" s="1127"/>
      <c r="N751" s="1691">
        <f t="shared" si="69"/>
        <v>0</v>
      </c>
      <c r="O751" s="634">
        <f t="shared" si="70"/>
        <v>0</v>
      </c>
      <c r="P751" s="144"/>
      <c r="Q751" s="144"/>
      <c r="R751" s="144"/>
      <c r="S751" s="144"/>
    </row>
    <row r="752" spans="1:19" ht="14.25" customHeight="1">
      <c r="A752" s="630"/>
      <c r="B752" s="631"/>
      <c r="C752" s="1127"/>
      <c r="D752" s="632"/>
      <c r="E752" s="1127"/>
      <c r="F752" s="633">
        <f t="shared" si="71"/>
        <v>0</v>
      </c>
      <c r="G752" s="632"/>
      <c r="H752" s="1127"/>
      <c r="I752" s="633">
        <f t="shared" si="72"/>
        <v>0</v>
      </c>
      <c r="J752" s="633">
        <f t="shared" si="73"/>
        <v>0</v>
      </c>
      <c r="K752" s="633">
        <f t="shared" si="74"/>
        <v>0</v>
      </c>
      <c r="L752" s="1127"/>
      <c r="M752" s="1127"/>
      <c r="N752" s="1691">
        <f t="shared" si="69"/>
        <v>0</v>
      </c>
      <c r="O752" s="634">
        <f t="shared" si="70"/>
        <v>0</v>
      </c>
      <c r="P752" s="144"/>
      <c r="Q752" s="144"/>
      <c r="R752" s="144"/>
      <c r="S752" s="144"/>
    </row>
    <row r="753" spans="1:19" ht="14.25" customHeight="1">
      <c r="A753" s="630"/>
      <c r="B753" s="631"/>
      <c r="C753" s="1127"/>
      <c r="D753" s="632"/>
      <c r="E753" s="1127"/>
      <c r="F753" s="633">
        <f t="shared" si="71"/>
        <v>0</v>
      </c>
      <c r="G753" s="632"/>
      <c r="H753" s="1127"/>
      <c r="I753" s="633">
        <f t="shared" si="72"/>
        <v>0</v>
      </c>
      <c r="J753" s="633">
        <f t="shared" si="73"/>
        <v>0</v>
      </c>
      <c r="K753" s="633">
        <f t="shared" si="74"/>
        <v>0</v>
      </c>
      <c r="L753" s="1127"/>
      <c r="M753" s="1127"/>
      <c r="N753" s="1691">
        <f t="shared" si="69"/>
        <v>0</v>
      </c>
      <c r="O753" s="634">
        <f t="shared" si="70"/>
        <v>0</v>
      </c>
      <c r="P753" s="144"/>
      <c r="Q753" s="144"/>
      <c r="R753" s="144"/>
      <c r="S753" s="144"/>
    </row>
    <row r="754" spans="1:19" ht="14.25" customHeight="1">
      <c r="A754" s="630"/>
      <c r="B754" s="631"/>
      <c r="C754" s="1127"/>
      <c r="D754" s="632"/>
      <c r="E754" s="1127"/>
      <c r="F754" s="633">
        <f t="shared" si="71"/>
        <v>0</v>
      </c>
      <c r="G754" s="632"/>
      <c r="H754" s="1127"/>
      <c r="I754" s="633">
        <f t="shared" si="72"/>
        <v>0</v>
      </c>
      <c r="J754" s="633">
        <f t="shared" si="73"/>
        <v>0</v>
      </c>
      <c r="K754" s="633">
        <f t="shared" si="74"/>
        <v>0</v>
      </c>
      <c r="L754" s="1127"/>
      <c r="M754" s="1127"/>
      <c r="N754" s="1691">
        <f t="shared" si="69"/>
        <v>0</v>
      </c>
      <c r="O754" s="634">
        <f t="shared" si="70"/>
        <v>0</v>
      </c>
      <c r="P754" s="144"/>
      <c r="Q754" s="144"/>
      <c r="R754" s="144"/>
      <c r="S754" s="144"/>
    </row>
    <row r="755" spans="1:19" ht="14.25" customHeight="1">
      <c r="A755" s="630"/>
      <c r="B755" s="631"/>
      <c r="C755" s="1127"/>
      <c r="D755" s="632"/>
      <c r="E755" s="1127"/>
      <c r="F755" s="633">
        <f t="shared" si="71"/>
        <v>0</v>
      </c>
      <c r="G755" s="632"/>
      <c r="H755" s="1127"/>
      <c r="I755" s="633">
        <f t="shared" si="72"/>
        <v>0</v>
      </c>
      <c r="J755" s="633">
        <f t="shared" si="73"/>
        <v>0</v>
      </c>
      <c r="K755" s="633">
        <f t="shared" si="74"/>
        <v>0</v>
      </c>
      <c r="L755" s="1127"/>
      <c r="M755" s="1127"/>
      <c r="N755" s="1691">
        <f t="shared" si="69"/>
        <v>0</v>
      </c>
      <c r="O755" s="634">
        <f t="shared" si="70"/>
        <v>0</v>
      </c>
      <c r="P755" s="144"/>
      <c r="Q755" s="144"/>
      <c r="R755" s="144"/>
      <c r="S755" s="144"/>
    </row>
    <row r="756" spans="1:19" ht="14.25" customHeight="1">
      <c r="A756" s="630"/>
      <c r="B756" s="631"/>
      <c r="C756" s="1127"/>
      <c r="D756" s="632"/>
      <c r="E756" s="1127"/>
      <c r="F756" s="633">
        <f t="shared" si="71"/>
        <v>0</v>
      </c>
      <c r="G756" s="632"/>
      <c r="H756" s="1127"/>
      <c r="I756" s="633">
        <f t="shared" si="72"/>
        <v>0</v>
      </c>
      <c r="J756" s="633">
        <f t="shared" si="73"/>
        <v>0</v>
      </c>
      <c r="K756" s="633">
        <f t="shared" si="74"/>
        <v>0</v>
      </c>
      <c r="L756" s="1127"/>
      <c r="M756" s="1127"/>
      <c r="N756" s="1691">
        <f t="shared" si="69"/>
        <v>0</v>
      </c>
      <c r="O756" s="634">
        <f t="shared" si="70"/>
        <v>0</v>
      </c>
      <c r="P756" s="144"/>
      <c r="Q756" s="144"/>
      <c r="R756" s="144"/>
      <c r="S756" s="144"/>
    </row>
    <row r="757" spans="1:19" ht="14.25" customHeight="1">
      <c r="A757" s="630"/>
      <c r="B757" s="631"/>
      <c r="C757" s="1127"/>
      <c r="D757" s="632"/>
      <c r="E757" s="1127"/>
      <c r="F757" s="633">
        <f t="shared" si="71"/>
        <v>0</v>
      </c>
      <c r="G757" s="632"/>
      <c r="H757" s="1127"/>
      <c r="I757" s="633">
        <f t="shared" si="72"/>
        <v>0</v>
      </c>
      <c r="J757" s="633">
        <f t="shared" si="73"/>
        <v>0</v>
      </c>
      <c r="K757" s="633">
        <f t="shared" si="74"/>
        <v>0</v>
      </c>
      <c r="L757" s="1127"/>
      <c r="M757" s="1127"/>
      <c r="N757" s="1691">
        <f t="shared" si="69"/>
        <v>0</v>
      </c>
      <c r="O757" s="634">
        <f t="shared" si="70"/>
        <v>0</v>
      </c>
      <c r="P757" s="144"/>
      <c r="Q757" s="144"/>
      <c r="R757" s="144"/>
      <c r="S757" s="144"/>
    </row>
    <row r="758" spans="1:19" ht="14.25" customHeight="1">
      <c r="A758" s="630"/>
      <c r="B758" s="631"/>
      <c r="C758" s="1127"/>
      <c r="D758" s="632"/>
      <c r="E758" s="1127"/>
      <c r="F758" s="633">
        <f t="shared" si="71"/>
        <v>0</v>
      </c>
      <c r="G758" s="632"/>
      <c r="H758" s="1127"/>
      <c r="I758" s="633">
        <f t="shared" si="72"/>
        <v>0</v>
      </c>
      <c r="J758" s="633">
        <f t="shared" si="73"/>
        <v>0</v>
      </c>
      <c r="K758" s="633">
        <f t="shared" si="74"/>
        <v>0</v>
      </c>
      <c r="L758" s="1127"/>
      <c r="M758" s="1127"/>
      <c r="N758" s="1691">
        <f t="shared" si="69"/>
        <v>0</v>
      </c>
      <c r="O758" s="634">
        <f t="shared" si="70"/>
        <v>0</v>
      </c>
      <c r="P758" s="144"/>
      <c r="Q758" s="144"/>
      <c r="R758" s="144"/>
      <c r="S758" s="144"/>
    </row>
    <row r="759" spans="1:19" ht="14.25" customHeight="1">
      <c r="A759" s="630"/>
      <c r="B759" s="631"/>
      <c r="C759" s="1127"/>
      <c r="D759" s="632"/>
      <c r="E759" s="1127"/>
      <c r="F759" s="633">
        <f t="shared" si="71"/>
        <v>0</v>
      </c>
      <c r="G759" s="632"/>
      <c r="H759" s="1127"/>
      <c r="I759" s="633">
        <f t="shared" si="72"/>
        <v>0</v>
      </c>
      <c r="J759" s="633">
        <f t="shared" si="73"/>
        <v>0</v>
      </c>
      <c r="K759" s="633">
        <f t="shared" si="74"/>
        <v>0</v>
      </c>
      <c r="L759" s="1127"/>
      <c r="M759" s="1127"/>
      <c r="N759" s="1691">
        <f t="shared" si="69"/>
        <v>0</v>
      </c>
      <c r="O759" s="634">
        <f t="shared" si="70"/>
        <v>0</v>
      </c>
      <c r="P759" s="144"/>
      <c r="Q759" s="144"/>
      <c r="R759" s="144"/>
      <c r="S759" s="144"/>
    </row>
    <row r="760" spans="1:19" ht="14.25" customHeight="1">
      <c r="A760" s="630"/>
      <c r="B760" s="631"/>
      <c r="C760" s="1127"/>
      <c r="D760" s="632"/>
      <c r="E760" s="1127"/>
      <c r="F760" s="633">
        <f t="shared" si="71"/>
        <v>0</v>
      </c>
      <c r="G760" s="632"/>
      <c r="H760" s="1127"/>
      <c r="I760" s="633">
        <f t="shared" si="72"/>
        <v>0</v>
      </c>
      <c r="J760" s="633">
        <f t="shared" si="73"/>
        <v>0</v>
      </c>
      <c r="K760" s="633">
        <f t="shared" si="74"/>
        <v>0</v>
      </c>
      <c r="L760" s="1127"/>
      <c r="M760" s="1127"/>
      <c r="N760" s="1691">
        <f t="shared" si="69"/>
        <v>0</v>
      </c>
      <c r="O760" s="634">
        <f t="shared" si="70"/>
        <v>0</v>
      </c>
      <c r="P760" s="144"/>
      <c r="Q760" s="144"/>
      <c r="R760" s="144"/>
      <c r="S760" s="144"/>
    </row>
    <row r="761" spans="1:19" ht="14.25" customHeight="1">
      <c r="A761" s="630"/>
      <c r="B761" s="631"/>
      <c r="C761" s="1127"/>
      <c r="D761" s="632"/>
      <c r="E761" s="1127"/>
      <c r="F761" s="633">
        <f t="shared" si="71"/>
        <v>0</v>
      </c>
      <c r="G761" s="632"/>
      <c r="H761" s="1127"/>
      <c r="I761" s="633">
        <f t="shared" si="72"/>
        <v>0</v>
      </c>
      <c r="J761" s="633">
        <f t="shared" si="73"/>
        <v>0</v>
      </c>
      <c r="K761" s="633">
        <f t="shared" si="74"/>
        <v>0</v>
      </c>
      <c r="L761" s="1127"/>
      <c r="M761" s="1127"/>
      <c r="N761" s="1691">
        <f t="shared" si="69"/>
        <v>0</v>
      </c>
      <c r="O761" s="634">
        <f t="shared" si="70"/>
        <v>0</v>
      </c>
      <c r="P761" s="144"/>
      <c r="Q761" s="144"/>
      <c r="R761" s="144"/>
      <c r="S761" s="144"/>
    </row>
    <row r="762" spans="1:19" ht="14.25" customHeight="1">
      <c r="A762" s="630"/>
      <c r="B762" s="631"/>
      <c r="C762" s="1127"/>
      <c r="D762" s="632"/>
      <c r="E762" s="1127"/>
      <c r="F762" s="633">
        <f t="shared" si="71"/>
        <v>0</v>
      </c>
      <c r="G762" s="632"/>
      <c r="H762" s="1127"/>
      <c r="I762" s="633">
        <f t="shared" si="72"/>
        <v>0</v>
      </c>
      <c r="J762" s="633">
        <f t="shared" si="73"/>
        <v>0</v>
      </c>
      <c r="K762" s="633">
        <f t="shared" si="74"/>
        <v>0</v>
      </c>
      <c r="L762" s="1127"/>
      <c r="M762" s="1127"/>
      <c r="N762" s="1691">
        <f t="shared" si="69"/>
        <v>0</v>
      </c>
      <c r="O762" s="634">
        <f t="shared" si="70"/>
        <v>0</v>
      </c>
      <c r="P762" s="144"/>
      <c r="Q762" s="144"/>
      <c r="R762" s="144"/>
      <c r="S762" s="144"/>
    </row>
    <row r="763" spans="1:19" ht="14.25" customHeight="1">
      <c r="A763" s="630"/>
      <c r="B763" s="631"/>
      <c r="C763" s="1127"/>
      <c r="D763" s="632"/>
      <c r="E763" s="1127"/>
      <c r="F763" s="633">
        <f t="shared" si="71"/>
        <v>0</v>
      </c>
      <c r="G763" s="632"/>
      <c r="H763" s="1127"/>
      <c r="I763" s="633">
        <f t="shared" si="72"/>
        <v>0</v>
      </c>
      <c r="J763" s="633">
        <f t="shared" si="73"/>
        <v>0</v>
      </c>
      <c r="K763" s="633">
        <f t="shared" si="74"/>
        <v>0</v>
      </c>
      <c r="L763" s="1127"/>
      <c r="M763" s="1127"/>
      <c r="N763" s="1691">
        <f t="shared" si="69"/>
        <v>0</v>
      </c>
      <c r="O763" s="634">
        <f t="shared" si="70"/>
        <v>0</v>
      </c>
      <c r="P763" s="144"/>
      <c r="Q763" s="144"/>
      <c r="R763" s="144"/>
      <c r="S763" s="144"/>
    </row>
    <row r="764" spans="1:19" ht="14.25" customHeight="1">
      <c r="A764" s="630"/>
      <c r="B764" s="631"/>
      <c r="C764" s="1127"/>
      <c r="D764" s="632"/>
      <c r="E764" s="1127"/>
      <c r="F764" s="633">
        <f t="shared" si="71"/>
        <v>0</v>
      </c>
      <c r="G764" s="632"/>
      <c r="H764" s="1127"/>
      <c r="I764" s="633">
        <f t="shared" si="72"/>
        <v>0</v>
      </c>
      <c r="J764" s="633">
        <f t="shared" si="73"/>
        <v>0</v>
      </c>
      <c r="K764" s="633">
        <f t="shared" si="74"/>
        <v>0</v>
      </c>
      <c r="L764" s="1127"/>
      <c r="M764" s="1127"/>
      <c r="N764" s="1691">
        <f t="shared" si="69"/>
        <v>0</v>
      </c>
      <c r="O764" s="634">
        <f t="shared" si="70"/>
        <v>0</v>
      </c>
      <c r="P764" s="144"/>
      <c r="Q764" s="144"/>
      <c r="R764" s="144"/>
      <c r="S764" s="144"/>
    </row>
    <row r="765" spans="1:19" ht="14.25" customHeight="1">
      <c r="A765" s="630"/>
      <c r="B765" s="631"/>
      <c r="C765" s="1127"/>
      <c r="D765" s="632"/>
      <c r="E765" s="1127"/>
      <c r="F765" s="633">
        <f t="shared" si="71"/>
        <v>0</v>
      </c>
      <c r="G765" s="632"/>
      <c r="H765" s="1127"/>
      <c r="I765" s="633">
        <f t="shared" si="72"/>
        <v>0</v>
      </c>
      <c r="J765" s="633">
        <f t="shared" si="73"/>
        <v>0</v>
      </c>
      <c r="K765" s="633">
        <f t="shared" si="74"/>
        <v>0</v>
      </c>
      <c r="L765" s="1127"/>
      <c r="M765" s="1127"/>
      <c r="N765" s="1691">
        <f t="shared" si="69"/>
        <v>0</v>
      </c>
      <c r="O765" s="634">
        <f t="shared" si="70"/>
        <v>0</v>
      </c>
      <c r="P765" s="144"/>
      <c r="Q765" s="144"/>
      <c r="R765" s="144"/>
      <c r="S765" s="144"/>
    </row>
    <row r="766" spans="1:19" ht="14.25" customHeight="1">
      <c r="A766" s="630"/>
      <c r="B766" s="631"/>
      <c r="C766" s="1127"/>
      <c r="D766" s="632"/>
      <c r="E766" s="1127"/>
      <c r="F766" s="633">
        <f t="shared" si="71"/>
        <v>0</v>
      </c>
      <c r="G766" s="632"/>
      <c r="H766" s="1127"/>
      <c r="I766" s="633">
        <f t="shared" si="72"/>
        <v>0</v>
      </c>
      <c r="J766" s="633">
        <f t="shared" si="73"/>
        <v>0</v>
      </c>
      <c r="K766" s="633">
        <f t="shared" si="74"/>
        <v>0</v>
      </c>
      <c r="L766" s="1127"/>
      <c r="M766" s="1127"/>
      <c r="N766" s="1691">
        <f t="shared" si="69"/>
        <v>0</v>
      </c>
      <c r="O766" s="634">
        <f t="shared" si="70"/>
        <v>0</v>
      </c>
      <c r="P766" s="144"/>
      <c r="Q766" s="144"/>
      <c r="R766" s="144"/>
      <c r="S766" s="144"/>
    </row>
    <row r="767" spans="1:19" ht="14.25" customHeight="1">
      <c r="A767" s="630"/>
      <c r="B767" s="631"/>
      <c r="C767" s="1127"/>
      <c r="D767" s="632"/>
      <c r="E767" s="1127"/>
      <c r="F767" s="633">
        <f t="shared" si="71"/>
        <v>0</v>
      </c>
      <c r="G767" s="632"/>
      <c r="H767" s="1127"/>
      <c r="I767" s="633">
        <f t="shared" si="72"/>
        <v>0</v>
      </c>
      <c r="J767" s="633">
        <f t="shared" si="73"/>
        <v>0</v>
      </c>
      <c r="K767" s="633">
        <f t="shared" si="74"/>
        <v>0</v>
      </c>
      <c r="L767" s="1127"/>
      <c r="M767" s="1127"/>
      <c r="N767" s="1691">
        <f t="shared" si="69"/>
        <v>0</v>
      </c>
      <c r="O767" s="634">
        <f t="shared" si="70"/>
        <v>0</v>
      </c>
      <c r="P767" s="144"/>
      <c r="Q767" s="144"/>
      <c r="R767" s="144"/>
      <c r="S767" s="144"/>
    </row>
    <row r="768" spans="1:19" ht="14.25" customHeight="1">
      <c r="A768" s="630"/>
      <c r="B768" s="631"/>
      <c r="C768" s="1127"/>
      <c r="D768" s="632"/>
      <c r="E768" s="1127"/>
      <c r="F768" s="633">
        <f t="shared" si="71"/>
        <v>0</v>
      </c>
      <c r="G768" s="632"/>
      <c r="H768" s="1127"/>
      <c r="I768" s="633">
        <f t="shared" si="72"/>
        <v>0</v>
      </c>
      <c r="J768" s="633">
        <f t="shared" si="73"/>
        <v>0</v>
      </c>
      <c r="K768" s="633">
        <f t="shared" si="74"/>
        <v>0</v>
      </c>
      <c r="L768" s="1127"/>
      <c r="M768" s="1127"/>
      <c r="N768" s="1691">
        <f t="shared" si="69"/>
        <v>0</v>
      </c>
      <c r="O768" s="634">
        <f t="shared" si="70"/>
        <v>0</v>
      </c>
      <c r="P768" s="144"/>
      <c r="Q768" s="144"/>
      <c r="R768" s="144"/>
      <c r="S768" s="144"/>
    </row>
    <row r="769" spans="1:19" ht="14.25" customHeight="1">
      <c r="A769" s="630"/>
      <c r="B769" s="631"/>
      <c r="C769" s="1127"/>
      <c r="D769" s="632"/>
      <c r="E769" s="1127"/>
      <c r="F769" s="633">
        <f t="shared" si="71"/>
        <v>0</v>
      </c>
      <c r="G769" s="632"/>
      <c r="H769" s="1127"/>
      <c r="I769" s="633">
        <f t="shared" si="72"/>
        <v>0</v>
      </c>
      <c r="J769" s="633">
        <f t="shared" si="73"/>
        <v>0</v>
      </c>
      <c r="K769" s="633">
        <f t="shared" si="74"/>
        <v>0</v>
      </c>
      <c r="L769" s="1127"/>
      <c r="M769" s="1127"/>
      <c r="N769" s="1691">
        <f t="shared" si="69"/>
        <v>0</v>
      </c>
      <c r="O769" s="634">
        <f t="shared" si="70"/>
        <v>0</v>
      </c>
      <c r="P769" s="144"/>
      <c r="Q769" s="144"/>
      <c r="R769" s="144"/>
      <c r="S769" s="144"/>
    </row>
    <row r="770" spans="1:19" ht="14.25" customHeight="1">
      <c r="A770" s="630"/>
      <c r="B770" s="631"/>
      <c r="C770" s="1127"/>
      <c r="D770" s="632"/>
      <c r="E770" s="1127"/>
      <c r="F770" s="633">
        <f t="shared" si="71"/>
        <v>0</v>
      </c>
      <c r="G770" s="632"/>
      <c r="H770" s="1127"/>
      <c r="I770" s="633">
        <f t="shared" si="72"/>
        <v>0</v>
      </c>
      <c r="J770" s="633">
        <f t="shared" si="73"/>
        <v>0</v>
      </c>
      <c r="K770" s="633">
        <f t="shared" si="74"/>
        <v>0</v>
      </c>
      <c r="L770" s="1127"/>
      <c r="M770" s="1127"/>
      <c r="N770" s="1691">
        <f t="shared" si="69"/>
        <v>0</v>
      </c>
      <c r="O770" s="634">
        <f t="shared" si="70"/>
        <v>0</v>
      </c>
      <c r="P770" s="144"/>
      <c r="Q770" s="144"/>
      <c r="R770" s="144"/>
      <c r="S770" s="144"/>
    </row>
    <row r="771" spans="1:19" ht="14.25" customHeight="1">
      <c r="A771" s="630"/>
      <c r="B771" s="631"/>
      <c r="C771" s="1127"/>
      <c r="D771" s="632"/>
      <c r="E771" s="1127"/>
      <c r="F771" s="633">
        <f t="shared" si="71"/>
        <v>0</v>
      </c>
      <c r="G771" s="632"/>
      <c r="H771" s="1127"/>
      <c r="I771" s="633">
        <f t="shared" si="72"/>
        <v>0</v>
      </c>
      <c r="J771" s="633">
        <f t="shared" si="73"/>
        <v>0</v>
      </c>
      <c r="K771" s="633">
        <f t="shared" si="74"/>
        <v>0</v>
      </c>
      <c r="L771" s="1127"/>
      <c r="M771" s="1127"/>
      <c r="N771" s="1691">
        <f t="shared" si="69"/>
        <v>0</v>
      </c>
      <c r="O771" s="634">
        <f t="shared" si="70"/>
        <v>0</v>
      </c>
      <c r="P771" s="144"/>
      <c r="Q771" s="144"/>
      <c r="R771" s="144"/>
      <c r="S771" s="144"/>
    </row>
    <row r="772" spans="1:19" ht="14.25" customHeight="1">
      <c r="A772" s="630"/>
      <c r="B772" s="631"/>
      <c r="C772" s="1127"/>
      <c r="D772" s="632"/>
      <c r="E772" s="1127"/>
      <c r="F772" s="633">
        <f t="shared" si="71"/>
        <v>0</v>
      </c>
      <c r="G772" s="632"/>
      <c r="H772" s="1127"/>
      <c r="I772" s="633">
        <f t="shared" si="72"/>
        <v>0</v>
      </c>
      <c r="J772" s="633">
        <f t="shared" si="73"/>
        <v>0</v>
      </c>
      <c r="K772" s="633">
        <f t="shared" si="74"/>
        <v>0</v>
      </c>
      <c r="L772" s="1127"/>
      <c r="M772" s="1127"/>
      <c r="N772" s="1691">
        <f t="shared" si="69"/>
        <v>0</v>
      </c>
      <c r="O772" s="634">
        <f t="shared" si="70"/>
        <v>0</v>
      </c>
      <c r="P772" s="144"/>
      <c r="Q772" s="144"/>
      <c r="R772" s="144"/>
      <c r="S772" s="144"/>
    </row>
    <row r="773" spans="1:19" ht="14.25" customHeight="1">
      <c r="A773" s="630"/>
      <c r="B773" s="631"/>
      <c r="C773" s="1127"/>
      <c r="D773" s="632"/>
      <c r="E773" s="1127"/>
      <c r="F773" s="633">
        <f t="shared" si="71"/>
        <v>0</v>
      </c>
      <c r="G773" s="632"/>
      <c r="H773" s="1127"/>
      <c r="I773" s="633">
        <f t="shared" si="72"/>
        <v>0</v>
      </c>
      <c r="J773" s="633">
        <f t="shared" si="73"/>
        <v>0</v>
      </c>
      <c r="K773" s="633">
        <f t="shared" si="74"/>
        <v>0</v>
      </c>
      <c r="L773" s="1127"/>
      <c r="M773" s="1127"/>
      <c r="N773" s="1691">
        <f t="shared" si="69"/>
        <v>0</v>
      </c>
      <c r="O773" s="634">
        <f t="shared" si="70"/>
        <v>0</v>
      </c>
      <c r="P773" s="144"/>
      <c r="Q773" s="144"/>
      <c r="R773" s="144"/>
      <c r="S773" s="144"/>
    </row>
    <row r="774" spans="1:19" ht="14.25" customHeight="1">
      <c r="A774" s="630"/>
      <c r="B774" s="631"/>
      <c r="C774" s="1127"/>
      <c r="D774" s="632"/>
      <c r="E774" s="1127"/>
      <c r="F774" s="633">
        <f t="shared" si="71"/>
        <v>0</v>
      </c>
      <c r="G774" s="632"/>
      <c r="H774" s="1127"/>
      <c r="I774" s="633">
        <f t="shared" si="72"/>
        <v>0</v>
      </c>
      <c r="J774" s="633">
        <f t="shared" si="73"/>
        <v>0</v>
      </c>
      <c r="K774" s="633">
        <f t="shared" si="74"/>
        <v>0</v>
      </c>
      <c r="L774" s="1127"/>
      <c r="M774" s="1127"/>
      <c r="N774" s="1691">
        <f t="shared" si="69"/>
        <v>0</v>
      </c>
      <c r="O774" s="634">
        <f t="shared" si="70"/>
        <v>0</v>
      </c>
      <c r="P774" s="144"/>
      <c r="Q774" s="144"/>
      <c r="R774" s="144"/>
      <c r="S774" s="144"/>
    </row>
    <row r="775" spans="1:19" ht="14.25" customHeight="1">
      <c r="A775" s="630"/>
      <c r="B775" s="631"/>
      <c r="C775" s="1127"/>
      <c r="D775" s="632"/>
      <c r="E775" s="1127"/>
      <c r="F775" s="633">
        <f t="shared" si="71"/>
        <v>0</v>
      </c>
      <c r="G775" s="632"/>
      <c r="H775" s="1127"/>
      <c r="I775" s="633">
        <f t="shared" si="72"/>
        <v>0</v>
      </c>
      <c r="J775" s="633">
        <f t="shared" si="73"/>
        <v>0</v>
      </c>
      <c r="K775" s="633">
        <f t="shared" si="74"/>
        <v>0</v>
      </c>
      <c r="L775" s="1127"/>
      <c r="M775" s="1127"/>
      <c r="N775" s="1691">
        <f t="shared" si="69"/>
        <v>0</v>
      </c>
      <c r="O775" s="634">
        <f t="shared" si="70"/>
        <v>0</v>
      </c>
      <c r="P775" s="144"/>
      <c r="Q775" s="144"/>
      <c r="R775" s="144"/>
      <c r="S775" s="144"/>
    </row>
    <row r="776" spans="1:19" ht="14.25" customHeight="1">
      <c r="A776" s="630"/>
      <c r="B776" s="631"/>
      <c r="C776" s="1127"/>
      <c r="D776" s="632"/>
      <c r="E776" s="1127"/>
      <c r="F776" s="633">
        <f t="shared" si="71"/>
        <v>0</v>
      </c>
      <c r="G776" s="632"/>
      <c r="H776" s="1127"/>
      <c r="I776" s="633">
        <f t="shared" si="72"/>
        <v>0</v>
      </c>
      <c r="J776" s="633">
        <f t="shared" si="73"/>
        <v>0</v>
      </c>
      <c r="K776" s="633">
        <f t="shared" si="74"/>
        <v>0</v>
      </c>
      <c r="L776" s="1127"/>
      <c r="M776" s="1127"/>
      <c r="N776" s="1691">
        <f t="shared" si="69"/>
        <v>0</v>
      </c>
      <c r="O776" s="634">
        <f t="shared" si="70"/>
        <v>0</v>
      </c>
      <c r="P776" s="144"/>
      <c r="Q776" s="144"/>
      <c r="R776" s="144"/>
      <c r="S776" s="144"/>
    </row>
    <row r="777" spans="1:19" ht="14.25" customHeight="1">
      <c r="A777" s="630"/>
      <c r="B777" s="631"/>
      <c r="C777" s="1127"/>
      <c r="D777" s="632"/>
      <c r="E777" s="1127"/>
      <c r="F777" s="633">
        <f t="shared" si="71"/>
        <v>0</v>
      </c>
      <c r="G777" s="632"/>
      <c r="H777" s="1127"/>
      <c r="I777" s="633">
        <f t="shared" si="72"/>
        <v>0</v>
      </c>
      <c r="J777" s="633">
        <f t="shared" si="73"/>
        <v>0</v>
      </c>
      <c r="K777" s="633">
        <f t="shared" si="74"/>
        <v>0</v>
      </c>
      <c r="L777" s="1127"/>
      <c r="M777" s="1127"/>
      <c r="N777" s="1691">
        <f t="shared" si="69"/>
        <v>0</v>
      </c>
      <c r="O777" s="634">
        <f t="shared" si="70"/>
        <v>0</v>
      </c>
      <c r="P777" s="144"/>
      <c r="Q777" s="144"/>
      <c r="R777" s="144"/>
      <c r="S777" s="144"/>
    </row>
    <row r="778" spans="1:19" ht="14.25" customHeight="1">
      <c r="A778" s="630"/>
      <c r="B778" s="631"/>
      <c r="C778" s="1127"/>
      <c r="D778" s="632"/>
      <c r="E778" s="1127"/>
      <c r="F778" s="633">
        <f t="shared" si="71"/>
        <v>0</v>
      </c>
      <c r="G778" s="632"/>
      <c r="H778" s="1127"/>
      <c r="I778" s="633">
        <f t="shared" si="72"/>
        <v>0</v>
      </c>
      <c r="J778" s="633">
        <f t="shared" si="73"/>
        <v>0</v>
      </c>
      <c r="K778" s="633">
        <f t="shared" si="74"/>
        <v>0</v>
      </c>
      <c r="L778" s="1127"/>
      <c r="M778" s="1127"/>
      <c r="N778" s="1691">
        <f t="shared" ref="N778:N841" si="75">IF(M778&lt;&gt;0,ROUND(B778*K778,2)+M778,IF(ABS(ROUND(K778*B778,2)-L778)&lt;3,L778,MIN(ROUND(K778*B778,2),L778)))</f>
        <v>0</v>
      </c>
      <c r="O778" s="634">
        <f t="shared" ref="O778:O841" si="76">IF(ISERROR(L778-N778),"",IF(ABS(L778-N778)&lt;3,0,L778-N778))</f>
        <v>0</v>
      </c>
      <c r="P778" s="144"/>
      <c r="Q778" s="144"/>
      <c r="R778" s="144"/>
      <c r="S778" s="144"/>
    </row>
    <row r="779" spans="1:19" ht="14.25" customHeight="1">
      <c r="A779" s="630"/>
      <c r="B779" s="631"/>
      <c r="C779" s="1127"/>
      <c r="D779" s="632"/>
      <c r="E779" s="1127"/>
      <c r="F779" s="633">
        <f t="shared" ref="F779:F842" si="77">E779*(12-MONTH(D779))/12</f>
        <v>0</v>
      </c>
      <c r="G779" s="632"/>
      <c r="H779" s="1127"/>
      <c r="I779" s="633">
        <f t="shared" ref="I779:I842" si="78">H779*(12-MONTH(G779))/12</f>
        <v>0</v>
      </c>
      <c r="J779" s="633">
        <f t="shared" ref="J779:J842" si="79">C779+E779-H779</f>
        <v>0</v>
      </c>
      <c r="K779" s="633">
        <f t="shared" ref="K779:K842" si="80">C779+F779-I779</f>
        <v>0</v>
      </c>
      <c r="L779" s="1127"/>
      <c r="M779" s="1127"/>
      <c r="N779" s="1691">
        <f t="shared" si="75"/>
        <v>0</v>
      </c>
      <c r="O779" s="634">
        <f t="shared" si="76"/>
        <v>0</v>
      </c>
      <c r="P779" s="144"/>
      <c r="Q779" s="144"/>
      <c r="R779" s="144"/>
      <c r="S779" s="144"/>
    </row>
    <row r="780" spans="1:19" ht="14.25" customHeight="1">
      <c r="A780" s="630"/>
      <c r="B780" s="631"/>
      <c r="C780" s="1127"/>
      <c r="D780" s="632"/>
      <c r="E780" s="1127"/>
      <c r="F780" s="633">
        <f t="shared" si="77"/>
        <v>0</v>
      </c>
      <c r="G780" s="632"/>
      <c r="H780" s="1127"/>
      <c r="I780" s="633">
        <f t="shared" si="78"/>
        <v>0</v>
      </c>
      <c r="J780" s="633">
        <f t="shared" si="79"/>
        <v>0</v>
      </c>
      <c r="K780" s="633">
        <f t="shared" si="80"/>
        <v>0</v>
      </c>
      <c r="L780" s="1127"/>
      <c r="M780" s="1127"/>
      <c r="N780" s="1691">
        <f t="shared" si="75"/>
        <v>0</v>
      </c>
      <c r="O780" s="634">
        <f t="shared" si="76"/>
        <v>0</v>
      </c>
      <c r="P780" s="144"/>
      <c r="Q780" s="144"/>
      <c r="R780" s="144"/>
      <c r="S780" s="144"/>
    </row>
    <row r="781" spans="1:19" ht="14.25" customHeight="1">
      <c r="A781" s="630"/>
      <c r="B781" s="631"/>
      <c r="C781" s="1127"/>
      <c r="D781" s="632"/>
      <c r="E781" s="1127"/>
      <c r="F781" s="633">
        <f t="shared" si="77"/>
        <v>0</v>
      </c>
      <c r="G781" s="632"/>
      <c r="H781" s="1127"/>
      <c r="I781" s="633">
        <f t="shared" si="78"/>
        <v>0</v>
      </c>
      <c r="J781" s="633">
        <f t="shared" si="79"/>
        <v>0</v>
      </c>
      <c r="K781" s="633">
        <f t="shared" si="80"/>
        <v>0</v>
      </c>
      <c r="L781" s="1127"/>
      <c r="M781" s="1127"/>
      <c r="N781" s="1691">
        <f t="shared" si="75"/>
        <v>0</v>
      </c>
      <c r="O781" s="634">
        <f t="shared" si="76"/>
        <v>0</v>
      </c>
      <c r="P781" s="144"/>
      <c r="Q781" s="144"/>
      <c r="R781" s="144"/>
      <c r="S781" s="144"/>
    </row>
    <row r="782" spans="1:19" ht="14.25" customHeight="1">
      <c r="A782" s="630"/>
      <c r="B782" s="631"/>
      <c r="C782" s="1127"/>
      <c r="D782" s="632"/>
      <c r="E782" s="1127"/>
      <c r="F782" s="633">
        <f t="shared" si="77"/>
        <v>0</v>
      </c>
      <c r="G782" s="632"/>
      <c r="H782" s="1127"/>
      <c r="I782" s="633">
        <f t="shared" si="78"/>
        <v>0</v>
      </c>
      <c r="J782" s="633">
        <f t="shared" si="79"/>
        <v>0</v>
      </c>
      <c r="K782" s="633">
        <f t="shared" si="80"/>
        <v>0</v>
      </c>
      <c r="L782" s="1127"/>
      <c r="M782" s="1127"/>
      <c r="N782" s="1691">
        <f t="shared" si="75"/>
        <v>0</v>
      </c>
      <c r="O782" s="634">
        <f t="shared" si="76"/>
        <v>0</v>
      </c>
      <c r="P782" s="144"/>
      <c r="Q782" s="144"/>
      <c r="R782" s="144"/>
      <c r="S782" s="144"/>
    </row>
    <row r="783" spans="1:19" ht="14.25" customHeight="1">
      <c r="A783" s="630"/>
      <c r="B783" s="631"/>
      <c r="C783" s="1127"/>
      <c r="D783" s="632"/>
      <c r="E783" s="1127"/>
      <c r="F783" s="633">
        <f t="shared" si="77"/>
        <v>0</v>
      </c>
      <c r="G783" s="632"/>
      <c r="H783" s="1127"/>
      <c r="I783" s="633">
        <f t="shared" si="78"/>
        <v>0</v>
      </c>
      <c r="J783" s="633">
        <f t="shared" si="79"/>
        <v>0</v>
      </c>
      <c r="K783" s="633">
        <f t="shared" si="80"/>
        <v>0</v>
      </c>
      <c r="L783" s="1127"/>
      <c r="M783" s="1127"/>
      <c r="N783" s="1691">
        <f t="shared" si="75"/>
        <v>0</v>
      </c>
      <c r="O783" s="634">
        <f t="shared" si="76"/>
        <v>0</v>
      </c>
      <c r="P783" s="144"/>
      <c r="Q783" s="144"/>
      <c r="R783" s="144"/>
      <c r="S783" s="144"/>
    </row>
    <row r="784" spans="1:19" ht="14.25" customHeight="1">
      <c r="A784" s="630"/>
      <c r="B784" s="631"/>
      <c r="C784" s="1127"/>
      <c r="D784" s="632"/>
      <c r="E784" s="1127"/>
      <c r="F784" s="633">
        <f t="shared" si="77"/>
        <v>0</v>
      </c>
      <c r="G784" s="632"/>
      <c r="H784" s="1127"/>
      <c r="I784" s="633">
        <f t="shared" si="78"/>
        <v>0</v>
      </c>
      <c r="J784" s="633">
        <f t="shared" si="79"/>
        <v>0</v>
      </c>
      <c r="K784" s="633">
        <f t="shared" si="80"/>
        <v>0</v>
      </c>
      <c r="L784" s="1127"/>
      <c r="M784" s="1127"/>
      <c r="N784" s="1691">
        <f t="shared" si="75"/>
        <v>0</v>
      </c>
      <c r="O784" s="634">
        <f t="shared" si="76"/>
        <v>0</v>
      </c>
      <c r="P784" s="144"/>
      <c r="Q784" s="144"/>
      <c r="R784" s="144"/>
      <c r="S784" s="144"/>
    </row>
    <row r="785" spans="1:19" ht="14.25" customHeight="1">
      <c r="A785" s="630"/>
      <c r="B785" s="631"/>
      <c r="C785" s="1127"/>
      <c r="D785" s="632"/>
      <c r="E785" s="1127"/>
      <c r="F785" s="633">
        <f t="shared" si="77"/>
        <v>0</v>
      </c>
      <c r="G785" s="632"/>
      <c r="H785" s="1127"/>
      <c r="I785" s="633">
        <f t="shared" si="78"/>
        <v>0</v>
      </c>
      <c r="J785" s="633">
        <f t="shared" si="79"/>
        <v>0</v>
      </c>
      <c r="K785" s="633">
        <f t="shared" si="80"/>
        <v>0</v>
      </c>
      <c r="L785" s="1127"/>
      <c r="M785" s="1127"/>
      <c r="N785" s="1691">
        <f t="shared" si="75"/>
        <v>0</v>
      </c>
      <c r="O785" s="634">
        <f t="shared" si="76"/>
        <v>0</v>
      </c>
      <c r="P785" s="144"/>
      <c r="Q785" s="144"/>
      <c r="R785" s="144"/>
      <c r="S785" s="144"/>
    </row>
    <row r="786" spans="1:19" ht="14.25" customHeight="1">
      <c r="A786" s="630"/>
      <c r="B786" s="631"/>
      <c r="C786" s="1127"/>
      <c r="D786" s="632"/>
      <c r="E786" s="1127"/>
      <c r="F786" s="633">
        <f t="shared" si="77"/>
        <v>0</v>
      </c>
      <c r="G786" s="632"/>
      <c r="H786" s="1127"/>
      <c r="I786" s="633">
        <f t="shared" si="78"/>
        <v>0</v>
      </c>
      <c r="J786" s="633">
        <f t="shared" si="79"/>
        <v>0</v>
      </c>
      <c r="K786" s="633">
        <f t="shared" si="80"/>
        <v>0</v>
      </c>
      <c r="L786" s="1127"/>
      <c r="M786" s="1127"/>
      <c r="N786" s="1691">
        <f t="shared" si="75"/>
        <v>0</v>
      </c>
      <c r="O786" s="634">
        <f t="shared" si="76"/>
        <v>0</v>
      </c>
      <c r="P786" s="144"/>
      <c r="Q786" s="144"/>
      <c r="R786" s="144"/>
      <c r="S786" s="144"/>
    </row>
    <row r="787" spans="1:19" ht="14.25" customHeight="1">
      <c r="A787" s="630"/>
      <c r="B787" s="631"/>
      <c r="C787" s="1127"/>
      <c r="D787" s="632"/>
      <c r="E787" s="1127"/>
      <c r="F787" s="633">
        <f t="shared" si="77"/>
        <v>0</v>
      </c>
      <c r="G787" s="632"/>
      <c r="H787" s="1127"/>
      <c r="I787" s="633">
        <f t="shared" si="78"/>
        <v>0</v>
      </c>
      <c r="J787" s="633">
        <f t="shared" si="79"/>
        <v>0</v>
      </c>
      <c r="K787" s="633">
        <f t="shared" si="80"/>
        <v>0</v>
      </c>
      <c r="L787" s="1127"/>
      <c r="M787" s="1127"/>
      <c r="N787" s="1691">
        <f t="shared" si="75"/>
        <v>0</v>
      </c>
      <c r="O787" s="634">
        <f t="shared" si="76"/>
        <v>0</v>
      </c>
      <c r="P787" s="144"/>
      <c r="Q787" s="144"/>
      <c r="R787" s="144"/>
      <c r="S787" s="144"/>
    </row>
    <row r="788" spans="1:19" ht="14.25" customHeight="1">
      <c r="A788" s="630"/>
      <c r="B788" s="631"/>
      <c r="C788" s="1127"/>
      <c r="D788" s="632"/>
      <c r="E788" s="1127"/>
      <c r="F788" s="633">
        <f t="shared" si="77"/>
        <v>0</v>
      </c>
      <c r="G788" s="632"/>
      <c r="H788" s="1127"/>
      <c r="I788" s="633">
        <f t="shared" si="78"/>
        <v>0</v>
      </c>
      <c r="J788" s="633">
        <f t="shared" si="79"/>
        <v>0</v>
      </c>
      <c r="K788" s="633">
        <f t="shared" si="80"/>
        <v>0</v>
      </c>
      <c r="L788" s="1127"/>
      <c r="M788" s="1127"/>
      <c r="N788" s="1691">
        <f t="shared" si="75"/>
        <v>0</v>
      </c>
      <c r="O788" s="634">
        <f t="shared" si="76"/>
        <v>0</v>
      </c>
      <c r="P788" s="144"/>
      <c r="Q788" s="144"/>
      <c r="R788" s="144"/>
      <c r="S788" s="144"/>
    </row>
    <row r="789" spans="1:19" ht="14.25" customHeight="1">
      <c r="A789" s="630"/>
      <c r="B789" s="631"/>
      <c r="C789" s="1127"/>
      <c r="D789" s="632"/>
      <c r="E789" s="1127"/>
      <c r="F789" s="633">
        <f t="shared" si="77"/>
        <v>0</v>
      </c>
      <c r="G789" s="632"/>
      <c r="H789" s="1127"/>
      <c r="I789" s="633">
        <f t="shared" si="78"/>
        <v>0</v>
      </c>
      <c r="J789" s="633">
        <f t="shared" si="79"/>
        <v>0</v>
      </c>
      <c r="K789" s="633">
        <f t="shared" si="80"/>
        <v>0</v>
      </c>
      <c r="L789" s="1127"/>
      <c r="M789" s="1127"/>
      <c r="N789" s="1691">
        <f t="shared" si="75"/>
        <v>0</v>
      </c>
      <c r="O789" s="634">
        <f t="shared" si="76"/>
        <v>0</v>
      </c>
      <c r="P789" s="144"/>
      <c r="Q789" s="144"/>
      <c r="R789" s="144"/>
      <c r="S789" s="144"/>
    </row>
    <row r="790" spans="1:19" ht="14.25" customHeight="1">
      <c r="A790" s="630"/>
      <c r="B790" s="631"/>
      <c r="C790" s="1127"/>
      <c r="D790" s="632"/>
      <c r="E790" s="1127"/>
      <c r="F790" s="633">
        <f t="shared" si="77"/>
        <v>0</v>
      </c>
      <c r="G790" s="632"/>
      <c r="H790" s="1127"/>
      <c r="I790" s="633">
        <f t="shared" si="78"/>
        <v>0</v>
      </c>
      <c r="J790" s="633">
        <f t="shared" si="79"/>
        <v>0</v>
      </c>
      <c r="K790" s="633">
        <f t="shared" si="80"/>
        <v>0</v>
      </c>
      <c r="L790" s="1127"/>
      <c r="M790" s="1127"/>
      <c r="N790" s="1691">
        <f t="shared" si="75"/>
        <v>0</v>
      </c>
      <c r="O790" s="634">
        <f t="shared" si="76"/>
        <v>0</v>
      </c>
      <c r="P790" s="144"/>
      <c r="Q790" s="144"/>
      <c r="R790" s="144"/>
      <c r="S790" s="144"/>
    </row>
    <row r="791" spans="1:19" ht="14.25" customHeight="1">
      <c r="A791" s="630"/>
      <c r="B791" s="631"/>
      <c r="C791" s="1127"/>
      <c r="D791" s="632"/>
      <c r="E791" s="1127"/>
      <c r="F791" s="633">
        <f t="shared" si="77"/>
        <v>0</v>
      </c>
      <c r="G791" s="632"/>
      <c r="H791" s="1127"/>
      <c r="I791" s="633">
        <f t="shared" si="78"/>
        <v>0</v>
      </c>
      <c r="J791" s="633">
        <f t="shared" si="79"/>
        <v>0</v>
      </c>
      <c r="K791" s="633">
        <f t="shared" si="80"/>
        <v>0</v>
      </c>
      <c r="L791" s="1127"/>
      <c r="M791" s="1127"/>
      <c r="N791" s="1691">
        <f t="shared" si="75"/>
        <v>0</v>
      </c>
      <c r="O791" s="634">
        <f t="shared" si="76"/>
        <v>0</v>
      </c>
      <c r="P791" s="144"/>
      <c r="Q791" s="144"/>
      <c r="R791" s="144"/>
      <c r="S791" s="144"/>
    </row>
    <row r="792" spans="1:19" ht="14.25" customHeight="1">
      <c r="A792" s="630"/>
      <c r="B792" s="631"/>
      <c r="C792" s="1127"/>
      <c r="D792" s="632"/>
      <c r="E792" s="1127"/>
      <c r="F792" s="633">
        <f t="shared" si="77"/>
        <v>0</v>
      </c>
      <c r="G792" s="632"/>
      <c r="H792" s="1127"/>
      <c r="I792" s="633">
        <f t="shared" si="78"/>
        <v>0</v>
      </c>
      <c r="J792" s="633">
        <f t="shared" si="79"/>
        <v>0</v>
      </c>
      <c r="K792" s="633">
        <f t="shared" si="80"/>
        <v>0</v>
      </c>
      <c r="L792" s="1127"/>
      <c r="M792" s="1127"/>
      <c r="N792" s="1691">
        <f t="shared" si="75"/>
        <v>0</v>
      </c>
      <c r="O792" s="634">
        <f t="shared" si="76"/>
        <v>0</v>
      </c>
      <c r="P792" s="144"/>
      <c r="Q792" s="144"/>
      <c r="R792" s="144"/>
      <c r="S792" s="144"/>
    </row>
    <row r="793" spans="1:19" ht="14.25" customHeight="1">
      <c r="A793" s="630"/>
      <c r="B793" s="631"/>
      <c r="C793" s="1127"/>
      <c r="D793" s="632"/>
      <c r="E793" s="1127"/>
      <c r="F793" s="633">
        <f t="shared" si="77"/>
        <v>0</v>
      </c>
      <c r="G793" s="632"/>
      <c r="H793" s="1127"/>
      <c r="I793" s="633">
        <f t="shared" si="78"/>
        <v>0</v>
      </c>
      <c r="J793" s="633">
        <f t="shared" si="79"/>
        <v>0</v>
      </c>
      <c r="K793" s="633">
        <f t="shared" si="80"/>
        <v>0</v>
      </c>
      <c r="L793" s="1127"/>
      <c r="M793" s="1127"/>
      <c r="N793" s="1691">
        <f t="shared" si="75"/>
        <v>0</v>
      </c>
      <c r="O793" s="634">
        <f t="shared" si="76"/>
        <v>0</v>
      </c>
      <c r="P793" s="144"/>
      <c r="Q793" s="144"/>
      <c r="R793" s="144"/>
      <c r="S793" s="144"/>
    </row>
    <row r="794" spans="1:19" ht="14.25" customHeight="1">
      <c r="A794" s="630"/>
      <c r="B794" s="631"/>
      <c r="C794" s="1127"/>
      <c r="D794" s="632"/>
      <c r="E794" s="1127"/>
      <c r="F794" s="633">
        <f t="shared" si="77"/>
        <v>0</v>
      </c>
      <c r="G794" s="632"/>
      <c r="H794" s="1127"/>
      <c r="I794" s="633">
        <f t="shared" si="78"/>
        <v>0</v>
      </c>
      <c r="J794" s="633">
        <f t="shared" si="79"/>
        <v>0</v>
      </c>
      <c r="K794" s="633">
        <f t="shared" si="80"/>
        <v>0</v>
      </c>
      <c r="L794" s="1127"/>
      <c r="M794" s="1127"/>
      <c r="N794" s="1691">
        <f t="shared" si="75"/>
        <v>0</v>
      </c>
      <c r="O794" s="634">
        <f t="shared" si="76"/>
        <v>0</v>
      </c>
      <c r="P794" s="144"/>
      <c r="Q794" s="144"/>
      <c r="R794" s="144"/>
      <c r="S794" s="144"/>
    </row>
    <row r="795" spans="1:19" ht="14.25" customHeight="1">
      <c r="A795" s="630"/>
      <c r="B795" s="631"/>
      <c r="C795" s="1127"/>
      <c r="D795" s="632"/>
      <c r="E795" s="1127"/>
      <c r="F795" s="633">
        <f t="shared" si="77"/>
        <v>0</v>
      </c>
      <c r="G795" s="632"/>
      <c r="H795" s="1127"/>
      <c r="I795" s="633">
        <f t="shared" si="78"/>
        <v>0</v>
      </c>
      <c r="J795" s="633">
        <f t="shared" si="79"/>
        <v>0</v>
      </c>
      <c r="K795" s="633">
        <f t="shared" si="80"/>
        <v>0</v>
      </c>
      <c r="L795" s="1127"/>
      <c r="M795" s="1127"/>
      <c r="N795" s="1691">
        <f t="shared" si="75"/>
        <v>0</v>
      </c>
      <c r="O795" s="634">
        <f t="shared" si="76"/>
        <v>0</v>
      </c>
      <c r="P795" s="144"/>
      <c r="Q795" s="144"/>
      <c r="R795" s="144"/>
      <c r="S795" s="144"/>
    </row>
    <row r="796" spans="1:19" ht="14.25" customHeight="1">
      <c r="A796" s="630"/>
      <c r="B796" s="631"/>
      <c r="C796" s="1127"/>
      <c r="D796" s="632"/>
      <c r="E796" s="1127"/>
      <c r="F796" s="633">
        <f t="shared" si="77"/>
        <v>0</v>
      </c>
      <c r="G796" s="632"/>
      <c r="H796" s="1127"/>
      <c r="I796" s="633">
        <f t="shared" si="78"/>
        <v>0</v>
      </c>
      <c r="J796" s="633">
        <f t="shared" si="79"/>
        <v>0</v>
      </c>
      <c r="K796" s="633">
        <f t="shared" si="80"/>
        <v>0</v>
      </c>
      <c r="L796" s="1127"/>
      <c r="M796" s="1127"/>
      <c r="N796" s="1691">
        <f t="shared" si="75"/>
        <v>0</v>
      </c>
      <c r="O796" s="634">
        <f t="shared" si="76"/>
        <v>0</v>
      </c>
      <c r="P796" s="144"/>
      <c r="Q796" s="144"/>
      <c r="R796" s="144"/>
      <c r="S796" s="144"/>
    </row>
    <row r="797" spans="1:19" ht="14.25" customHeight="1">
      <c r="A797" s="630"/>
      <c r="B797" s="631"/>
      <c r="C797" s="1127"/>
      <c r="D797" s="632"/>
      <c r="E797" s="1127"/>
      <c r="F797" s="633">
        <f t="shared" si="77"/>
        <v>0</v>
      </c>
      <c r="G797" s="632"/>
      <c r="H797" s="1127"/>
      <c r="I797" s="633">
        <f t="shared" si="78"/>
        <v>0</v>
      </c>
      <c r="J797" s="633">
        <f t="shared" si="79"/>
        <v>0</v>
      </c>
      <c r="K797" s="633">
        <f t="shared" si="80"/>
        <v>0</v>
      </c>
      <c r="L797" s="1127"/>
      <c r="M797" s="1127"/>
      <c r="N797" s="1691">
        <f t="shared" si="75"/>
        <v>0</v>
      </c>
      <c r="O797" s="634">
        <f t="shared" si="76"/>
        <v>0</v>
      </c>
      <c r="P797" s="144"/>
      <c r="Q797" s="144"/>
      <c r="R797" s="144"/>
      <c r="S797" s="144"/>
    </row>
    <row r="798" spans="1:19" ht="14.25" customHeight="1">
      <c r="A798" s="630"/>
      <c r="B798" s="631"/>
      <c r="C798" s="1127"/>
      <c r="D798" s="632"/>
      <c r="E798" s="1127"/>
      <c r="F798" s="633">
        <f t="shared" si="77"/>
        <v>0</v>
      </c>
      <c r="G798" s="632"/>
      <c r="H798" s="1127"/>
      <c r="I798" s="633">
        <f t="shared" si="78"/>
        <v>0</v>
      </c>
      <c r="J798" s="633">
        <f t="shared" si="79"/>
        <v>0</v>
      </c>
      <c r="K798" s="633">
        <f t="shared" si="80"/>
        <v>0</v>
      </c>
      <c r="L798" s="1127"/>
      <c r="M798" s="1127"/>
      <c r="N798" s="1691">
        <f t="shared" si="75"/>
        <v>0</v>
      </c>
      <c r="O798" s="634">
        <f t="shared" si="76"/>
        <v>0</v>
      </c>
      <c r="P798" s="144"/>
      <c r="Q798" s="144"/>
      <c r="R798" s="144"/>
      <c r="S798" s="144"/>
    </row>
    <row r="799" spans="1:19" ht="14.25" customHeight="1">
      <c r="A799" s="630"/>
      <c r="B799" s="631"/>
      <c r="C799" s="1127"/>
      <c r="D799" s="632"/>
      <c r="E799" s="1127"/>
      <c r="F799" s="633">
        <f t="shared" si="77"/>
        <v>0</v>
      </c>
      <c r="G799" s="632"/>
      <c r="H799" s="1127"/>
      <c r="I799" s="633">
        <f t="shared" si="78"/>
        <v>0</v>
      </c>
      <c r="J799" s="633">
        <f t="shared" si="79"/>
        <v>0</v>
      </c>
      <c r="K799" s="633">
        <f t="shared" si="80"/>
        <v>0</v>
      </c>
      <c r="L799" s="1127"/>
      <c r="M799" s="1127"/>
      <c r="N799" s="1691">
        <f t="shared" si="75"/>
        <v>0</v>
      </c>
      <c r="O799" s="634">
        <f t="shared" si="76"/>
        <v>0</v>
      </c>
      <c r="P799" s="144"/>
      <c r="Q799" s="144"/>
      <c r="R799" s="144"/>
      <c r="S799" s="144"/>
    </row>
    <row r="800" spans="1:19" ht="14.25" customHeight="1">
      <c r="A800" s="630"/>
      <c r="B800" s="631"/>
      <c r="C800" s="1127"/>
      <c r="D800" s="632"/>
      <c r="E800" s="1127"/>
      <c r="F800" s="633">
        <f t="shared" si="77"/>
        <v>0</v>
      </c>
      <c r="G800" s="632"/>
      <c r="H800" s="1127"/>
      <c r="I800" s="633">
        <f t="shared" si="78"/>
        <v>0</v>
      </c>
      <c r="J800" s="633">
        <f t="shared" si="79"/>
        <v>0</v>
      </c>
      <c r="K800" s="633">
        <f t="shared" si="80"/>
        <v>0</v>
      </c>
      <c r="L800" s="1127"/>
      <c r="M800" s="1127"/>
      <c r="N800" s="1691">
        <f t="shared" si="75"/>
        <v>0</v>
      </c>
      <c r="O800" s="634">
        <f t="shared" si="76"/>
        <v>0</v>
      </c>
      <c r="P800" s="144"/>
      <c r="Q800" s="144"/>
      <c r="R800" s="144"/>
      <c r="S800" s="144"/>
    </row>
    <row r="801" spans="1:19" ht="14.25" customHeight="1">
      <c r="A801" s="630"/>
      <c r="B801" s="631"/>
      <c r="C801" s="1127"/>
      <c r="D801" s="632"/>
      <c r="E801" s="1127"/>
      <c r="F801" s="633">
        <f t="shared" si="77"/>
        <v>0</v>
      </c>
      <c r="G801" s="632"/>
      <c r="H801" s="1127"/>
      <c r="I801" s="633">
        <f t="shared" si="78"/>
        <v>0</v>
      </c>
      <c r="J801" s="633">
        <f t="shared" si="79"/>
        <v>0</v>
      </c>
      <c r="K801" s="633">
        <f t="shared" si="80"/>
        <v>0</v>
      </c>
      <c r="L801" s="1127"/>
      <c r="M801" s="1127"/>
      <c r="N801" s="1691">
        <f t="shared" si="75"/>
        <v>0</v>
      </c>
      <c r="O801" s="634">
        <f t="shared" si="76"/>
        <v>0</v>
      </c>
      <c r="P801" s="144"/>
      <c r="Q801" s="144"/>
      <c r="R801" s="144"/>
      <c r="S801" s="144"/>
    </row>
    <row r="802" spans="1:19" ht="14.25" customHeight="1">
      <c r="A802" s="630"/>
      <c r="B802" s="631"/>
      <c r="C802" s="1127"/>
      <c r="D802" s="632"/>
      <c r="E802" s="1127"/>
      <c r="F802" s="633">
        <f t="shared" si="77"/>
        <v>0</v>
      </c>
      <c r="G802" s="632"/>
      <c r="H802" s="1127"/>
      <c r="I802" s="633">
        <f t="shared" si="78"/>
        <v>0</v>
      </c>
      <c r="J802" s="633">
        <f t="shared" si="79"/>
        <v>0</v>
      </c>
      <c r="K802" s="633">
        <f t="shared" si="80"/>
        <v>0</v>
      </c>
      <c r="L802" s="1127"/>
      <c r="M802" s="1127"/>
      <c r="N802" s="1691">
        <f t="shared" si="75"/>
        <v>0</v>
      </c>
      <c r="O802" s="634">
        <f t="shared" si="76"/>
        <v>0</v>
      </c>
      <c r="P802" s="144"/>
      <c r="Q802" s="144"/>
      <c r="R802" s="144"/>
      <c r="S802" s="144"/>
    </row>
    <row r="803" spans="1:19" ht="14.25" customHeight="1">
      <c r="A803" s="630"/>
      <c r="B803" s="631"/>
      <c r="C803" s="1127"/>
      <c r="D803" s="632"/>
      <c r="E803" s="1127"/>
      <c r="F803" s="633">
        <f t="shared" si="77"/>
        <v>0</v>
      </c>
      <c r="G803" s="632"/>
      <c r="H803" s="1127"/>
      <c r="I803" s="633">
        <f t="shared" si="78"/>
        <v>0</v>
      </c>
      <c r="J803" s="633">
        <f t="shared" si="79"/>
        <v>0</v>
      </c>
      <c r="K803" s="633">
        <f t="shared" si="80"/>
        <v>0</v>
      </c>
      <c r="L803" s="1127"/>
      <c r="M803" s="1127"/>
      <c r="N803" s="1691">
        <f t="shared" si="75"/>
        <v>0</v>
      </c>
      <c r="O803" s="634">
        <f t="shared" si="76"/>
        <v>0</v>
      </c>
      <c r="P803" s="144"/>
      <c r="Q803" s="144"/>
      <c r="R803" s="144"/>
      <c r="S803" s="144"/>
    </row>
    <row r="804" spans="1:19" ht="14.25" customHeight="1">
      <c r="A804" s="630"/>
      <c r="B804" s="631"/>
      <c r="C804" s="1127"/>
      <c r="D804" s="632"/>
      <c r="E804" s="1127"/>
      <c r="F804" s="633">
        <f t="shared" si="77"/>
        <v>0</v>
      </c>
      <c r="G804" s="632"/>
      <c r="H804" s="1127"/>
      <c r="I804" s="633">
        <f t="shared" si="78"/>
        <v>0</v>
      </c>
      <c r="J804" s="633">
        <f t="shared" si="79"/>
        <v>0</v>
      </c>
      <c r="K804" s="633">
        <f t="shared" si="80"/>
        <v>0</v>
      </c>
      <c r="L804" s="1127"/>
      <c r="M804" s="1127"/>
      <c r="N804" s="1691">
        <f t="shared" si="75"/>
        <v>0</v>
      </c>
      <c r="O804" s="634">
        <f t="shared" si="76"/>
        <v>0</v>
      </c>
      <c r="P804" s="144"/>
      <c r="Q804" s="144"/>
      <c r="R804" s="144"/>
      <c r="S804" s="144"/>
    </row>
    <row r="805" spans="1:19" ht="14.25" customHeight="1">
      <c r="A805" s="630"/>
      <c r="B805" s="631"/>
      <c r="C805" s="1127"/>
      <c r="D805" s="632"/>
      <c r="E805" s="1127"/>
      <c r="F805" s="633">
        <f t="shared" si="77"/>
        <v>0</v>
      </c>
      <c r="G805" s="632"/>
      <c r="H805" s="1127"/>
      <c r="I805" s="633">
        <f t="shared" si="78"/>
        <v>0</v>
      </c>
      <c r="J805" s="633">
        <f t="shared" si="79"/>
        <v>0</v>
      </c>
      <c r="K805" s="633">
        <f t="shared" si="80"/>
        <v>0</v>
      </c>
      <c r="L805" s="1127"/>
      <c r="M805" s="1127"/>
      <c r="N805" s="1691">
        <f t="shared" si="75"/>
        <v>0</v>
      </c>
      <c r="O805" s="634">
        <f t="shared" si="76"/>
        <v>0</v>
      </c>
      <c r="P805" s="144"/>
      <c r="Q805" s="144"/>
      <c r="R805" s="144"/>
      <c r="S805" s="144"/>
    </row>
    <row r="806" spans="1:19" ht="14.25" customHeight="1">
      <c r="A806" s="630"/>
      <c r="B806" s="631"/>
      <c r="C806" s="1127"/>
      <c r="D806" s="632"/>
      <c r="E806" s="1127"/>
      <c r="F806" s="633">
        <f t="shared" si="77"/>
        <v>0</v>
      </c>
      <c r="G806" s="632"/>
      <c r="H806" s="1127"/>
      <c r="I806" s="633">
        <f t="shared" si="78"/>
        <v>0</v>
      </c>
      <c r="J806" s="633">
        <f t="shared" si="79"/>
        <v>0</v>
      </c>
      <c r="K806" s="633">
        <f t="shared" si="80"/>
        <v>0</v>
      </c>
      <c r="L806" s="1127"/>
      <c r="M806" s="1127"/>
      <c r="N806" s="1691">
        <f t="shared" si="75"/>
        <v>0</v>
      </c>
      <c r="O806" s="634">
        <f t="shared" si="76"/>
        <v>0</v>
      </c>
      <c r="P806" s="144"/>
      <c r="Q806" s="144"/>
      <c r="R806" s="144"/>
      <c r="S806" s="144"/>
    </row>
    <row r="807" spans="1:19" ht="14.25" customHeight="1">
      <c r="A807" s="630"/>
      <c r="B807" s="631"/>
      <c r="C807" s="1127"/>
      <c r="D807" s="632"/>
      <c r="E807" s="1127"/>
      <c r="F807" s="633">
        <f t="shared" si="77"/>
        <v>0</v>
      </c>
      <c r="G807" s="632"/>
      <c r="H807" s="1127"/>
      <c r="I807" s="633">
        <f t="shared" si="78"/>
        <v>0</v>
      </c>
      <c r="J807" s="633">
        <f t="shared" si="79"/>
        <v>0</v>
      </c>
      <c r="K807" s="633">
        <f t="shared" si="80"/>
        <v>0</v>
      </c>
      <c r="L807" s="1127"/>
      <c r="M807" s="1127"/>
      <c r="N807" s="1691">
        <f t="shared" si="75"/>
        <v>0</v>
      </c>
      <c r="O807" s="634">
        <f t="shared" si="76"/>
        <v>0</v>
      </c>
      <c r="P807" s="144"/>
      <c r="Q807" s="144"/>
      <c r="R807" s="144"/>
      <c r="S807" s="144"/>
    </row>
    <row r="808" spans="1:19" ht="14.25" customHeight="1">
      <c r="A808" s="630"/>
      <c r="B808" s="631"/>
      <c r="C808" s="1127"/>
      <c r="D808" s="632"/>
      <c r="E808" s="1127"/>
      <c r="F808" s="633">
        <f t="shared" si="77"/>
        <v>0</v>
      </c>
      <c r="G808" s="632"/>
      <c r="H808" s="1127"/>
      <c r="I808" s="633">
        <f t="shared" si="78"/>
        <v>0</v>
      </c>
      <c r="J808" s="633">
        <f t="shared" si="79"/>
        <v>0</v>
      </c>
      <c r="K808" s="633">
        <f t="shared" si="80"/>
        <v>0</v>
      </c>
      <c r="L808" s="1127"/>
      <c r="M808" s="1127"/>
      <c r="N808" s="1691">
        <f t="shared" si="75"/>
        <v>0</v>
      </c>
      <c r="O808" s="634">
        <f t="shared" si="76"/>
        <v>0</v>
      </c>
      <c r="P808" s="144"/>
      <c r="Q808" s="144"/>
      <c r="R808" s="144"/>
      <c r="S808" s="144"/>
    </row>
    <row r="809" spans="1:19" ht="14.25" customHeight="1">
      <c r="A809" s="630"/>
      <c r="B809" s="631"/>
      <c r="C809" s="1127"/>
      <c r="D809" s="632"/>
      <c r="E809" s="1127"/>
      <c r="F809" s="633">
        <f t="shared" si="77"/>
        <v>0</v>
      </c>
      <c r="G809" s="632"/>
      <c r="H809" s="1127"/>
      <c r="I809" s="633">
        <f t="shared" si="78"/>
        <v>0</v>
      </c>
      <c r="J809" s="633">
        <f t="shared" si="79"/>
        <v>0</v>
      </c>
      <c r="K809" s="633">
        <f t="shared" si="80"/>
        <v>0</v>
      </c>
      <c r="L809" s="1127"/>
      <c r="M809" s="1127"/>
      <c r="N809" s="1691">
        <f t="shared" si="75"/>
        <v>0</v>
      </c>
      <c r="O809" s="634">
        <f t="shared" si="76"/>
        <v>0</v>
      </c>
      <c r="P809" s="144"/>
      <c r="Q809" s="144"/>
      <c r="R809" s="144"/>
      <c r="S809" s="144"/>
    </row>
    <row r="810" spans="1:19" ht="14.25" customHeight="1">
      <c r="A810" s="630"/>
      <c r="B810" s="631"/>
      <c r="C810" s="1127"/>
      <c r="D810" s="632"/>
      <c r="E810" s="1127"/>
      <c r="F810" s="633">
        <f t="shared" si="77"/>
        <v>0</v>
      </c>
      <c r="G810" s="632"/>
      <c r="H810" s="1127"/>
      <c r="I810" s="633">
        <f t="shared" si="78"/>
        <v>0</v>
      </c>
      <c r="J810" s="633">
        <f t="shared" si="79"/>
        <v>0</v>
      </c>
      <c r="K810" s="633">
        <f t="shared" si="80"/>
        <v>0</v>
      </c>
      <c r="L810" s="1127"/>
      <c r="M810" s="1127"/>
      <c r="N810" s="1691">
        <f t="shared" si="75"/>
        <v>0</v>
      </c>
      <c r="O810" s="634">
        <f t="shared" si="76"/>
        <v>0</v>
      </c>
      <c r="P810" s="144"/>
      <c r="Q810" s="144"/>
      <c r="R810" s="144"/>
      <c r="S810" s="144"/>
    </row>
    <row r="811" spans="1:19" ht="14.25" customHeight="1">
      <c r="A811" s="630"/>
      <c r="B811" s="631"/>
      <c r="C811" s="1127"/>
      <c r="D811" s="632"/>
      <c r="E811" s="1127"/>
      <c r="F811" s="633">
        <f t="shared" si="77"/>
        <v>0</v>
      </c>
      <c r="G811" s="632"/>
      <c r="H811" s="1127"/>
      <c r="I811" s="633">
        <f t="shared" si="78"/>
        <v>0</v>
      </c>
      <c r="J811" s="633">
        <f t="shared" si="79"/>
        <v>0</v>
      </c>
      <c r="K811" s="633">
        <f t="shared" si="80"/>
        <v>0</v>
      </c>
      <c r="L811" s="1127"/>
      <c r="M811" s="1127"/>
      <c r="N811" s="1691">
        <f t="shared" si="75"/>
        <v>0</v>
      </c>
      <c r="O811" s="634">
        <f t="shared" si="76"/>
        <v>0</v>
      </c>
      <c r="P811" s="144"/>
      <c r="Q811" s="144"/>
      <c r="R811" s="144"/>
      <c r="S811" s="144"/>
    </row>
    <row r="812" spans="1:19" ht="14.25" customHeight="1">
      <c r="A812" s="630"/>
      <c r="B812" s="631"/>
      <c r="C812" s="1127"/>
      <c r="D812" s="632"/>
      <c r="E812" s="1127"/>
      <c r="F812" s="633">
        <f t="shared" si="77"/>
        <v>0</v>
      </c>
      <c r="G812" s="632"/>
      <c r="H812" s="1127"/>
      <c r="I812" s="633">
        <f t="shared" si="78"/>
        <v>0</v>
      </c>
      <c r="J812" s="633">
        <f t="shared" si="79"/>
        <v>0</v>
      </c>
      <c r="K812" s="633">
        <f t="shared" si="80"/>
        <v>0</v>
      </c>
      <c r="L812" s="1127"/>
      <c r="M812" s="1127"/>
      <c r="N812" s="1691">
        <f t="shared" si="75"/>
        <v>0</v>
      </c>
      <c r="O812" s="634">
        <f t="shared" si="76"/>
        <v>0</v>
      </c>
      <c r="P812" s="144"/>
      <c r="Q812" s="144"/>
      <c r="R812" s="144"/>
      <c r="S812" s="144"/>
    </row>
    <row r="813" spans="1:19" ht="14.25" customHeight="1">
      <c r="A813" s="630"/>
      <c r="B813" s="631"/>
      <c r="C813" s="1127"/>
      <c r="D813" s="632"/>
      <c r="E813" s="1127"/>
      <c r="F813" s="633">
        <f t="shared" si="77"/>
        <v>0</v>
      </c>
      <c r="G813" s="632"/>
      <c r="H813" s="1127"/>
      <c r="I813" s="633">
        <f t="shared" si="78"/>
        <v>0</v>
      </c>
      <c r="J813" s="633">
        <f t="shared" si="79"/>
        <v>0</v>
      </c>
      <c r="K813" s="633">
        <f t="shared" si="80"/>
        <v>0</v>
      </c>
      <c r="L813" s="1127"/>
      <c r="M813" s="1127"/>
      <c r="N813" s="1691">
        <f t="shared" si="75"/>
        <v>0</v>
      </c>
      <c r="O813" s="634">
        <f t="shared" si="76"/>
        <v>0</v>
      </c>
      <c r="P813" s="144"/>
      <c r="Q813" s="144"/>
      <c r="R813" s="144"/>
      <c r="S813" s="144"/>
    </row>
    <row r="814" spans="1:19" ht="14.25" customHeight="1">
      <c r="A814" s="630"/>
      <c r="B814" s="631"/>
      <c r="C814" s="1127"/>
      <c r="D814" s="632"/>
      <c r="E814" s="1127"/>
      <c r="F814" s="633">
        <f t="shared" si="77"/>
        <v>0</v>
      </c>
      <c r="G814" s="632"/>
      <c r="H814" s="1127"/>
      <c r="I814" s="633">
        <f t="shared" si="78"/>
        <v>0</v>
      </c>
      <c r="J814" s="633">
        <f t="shared" si="79"/>
        <v>0</v>
      </c>
      <c r="K814" s="633">
        <f t="shared" si="80"/>
        <v>0</v>
      </c>
      <c r="L814" s="1127"/>
      <c r="M814" s="1127"/>
      <c r="N814" s="1691">
        <f t="shared" si="75"/>
        <v>0</v>
      </c>
      <c r="O814" s="634">
        <f t="shared" si="76"/>
        <v>0</v>
      </c>
      <c r="P814" s="144"/>
      <c r="Q814" s="144"/>
      <c r="R814" s="144"/>
      <c r="S814" s="144"/>
    </row>
    <row r="815" spans="1:19" ht="14.25" customHeight="1">
      <c r="A815" s="630"/>
      <c r="B815" s="631"/>
      <c r="C815" s="1127"/>
      <c r="D815" s="632"/>
      <c r="E815" s="1127"/>
      <c r="F815" s="633">
        <f t="shared" si="77"/>
        <v>0</v>
      </c>
      <c r="G815" s="632"/>
      <c r="H815" s="1127"/>
      <c r="I815" s="633">
        <f t="shared" si="78"/>
        <v>0</v>
      </c>
      <c r="J815" s="633">
        <f t="shared" si="79"/>
        <v>0</v>
      </c>
      <c r="K815" s="633">
        <f t="shared" si="80"/>
        <v>0</v>
      </c>
      <c r="L815" s="1127"/>
      <c r="M815" s="1127"/>
      <c r="N815" s="1691">
        <f t="shared" si="75"/>
        <v>0</v>
      </c>
      <c r="O815" s="634">
        <f t="shared" si="76"/>
        <v>0</v>
      </c>
      <c r="P815" s="144"/>
      <c r="Q815" s="144"/>
      <c r="R815" s="144"/>
      <c r="S815" s="144"/>
    </row>
    <row r="816" spans="1:19" ht="14.25" customHeight="1">
      <c r="A816" s="630"/>
      <c r="B816" s="631"/>
      <c r="C816" s="1127"/>
      <c r="D816" s="632"/>
      <c r="E816" s="1127"/>
      <c r="F816" s="633">
        <f t="shared" si="77"/>
        <v>0</v>
      </c>
      <c r="G816" s="632"/>
      <c r="H816" s="1127"/>
      <c r="I816" s="633">
        <f t="shared" si="78"/>
        <v>0</v>
      </c>
      <c r="J816" s="633">
        <f t="shared" si="79"/>
        <v>0</v>
      </c>
      <c r="K816" s="633">
        <f t="shared" si="80"/>
        <v>0</v>
      </c>
      <c r="L816" s="1127"/>
      <c r="M816" s="1127"/>
      <c r="N816" s="1691">
        <f t="shared" si="75"/>
        <v>0</v>
      </c>
      <c r="O816" s="634">
        <f t="shared" si="76"/>
        <v>0</v>
      </c>
      <c r="P816" s="144"/>
      <c r="Q816" s="144"/>
      <c r="R816" s="144"/>
      <c r="S816" s="144"/>
    </row>
    <row r="817" spans="1:19" ht="14.25" customHeight="1">
      <c r="A817" s="630"/>
      <c r="B817" s="631"/>
      <c r="C817" s="1127"/>
      <c r="D817" s="632"/>
      <c r="E817" s="1127"/>
      <c r="F817" s="633">
        <f t="shared" si="77"/>
        <v>0</v>
      </c>
      <c r="G817" s="632"/>
      <c r="H817" s="1127"/>
      <c r="I817" s="633">
        <f t="shared" si="78"/>
        <v>0</v>
      </c>
      <c r="J817" s="633">
        <f t="shared" si="79"/>
        <v>0</v>
      </c>
      <c r="K817" s="633">
        <f t="shared" si="80"/>
        <v>0</v>
      </c>
      <c r="L817" s="1127"/>
      <c r="M817" s="1127"/>
      <c r="N817" s="1691">
        <f t="shared" si="75"/>
        <v>0</v>
      </c>
      <c r="O817" s="634">
        <f t="shared" si="76"/>
        <v>0</v>
      </c>
      <c r="P817" s="144"/>
      <c r="Q817" s="144"/>
      <c r="R817" s="144"/>
      <c r="S817" s="144"/>
    </row>
    <row r="818" spans="1:19" ht="14.25" customHeight="1">
      <c r="A818" s="630"/>
      <c r="B818" s="631"/>
      <c r="C818" s="1127"/>
      <c r="D818" s="632"/>
      <c r="E818" s="1127"/>
      <c r="F818" s="633">
        <f t="shared" si="77"/>
        <v>0</v>
      </c>
      <c r="G818" s="632"/>
      <c r="H818" s="1127"/>
      <c r="I818" s="633">
        <f t="shared" si="78"/>
        <v>0</v>
      </c>
      <c r="J818" s="633">
        <f t="shared" si="79"/>
        <v>0</v>
      </c>
      <c r="K818" s="633">
        <f t="shared" si="80"/>
        <v>0</v>
      </c>
      <c r="L818" s="1127"/>
      <c r="M818" s="1127"/>
      <c r="N818" s="1691">
        <f t="shared" si="75"/>
        <v>0</v>
      </c>
      <c r="O818" s="634">
        <f t="shared" si="76"/>
        <v>0</v>
      </c>
      <c r="P818" s="144"/>
      <c r="Q818" s="144"/>
      <c r="R818" s="144"/>
      <c r="S818" s="144"/>
    </row>
    <row r="819" spans="1:19" ht="14.25" customHeight="1">
      <c r="A819" s="630"/>
      <c r="B819" s="631"/>
      <c r="C819" s="1127"/>
      <c r="D819" s="632"/>
      <c r="E819" s="1127"/>
      <c r="F819" s="633">
        <f t="shared" si="77"/>
        <v>0</v>
      </c>
      <c r="G819" s="632"/>
      <c r="H819" s="1127"/>
      <c r="I819" s="633">
        <f t="shared" si="78"/>
        <v>0</v>
      </c>
      <c r="J819" s="633">
        <f t="shared" si="79"/>
        <v>0</v>
      </c>
      <c r="K819" s="633">
        <f t="shared" si="80"/>
        <v>0</v>
      </c>
      <c r="L819" s="1127"/>
      <c r="M819" s="1127"/>
      <c r="N819" s="1691">
        <f t="shared" si="75"/>
        <v>0</v>
      </c>
      <c r="O819" s="634">
        <f t="shared" si="76"/>
        <v>0</v>
      </c>
      <c r="P819" s="144"/>
      <c r="Q819" s="144"/>
      <c r="R819" s="144"/>
      <c r="S819" s="144"/>
    </row>
    <row r="820" spans="1:19" ht="14.25" customHeight="1">
      <c r="A820" s="630"/>
      <c r="B820" s="631"/>
      <c r="C820" s="1127"/>
      <c r="D820" s="632"/>
      <c r="E820" s="1127"/>
      <c r="F820" s="633">
        <f t="shared" si="77"/>
        <v>0</v>
      </c>
      <c r="G820" s="632"/>
      <c r="H820" s="1127"/>
      <c r="I820" s="633">
        <f t="shared" si="78"/>
        <v>0</v>
      </c>
      <c r="J820" s="633">
        <f t="shared" si="79"/>
        <v>0</v>
      </c>
      <c r="K820" s="633">
        <f t="shared" si="80"/>
        <v>0</v>
      </c>
      <c r="L820" s="1127"/>
      <c r="M820" s="1127"/>
      <c r="N820" s="1691">
        <f t="shared" si="75"/>
        <v>0</v>
      </c>
      <c r="O820" s="634">
        <f t="shared" si="76"/>
        <v>0</v>
      </c>
      <c r="P820" s="144"/>
      <c r="Q820" s="144"/>
      <c r="R820" s="144"/>
      <c r="S820" s="144"/>
    </row>
    <row r="821" spans="1:19" ht="14.25" customHeight="1">
      <c r="A821" s="630"/>
      <c r="B821" s="631"/>
      <c r="C821" s="1127"/>
      <c r="D821" s="632"/>
      <c r="E821" s="1127"/>
      <c r="F821" s="633">
        <f t="shared" si="77"/>
        <v>0</v>
      </c>
      <c r="G821" s="632"/>
      <c r="H821" s="1127"/>
      <c r="I821" s="633">
        <f t="shared" si="78"/>
        <v>0</v>
      </c>
      <c r="J821" s="633">
        <f t="shared" si="79"/>
        <v>0</v>
      </c>
      <c r="K821" s="633">
        <f t="shared" si="80"/>
        <v>0</v>
      </c>
      <c r="L821" s="1127"/>
      <c r="M821" s="1127"/>
      <c r="N821" s="1691">
        <f t="shared" si="75"/>
        <v>0</v>
      </c>
      <c r="O821" s="634">
        <f t="shared" si="76"/>
        <v>0</v>
      </c>
      <c r="P821" s="144"/>
      <c r="Q821" s="144"/>
      <c r="R821" s="144"/>
      <c r="S821" s="144"/>
    </row>
    <row r="822" spans="1:19" ht="14.25" customHeight="1">
      <c r="A822" s="630"/>
      <c r="B822" s="631"/>
      <c r="C822" s="1127"/>
      <c r="D822" s="632"/>
      <c r="E822" s="1127"/>
      <c r="F822" s="633">
        <f t="shared" si="77"/>
        <v>0</v>
      </c>
      <c r="G822" s="632"/>
      <c r="H822" s="1127"/>
      <c r="I822" s="633">
        <f t="shared" si="78"/>
        <v>0</v>
      </c>
      <c r="J822" s="633">
        <f t="shared" si="79"/>
        <v>0</v>
      </c>
      <c r="K822" s="633">
        <f t="shared" si="80"/>
        <v>0</v>
      </c>
      <c r="L822" s="1127"/>
      <c r="M822" s="1127"/>
      <c r="N822" s="1691">
        <f t="shared" si="75"/>
        <v>0</v>
      </c>
      <c r="O822" s="634">
        <f t="shared" si="76"/>
        <v>0</v>
      </c>
      <c r="P822" s="144"/>
      <c r="Q822" s="144"/>
      <c r="R822" s="144"/>
      <c r="S822" s="144"/>
    </row>
    <row r="823" spans="1:19" ht="14.25" customHeight="1">
      <c r="A823" s="630"/>
      <c r="B823" s="631"/>
      <c r="C823" s="1127"/>
      <c r="D823" s="632"/>
      <c r="E823" s="1127"/>
      <c r="F823" s="633">
        <f t="shared" si="77"/>
        <v>0</v>
      </c>
      <c r="G823" s="632"/>
      <c r="H823" s="1127"/>
      <c r="I823" s="633">
        <f t="shared" si="78"/>
        <v>0</v>
      </c>
      <c r="J823" s="633">
        <f t="shared" si="79"/>
        <v>0</v>
      </c>
      <c r="K823" s="633">
        <f t="shared" si="80"/>
        <v>0</v>
      </c>
      <c r="L823" s="1127"/>
      <c r="M823" s="1127"/>
      <c r="N823" s="1691">
        <f t="shared" si="75"/>
        <v>0</v>
      </c>
      <c r="O823" s="634">
        <f t="shared" si="76"/>
        <v>0</v>
      </c>
      <c r="P823" s="144"/>
      <c r="Q823" s="144"/>
      <c r="R823" s="144"/>
      <c r="S823" s="144"/>
    </row>
    <row r="824" spans="1:19" ht="14.25" customHeight="1">
      <c r="A824" s="630"/>
      <c r="B824" s="631"/>
      <c r="C824" s="1127"/>
      <c r="D824" s="632"/>
      <c r="E824" s="1127"/>
      <c r="F824" s="633">
        <f t="shared" si="77"/>
        <v>0</v>
      </c>
      <c r="G824" s="632"/>
      <c r="H824" s="1127"/>
      <c r="I824" s="633">
        <f t="shared" si="78"/>
        <v>0</v>
      </c>
      <c r="J824" s="633">
        <f t="shared" si="79"/>
        <v>0</v>
      </c>
      <c r="K824" s="633">
        <f t="shared" si="80"/>
        <v>0</v>
      </c>
      <c r="L824" s="1127"/>
      <c r="M824" s="1127"/>
      <c r="N824" s="1691">
        <f t="shared" si="75"/>
        <v>0</v>
      </c>
      <c r="O824" s="634">
        <f t="shared" si="76"/>
        <v>0</v>
      </c>
      <c r="P824" s="144"/>
      <c r="Q824" s="144"/>
      <c r="R824" s="144"/>
      <c r="S824" s="144"/>
    </row>
    <row r="825" spans="1:19" ht="14.25" customHeight="1">
      <c r="A825" s="630"/>
      <c r="B825" s="631"/>
      <c r="C825" s="1127"/>
      <c r="D825" s="632"/>
      <c r="E825" s="1127"/>
      <c r="F825" s="633">
        <f t="shared" si="77"/>
        <v>0</v>
      </c>
      <c r="G825" s="632"/>
      <c r="H825" s="1127"/>
      <c r="I825" s="633">
        <f t="shared" si="78"/>
        <v>0</v>
      </c>
      <c r="J825" s="633">
        <f t="shared" si="79"/>
        <v>0</v>
      </c>
      <c r="K825" s="633">
        <f t="shared" si="80"/>
        <v>0</v>
      </c>
      <c r="L825" s="1127"/>
      <c r="M825" s="1127"/>
      <c r="N825" s="1691">
        <f t="shared" si="75"/>
        <v>0</v>
      </c>
      <c r="O825" s="634">
        <f t="shared" si="76"/>
        <v>0</v>
      </c>
      <c r="P825" s="144"/>
      <c r="Q825" s="144"/>
      <c r="R825" s="144"/>
      <c r="S825" s="144"/>
    </row>
    <row r="826" spans="1:19" ht="14.25" customHeight="1">
      <c r="A826" s="630"/>
      <c r="B826" s="631"/>
      <c r="C826" s="1127"/>
      <c r="D826" s="632"/>
      <c r="E826" s="1127"/>
      <c r="F826" s="633">
        <f t="shared" si="77"/>
        <v>0</v>
      </c>
      <c r="G826" s="632"/>
      <c r="H826" s="1127"/>
      <c r="I826" s="633">
        <f t="shared" si="78"/>
        <v>0</v>
      </c>
      <c r="J826" s="633">
        <f t="shared" si="79"/>
        <v>0</v>
      </c>
      <c r="K826" s="633">
        <f t="shared" si="80"/>
        <v>0</v>
      </c>
      <c r="L826" s="1127"/>
      <c r="M826" s="1127"/>
      <c r="N826" s="1691">
        <f t="shared" si="75"/>
        <v>0</v>
      </c>
      <c r="O826" s="634">
        <f t="shared" si="76"/>
        <v>0</v>
      </c>
      <c r="P826" s="144"/>
      <c r="Q826" s="144"/>
      <c r="R826" s="144"/>
      <c r="S826" s="144"/>
    </row>
    <row r="827" spans="1:19" ht="14.25" customHeight="1">
      <c r="A827" s="630"/>
      <c r="B827" s="631"/>
      <c r="C827" s="1127"/>
      <c r="D827" s="632"/>
      <c r="E827" s="1127"/>
      <c r="F827" s="633">
        <f t="shared" si="77"/>
        <v>0</v>
      </c>
      <c r="G827" s="632"/>
      <c r="H827" s="1127"/>
      <c r="I827" s="633">
        <f t="shared" si="78"/>
        <v>0</v>
      </c>
      <c r="J827" s="633">
        <f t="shared" si="79"/>
        <v>0</v>
      </c>
      <c r="K827" s="633">
        <f t="shared" si="80"/>
        <v>0</v>
      </c>
      <c r="L827" s="1127"/>
      <c r="M827" s="1127"/>
      <c r="N827" s="1691">
        <f t="shared" si="75"/>
        <v>0</v>
      </c>
      <c r="O827" s="634">
        <f t="shared" si="76"/>
        <v>0</v>
      </c>
      <c r="P827" s="144"/>
      <c r="Q827" s="144"/>
      <c r="R827" s="144"/>
      <c r="S827" s="144"/>
    </row>
    <row r="828" spans="1:19" ht="14.25" customHeight="1">
      <c r="A828" s="630"/>
      <c r="B828" s="631"/>
      <c r="C828" s="1127"/>
      <c r="D828" s="632"/>
      <c r="E828" s="1127"/>
      <c r="F828" s="633">
        <f t="shared" si="77"/>
        <v>0</v>
      </c>
      <c r="G828" s="632"/>
      <c r="H828" s="1127"/>
      <c r="I828" s="633">
        <f t="shared" si="78"/>
        <v>0</v>
      </c>
      <c r="J828" s="633">
        <f t="shared" si="79"/>
        <v>0</v>
      </c>
      <c r="K828" s="633">
        <f t="shared" si="80"/>
        <v>0</v>
      </c>
      <c r="L828" s="1127"/>
      <c r="M828" s="1127"/>
      <c r="N828" s="1691">
        <f t="shared" si="75"/>
        <v>0</v>
      </c>
      <c r="O828" s="634">
        <f t="shared" si="76"/>
        <v>0</v>
      </c>
      <c r="P828" s="144"/>
      <c r="Q828" s="144"/>
      <c r="R828" s="144"/>
      <c r="S828" s="144"/>
    </row>
    <row r="829" spans="1:19" ht="14.25" customHeight="1">
      <c r="A829" s="630"/>
      <c r="B829" s="631"/>
      <c r="C829" s="1127"/>
      <c r="D829" s="632"/>
      <c r="E829" s="1127"/>
      <c r="F829" s="633">
        <f t="shared" si="77"/>
        <v>0</v>
      </c>
      <c r="G829" s="632"/>
      <c r="H829" s="1127"/>
      <c r="I829" s="633">
        <f t="shared" si="78"/>
        <v>0</v>
      </c>
      <c r="J829" s="633">
        <f t="shared" si="79"/>
        <v>0</v>
      </c>
      <c r="K829" s="633">
        <f t="shared" si="80"/>
        <v>0</v>
      </c>
      <c r="L829" s="1127"/>
      <c r="M829" s="1127"/>
      <c r="N829" s="1691">
        <f t="shared" si="75"/>
        <v>0</v>
      </c>
      <c r="O829" s="634">
        <f t="shared" si="76"/>
        <v>0</v>
      </c>
      <c r="P829" s="144"/>
      <c r="Q829" s="144"/>
      <c r="R829" s="144"/>
      <c r="S829" s="144"/>
    </row>
    <row r="830" spans="1:19" ht="14.25" customHeight="1">
      <c r="A830" s="630"/>
      <c r="B830" s="631"/>
      <c r="C830" s="1127"/>
      <c r="D830" s="632"/>
      <c r="E830" s="1127"/>
      <c r="F830" s="633">
        <f t="shared" si="77"/>
        <v>0</v>
      </c>
      <c r="G830" s="632"/>
      <c r="H830" s="1127"/>
      <c r="I830" s="633">
        <f t="shared" si="78"/>
        <v>0</v>
      </c>
      <c r="J830" s="633">
        <f t="shared" si="79"/>
        <v>0</v>
      </c>
      <c r="K830" s="633">
        <f t="shared" si="80"/>
        <v>0</v>
      </c>
      <c r="L830" s="1127"/>
      <c r="M830" s="1127"/>
      <c r="N830" s="1691">
        <f t="shared" si="75"/>
        <v>0</v>
      </c>
      <c r="O830" s="634">
        <f t="shared" si="76"/>
        <v>0</v>
      </c>
      <c r="P830" s="144"/>
      <c r="Q830" s="144"/>
      <c r="R830" s="144"/>
      <c r="S830" s="144"/>
    </row>
    <row r="831" spans="1:19" ht="14.25" customHeight="1">
      <c r="A831" s="630"/>
      <c r="B831" s="631"/>
      <c r="C831" s="1127"/>
      <c r="D831" s="632"/>
      <c r="E831" s="1127"/>
      <c r="F831" s="633">
        <f t="shared" si="77"/>
        <v>0</v>
      </c>
      <c r="G831" s="632"/>
      <c r="H831" s="1127"/>
      <c r="I831" s="633">
        <f t="shared" si="78"/>
        <v>0</v>
      </c>
      <c r="J831" s="633">
        <f t="shared" si="79"/>
        <v>0</v>
      </c>
      <c r="K831" s="633">
        <f t="shared" si="80"/>
        <v>0</v>
      </c>
      <c r="L831" s="1127"/>
      <c r="M831" s="1127"/>
      <c r="N831" s="1691">
        <f t="shared" si="75"/>
        <v>0</v>
      </c>
      <c r="O831" s="634">
        <f t="shared" si="76"/>
        <v>0</v>
      </c>
      <c r="P831" s="144"/>
      <c r="Q831" s="144"/>
      <c r="R831" s="144"/>
      <c r="S831" s="144"/>
    </row>
    <row r="832" spans="1:19" ht="14.25" customHeight="1">
      <c r="A832" s="630"/>
      <c r="B832" s="631"/>
      <c r="C832" s="1127"/>
      <c r="D832" s="632"/>
      <c r="E832" s="1127"/>
      <c r="F832" s="633">
        <f t="shared" si="77"/>
        <v>0</v>
      </c>
      <c r="G832" s="632"/>
      <c r="H832" s="1127"/>
      <c r="I832" s="633">
        <f t="shared" si="78"/>
        <v>0</v>
      </c>
      <c r="J832" s="633">
        <f t="shared" si="79"/>
        <v>0</v>
      </c>
      <c r="K832" s="633">
        <f t="shared" si="80"/>
        <v>0</v>
      </c>
      <c r="L832" s="1127"/>
      <c r="M832" s="1127"/>
      <c r="N832" s="1691">
        <f t="shared" si="75"/>
        <v>0</v>
      </c>
      <c r="O832" s="634">
        <f t="shared" si="76"/>
        <v>0</v>
      </c>
      <c r="P832" s="144"/>
      <c r="Q832" s="144"/>
      <c r="R832" s="144"/>
      <c r="S832" s="144"/>
    </row>
    <row r="833" spans="1:19" ht="14.25" customHeight="1">
      <c r="A833" s="630"/>
      <c r="B833" s="631"/>
      <c r="C833" s="1127"/>
      <c r="D833" s="632"/>
      <c r="E833" s="1127"/>
      <c r="F833" s="633">
        <f t="shared" si="77"/>
        <v>0</v>
      </c>
      <c r="G833" s="632"/>
      <c r="H833" s="1127"/>
      <c r="I833" s="633">
        <f t="shared" si="78"/>
        <v>0</v>
      </c>
      <c r="J833" s="633">
        <f t="shared" si="79"/>
        <v>0</v>
      </c>
      <c r="K833" s="633">
        <f t="shared" si="80"/>
        <v>0</v>
      </c>
      <c r="L833" s="1127"/>
      <c r="M833" s="1127"/>
      <c r="N833" s="1691">
        <f t="shared" si="75"/>
        <v>0</v>
      </c>
      <c r="O833" s="634">
        <f t="shared" si="76"/>
        <v>0</v>
      </c>
      <c r="P833" s="144"/>
      <c r="Q833" s="144"/>
      <c r="R833" s="144"/>
      <c r="S833" s="144"/>
    </row>
    <row r="834" spans="1:19" ht="14.25" customHeight="1">
      <c r="A834" s="630"/>
      <c r="B834" s="631"/>
      <c r="C834" s="1127"/>
      <c r="D834" s="632"/>
      <c r="E834" s="1127"/>
      <c r="F834" s="633">
        <f t="shared" si="77"/>
        <v>0</v>
      </c>
      <c r="G834" s="632"/>
      <c r="H834" s="1127"/>
      <c r="I834" s="633">
        <f t="shared" si="78"/>
        <v>0</v>
      </c>
      <c r="J834" s="633">
        <f t="shared" si="79"/>
        <v>0</v>
      </c>
      <c r="K834" s="633">
        <f t="shared" si="80"/>
        <v>0</v>
      </c>
      <c r="L834" s="1127"/>
      <c r="M834" s="1127"/>
      <c r="N834" s="1691">
        <f t="shared" si="75"/>
        <v>0</v>
      </c>
      <c r="O834" s="634">
        <f t="shared" si="76"/>
        <v>0</v>
      </c>
      <c r="P834" s="144"/>
      <c r="Q834" s="144"/>
      <c r="R834" s="144"/>
      <c r="S834" s="144"/>
    </row>
    <row r="835" spans="1:19" ht="14.25" customHeight="1">
      <c r="A835" s="630"/>
      <c r="B835" s="631"/>
      <c r="C835" s="1127"/>
      <c r="D835" s="632"/>
      <c r="E835" s="1127"/>
      <c r="F835" s="633">
        <f t="shared" si="77"/>
        <v>0</v>
      </c>
      <c r="G835" s="632"/>
      <c r="H835" s="1127"/>
      <c r="I835" s="633">
        <f t="shared" si="78"/>
        <v>0</v>
      </c>
      <c r="J835" s="633">
        <f t="shared" si="79"/>
        <v>0</v>
      </c>
      <c r="K835" s="633">
        <f t="shared" si="80"/>
        <v>0</v>
      </c>
      <c r="L835" s="1127"/>
      <c r="M835" s="1127"/>
      <c r="N835" s="1691">
        <f t="shared" si="75"/>
        <v>0</v>
      </c>
      <c r="O835" s="634">
        <f t="shared" si="76"/>
        <v>0</v>
      </c>
      <c r="P835" s="144"/>
      <c r="Q835" s="144"/>
      <c r="R835" s="144"/>
      <c r="S835" s="144"/>
    </row>
    <row r="836" spans="1:19" ht="14.25" customHeight="1">
      <c r="A836" s="630"/>
      <c r="B836" s="631"/>
      <c r="C836" s="1127"/>
      <c r="D836" s="632"/>
      <c r="E836" s="1127"/>
      <c r="F836" s="633">
        <f t="shared" si="77"/>
        <v>0</v>
      </c>
      <c r="G836" s="632"/>
      <c r="H836" s="1127"/>
      <c r="I836" s="633">
        <f t="shared" si="78"/>
        <v>0</v>
      </c>
      <c r="J836" s="633">
        <f t="shared" si="79"/>
        <v>0</v>
      </c>
      <c r="K836" s="633">
        <f t="shared" si="80"/>
        <v>0</v>
      </c>
      <c r="L836" s="1127"/>
      <c r="M836" s="1127"/>
      <c r="N836" s="1691">
        <f t="shared" si="75"/>
        <v>0</v>
      </c>
      <c r="O836" s="634">
        <f t="shared" si="76"/>
        <v>0</v>
      </c>
      <c r="P836" s="144"/>
      <c r="Q836" s="144"/>
      <c r="R836" s="144"/>
      <c r="S836" s="144"/>
    </row>
    <row r="837" spans="1:19" ht="14.25" customHeight="1">
      <c r="A837" s="630"/>
      <c r="B837" s="631"/>
      <c r="C837" s="1127"/>
      <c r="D837" s="632"/>
      <c r="E837" s="1127"/>
      <c r="F837" s="633">
        <f t="shared" si="77"/>
        <v>0</v>
      </c>
      <c r="G837" s="632"/>
      <c r="H837" s="1127"/>
      <c r="I837" s="633">
        <f t="shared" si="78"/>
        <v>0</v>
      </c>
      <c r="J837" s="633">
        <f t="shared" si="79"/>
        <v>0</v>
      </c>
      <c r="K837" s="633">
        <f t="shared" si="80"/>
        <v>0</v>
      </c>
      <c r="L837" s="1127"/>
      <c r="M837" s="1127"/>
      <c r="N837" s="1691">
        <f t="shared" si="75"/>
        <v>0</v>
      </c>
      <c r="O837" s="634">
        <f t="shared" si="76"/>
        <v>0</v>
      </c>
      <c r="P837" s="144"/>
      <c r="Q837" s="144"/>
      <c r="R837" s="144"/>
      <c r="S837" s="144"/>
    </row>
    <row r="838" spans="1:19" ht="14.25" customHeight="1">
      <c r="A838" s="630"/>
      <c r="B838" s="631"/>
      <c r="C838" s="1127"/>
      <c r="D838" s="632"/>
      <c r="E838" s="1127"/>
      <c r="F838" s="633">
        <f t="shared" si="77"/>
        <v>0</v>
      </c>
      <c r="G838" s="632"/>
      <c r="H838" s="1127"/>
      <c r="I838" s="633">
        <f t="shared" si="78"/>
        <v>0</v>
      </c>
      <c r="J838" s="633">
        <f t="shared" si="79"/>
        <v>0</v>
      </c>
      <c r="K838" s="633">
        <f t="shared" si="80"/>
        <v>0</v>
      </c>
      <c r="L838" s="1127"/>
      <c r="M838" s="1127"/>
      <c r="N838" s="1691">
        <f t="shared" si="75"/>
        <v>0</v>
      </c>
      <c r="O838" s="634">
        <f t="shared" si="76"/>
        <v>0</v>
      </c>
      <c r="P838" s="144"/>
      <c r="Q838" s="144"/>
      <c r="R838" s="144"/>
      <c r="S838" s="144"/>
    </row>
    <row r="839" spans="1:19" ht="14.25" customHeight="1">
      <c r="A839" s="630"/>
      <c r="B839" s="631"/>
      <c r="C839" s="1127"/>
      <c r="D839" s="632"/>
      <c r="E839" s="1127"/>
      <c r="F839" s="633">
        <f t="shared" si="77"/>
        <v>0</v>
      </c>
      <c r="G839" s="632"/>
      <c r="H839" s="1127"/>
      <c r="I839" s="633">
        <f t="shared" si="78"/>
        <v>0</v>
      </c>
      <c r="J839" s="633">
        <f t="shared" si="79"/>
        <v>0</v>
      </c>
      <c r="K839" s="633">
        <f t="shared" si="80"/>
        <v>0</v>
      </c>
      <c r="L839" s="1127"/>
      <c r="M839" s="1127"/>
      <c r="N839" s="1691">
        <f t="shared" si="75"/>
        <v>0</v>
      </c>
      <c r="O839" s="634">
        <f t="shared" si="76"/>
        <v>0</v>
      </c>
      <c r="P839" s="144"/>
      <c r="Q839" s="144"/>
      <c r="R839" s="144"/>
      <c r="S839" s="144"/>
    </row>
    <row r="840" spans="1:19" ht="14.25" customHeight="1">
      <c r="A840" s="630"/>
      <c r="B840" s="631"/>
      <c r="C840" s="1127"/>
      <c r="D840" s="632"/>
      <c r="E840" s="1127"/>
      <c r="F840" s="633">
        <f t="shared" si="77"/>
        <v>0</v>
      </c>
      <c r="G840" s="632"/>
      <c r="H840" s="1127"/>
      <c r="I840" s="633">
        <f t="shared" si="78"/>
        <v>0</v>
      </c>
      <c r="J840" s="633">
        <f t="shared" si="79"/>
        <v>0</v>
      </c>
      <c r="K840" s="633">
        <f t="shared" si="80"/>
        <v>0</v>
      </c>
      <c r="L840" s="1127"/>
      <c r="M840" s="1127"/>
      <c r="N840" s="1691">
        <f t="shared" si="75"/>
        <v>0</v>
      </c>
      <c r="O840" s="634">
        <f t="shared" si="76"/>
        <v>0</v>
      </c>
      <c r="P840" s="144"/>
      <c r="Q840" s="144"/>
      <c r="R840" s="144"/>
      <c r="S840" s="144"/>
    </row>
    <row r="841" spans="1:19" ht="14.25" customHeight="1">
      <c r="A841" s="630"/>
      <c r="B841" s="631"/>
      <c r="C841" s="1127"/>
      <c r="D841" s="632"/>
      <c r="E841" s="1127"/>
      <c r="F841" s="633">
        <f t="shared" si="77"/>
        <v>0</v>
      </c>
      <c r="G841" s="632"/>
      <c r="H841" s="1127"/>
      <c r="I841" s="633">
        <f t="shared" si="78"/>
        <v>0</v>
      </c>
      <c r="J841" s="633">
        <f t="shared" si="79"/>
        <v>0</v>
      </c>
      <c r="K841" s="633">
        <f t="shared" si="80"/>
        <v>0</v>
      </c>
      <c r="L841" s="1127"/>
      <c r="M841" s="1127"/>
      <c r="N841" s="1691">
        <f t="shared" si="75"/>
        <v>0</v>
      </c>
      <c r="O841" s="634">
        <f t="shared" si="76"/>
        <v>0</v>
      </c>
      <c r="P841" s="144"/>
      <c r="Q841" s="144"/>
      <c r="R841" s="144"/>
      <c r="S841" s="144"/>
    </row>
    <row r="842" spans="1:19" ht="14.25" customHeight="1">
      <c r="A842" s="630"/>
      <c r="B842" s="631"/>
      <c r="C842" s="1127"/>
      <c r="D842" s="632"/>
      <c r="E842" s="1127"/>
      <c r="F842" s="633">
        <f t="shared" si="77"/>
        <v>0</v>
      </c>
      <c r="G842" s="632"/>
      <c r="H842" s="1127"/>
      <c r="I842" s="633">
        <f t="shared" si="78"/>
        <v>0</v>
      </c>
      <c r="J842" s="633">
        <f t="shared" si="79"/>
        <v>0</v>
      </c>
      <c r="K842" s="633">
        <f t="shared" si="80"/>
        <v>0</v>
      </c>
      <c r="L842" s="1127"/>
      <c r="M842" s="1127"/>
      <c r="N842" s="1691">
        <f t="shared" ref="N842:N905" si="81">IF(M842&lt;&gt;0,ROUND(B842*K842,2)+M842,IF(ABS(ROUND(K842*B842,2)-L842)&lt;3,L842,MIN(ROUND(K842*B842,2),L842)))</f>
        <v>0</v>
      </c>
      <c r="O842" s="634">
        <f t="shared" ref="O842:O905" si="82">IF(ISERROR(L842-N842),"",IF(ABS(L842-N842)&lt;3,0,L842-N842))</f>
        <v>0</v>
      </c>
      <c r="P842" s="144"/>
      <c r="Q842" s="144"/>
      <c r="R842" s="144"/>
      <c r="S842" s="144"/>
    </row>
    <row r="843" spans="1:19" ht="14.25" customHeight="1">
      <c r="A843" s="630"/>
      <c r="B843" s="631"/>
      <c r="C843" s="1127"/>
      <c r="D843" s="632"/>
      <c r="E843" s="1127"/>
      <c r="F843" s="633">
        <f t="shared" ref="F843:F906" si="83">E843*(12-MONTH(D843))/12</f>
        <v>0</v>
      </c>
      <c r="G843" s="632"/>
      <c r="H843" s="1127"/>
      <c r="I843" s="633">
        <f t="shared" ref="I843:I906" si="84">H843*(12-MONTH(G843))/12</f>
        <v>0</v>
      </c>
      <c r="J843" s="633">
        <f t="shared" ref="J843:J906" si="85">C843+E843-H843</f>
        <v>0</v>
      </c>
      <c r="K843" s="633">
        <f t="shared" ref="K843:K906" si="86">C843+F843-I843</f>
        <v>0</v>
      </c>
      <c r="L843" s="1127"/>
      <c r="M843" s="1127"/>
      <c r="N843" s="1691">
        <f t="shared" si="81"/>
        <v>0</v>
      </c>
      <c r="O843" s="634">
        <f t="shared" si="82"/>
        <v>0</v>
      </c>
      <c r="P843" s="144"/>
      <c r="Q843" s="144"/>
      <c r="R843" s="144"/>
      <c r="S843" s="144"/>
    </row>
    <row r="844" spans="1:19" ht="14.25" customHeight="1">
      <c r="A844" s="630"/>
      <c r="B844" s="631"/>
      <c r="C844" s="1127"/>
      <c r="D844" s="632"/>
      <c r="E844" s="1127"/>
      <c r="F844" s="633">
        <f t="shared" si="83"/>
        <v>0</v>
      </c>
      <c r="G844" s="632"/>
      <c r="H844" s="1127"/>
      <c r="I844" s="633">
        <f t="shared" si="84"/>
        <v>0</v>
      </c>
      <c r="J844" s="633">
        <f t="shared" si="85"/>
        <v>0</v>
      </c>
      <c r="K844" s="633">
        <f t="shared" si="86"/>
        <v>0</v>
      </c>
      <c r="L844" s="1127"/>
      <c r="M844" s="1127"/>
      <c r="N844" s="1691">
        <f t="shared" si="81"/>
        <v>0</v>
      </c>
      <c r="O844" s="634">
        <f t="shared" si="82"/>
        <v>0</v>
      </c>
      <c r="P844" s="144"/>
      <c r="Q844" s="144"/>
      <c r="R844" s="144"/>
      <c r="S844" s="144"/>
    </row>
    <row r="845" spans="1:19" ht="14.25" customHeight="1">
      <c r="A845" s="630"/>
      <c r="B845" s="631"/>
      <c r="C845" s="1127"/>
      <c r="D845" s="632"/>
      <c r="E845" s="1127"/>
      <c r="F845" s="633">
        <f t="shared" si="83"/>
        <v>0</v>
      </c>
      <c r="G845" s="632"/>
      <c r="H845" s="1127"/>
      <c r="I845" s="633">
        <f t="shared" si="84"/>
        <v>0</v>
      </c>
      <c r="J845" s="633">
        <f t="shared" si="85"/>
        <v>0</v>
      </c>
      <c r="K845" s="633">
        <f t="shared" si="86"/>
        <v>0</v>
      </c>
      <c r="L845" s="1127"/>
      <c r="M845" s="1127"/>
      <c r="N845" s="1691">
        <f t="shared" si="81"/>
        <v>0</v>
      </c>
      <c r="O845" s="634">
        <f t="shared" si="82"/>
        <v>0</v>
      </c>
      <c r="P845" s="144"/>
      <c r="Q845" s="144"/>
      <c r="R845" s="144"/>
      <c r="S845" s="144"/>
    </row>
    <row r="846" spans="1:19" ht="14.25" customHeight="1">
      <c r="A846" s="630"/>
      <c r="B846" s="631"/>
      <c r="C846" s="1127"/>
      <c r="D846" s="632"/>
      <c r="E846" s="1127"/>
      <c r="F846" s="633">
        <f t="shared" si="83"/>
        <v>0</v>
      </c>
      <c r="G846" s="632"/>
      <c r="H846" s="1127"/>
      <c r="I846" s="633">
        <f t="shared" si="84"/>
        <v>0</v>
      </c>
      <c r="J846" s="633">
        <f t="shared" si="85"/>
        <v>0</v>
      </c>
      <c r="K846" s="633">
        <f t="shared" si="86"/>
        <v>0</v>
      </c>
      <c r="L846" s="1127"/>
      <c r="M846" s="1127"/>
      <c r="N846" s="1691">
        <f t="shared" si="81"/>
        <v>0</v>
      </c>
      <c r="O846" s="634">
        <f t="shared" si="82"/>
        <v>0</v>
      </c>
      <c r="P846" s="144"/>
      <c r="Q846" s="144"/>
      <c r="R846" s="144"/>
      <c r="S846" s="144"/>
    </row>
    <row r="847" spans="1:19" ht="14.25" customHeight="1">
      <c r="A847" s="630"/>
      <c r="B847" s="631"/>
      <c r="C847" s="1127"/>
      <c r="D847" s="632"/>
      <c r="E847" s="1127"/>
      <c r="F847" s="633">
        <f t="shared" si="83"/>
        <v>0</v>
      </c>
      <c r="G847" s="632"/>
      <c r="H847" s="1127"/>
      <c r="I847" s="633">
        <f t="shared" si="84"/>
        <v>0</v>
      </c>
      <c r="J847" s="633">
        <f t="shared" si="85"/>
        <v>0</v>
      </c>
      <c r="K847" s="633">
        <f t="shared" si="86"/>
        <v>0</v>
      </c>
      <c r="L847" s="1127"/>
      <c r="M847" s="1127"/>
      <c r="N847" s="1691">
        <f t="shared" si="81"/>
        <v>0</v>
      </c>
      <c r="O847" s="634">
        <f t="shared" si="82"/>
        <v>0</v>
      </c>
      <c r="P847" s="144"/>
      <c r="Q847" s="144"/>
      <c r="R847" s="144"/>
      <c r="S847" s="144"/>
    </row>
    <row r="848" spans="1:19" ht="14.25" customHeight="1">
      <c r="A848" s="630"/>
      <c r="B848" s="631"/>
      <c r="C848" s="1127"/>
      <c r="D848" s="632"/>
      <c r="E848" s="1127"/>
      <c r="F848" s="633">
        <f t="shared" si="83"/>
        <v>0</v>
      </c>
      <c r="G848" s="632"/>
      <c r="H848" s="1127"/>
      <c r="I848" s="633">
        <f t="shared" si="84"/>
        <v>0</v>
      </c>
      <c r="J848" s="633">
        <f t="shared" si="85"/>
        <v>0</v>
      </c>
      <c r="K848" s="633">
        <f t="shared" si="86"/>
        <v>0</v>
      </c>
      <c r="L848" s="1127"/>
      <c r="M848" s="1127"/>
      <c r="N848" s="1691">
        <f t="shared" si="81"/>
        <v>0</v>
      </c>
      <c r="O848" s="634">
        <f t="shared" si="82"/>
        <v>0</v>
      </c>
      <c r="P848" s="144"/>
      <c r="Q848" s="144"/>
      <c r="R848" s="144"/>
      <c r="S848" s="144"/>
    </row>
    <row r="849" spans="1:19" ht="14.25" customHeight="1">
      <c r="A849" s="630"/>
      <c r="B849" s="631"/>
      <c r="C849" s="1127"/>
      <c r="D849" s="632"/>
      <c r="E849" s="1127"/>
      <c r="F849" s="633">
        <f t="shared" si="83"/>
        <v>0</v>
      </c>
      <c r="G849" s="632"/>
      <c r="H849" s="1127"/>
      <c r="I849" s="633">
        <f t="shared" si="84"/>
        <v>0</v>
      </c>
      <c r="J849" s="633">
        <f t="shared" si="85"/>
        <v>0</v>
      </c>
      <c r="K849" s="633">
        <f t="shared" si="86"/>
        <v>0</v>
      </c>
      <c r="L849" s="1127"/>
      <c r="M849" s="1127"/>
      <c r="N849" s="1691">
        <f t="shared" si="81"/>
        <v>0</v>
      </c>
      <c r="O849" s="634">
        <f t="shared" si="82"/>
        <v>0</v>
      </c>
      <c r="P849" s="144"/>
      <c r="Q849" s="144"/>
      <c r="R849" s="144"/>
      <c r="S849" s="144"/>
    </row>
    <row r="850" spans="1:19" ht="14.25" customHeight="1">
      <c r="A850" s="630"/>
      <c r="B850" s="631"/>
      <c r="C850" s="1127"/>
      <c r="D850" s="632"/>
      <c r="E850" s="1127"/>
      <c r="F850" s="633">
        <f t="shared" si="83"/>
        <v>0</v>
      </c>
      <c r="G850" s="632"/>
      <c r="H850" s="1127"/>
      <c r="I850" s="633">
        <f t="shared" si="84"/>
        <v>0</v>
      </c>
      <c r="J850" s="633">
        <f t="shared" si="85"/>
        <v>0</v>
      </c>
      <c r="K850" s="633">
        <f t="shared" si="86"/>
        <v>0</v>
      </c>
      <c r="L850" s="1127"/>
      <c r="M850" s="1127"/>
      <c r="N850" s="1691">
        <f t="shared" si="81"/>
        <v>0</v>
      </c>
      <c r="O850" s="634">
        <f t="shared" si="82"/>
        <v>0</v>
      </c>
      <c r="P850" s="144"/>
      <c r="Q850" s="144"/>
      <c r="R850" s="144"/>
      <c r="S850" s="144"/>
    </row>
    <row r="851" spans="1:19" ht="14.25" customHeight="1">
      <c r="A851" s="630"/>
      <c r="B851" s="631"/>
      <c r="C851" s="1127"/>
      <c r="D851" s="632"/>
      <c r="E851" s="1127"/>
      <c r="F851" s="633">
        <f t="shared" si="83"/>
        <v>0</v>
      </c>
      <c r="G851" s="632"/>
      <c r="H851" s="1127"/>
      <c r="I851" s="633">
        <f t="shared" si="84"/>
        <v>0</v>
      </c>
      <c r="J851" s="633">
        <f t="shared" si="85"/>
        <v>0</v>
      </c>
      <c r="K851" s="633">
        <f t="shared" si="86"/>
        <v>0</v>
      </c>
      <c r="L851" s="1127"/>
      <c r="M851" s="1127"/>
      <c r="N851" s="1691">
        <f t="shared" si="81"/>
        <v>0</v>
      </c>
      <c r="O851" s="634">
        <f t="shared" si="82"/>
        <v>0</v>
      </c>
      <c r="P851" s="144"/>
      <c r="Q851" s="144"/>
      <c r="R851" s="144"/>
      <c r="S851" s="144"/>
    </row>
    <row r="852" spans="1:19" ht="14.25" customHeight="1">
      <c r="A852" s="630"/>
      <c r="B852" s="631"/>
      <c r="C852" s="1127"/>
      <c r="D852" s="632"/>
      <c r="E852" s="1127"/>
      <c r="F852" s="633">
        <f t="shared" si="83"/>
        <v>0</v>
      </c>
      <c r="G852" s="632"/>
      <c r="H852" s="1127"/>
      <c r="I852" s="633">
        <f t="shared" si="84"/>
        <v>0</v>
      </c>
      <c r="J852" s="633">
        <f t="shared" si="85"/>
        <v>0</v>
      </c>
      <c r="K852" s="633">
        <f t="shared" si="86"/>
        <v>0</v>
      </c>
      <c r="L852" s="1127"/>
      <c r="M852" s="1127"/>
      <c r="N852" s="1691">
        <f t="shared" si="81"/>
        <v>0</v>
      </c>
      <c r="O852" s="634">
        <f t="shared" si="82"/>
        <v>0</v>
      </c>
      <c r="P852" s="144"/>
      <c r="Q852" s="144"/>
      <c r="R852" s="144"/>
      <c r="S852" s="144"/>
    </row>
    <row r="853" spans="1:19" ht="14.25" customHeight="1">
      <c r="A853" s="630"/>
      <c r="B853" s="631"/>
      <c r="C853" s="1127"/>
      <c r="D853" s="632"/>
      <c r="E853" s="1127"/>
      <c r="F853" s="633">
        <f t="shared" si="83"/>
        <v>0</v>
      </c>
      <c r="G853" s="632"/>
      <c r="H853" s="1127"/>
      <c r="I853" s="633">
        <f t="shared" si="84"/>
        <v>0</v>
      </c>
      <c r="J853" s="633">
        <f t="shared" si="85"/>
        <v>0</v>
      </c>
      <c r="K853" s="633">
        <f t="shared" si="86"/>
        <v>0</v>
      </c>
      <c r="L853" s="1127"/>
      <c r="M853" s="1127"/>
      <c r="N853" s="1691">
        <f t="shared" si="81"/>
        <v>0</v>
      </c>
      <c r="O853" s="634">
        <f t="shared" si="82"/>
        <v>0</v>
      </c>
      <c r="P853" s="144"/>
      <c r="Q853" s="144"/>
      <c r="R853" s="144"/>
      <c r="S853" s="144"/>
    </row>
    <row r="854" spans="1:19" ht="14.25" customHeight="1">
      <c r="A854" s="630"/>
      <c r="B854" s="631"/>
      <c r="C854" s="1127"/>
      <c r="D854" s="632"/>
      <c r="E854" s="1127"/>
      <c r="F854" s="633">
        <f t="shared" si="83"/>
        <v>0</v>
      </c>
      <c r="G854" s="632"/>
      <c r="H854" s="1127"/>
      <c r="I854" s="633">
        <f t="shared" si="84"/>
        <v>0</v>
      </c>
      <c r="J854" s="633">
        <f t="shared" si="85"/>
        <v>0</v>
      </c>
      <c r="K854" s="633">
        <f t="shared" si="86"/>
        <v>0</v>
      </c>
      <c r="L854" s="1127"/>
      <c r="M854" s="1127"/>
      <c r="N854" s="1691">
        <f t="shared" si="81"/>
        <v>0</v>
      </c>
      <c r="O854" s="634">
        <f t="shared" si="82"/>
        <v>0</v>
      </c>
      <c r="P854" s="144"/>
      <c r="Q854" s="144"/>
      <c r="R854" s="144"/>
      <c r="S854" s="144"/>
    </row>
    <row r="855" spans="1:19" ht="14.25" customHeight="1">
      <c r="A855" s="630"/>
      <c r="B855" s="631"/>
      <c r="C855" s="1127"/>
      <c r="D855" s="632"/>
      <c r="E855" s="1127"/>
      <c r="F855" s="633">
        <f t="shared" si="83"/>
        <v>0</v>
      </c>
      <c r="G855" s="632"/>
      <c r="H855" s="1127"/>
      <c r="I855" s="633">
        <f t="shared" si="84"/>
        <v>0</v>
      </c>
      <c r="J855" s="633">
        <f t="shared" si="85"/>
        <v>0</v>
      </c>
      <c r="K855" s="633">
        <f t="shared" si="86"/>
        <v>0</v>
      </c>
      <c r="L855" s="1127"/>
      <c r="M855" s="1127"/>
      <c r="N855" s="1691">
        <f t="shared" si="81"/>
        <v>0</v>
      </c>
      <c r="O855" s="634">
        <f t="shared" si="82"/>
        <v>0</v>
      </c>
      <c r="P855" s="144"/>
      <c r="Q855" s="144"/>
      <c r="R855" s="144"/>
      <c r="S855" s="144"/>
    </row>
    <row r="856" spans="1:19" ht="14.25" customHeight="1">
      <c r="A856" s="630"/>
      <c r="B856" s="631"/>
      <c r="C856" s="1127"/>
      <c r="D856" s="632"/>
      <c r="E856" s="1127"/>
      <c r="F856" s="633">
        <f t="shared" si="83"/>
        <v>0</v>
      </c>
      <c r="G856" s="632"/>
      <c r="H856" s="1127"/>
      <c r="I856" s="633">
        <f t="shared" si="84"/>
        <v>0</v>
      </c>
      <c r="J856" s="633">
        <f t="shared" si="85"/>
        <v>0</v>
      </c>
      <c r="K856" s="633">
        <f t="shared" si="86"/>
        <v>0</v>
      </c>
      <c r="L856" s="1127"/>
      <c r="M856" s="1127"/>
      <c r="N856" s="1691">
        <f t="shared" si="81"/>
        <v>0</v>
      </c>
      <c r="O856" s="634">
        <f t="shared" si="82"/>
        <v>0</v>
      </c>
      <c r="P856" s="144"/>
      <c r="Q856" s="144"/>
      <c r="R856" s="144"/>
      <c r="S856" s="144"/>
    </row>
    <row r="857" spans="1:19" ht="13.8">
      <c r="A857" s="630"/>
      <c r="B857" s="631"/>
      <c r="C857" s="1127"/>
      <c r="D857" s="632"/>
      <c r="E857" s="1127"/>
      <c r="F857" s="633">
        <f t="shared" si="83"/>
        <v>0</v>
      </c>
      <c r="G857" s="632"/>
      <c r="H857" s="1127"/>
      <c r="I857" s="633">
        <f t="shared" si="84"/>
        <v>0</v>
      </c>
      <c r="J857" s="633">
        <f t="shared" si="85"/>
        <v>0</v>
      </c>
      <c r="K857" s="633">
        <f t="shared" si="86"/>
        <v>0</v>
      </c>
      <c r="L857" s="1127"/>
      <c r="M857" s="1127"/>
      <c r="N857" s="1691">
        <f t="shared" si="81"/>
        <v>0</v>
      </c>
      <c r="O857" s="634">
        <f t="shared" si="82"/>
        <v>0</v>
      </c>
      <c r="P857" s="144"/>
      <c r="Q857" s="144"/>
      <c r="R857" s="144"/>
      <c r="S857" s="144"/>
    </row>
    <row r="858" spans="1:19" ht="13.8">
      <c r="A858" s="630"/>
      <c r="B858" s="631"/>
      <c r="C858" s="1127"/>
      <c r="D858" s="632"/>
      <c r="E858" s="1127"/>
      <c r="F858" s="633">
        <f t="shared" si="83"/>
        <v>0</v>
      </c>
      <c r="G858" s="632"/>
      <c r="H858" s="1127"/>
      <c r="I858" s="633">
        <f t="shared" si="84"/>
        <v>0</v>
      </c>
      <c r="J858" s="633">
        <f t="shared" si="85"/>
        <v>0</v>
      </c>
      <c r="K858" s="633">
        <f t="shared" si="86"/>
        <v>0</v>
      </c>
      <c r="L858" s="1127"/>
      <c r="M858" s="1127"/>
      <c r="N858" s="1691">
        <f t="shared" si="81"/>
        <v>0</v>
      </c>
      <c r="O858" s="634">
        <f t="shared" si="82"/>
        <v>0</v>
      </c>
      <c r="P858" s="144"/>
      <c r="Q858" s="144"/>
      <c r="R858" s="144"/>
      <c r="S858" s="144"/>
    </row>
    <row r="859" spans="1:19" ht="13.8">
      <c r="A859" s="630"/>
      <c r="B859" s="631"/>
      <c r="C859" s="1127"/>
      <c r="D859" s="632"/>
      <c r="E859" s="1127"/>
      <c r="F859" s="633">
        <f t="shared" si="83"/>
        <v>0</v>
      </c>
      <c r="G859" s="632"/>
      <c r="H859" s="1127"/>
      <c r="I859" s="633">
        <f t="shared" si="84"/>
        <v>0</v>
      </c>
      <c r="J859" s="633">
        <f t="shared" si="85"/>
        <v>0</v>
      </c>
      <c r="K859" s="633">
        <f t="shared" si="86"/>
        <v>0</v>
      </c>
      <c r="L859" s="1127"/>
      <c r="M859" s="1127"/>
      <c r="N859" s="1691">
        <f t="shared" si="81"/>
        <v>0</v>
      </c>
      <c r="O859" s="634">
        <f t="shared" si="82"/>
        <v>0</v>
      </c>
      <c r="P859" s="144"/>
      <c r="Q859" s="144"/>
      <c r="R859" s="144"/>
      <c r="S859" s="144"/>
    </row>
    <row r="860" spans="1:19" ht="13.8">
      <c r="A860" s="630"/>
      <c r="B860" s="631"/>
      <c r="C860" s="1127"/>
      <c r="D860" s="632"/>
      <c r="E860" s="1127"/>
      <c r="F860" s="633">
        <f t="shared" si="83"/>
        <v>0</v>
      </c>
      <c r="G860" s="632"/>
      <c r="H860" s="1127"/>
      <c r="I860" s="633">
        <f t="shared" si="84"/>
        <v>0</v>
      </c>
      <c r="J860" s="633">
        <f t="shared" si="85"/>
        <v>0</v>
      </c>
      <c r="K860" s="633">
        <f t="shared" si="86"/>
        <v>0</v>
      </c>
      <c r="L860" s="1127"/>
      <c r="M860" s="1127"/>
      <c r="N860" s="1691">
        <f t="shared" si="81"/>
        <v>0</v>
      </c>
      <c r="O860" s="634">
        <f t="shared" si="82"/>
        <v>0</v>
      </c>
      <c r="P860" s="144"/>
      <c r="Q860" s="144"/>
      <c r="R860" s="144"/>
      <c r="S860" s="144"/>
    </row>
    <row r="861" spans="1:19" ht="13.8">
      <c r="A861" s="630"/>
      <c r="B861" s="631"/>
      <c r="C861" s="1127"/>
      <c r="D861" s="632"/>
      <c r="E861" s="1127"/>
      <c r="F861" s="633">
        <f t="shared" si="83"/>
        <v>0</v>
      </c>
      <c r="G861" s="632"/>
      <c r="H861" s="1127"/>
      <c r="I861" s="633">
        <f t="shared" si="84"/>
        <v>0</v>
      </c>
      <c r="J861" s="633">
        <f t="shared" si="85"/>
        <v>0</v>
      </c>
      <c r="K861" s="633">
        <f t="shared" si="86"/>
        <v>0</v>
      </c>
      <c r="L861" s="1127"/>
      <c r="M861" s="1127"/>
      <c r="N861" s="1691">
        <f t="shared" si="81"/>
        <v>0</v>
      </c>
      <c r="O861" s="634">
        <f t="shared" si="82"/>
        <v>0</v>
      </c>
      <c r="P861" s="144"/>
      <c r="Q861" s="144"/>
      <c r="R861" s="144"/>
      <c r="S861" s="144"/>
    </row>
    <row r="862" spans="1:19" ht="13.8">
      <c r="A862" s="630"/>
      <c r="B862" s="631"/>
      <c r="C862" s="1127"/>
      <c r="D862" s="632"/>
      <c r="E862" s="1127"/>
      <c r="F862" s="633">
        <f t="shared" si="83"/>
        <v>0</v>
      </c>
      <c r="G862" s="632"/>
      <c r="H862" s="1127"/>
      <c r="I862" s="633">
        <f t="shared" si="84"/>
        <v>0</v>
      </c>
      <c r="J862" s="633">
        <f t="shared" si="85"/>
        <v>0</v>
      </c>
      <c r="K862" s="633">
        <f t="shared" si="86"/>
        <v>0</v>
      </c>
      <c r="L862" s="1127"/>
      <c r="M862" s="1127"/>
      <c r="N862" s="1691">
        <f t="shared" si="81"/>
        <v>0</v>
      </c>
      <c r="O862" s="634">
        <f t="shared" si="82"/>
        <v>0</v>
      </c>
      <c r="P862" s="144"/>
      <c r="Q862" s="144"/>
      <c r="R862" s="144"/>
      <c r="S862" s="144"/>
    </row>
    <row r="863" spans="1:19" ht="13.8">
      <c r="A863" s="630"/>
      <c r="B863" s="631"/>
      <c r="C863" s="1127"/>
      <c r="D863" s="632"/>
      <c r="E863" s="1127"/>
      <c r="F863" s="633">
        <f t="shared" si="83"/>
        <v>0</v>
      </c>
      <c r="G863" s="632"/>
      <c r="H863" s="1127"/>
      <c r="I863" s="633">
        <f t="shared" si="84"/>
        <v>0</v>
      </c>
      <c r="J863" s="633">
        <f t="shared" si="85"/>
        <v>0</v>
      </c>
      <c r="K863" s="633">
        <f t="shared" si="86"/>
        <v>0</v>
      </c>
      <c r="L863" s="1127"/>
      <c r="M863" s="1127"/>
      <c r="N863" s="1691">
        <f t="shared" si="81"/>
        <v>0</v>
      </c>
      <c r="O863" s="634">
        <f t="shared" si="82"/>
        <v>0</v>
      </c>
      <c r="P863" s="144"/>
      <c r="Q863" s="144"/>
      <c r="R863" s="144"/>
      <c r="S863" s="144"/>
    </row>
    <row r="864" spans="1:19" ht="13.8">
      <c r="A864" s="630"/>
      <c r="B864" s="631"/>
      <c r="C864" s="1127"/>
      <c r="D864" s="632"/>
      <c r="E864" s="1127"/>
      <c r="F864" s="633">
        <f t="shared" si="83"/>
        <v>0</v>
      </c>
      <c r="G864" s="632"/>
      <c r="H864" s="1127"/>
      <c r="I864" s="633">
        <f t="shared" si="84"/>
        <v>0</v>
      </c>
      <c r="J864" s="633">
        <f t="shared" si="85"/>
        <v>0</v>
      </c>
      <c r="K864" s="633">
        <f t="shared" si="86"/>
        <v>0</v>
      </c>
      <c r="L864" s="1127"/>
      <c r="M864" s="1127"/>
      <c r="N864" s="1691">
        <f t="shared" si="81"/>
        <v>0</v>
      </c>
      <c r="O864" s="634">
        <f t="shared" si="82"/>
        <v>0</v>
      </c>
      <c r="P864" s="144"/>
      <c r="Q864" s="144"/>
      <c r="R864" s="144"/>
      <c r="S864" s="144"/>
    </row>
    <row r="865" spans="1:19" ht="13.8">
      <c r="A865" s="630"/>
      <c r="B865" s="631"/>
      <c r="C865" s="1127"/>
      <c r="D865" s="632"/>
      <c r="E865" s="1127"/>
      <c r="F865" s="633">
        <f t="shared" si="83"/>
        <v>0</v>
      </c>
      <c r="G865" s="632"/>
      <c r="H865" s="1127"/>
      <c r="I865" s="633">
        <f t="shared" si="84"/>
        <v>0</v>
      </c>
      <c r="J865" s="633">
        <f t="shared" si="85"/>
        <v>0</v>
      </c>
      <c r="K865" s="633">
        <f t="shared" si="86"/>
        <v>0</v>
      </c>
      <c r="L865" s="1127"/>
      <c r="M865" s="1127"/>
      <c r="N865" s="1691">
        <f t="shared" si="81"/>
        <v>0</v>
      </c>
      <c r="O865" s="634">
        <f t="shared" si="82"/>
        <v>0</v>
      </c>
      <c r="P865" s="144"/>
      <c r="Q865" s="144"/>
      <c r="R865" s="144"/>
      <c r="S865" s="144"/>
    </row>
    <row r="866" spans="1:19" ht="13.8">
      <c r="A866" s="630"/>
      <c r="B866" s="631"/>
      <c r="C866" s="1127"/>
      <c r="D866" s="632"/>
      <c r="E866" s="1127"/>
      <c r="F866" s="633">
        <f t="shared" si="83"/>
        <v>0</v>
      </c>
      <c r="G866" s="632"/>
      <c r="H866" s="1127"/>
      <c r="I866" s="633">
        <f t="shared" si="84"/>
        <v>0</v>
      </c>
      <c r="J866" s="633">
        <f t="shared" si="85"/>
        <v>0</v>
      </c>
      <c r="K866" s="633">
        <f t="shared" si="86"/>
        <v>0</v>
      </c>
      <c r="L866" s="1127"/>
      <c r="M866" s="1127"/>
      <c r="N866" s="1691">
        <f t="shared" si="81"/>
        <v>0</v>
      </c>
      <c r="O866" s="634">
        <f t="shared" si="82"/>
        <v>0</v>
      </c>
      <c r="P866" s="144"/>
      <c r="Q866" s="144"/>
      <c r="R866" s="144"/>
      <c r="S866" s="144"/>
    </row>
    <row r="867" spans="1:19" ht="13.8">
      <c r="A867" s="630"/>
      <c r="B867" s="631"/>
      <c r="C867" s="1127"/>
      <c r="D867" s="632"/>
      <c r="E867" s="1127"/>
      <c r="F867" s="633">
        <f t="shared" si="83"/>
        <v>0</v>
      </c>
      <c r="G867" s="632"/>
      <c r="H867" s="1127"/>
      <c r="I867" s="633">
        <f t="shared" si="84"/>
        <v>0</v>
      </c>
      <c r="J867" s="633">
        <f t="shared" si="85"/>
        <v>0</v>
      </c>
      <c r="K867" s="633">
        <f t="shared" si="86"/>
        <v>0</v>
      </c>
      <c r="L867" s="1127"/>
      <c r="M867" s="1127"/>
      <c r="N867" s="1691">
        <f t="shared" si="81"/>
        <v>0</v>
      </c>
      <c r="O867" s="634">
        <f t="shared" si="82"/>
        <v>0</v>
      </c>
      <c r="P867" s="144"/>
      <c r="Q867" s="144"/>
      <c r="R867" s="144"/>
      <c r="S867" s="144"/>
    </row>
    <row r="868" spans="1:19" ht="13.8">
      <c r="A868" s="630"/>
      <c r="B868" s="631"/>
      <c r="C868" s="1127"/>
      <c r="D868" s="632"/>
      <c r="E868" s="1127"/>
      <c r="F868" s="633">
        <f t="shared" si="83"/>
        <v>0</v>
      </c>
      <c r="G868" s="632"/>
      <c r="H868" s="1127"/>
      <c r="I868" s="633">
        <f t="shared" si="84"/>
        <v>0</v>
      </c>
      <c r="J868" s="633">
        <f t="shared" si="85"/>
        <v>0</v>
      </c>
      <c r="K868" s="633">
        <f t="shared" si="86"/>
        <v>0</v>
      </c>
      <c r="L868" s="1127"/>
      <c r="M868" s="1127"/>
      <c r="N868" s="1691">
        <f t="shared" si="81"/>
        <v>0</v>
      </c>
      <c r="O868" s="634">
        <f t="shared" si="82"/>
        <v>0</v>
      </c>
      <c r="P868" s="144"/>
      <c r="Q868" s="144"/>
      <c r="R868" s="144"/>
      <c r="S868" s="144"/>
    </row>
    <row r="869" spans="1:19" ht="13.8">
      <c r="A869" s="630"/>
      <c r="B869" s="631"/>
      <c r="C869" s="1127"/>
      <c r="D869" s="632"/>
      <c r="E869" s="1127"/>
      <c r="F869" s="633">
        <f t="shared" si="83"/>
        <v>0</v>
      </c>
      <c r="G869" s="632"/>
      <c r="H869" s="1127"/>
      <c r="I869" s="633">
        <f t="shared" si="84"/>
        <v>0</v>
      </c>
      <c r="J869" s="633">
        <f t="shared" si="85"/>
        <v>0</v>
      </c>
      <c r="K869" s="633">
        <f t="shared" si="86"/>
        <v>0</v>
      </c>
      <c r="L869" s="1127"/>
      <c r="M869" s="1127"/>
      <c r="N869" s="1691">
        <f t="shared" si="81"/>
        <v>0</v>
      </c>
      <c r="O869" s="634">
        <f t="shared" si="82"/>
        <v>0</v>
      </c>
      <c r="P869" s="144"/>
      <c r="Q869" s="144"/>
      <c r="R869" s="144"/>
      <c r="S869" s="144"/>
    </row>
    <row r="870" spans="1:19" ht="13.8">
      <c r="A870" s="630"/>
      <c r="B870" s="631"/>
      <c r="C870" s="1127"/>
      <c r="D870" s="632"/>
      <c r="E870" s="1127"/>
      <c r="F870" s="633">
        <f t="shared" si="83"/>
        <v>0</v>
      </c>
      <c r="G870" s="632"/>
      <c r="H870" s="1127"/>
      <c r="I870" s="633">
        <f t="shared" si="84"/>
        <v>0</v>
      </c>
      <c r="J870" s="633">
        <f t="shared" si="85"/>
        <v>0</v>
      </c>
      <c r="K870" s="633">
        <f t="shared" si="86"/>
        <v>0</v>
      </c>
      <c r="L870" s="1127"/>
      <c r="M870" s="1127"/>
      <c r="N870" s="1691">
        <f t="shared" si="81"/>
        <v>0</v>
      </c>
      <c r="O870" s="634">
        <f t="shared" si="82"/>
        <v>0</v>
      </c>
      <c r="P870" s="144"/>
      <c r="Q870" s="144"/>
      <c r="R870" s="144"/>
      <c r="S870" s="144"/>
    </row>
    <row r="871" spans="1:19" ht="13.8">
      <c r="A871" s="630"/>
      <c r="B871" s="631"/>
      <c r="C871" s="1127"/>
      <c r="D871" s="632"/>
      <c r="E871" s="1127"/>
      <c r="F871" s="633">
        <f t="shared" si="83"/>
        <v>0</v>
      </c>
      <c r="G871" s="632"/>
      <c r="H871" s="1127"/>
      <c r="I871" s="633">
        <f t="shared" si="84"/>
        <v>0</v>
      </c>
      <c r="J871" s="633">
        <f t="shared" si="85"/>
        <v>0</v>
      </c>
      <c r="K871" s="633">
        <f t="shared" si="86"/>
        <v>0</v>
      </c>
      <c r="L871" s="1127"/>
      <c r="M871" s="1127"/>
      <c r="N871" s="1691">
        <f t="shared" si="81"/>
        <v>0</v>
      </c>
      <c r="O871" s="634">
        <f t="shared" si="82"/>
        <v>0</v>
      </c>
      <c r="P871" s="144"/>
      <c r="Q871" s="144"/>
      <c r="R871" s="144"/>
      <c r="S871" s="144"/>
    </row>
    <row r="872" spans="1:19" ht="13.8">
      <c r="A872" s="630"/>
      <c r="B872" s="631"/>
      <c r="C872" s="1127"/>
      <c r="D872" s="632"/>
      <c r="E872" s="1127"/>
      <c r="F872" s="633">
        <f t="shared" si="83"/>
        <v>0</v>
      </c>
      <c r="G872" s="632"/>
      <c r="H872" s="1127"/>
      <c r="I872" s="633">
        <f t="shared" si="84"/>
        <v>0</v>
      </c>
      <c r="J872" s="633">
        <f t="shared" si="85"/>
        <v>0</v>
      </c>
      <c r="K872" s="633">
        <f t="shared" si="86"/>
        <v>0</v>
      </c>
      <c r="L872" s="1127"/>
      <c r="M872" s="1127"/>
      <c r="N872" s="1691">
        <f t="shared" si="81"/>
        <v>0</v>
      </c>
      <c r="O872" s="634">
        <f t="shared" si="82"/>
        <v>0</v>
      </c>
      <c r="P872" s="144"/>
      <c r="Q872" s="144"/>
      <c r="R872" s="144"/>
      <c r="S872" s="144"/>
    </row>
    <row r="873" spans="1:19" ht="13.8">
      <c r="A873" s="630"/>
      <c r="B873" s="631"/>
      <c r="C873" s="1127"/>
      <c r="D873" s="632"/>
      <c r="E873" s="1127"/>
      <c r="F873" s="633">
        <f t="shared" si="83"/>
        <v>0</v>
      </c>
      <c r="G873" s="632"/>
      <c r="H873" s="1127"/>
      <c r="I873" s="633">
        <f t="shared" si="84"/>
        <v>0</v>
      </c>
      <c r="J873" s="633">
        <f t="shared" si="85"/>
        <v>0</v>
      </c>
      <c r="K873" s="633">
        <f t="shared" si="86"/>
        <v>0</v>
      </c>
      <c r="L873" s="1127"/>
      <c r="M873" s="1127"/>
      <c r="N873" s="1691">
        <f t="shared" si="81"/>
        <v>0</v>
      </c>
      <c r="O873" s="634">
        <f t="shared" si="82"/>
        <v>0</v>
      </c>
      <c r="P873" s="144"/>
      <c r="Q873" s="144"/>
      <c r="R873" s="144"/>
      <c r="S873" s="144"/>
    </row>
    <row r="874" spans="1:19" ht="13.8">
      <c r="A874" s="630"/>
      <c r="B874" s="631"/>
      <c r="C874" s="1127"/>
      <c r="D874" s="632"/>
      <c r="E874" s="1127"/>
      <c r="F874" s="633">
        <f t="shared" si="83"/>
        <v>0</v>
      </c>
      <c r="G874" s="632"/>
      <c r="H874" s="1127"/>
      <c r="I874" s="633">
        <f t="shared" si="84"/>
        <v>0</v>
      </c>
      <c r="J874" s="633">
        <f t="shared" si="85"/>
        <v>0</v>
      </c>
      <c r="K874" s="633">
        <f t="shared" si="86"/>
        <v>0</v>
      </c>
      <c r="L874" s="1127"/>
      <c r="M874" s="1127"/>
      <c r="N874" s="1691">
        <f t="shared" si="81"/>
        <v>0</v>
      </c>
      <c r="O874" s="634">
        <f t="shared" si="82"/>
        <v>0</v>
      </c>
      <c r="P874" s="144"/>
      <c r="Q874" s="144"/>
      <c r="R874" s="144"/>
      <c r="S874" s="144"/>
    </row>
    <row r="875" spans="1:19" ht="13.8">
      <c r="A875" s="630"/>
      <c r="B875" s="631"/>
      <c r="C875" s="1127"/>
      <c r="D875" s="632"/>
      <c r="E875" s="1127"/>
      <c r="F875" s="633">
        <f t="shared" si="83"/>
        <v>0</v>
      </c>
      <c r="G875" s="632"/>
      <c r="H875" s="1127"/>
      <c r="I875" s="633">
        <f t="shared" si="84"/>
        <v>0</v>
      </c>
      <c r="J875" s="633">
        <f t="shared" si="85"/>
        <v>0</v>
      </c>
      <c r="K875" s="633">
        <f t="shared" si="86"/>
        <v>0</v>
      </c>
      <c r="L875" s="1127"/>
      <c r="M875" s="1127"/>
      <c r="N875" s="1691">
        <f t="shared" si="81"/>
        <v>0</v>
      </c>
      <c r="O875" s="634">
        <f t="shared" si="82"/>
        <v>0</v>
      </c>
      <c r="P875" s="144"/>
      <c r="Q875" s="144"/>
      <c r="R875" s="144"/>
      <c r="S875" s="144"/>
    </row>
    <row r="876" spans="1:19" ht="13.8">
      <c r="A876" s="630"/>
      <c r="B876" s="631"/>
      <c r="C876" s="1127"/>
      <c r="D876" s="632"/>
      <c r="E876" s="1127"/>
      <c r="F876" s="633">
        <f t="shared" si="83"/>
        <v>0</v>
      </c>
      <c r="G876" s="632"/>
      <c r="H876" s="1127"/>
      <c r="I876" s="633">
        <f t="shared" si="84"/>
        <v>0</v>
      </c>
      <c r="J876" s="633">
        <f t="shared" si="85"/>
        <v>0</v>
      </c>
      <c r="K876" s="633">
        <f t="shared" si="86"/>
        <v>0</v>
      </c>
      <c r="L876" s="1127"/>
      <c r="M876" s="1127"/>
      <c r="N876" s="1691">
        <f t="shared" si="81"/>
        <v>0</v>
      </c>
      <c r="O876" s="634">
        <f t="shared" si="82"/>
        <v>0</v>
      </c>
      <c r="P876" s="144"/>
      <c r="Q876" s="144"/>
      <c r="R876" s="144"/>
      <c r="S876" s="144"/>
    </row>
    <row r="877" spans="1:19" ht="13.8">
      <c r="A877" s="630"/>
      <c r="B877" s="631"/>
      <c r="C877" s="1127"/>
      <c r="D877" s="632"/>
      <c r="E877" s="1127"/>
      <c r="F877" s="633">
        <f t="shared" si="83"/>
        <v>0</v>
      </c>
      <c r="G877" s="632"/>
      <c r="H877" s="1127"/>
      <c r="I877" s="633">
        <f t="shared" si="84"/>
        <v>0</v>
      </c>
      <c r="J877" s="633">
        <f t="shared" si="85"/>
        <v>0</v>
      </c>
      <c r="K877" s="633">
        <f t="shared" si="86"/>
        <v>0</v>
      </c>
      <c r="L877" s="1127"/>
      <c r="M877" s="1127"/>
      <c r="N877" s="1691">
        <f t="shared" si="81"/>
        <v>0</v>
      </c>
      <c r="O877" s="634">
        <f t="shared" si="82"/>
        <v>0</v>
      </c>
      <c r="P877" s="144"/>
      <c r="Q877" s="144"/>
      <c r="R877" s="144"/>
      <c r="S877" s="144"/>
    </row>
    <row r="878" spans="1:19" ht="13.8">
      <c r="A878" s="630"/>
      <c r="B878" s="631"/>
      <c r="C878" s="1127"/>
      <c r="D878" s="632"/>
      <c r="E878" s="1127"/>
      <c r="F878" s="633">
        <f t="shared" si="83"/>
        <v>0</v>
      </c>
      <c r="G878" s="632"/>
      <c r="H878" s="1127"/>
      <c r="I878" s="633">
        <f t="shared" si="84"/>
        <v>0</v>
      </c>
      <c r="J878" s="633">
        <f t="shared" si="85"/>
        <v>0</v>
      </c>
      <c r="K878" s="633">
        <f t="shared" si="86"/>
        <v>0</v>
      </c>
      <c r="L878" s="1127"/>
      <c r="M878" s="1127"/>
      <c r="N878" s="1691">
        <f t="shared" si="81"/>
        <v>0</v>
      </c>
      <c r="O878" s="634">
        <f t="shared" si="82"/>
        <v>0</v>
      </c>
      <c r="P878" s="144"/>
      <c r="Q878" s="144"/>
      <c r="R878" s="144"/>
      <c r="S878" s="144"/>
    </row>
    <row r="879" spans="1:19" ht="13.8">
      <c r="A879" s="630"/>
      <c r="B879" s="631"/>
      <c r="C879" s="1127"/>
      <c r="D879" s="632"/>
      <c r="E879" s="1127"/>
      <c r="F879" s="633">
        <f t="shared" si="83"/>
        <v>0</v>
      </c>
      <c r="G879" s="632"/>
      <c r="H879" s="1127"/>
      <c r="I879" s="633">
        <f t="shared" si="84"/>
        <v>0</v>
      </c>
      <c r="J879" s="633">
        <f t="shared" si="85"/>
        <v>0</v>
      </c>
      <c r="K879" s="633">
        <f t="shared" si="86"/>
        <v>0</v>
      </c>
      <c r="L879" s="1127"/>
      <c r="M879" s="1127"/>
      <c r="N879" s="1691">
        <f t="shared" si="81"/>
        <v>0</v>
      </c>
      <c r="O879" s="634">
        <f t="shared" si="82"/>
        <v>0</v>
      </c>
      <c r="P879" s="144"/>
      <c r="Q879" s="144"/>
      <c r="R879" s="144"/>
      <c r="S879" s="144"/>
    </row>
    <row r="880" spans="1:19" ht="13.8">
      <c r="A880" s="630"/>
      <c r="B880" s="631"/>
      <c r="C880" s="1127"/>
      <c r="D880" s="632"/>
      <c r="E880" s="1127"/>
      <c r="F880" s="633">
        <f t="shared" si="83"/>
        <v>0</v>
      </c>
      <c r="G880" s="632"/>
      <c r="H880" s="1127"/>
      <c r="I880" s="633">
        <f t="shared" si="84"/>
        <v>0</v>
      </c>
      <c r="J880" s="633">
        <f t="shared" si="85"/>
        <v>0</v>
      </c>
      <c r="K880" s="633">
        <f t="shared" si="86"/>
        <v>0</v>
      </c>
      <c r="L880" s="1127"/>
      <c r="M880" s="1127"/>
      <c r="N880" s="1691">
        <f t="shared" si="81"/>
        <v>0</v>
      </c>
      <c r="O880" s="634">
        <f t="shared" si="82"/>
        <v>0</v>
      </c>
      <c r="P880" s="144"/>
      <c r="Q880" s="144"/>
      <c r="R880" s="144"/>
      <c r="S880" s="144"/>
    </row>
    <row r="881" spans="1:19" ht="13.8">
      <c r="A881" s="630"/>
      <c r="B881" s="631"/>
      <c r="C881" s="1127"/>
      <c r="D881" s="632"/>
      <c r="E881" s="1127"/>
      <c r="F881" s="633">
        <f t="shared" si="83"/>
        <v>0</v>
      </c>
      <c r="G881" s="632"/>
      <c r="H881" s="1127"/>
      <c r="I881" s="633">
        <f t="shared" si="84"/>
        <v>0</v>
      </c>
      <c r="J881" s="633">
        <f t="shared" si="85"/>
        <v>0</v>
      </c>
      <c r="K881" s="633">
        <f t="shared" si="86"/>
        <v>0</v>
      </c>
      <c r="L881" s="1127"/>
      <c r="M881" s="1127"/>
      <c r="N881" s="1691">
        <f t="shared" si="81"/>
        <v>0</v>
      </c>
      <c r="O881" s="634">
        <f t="shared" si="82"/>
        <v>0</v>
      </c>
      <c r="P881" s="144"/>
      <c r="Q881" s="144"/>
      <c r="R881" s="144"/>
      <c r="S881" s="144"/>
    </row>
    <row r="882" spans="1:19" ht="13.8">
      <c r="A882" s="630"/>
      <c r="B882" s="631"/>
      <c r="C882" s="1127"/>
      <c r="D882" s="632"/>
      <c r="E882" s="1127"/>
      <c r="F882" s="633">
        <f t="shared" si="83"/>
        <v>0</v>
      </c>
      <c r="G882" s="632"/>
      <c r="H882" s="1127"/>
      <c r="I882" s="633">
        <f t="shared" si="84"/>
        <v>0</v>
      </c>
      <c r="J882" s="633">
        <f t="shared" si="85"/>
        <v>0</v>
      </c>
      <c r="K882" s="633">
        <f t="shared" si="86"/>
        <v>0</v>
      </c>
      <c r="L882" s="1127"/>
      <c r="M882" s="1127"/>
      <c r="N882" s="1691">
        <f t="shared" si="81"/>
        <v>0</v>
      </c>
      <c r="O882" s="634">
        <f t="shared" si="82"/>
        <v>0</v>
      </c>
      <c r="P882" s="144"/>
      <c r="Q882" s="144"/>
      <c r="R882" s="144"/>
      <c r="S882" s="144"/>
    </row>
    <row r="883" spans="1:19" ht="13.8">
      <c r="A883" s="630"/>
      <c r="B883" s="631"/>
      <c r="C883" s="1127"/>
      <c r="D883" s="632"/>
      <c r="E883" s="1127"/>
      <c r="F883" s="633">
        <f t="shared" si="83"/>
        <v>0</v>
      </c>
      <c r="G883" s="632"/>
      <c r="H883" s="1127"/>
      <c r="I883" s="633">
        <f t="shared" si="84"/>
        <v>0</v>
      </c>
      <c r="J883" s="633">
        <f t="shared" si="85"/>
        <v>0</v>
      </c>
      <c r="K883" s="633">
        <f t="shared" si="86"/>
        <v>0</v>
      </c>
      <c r="L883" s="1127"/>
      <c r="M883" s="1127"/>
      <c r="N883" s="1691">
        <f t="shared" si="81"/>
        <v>0</v>
      </c>
      <c r="O883" s="634">
        <f t="shared" si="82"/>
        <v>0</v>
      </c>
      <c r="P883" s="144"/>
      <c r="Q883" s="144"/>
      <c r="R883" s="144"/>
      <c r="S883" s="144"/>
    </row>
    <row r="884" spans="1:19" ht="13.8">
      <c r="A884" s="630"/>
      <c r="B884" s="631"/>
      <c r="C884" s="1127"/>
      <c r="D884" s="632"/>
      <c r="E884" s="1127"/>
      <c r="F884" s="633">
        <f t="shared" si="83"/>
        <v>0</v>
      </c>
      <c r="G884" s="632"/>
      <c r="H884" s="1127"/>
      <c r="I884" s="633">
        <f t="shared" si="84"/>
        <v>0</v>
      </c>
      <c r="J884" s="633">
        <f t="shared" si="85"/>
        <v>0</v>
      </c>
      <c r="K884" s="633">
        <f t="shared" si="86"/>
        <v>0</v>
      </c>
      <c r="L884" s="1127"/>
      <c r="M884" s="1127"/>
      <c r="N884" s="1691">
        <f t="shared" si="81"/>
        <v>0</v>
      </c>
      <c r="O884" s="634">
        <f t="shared" si="82"/>
        <v>0</v>
      </c>
      <c r="P884" s="144"/>
      <c r="Q884" s="144"/>
      <c r="R884" s="144"/>
      <c r="S884" s="144"/>
    </row>
    <row r="885" spans="1:19" ht="13.8">
      <c r="A885" s="630"/>
      <c r="B885" s="631"/>
      <c r="C885" s="1127"/>
      <c r="D885" s="632"/>
      <c r="E885" s="1127"/>
      <c r="F885" s="633">
        <f t="shared" si="83"/>
        <v>0</v>
      </c>
      <c r="G885" s="632"/>
      <c r="H885" s="1127"/>
      <c r="I885" s="633">
        <f t="shared" si="84"/>
        <v>0</v>
      </c>
      <c r="J885" s="633">
        <f t="shared" si="85"/>
        <v>0</v>
      </c>
      <c r="K885" s="633">
        <f t="shared" si="86"/>
        <v>0</v>
      </c>
      <c r="L885" s="1127"/>
      <c r="M885" s="1127"/>
      <c r="N885" s="1691">
        <f t="shared" si="81"/>
        <v>0</v>
      </c>
      <c r="O885" s="634">
        <f t="shared" si="82"/>
        <v>0</v>
      </c>
      <c r="P885" s="144"/>
      <c r="Q885" s="144"/>
      <c r="R885" s="144"/>
      <c r="S885" s="144"/>
    </row>
    <row r="886" spans="1:19" ht="13.8">
      <c r="A886" s="630"/>
      <c r="B886" s="631"/>
      <c r="C886" s="1127"/>
      <c r="D886" s="632"/>
      <c r="E886" s="1127"/>
      <c r="F886" s="633">
        <f t="shared" si="83"/>
        <v>0</v>
      </c>
      <c r="G886" s="632"/>
      <c r="H886" s="1127"/>
      <c r="I886" s="633">
        <f t="shared" si="84"/>
        <v>0</v>
      </c>
      <c r="J886" s="633">
        <f t="shared" si="85"/>
        <v>0</v>
      </c>
      <c r="K886" s="633">
        <f t="shared" si="86"/>
        <v>0</v>
      </c>
      <c r="L886" s="1127"/>
      <c r="M886" s="1127"/>
      <c r="N886" s="1691">
        <f t="shared" si="81"/>
        <v>0</v>
      </c>
      <c r="O886" s="634">
        <f t="shared" si="82"/>
        <v>0</v>
      </c>
      <c r="P886" s="144"/>
      <c r="Q886" s="144"/>
      <c r="R886" s="144"/>
      <c r="S886" s="144"/>
    </row>
    <row r="887" spans="1:19" ht="13.8">
      <c r="A887" s="630"/>
      <c r="B887" s="631"/>
      <c r="C887" s="1127"/>
      <c r="D887" s="632"/>
      <c r="E887" s="1127"/>
      <c r="F887" s="633">
        <f t="shared" si="83"/>
        <v>0</v>
      </c>
      <c r="G887" s="632"/>
      <c r="H887" s="1127"/>
      <c r="I887" s="633">
        <f t="shared" si="84"/>
        <v>0</v>
      </c>
      <c r="J887" s="633">
        <f t="shared" si="85"/>
        <v>0</v>
      </c>
      <c r="K887" s="633">
        <f t="shared" si="86"/>
        <v>0</v>
      </c>
      <c r="L887" s="1127"/>
      <c r="M887" s="1127"/>
      <c r="N887" s="1691">
        <f t="shared" si="81"/>
        <v>0</v>
      </c>
      <c r="O887" s="634">
        <f t="shared" si="82"/>
        <v>0</v>
      </c>
      <c r="P887" s="144"/>
      <c r="Q887" s="144"/>
      <c r="R887" s="144"/>
      <c r="S887" s="144"/>
    </row>
    <row r="888" spans="1:19" ht="13.8">
      <c r="A888" s="630"/>
      <c r="B888" s="631"/>
      <c r="C888" s="1127"/>
      <c r="D888" s="632"/>
      <c r="E888" s="1127"/>
      <c r="F888" s="633">
        <f t="shared" si="83"/>
        <v>0</v>
      </c>
      <c r="G888" s="632"/>
      <c r="H888" s="1127"/>
      <c r="I888" s="633">
        <f t="shared" si="84"/>
        <v>0</v>
      </c>
      <c r="J888" s="633">
        <f t="shared" si="85"/>
        <v>0</v>
      </c>
      <c r="K888" s="633">
        <f t="shared" si="86"/>
        <v>0</v>
      </c>
      <c r="L888" s="1127"/>
      <c r="M888" s="1127"/>
      <c r="N888" s="1691">
        <f t="shared" si="81"/>
        <v>0</v>
      </c>
      <c r="O888" s="634">
        <f t="shared" si="82"/>
        <v>0</v>
      </c>
      <c r="P888" s="144"/>
      <c r="Q888" s="144"/>
      <c r="R888" s="144"/>
      <c r="S888" s="144"/>
    </row>
    <row r="889" spans="1:19" ht="13.8">
      <c r="A889" s="630"/>
      <c r="B889" s="631"/>
      <c r="C889" s="1127"/>
      <c r="D889" s="632"/>
      <c r="E889" s="1127"/>
      <c r="F889" s="633">
        <f t="shared" si="83"/>
        <v>0</v>
      </c>
      <c r="G889" s="632"/>
      <c r="H889" s="1127"/>
      <c r="I889" s="633">
        <f t="shared" si="84"/>
        <v>0</v>
      </c>
      <c r="J889" s="633">
        <f t="shared" si="85"/>
        <v>0</v>
      </c>
      <c r="K889" s="633">
        <f t="shared" si="86"/>
        <v>0</v>
      </c>
      <c r="L889" s="1127"/>
      <c r="M889" s="1127"/>
      <c r="N889" s="1691">
        <f t="shared" si="81"/>
        <v>0</v>
      </c>
      <c r="O889" s="634">
        <f t="shared" si="82"/>
        <v>0</v>
      </c>
      <c r="P889" s="144"/>
      <c r="Q889" s="144"/>
      <c r="R889" s="144"/>
      <c r="S889" s="144"/>
    </row>
    <row r="890" spans="1:19" ht="13.8">
      <c r="A890" s="630"/>
      <c r="B890" s="631"/>
      <c r="C890" s="1127"/>
      <c r="D890" s="632"/>
      <c r="E890" s="1127"/>
      <c r="F890" s="633">
        <f t="shared" si="83"/>
        <v>0</v>
      </c>
      <c r="G890" s="632"/>
      <c r="H890" s="1127"/>
      <c r="I890" s="633">
        <f t="shared" si="84"/>
        <v>0</v>
      </c>
      <c r="J890" s="633">
        <f t="shared" si="85"/>
        <v>0</v>
      </c>
      <c r="K890" s="633">
        <f t="shared" si="86"/>
        <v>0</v>
      </c>
      <c r="L890" s="1127"/>
      <c r="M890" s="1127"/>
      <c r="N890" s="1691">
        <f t="shared" si="81"/>
        <v>0</v>
      </c>
      <c r="O890" s="634">
        <f t="shared" si="82"/>
        <v>0</v>
      </c>
      <c r="P890" s="144"/>
      <c r="Q890" s="144"/>
      <c r="R890" s="144"/>
      <c r="S890" s="144"/>
    </row>
    <row r="891" spans="1:19" ht="13.8">
      <c r="A891" s="630"/>
      <c r="B891" s="631"/>
      <c r="C891" s="1127"/>
      <c r="D891" s="632"/>
      <c r="E891" s="1127"/>
      <c r="F891" s="633">
        <f t="shared" si="83"/>
        <v>0</v>
      </c>
      <c r="G891" s="632"/>
      <c r="H891" s="1127"/>
      <c r="I891" s="633">
        <f t="shared" si="84"/>
        <v>0</v>
      </c>
      <c r="J891" s="633">
        <f t="shared" si="85"/>
        <v>0</v>
      </c>
      <c r="K891" s="633">
        <f t="shared" si="86"/>
        <v>0</v>
      </c>
      <c r="L891" s="1127"/>
      <c r="M891" s="1127"/>
      <c r="N891" s="1691">
        <f t="shared" si="81"/>
        <v>0</v>
      </c>
      <c r="O891" s="634">
        <f t="shared" si="82"/>
        <v>0</v>
      </c>
      <c r="P891" s="144"/>
      <c r="Q891" s="144"/>
      <c r="R891" s="144"/>
      <c r="S891" s="144"/>
    </row>
    <row r="892" spans="1:19" ht="13.8">
      <c r="A892" s="630"/>
      <c r="B892" s="631"/>
      <c r="C892" s="1127"/>
      <c r="D892" s="632"/>
      <c r="E892" s="1127"/>
      <c r="F892" s="633">
        <f t="shared" si="83"/>
        <v>0</v>
      </c>
      <c r="G892" s="632"/>
      <c r="H892" s="1127"/>
      <c r="I892" s="633">
        <f t="shared" si="84"/>
        <v>0</v>
      </c>
      <c r="J892" s="633">
        <f t="shared" si="85"/>
        <v>0</v>
      </c>
      <c r="K892" s="633">
        <f t="shared" si="86"/>
        <v>0</v>
      </c>
      <c r="L892" s="1127"/>
      <c r="M892" s="1127"/>
      <c r="N892" s="1691">
        <f t="shared" si="81"/>
        <v>0</v>
      </c>
      <c r="O892" s="634">
        <f t="shared" si="82"/>
        <v>0</v>
      </c>
      <c r="P892" s="144"/>
      <c r="Q892" s="144"/>
      <c r="R892" s="144"/>
      <c r="S892" s="144"/>
    </row>
    <row r="893" spans="1:19" ht="13.8">
      <c r="A893" s="630"/>
      <c r="B893" s="631"/>
      <c r="C893" s="1127"/>
      <c r="D893" s="632"/>
      <c r="E893" s="1127"/>
      <c r="F893" s="633">
        <f t="shared" si="83"/>
        <v>0</v>
      </c>
      <c r="G893" s="632"/>
      <c r="H893" s="1127"/>
      <c r="I893" s="633">
        <f t="shared" si="84"/>
        <v>0</v>
      </c>
      <c r="J893" s="633">
        <f t="shared" si="85"/>
        <v>0</v>
      </c>
      <c r="K893" s="633">
        <f t="shared" si="86"/>
        <v>0</v>
      </c>
      <c r="L893" s="1127"/>
      <c r="M893" s="1127"/>
      <c r="N893" s="1691">
        <f t="shared" si="81"/>
        <v>0</v>
      </c>
      <c r="O893" s="634">
        <f t="shared" si="82"/>
        <v>0</v>
      </c>
      <c r="P893" s="144"/>
      <c r="Q893" s="144"/>
      <c r="R893" s="144"/>
      <c r="S893" s="144"/>
    </row>
    <row r="894" spans="1:19" ht="13.8">
      <c r="A894" s="630"/>
      <c r="B894" s="631"/>
      <c r="C894" s="1127"/>
      <c r="D894" s="632"/>
      <c r="E894" s="1127"/>
      <c r="F894" s="633">
        <f t="shared" si="83"/>
        <v>0</v>
      </c>
      <c r="G894" s="632"/>
      <c r="H894" s="1127"/>
      <c r="I894" s="633">
        <f t="shared" si="84"/>
        <v>0</v>
      </c>
      <c r="J894" s="633">
        <f t="shared" si="85"/>
        <v>0</v>
      </c>
      <c r="K894" s="633">
        <f t="shared" si="86"/>
        <v>0</v>
      </c>
      <c r="L894" s="1127"/>
      <c r="M894" s="1127"/>
      <c r="N894" s="1691">
        <f t="shared" si="81"/>
        <v>0</v>
      </c>
      <c r="O894" s="634">
        <f t="shared" si="82"/>
        <v>0</v>
      </c>
      <c r="P894" s="144"/>
      <c r="Q894" s="144"/>
      <c r="R894" s="144"/>
      <c r="S894" s="144"/>
    </row>
    <row r="895" spans="1:19" ht="13.8">
      <c r="A895" s="630"/>
      <c r="B895" s="631"/>
      <c r="C895" s="1127"/>
      <c r="D895" s="632"/>
      <c r="E895" s="1127"/>
      <c r="F895" s="633">
        <f t="shared" si="83"/>
        <v>0</v>
      </c>
      <c r="G895" s="632"/>
      <c r="H895" s="1127"/>
      <c r="I895" s="633">
        <f t="shared" si="84"/>
        <v>0</v>
      </c>
      <c r="J895" s="633">
        <f t="shared" si="85"/>
        <v>0</v>
      </c>
      <c r="K895" s="633">
        <f t="shared" si="86"/>
        <v>0</v>
      </c>
      <c r="L895" s="1127"/>
      <c r="M895" s="1127"/>
      <c r="N895" s="1691">
        <f t="shared" si="81"/>
        <v>0</v>
      </c>
      <c r="O895" s="634">
        <f t="shared" si="82"/>
        <v>0</v>
      </c>
      <c r="P895" s="144"/>
      <c r="Q895" s="144"/>
      <c r="R895" s="144"/>
      <c r="S895" s="144"/>
    </row>
    <row r="896" spans="1:19" ht="13.8">
      <c r="A896" s="630"/>
      <c r="B896" s="631"/>
      <c r="C896" s="1127"/>
      <c r="D896" s="632"/>
      <c r="E896" s="1127"/>
      <c r="F896" s="633">
        <f t="shared" si="83"/>
        <v>0</v>
      </c>
      <c r="G896" s="632"/>
      <c r="H896" s="1127"/>
      <c r="I896" s="633">
        <f t="shared" si="84"/>
        <v>0</v>
      </c>
      <c r="J896" s="633">
        <f t="shared" si="85"/>
        <v>0</v>
      </c>
      <c r="K896" s="633">
        <f t="shared" si="86"/>
        <v>0</v>
      </c>
      <c r="L896" s="1127"/>
      <c r="M896" s="1127"/>
      <c r="N896" s="1691">
        <f t="shared" si="81"/>
        <v>0</v>
      </c>
      <c r="O896" s="634">
        <f t="shared" si="82"/>
        <v>0</v>
      </c>
      <c r="P896" s="144"/>
      <c r="Q896" s="144"/>
      <c r="R896" s="144"/>
      <c r="S896" s="144"/>
    </row>
    <row r="897" spans="1:19" ht="13.8">
      <c r="A897" s="630"/>
      <c r="B897" s="631"/>
      <c r="C897" s="1127"/>
      <c r="D897" s="632"/>
      <c r="E897" s="1127"/>
      <c r="F897" s="633">
        <f t="shared" si="83"/>
        <v>0</v>
      </c>
      <c r="G897" s="632"/>
      <c r="H897" s="1127"/>
      <c r="I897" s="633">
        <f t="shared" si="84"/>
        <v>0</v>
      </c>
      <c r="J897" s="633">
        <f t="shared" si="85"/>
        <v>0</v>
      </c>
      <c r="K897" s="633">
        <f t="shared" si="86"/>
        <v>0</v>
      </c>
      <c r="L897" s="1127"/>
      <c r="M897" s="1127"/>
      <c r="N897" s="1691">
        <f t="shared" si="81"/>
        <v>0</v>
      </c>
      <c r="O897" s="634">
        <f t="shared" si="82"/>
        <v>0</v>
      </c>
      <c r="P897" s="144"/>
      <c r="Q897" s="144"/>
      <c r="R897" s="144"/>
      <c r="S897" s="144"/>
    </row>
    <row r="898" spans="1:19" ht="13.8">
      <c r="A898" s="630"/>
      <c r="B898" s="631"/>
      <c r="C898" s="1127"/>
      <c r="D898" s="632"/>
      <c r="E898" s="1127"/>
      <c r="F898" s="633">
        <f t="shared" si="83"/>
        <v>0</v>
      </c>
      <c r="G898" s="632"/>
      <c r="H898" s="1127"/>
      <c r="I898" s="633">
        <f t="shared" si="84"/>
        <v>0</v>
      </c>
      <c r="J898" s="633">
        <f t="shared" si="85"/>
        <v>0</v>
      </c>
      <c r="K898" s="633">
        <f t="shared" si="86"/>
        <v>0</v>
      </c>
      <c r="L898" s="1127"/>
      <c r="M898" s="1127"/>
      <c r="N898" s="1691">
        <f t="shared" si="81"/>
        <v>0</v>
      </c>
      <c r="O898" s="634">
        <f t="shared" si="82"/>
        <v>0</v>
      </c>
      <c r="P898" s="144"/>
      <c r="Q898" s="144"/>
      <c r="R898" s="144"/>
      <c r="S898" s="144"/>
    </row>
    <row r="899" spans="1:19" ht="13.8">
      <c r="A899" s="630"/>
      <c r="B899" s="631"/>
      <c r="C899" s="1127"/>
      <c r="D899" s="632"/>
      <c r="E899" s="1127"/>
      <c r="F899" s="633">
        <f t="shared" si="83"/>
        <v>0</v>
      </c>
      <c r="G899" s="632"/>
      <c r="H899" s="1127"/>
      <c r="I899" s="633">
        <f t="shared" si="84"/>
        <v>0</v>
      </c>
      <c r="J899" s="633">
        <f t="shared" si="85"/>
        <v>0</v>
      </c>
      <c r="K899" s="633">
        <f t="shared" si="86"/>
        <v>0</v>
      </c>
      <c r="L899" s="1127"/>
      <c r="M899" s="1127"/>
      <c r="N899" s="1691">
        <f t="shared" si="81"/>
        <v>0</v>
      </c>
      <c r="O899" s="634">
        <f t="shared" si="82"/>
        <v>0</v>
      </c>
      <c r="P899" s="144"/>
      <c r="Q899" s="144"/>
      <c r="R899" s="144"/>
      <c r="S899" s="144"/>
    </row>
    <row r="900" spans="1:19" ht="13.8">
      <c r="A900" s="630"/>
      <c r="B900" s="631"/>
      <c r="C900" s="1127"/>
      <c r="D900" s="632"/>
      <c r="E900" s="1127"/>
      <c r="F900" s="633">
        <f t="shared" si="83"/>
        <v>0</v>
      </c>
      <c r="G900" s="632"/>
      <c r="H900" s="1127"/>
      <c r="I900" s="633">
        <f t="shared" si="84"/>
        <v>0</v>
      </c>
      <c r="J900" s="633">
        <f t="shared" si="85"/>
        <v>0</v>
      </c>
      <c r="K900" s="633">
        <f t="shared" si="86"/>
        <v>0</v>
      </c>
      <c r="L900" s="1127"/>
      <c r="M900" s="1127"/>
      <c r="N900" s="1691">
        <f t="shared" si="81"/>
        <v>0</v>
      </c>
      <c r="O900" s="634">
        <f t="shared" si="82"/>
        <v>0</v>
      </c>
      <c r="P900" s="144"/>
      <c r="Q900" s="144"/>
      <c r="R900" s="144"/>
      <c r="S900" s="144"/>
    </row>
    <row r="901" spans="1:19" ht="13.8">
      <c r="A901" s="630"/>
      <c r="B901" s="631"/>
      <c r="C901" s="1127"/>
      <c r="D901" s="632"/>
      <c r="E901" s="1127"/>
      <c r="F901" s="633">
        <f t="shared" si="83"/>
        <v>0</v>
      </c>
      <c r="G901" s="632"/>
      <c r="H901" s="1127"/>
      <c r="I901" s="633">
        <f t="shared" si="84"/>
        <v>0</v>
      </c>
      <c r="J901" s="633">
        <f t="shared" si="85"/>
        <v>0</v>
      </c>
      <c r="K901" s="633">
        <f t="shared" si="86"/>
        <v>0</v>
      </c>
      <c r="L901" s="1127"/>
      <c r="M901" s="1127"/>
      <c r="N901" s="1691">
        <f t="shared" si="81"/>
        <v>0</v>
      </c>
      <c r="O901" s="634">
        <f t="shared" si="82"/>
        <v>0</v>
      </c>
      <c r="P901" s="144"/>
      <c r="Q901" s="144"/>
      <c r="R901" s="144"/>
      <c r="S901" s="144"/>
    </row>
    <row r="902" spans="1:19" ht="13.8">
      <c r="A902" s="630"/>
      <c r="B902" s="631"/>
      <c r="C902" s="1127"/>
      <c r="D902" s="632"/>
      <c r="E902" s="1127"/>
      <c r="F902" s="633">
        <f t="shared" si="83"/>
        <v>0</v>
      </c>
      <c r="G902" s="632"/>
      <c r="H902" s="1127"/>
      <c r="I902" s="633">
        <f t="shared" si="84"/>
        <v>0</v>
      </c>
      <c r="J902" s="633">
        <f t="shared" si="85"/>
        <v>0</v>
      </c>
      <c r="K902" s="633">
        <f t="shared" si="86"/>
        <v>0</v>
      </c>
      <c r="L902" s="1127"/>
      <c r="M902" s="1127"/>
      <c r="N902" s="1691">
        <f t="shared" si="81"/>
        <v>0</v>
      </c>
      <c r="O902" s="634">
        <f t="shared" si="82"/>
        <v>0</v>
      </c>
      <c r="P902" s="144"/>
      <c r="Q902" s="144"/>
      <c r="R902" s="144"/>
      <c r="S902" s="144"/>
    </row>
    <row r="903" spans="1:19" ht="13.8">
      <c r="A903" s="630"/>
      <c r="B903" s="631"/>
      <c r="C903" s="1127"/>
      <c r="D903" s="632"/>
      <c r="E903" s="1127"/>
      <c r="F903" s="633">
        <f t="shared" si="83"/>
        <v>0</v>
      </c>
      <c r="G903" s="632"/>
      <c r="H903" s="1127"/>
      <c r="I903" s="633">
        <f t="shared" si="84"/>
        <v>0</v>
      </c>
      <c r="J903" s="633">
        <f t="shared" si="85"/>
        <v>0</v>
      </c>
      <c r="K903" s="633">
        <f t="shared" si="86"/>
        <v>0</v>
      </c>
      <c r="L903" s="1127"/>
      <c r="M903" s="1127"/>
      <c r="N903" s="1691">
        <f t="shared" si="81"/>
        <v>0</v>
      </c>
      <c r="O903" s="634">
        <f t="shared" si="82"/>
        <v>0</v>
      </c>
      <c r="P903" s="144"/>
      <c r="Q903" s="144"/>
      <c r="R903" s="144"/>
      <c r="S903" s="144"/>
    </row>
    <row r="904" spans="1:19" ht="13.8">
      <c r="A904" s="630"/>
      <c r="B904" s="631"/>
      <c r="C904" s="1127"/>
      <c r="D904" s="632"/>
      <c r="E904" s="1127"/>
      <c r="F904" s="633">
        <f t="shared" si="83"/>
        <v>0</v>
      </c>
      <c r="G904" s="632"/>
      <c r="H904" s="1127"/>
      <c r="I904" s="633">
        <f t="shared" si="84"/>
        <v>0</v>
      </c>
      <c r="J904" s="633">
        <f t="shared" si="85"/>
        <v>0</v>
      </c>
      <c r="K904" s="633">
        <f t="shared" si="86"/>
        <v>0</v>
      </c>
      <c r="L904" s="1127"/>
      <c r="M904" s="1127"/>
      <c r="N904" s="1691">
        <f t="shared" si="81"/>
        <v>0</v>
      </c>
      <c r="O904" s="634">
        <f t="shared" si="82"/>
        <v>0</v>
      </c>
      <c r="P904" s="144"/>
      <c r="Q904" s="144"/>
      <c r="R904" s="144"/>
      <c r="S904" s="144"/>
    </row>
    <row r="905" spans="1:19" ht="13.8">
      <c r="A905" s="630"/>
      <c r="B905" s="631"/>
      <c r="C905" s="1127"/>
      <c r="D905" s="632"/>
      <c r="E905" s="1127"/>
      <c r="F905" s="633">
        <f t="shared" si="83"/>
        <v>0</v>
      </c>
      <c r="G905" s="632"/>
      <c r="H905" s="1127"/>
      <c r="I905" s="633">
        <f t="shared" si="84"/>
        <v>0</v>
      </c>
      <c r="J905" s="633">
        <f t="shared" si="85"/>
        <v>0</v>
      </c>
      <c r="K905" s="633">
        <f t="shared" si="86"/>
        <v>0</v>
      </c>
      <c r="L905" s="1127"/>
      <c r="M905" s="1127"/>
      <c r="N905" s="1691">
        <f t="shared" si="81"/>
        <v>0</v>
      </c>
      <c r="O905" s="634">
        <f t="shared" si="82"/>
        <v>0</v>
      </c>
      <c r="P905" s="144"/>
      <c r="Q905" s="144"/>
      <c r="R905" s="144"/>
      <c r="S905" s="144"/>
    </row>
    <row r="906" spans="1:19" ht="13.8">
      <c r="A906" s="630"/>
      <c r="B906" s="631"/>
      <c r="C906" s="1127"/>
      <c r="D906" s="632"/>
      <c r="E906" s="1127"/>
      <c r="F906" s="633">
        <f t="shared" si="83"/>
        <v>0</v>
      </c>
      <c r="G906" s="632"/>
      <c r="H906" s="1127"/>
      <c r="I906" s="633">
        <f t="shared" si="84"/>
        <v>0</v>
      </c>
      <c r="J906" s="633">
        <f t="shared" si="85"/>
        <v>0</v>
      </c>
      <c r="K906" s="633">
        <f t="shared" si="86"/>
        <v>0</v>
      </c>
      <c r="L906" s="1127"/>
      <c r="M906" s="1127"/>
      <c r="N906" s="1691">
        <f t="shared" ref="N906:N969" si="87">IF(M906&lt;&gt;0,ROUND(B906*K906,2)+M906,IF(ABS(ROUND(K906*B906,2)-L906)&lt;3,L906,MIN(ROUND(K906*B906,2),L906)))</f>
        <v>0</v>
      </c>
      <c r="O906" s="634">
        <f t="shared" ref="O906:O969" si="88">IF(ISERROR(L906-N906),"",IF(ABS(L906-N906)&lt;3,0,L906-N906))</f>
        <v>0</v>
      </c>
      <c r="P906" s="144"/>
      <c r="Q906" s="144"/>
      <c r="R906" s="144"/>
      <c r="S906" s="144"/>
    </row>
    <row r="907" spans="1:19" ht="13.8">
      <c r="A907" s="630"/>
      <c r="B907" s="631"/>
      <c r="C907" s="1127"/>
      <c r="D907" s="632"/>
      <c r="E907" s="1127"/>
      <c r="F907" s="633">
        <f t="shared" ref="F907:F970" si="89">E907*(12-MONTH(D907))/12</f>
        <v>0</v>
      </c>
      <c r="G907" s="632"/>
      <c r="H907" s="1127"/>
      <c r="I907" s="633">
        <f t="shared" ref="I907:I970" si="90">H907*(12-MONTH(G907))/12</f>
        <v>0</v>
      </c>
      <c r="J907" s="633">
        <f t="shared" ref="J907:J970" si="91">C907+E907-H907</f>
        <v>0</v>
      </c>
      <c r="K907" s="633">
        <f t="shared" ref="K907:K970" si="92">C907+F907-I907</f>
        <v>0</v>
      </c>
      <c r="L907" s="1127"/>
      <c r="M907" s="1127"/>
      <c r="N907" s="1691">
        <f t="shared" si="87"/>
        <v>0</v>
      </c>
      <c r="O907" s="634">
        <f t="shared" si="88"/>
        <v>0</v>
      </c>
      <c r="P907" s="144"/>
      <c r="Q907" s="144"/>
      <c r="R907" s="144"/>
      <c r="S907" s="144"/>
    </row>
    <row r="908" spans="1:19" ht="13.8">
      <c r="A908" s="630"/>
      <c r="B908" s="631"/>
      <c r="C908" s="1127"/>
      <c r="D908" s="632"/>
      <c r="E908" s="1127"/>
      <c r="F908" s="633">
        <f t="shared" si="89"/>
        <v>0</v>
      </c>
      <c r="G908" s="632"/>
      <c r="H908" s="1127"/>
      <c r="I908" s="633">
        <f t="shared" si="90"/>
        <v>0</v>
      </c>
      <c r="J908" s="633">
        <f t="shared" si="91"/>
        <v>0</v>
      </c>
      <c r="K908" s="633">
        <f t="shared" si="92"/>
        <v>0</v>
      </c>
      <c r="L908" s="1127"/>
      <c r="M908" s="1127"/>
      <c r="N908" s="1691">
        <f t="shared" si="87"/>
        <v>0</v>
      </c>
      <c r="O908" s="634">
        <f t="shared" si="88"/>
        <v>0</v>
      </c>
      <c r="P908" s="144"/>
      <c r="Q908" s="144"/>
      <c r="R908" s="144"/>
      <c r="S908" s="144"/>
    </row>
    <row r="909" spans="1:19" ht="13.8">
      <c r="A909" s="630"/>
      <c r="B909" s="631"/>
      <c r="C909" s="1127"/>
      <c r="D909" s="632"/>
      <c r="E909" s="1127"/>
      <c r="F909" s="633">
        <f t="shared" si="89"/>
        <v>0</v>
      </c>
      <c r="G909" s="632"/>
      <c r="H909" s="1127"/>
      <c r="I909" s="633">
        <f t="shared" si="90"/>
        <v>0</v>
      </c>
      <c r="J909" s="633">
        <f t="shared" si="91"/>
        <v>0</v>
      </c>
      <c r="K909" s="633">
        <f t="shared" si="92"/>
        <v>0</v>
      </c>
      <c r="L909" s="1127"/>
      <c r="M909" s="1127"/>
      <c r="N909" s="1691">
        <f t="shared" si="87"/>
        <v>0</v>
      </c>
      <c r="O909" s="634">
        <f t="shared" si="88"/>
        <v>0</v>
      </c>
      <c r="P909" s="144"/>
      <c r="Q909" s="144"/>
      <c r="R909" s="144"/>
      <c r="S909" s="144"/>
    </row>
    <row r="910" spans="1:19" ht="13.8">
      <c r="A910" s="630"/>
      <c r="B910" s="631"/>
      <c r="C910" s="1127"/>
      <c r="D910" s="632"/>
      <c r="E910" s="1127"/>
      <c r="F910" s="633">
        <f t="shared" si="89"/>
        <v>0</v>
      </c>
      <c r="G910" s="632"/>
      <c r="H910" s="1127"/>
      <c r="I910" s="633">
        <f t="shared" si="90"/>
        <v>0</v>
      </c>
      <c r="J910" s="633">
        <f t="shared" si="91"/>
        <v>0</v>
      </c>
      <c r="K910" s="633">
        <f t="shared" si="92"/>
        <v>0</v>
      </c>
      <c r="L910" s="1127"/>
      <c r="M910" s="1127"/>
      <c r="N910" s="1691">
        <f t="shared" si="87"/>
        <v>0</v>
      </c>
      <c r="O910" s="634">
        <f t="shared" si="88"/>
        <v>0</v>
      </c>
      <c r="P910" s="144"/>
      <c r="Q910" s="144"/>
      <c r="R910" s="144"/>
      <c r="S910" s="144"/>
    </row>
    <row r="911" spans="1:19" ht="13.8">
      <c r="A911" s="630"/>
      <c r="B911" s="631"/>
      <c r="C911" s="1127"/>
      <c r="D911" s="632"/>
      <c r="E911" s="1127"/>
      <c r="F911" s="633">
        <f t="shared" si="89"/>
        <v>0</v>
      </c>
      <c r="G911" s="632"/>
      <c r="H911" s="1127"/>
      <c r="I911" s="633">
        <f t="shared" si="90"/>
        <v>0</v>
      </c>
      <c r="J911" s="633">
        <f t="shared" si="91"/>
        <v>0</v>
      </c>
      <c r="K911" s="633">
        <f t="shared" si="92"/>
        <v>0</v>
      </c>
      <c r="L911" s="1127"/>
      <c r="M911" s="1127"/>
      <c r="N911" s="1691">
        <f t="shared" si="87"/>
        <v>0</v>
      </c>
      <c r="O911" s="634">
        <f t="shared" si="88"/>
        <v>0</v>
      </c>
      <c r="P911" s="144"/>
      <c r="Q911" s="144"/>
      <c r="R911" s="144"/>
      <c r="S911" s="144"/>
    </row>
    <row r="912" spans="1:19" ht="13.8">
      <c r="A912" s="630"/>
      <c r="B912" s="631"/>
      <c r="C912" s="1127"/>
      <c r="D912" s="632"/>
      <c r="E912" s="1127"/>
      <c r="F912" s="633">
        <f t="shared" si="89"/>
        <v>0</v>
      </c>
      <c r="G912" s="632"/>
      <c r="H912" s="1127"/>
      <c r="I912" s="633">
        <f t="shared" si="90"/>
        <v>0</v>
      </c>
      <c r="J912" s="633">
        <f t="shared" si="91"/>
        <v>0</v>
      </c>
      <c r="K912" s="633">
        <f t="shared" si="92"/>
        <v>0</v>
      </c>
      <c r="L912" s="1127"/>
      <c r="M912" s="1127"/>
      <c r="N912" s="1691">
        <f t="shared" si="87"/>
        <v>0</v>
      </c>
      <c r="O912" s="634">
        <f t="shared" si="88"/>
        <v>0</v>
      </c>
      <c r="P912" s="144"/>
      <c r="Q912" s="144"/>
      <c r="R912" s="144"/>
      <c r="S912" s="144"/>
    </row>
    <row r="913" spans="1:19" ht="13.8">
      <c r="A913" s="630"/>
      <c r="B913" s="631"/>
      <c r="C913" s="1127"/>
      <c r="D913" s="632"/>
      <c r="E913" s="1127"/>
      <c r="F913" s="633">
        <f t="shared" si="89"/>
        <v>0</v>
      </c>
      <c r="G913" s="632"/>
      <c r="H913" s="1127"/>
      <c r="I913" s="633">
        <f t="shared" si="90"/>
        <v>0</v>
      </c>
      <c r="J913" s="633">
        <f t="shared" si="91"/>
        <v>0</v>
      </c>
      <c r="K913" s="633">
        <f t="shared" si="92"/>
        <v>0</v>
      </c>
      <c r="L913" s="1127"/>
      <c r="M913" s="1127"/>
      <c r="N913" s="1691">
        <f t="shared" si="87"/>
        <v>0</v>
      </c>
      <c r="O913" s="634">
        <f t="shared" si="88"/>
        <v>0</v>
      </c>
      <c r="P913" s="144"/>
      <c r="Q913" s="144"/>
      <c r="R913" s="144"/>
      <c r="S913" s="144"/>
    </row>
    <row r="914" spans="1:19" ht="13.8">
      <c r="A914" s="630"/>
      <c r="B914" s="631"/>
      <c r="C914" s="1127"/>
      <c r="D914" s="632"/>
      <c r="E914" s="1127"/>
      <c r="F914" s="633">
        <f t="shared" si="89"/>
        <v>0</v>
      </c>
      <c r="G914" s="632"/>
      <c r="H914" s="1127"/>
      <c r="I914" s="633">
        <f t="shared" si="90"/>
        <v>0</v>
      </c>
      <c r="J914" s="633">
        <f t="shared" si="91"/>
        <v>0</v>
      </c>
      <c r="K914" s="633">
        <f t="shared" si="92"/>
        <v>0</v>
      </c>
      <c r="L914" s="1127"/>
      <c r="M914" s="1127"/>
      <c r="N914" s="1691">
        <f t="shared" si="87"/>
        <v>0</v>
      </c>
      <c r="O914" s="634">
        <f t="shared" si="88"/>
        <v>0</v>
      </c>
      <c r="P914" s="144"/>
      <c r="Q914" s="144"/>
      <c r="R914" s="144"/>
      <c r="S914" s="144"/>
    </row>
    <row r="915" spans="1:19" ht="13.8">
      <c r="A915" s="630"/>
      <c r="B915" s="631"/>
      <c r="C915" s="1127"/>
      <c r="D915" s="632"/>
      <c r="E915" s="1127"/>
      <c r="F915" s="633">
        <f t="shared" si="89"/>
        <v>0</v>
      </c>
      <c r="G915" s="632"/>
      <c r="H915" s="1127"/>
      <c r="I915" s="633">
        <f t="shared" si="90"/>
        <v>0</v>
      </c>
      <c r="J915" s="633">
        <f t="shared" si="91"/>
        <v>0</v>
      </c>
      <c r="K915" s="633">
        <f t="shared" si="92"/>
        <v>0</v>
      </c>
      <c r="L915" s="1127"/>
      <c r="M915" s="1127"/>
      <c r="N915" s="1691">
        <f t="shared" si="87"/>
        <v>0</v>
      </c>
      <c r="O915" s="634">
        <f t="shared" si="88"/>
        <v>0</v>
      </c>
      <c r="P915" s="144"/>
      <c r="Q915" s="144"/>
      <c r="R915" s="144"/>
      <c r="S915" s="144"/>
    </row>
    <row r="916" spans="1:19" ht="13.8">
      <c r="A916" s="630"/>
      <c r="B916" s="631"/>
      <c r="C916" s="1127"/>
      <c r="D916" s="632"/>
      <c r="E916" s="1127"/>
      <c r="F916" s="633">
        <f t="shared" si="89"/>
        <v>0</v>
      </c>
      <c r="G916" s="632"/>
      <c r="H916" s="1127"/>
      <c r="I916" s="633">
        <f t="shared" si="90"/>
        <v>0</v>
      </c>
      <c r="J916" s="633">
        <f t="shared" si="91"/>
        <v>0</v>
      </c>
      <c r="K916" s="633">
        <f t="shared" si="92"/>
        <v>0</v>
      </c>
      <c r="L916" s="1127"/>
      <c r="M916" s="1127"/>
      <c r="N916" s="1691">
        <f t="shared" si="87"/>
        <v>0</v>
      </c>
      <c r="O916" s="634">
        <f t="shared" si="88"/>
        <v>0</v>
      </c>
      <c r="P916" s="144"/>
      <c r="Q916" s="144"/>
      <c r="R916" s="144"/>
      <c r="S916" s="144"/>
    </row>
    <row r="917" spans="1:19" ht="13.8">
      <c r="A917" s="630"/>
      <c r="B917" s="631"/>
      <c r="C917" s="1127"/>
      <c r="D917" s="632"/>
      <c r="E917" s="1127"/>
      <c r="F917" s="633">
        <f t="shared" si="89"/>
        <v>0</v>
      </c>
      <c r="G917" s="632"/>
      <c r="H917" s="1127"/>
      <c r="I917" s="633">
        <f t="shared" si="90"/>
        <v>0</v>
      </c>
      <c r="J917" s="633">
        <f t="shared" si="91"/>
        <v>0</v>
      </c>
      <c r="K917" s="633">
        <f t="shared" si="92"/>
        <v>0</v>
      </c>
      <c r="L917" s="1127"/>
      <c r="M917" s="1127"/>
      <c r="N917" s="1691">
        <f t="shared" si="87"/>
        <v>0</v>
      </c>
      <c r="O917" s="634">
        <f t="shared" si="88"/>
        <v>0</v>
      </c>
      <c r="P917" s="144"/>
      <c r="Q917" s="144"/>
      <c r="R917" s="144"/>
      <c r="S917" s="144"/>
    </row>
    <row r="918" spans="1:19" ht="13.8">
      <c r="A918" s="630"/>
      <c r="B918" s="631"/>
      <c r="C918" s="1127"/>
      <c r="D918" s="632"/>
      <c r="E918" s="1127"/>
      <c r="F918" s="633">
        <f t="shared" si="89"/>
        <v>0</v>
      </c>
      <c r="G918" s="632"/>
      <c r="H918" s="1127"/>
      <c r="I918" s="633">
        <f t="shared" si="90"/>
        <v>0</v>
      </c>
      <c r="J918" s="633">
        <f t="shared" si="91"/>
        <v>0</v>
      </c>
      <c r="K918" s="633">
        <f t="shared" si="92"/>
        <v>0</v>
      </c>
      <c r="L918" s="1127"/>
      <c r="M918" s="1127"/>
      <c r="N918" s="1691">
        <f t="shared" si="87"/>
        <v>0</v>
      </c>
      <c r="O918" s="634">
        <f t="shared" si="88"/>
        <v>0</v>
      </c>
      <c r="P918" s="144"/>
      <c r="Q918" s="144"/>
      <c r="R918" s="144"/>
      <c r="S918" s="144"/>
    </row>
    <row r="919" spans="1:19" ht="13.8">
      <c r="A919" s="630"/>
      <c r="B919" s="631"/>
      <c r="C919" s="1127"/>
      <c r="D919" s="632"/>
      <c r="E919" s="1127"/>
      <c r="F919" s="633">
        <f t="shared" si="89"/>
        <v>0</v>
      </c>
      <c r="G919" s="632"/>
      <c r="H919" s="1127"/>
      <c r="I919" s="633">
        <f t="shared" si="90"/>
        <v>0</v>
      </c>
      <c r="J919" s="633">
        <f t="shared" si="91"/>
        <v>0</v>
      </c>
      <c r="K919" s="633">
        <f t="shared" si="92"/>
        <v>0</v>
      </c>
      <c r="L919" s="1127"/>
      <c r="M919" s="1127"/>
      <c r="N919" s="1691">
        <f t="shared" si="87"/>
        <v>0</v>
      </c>
      <c r="O919" s="634">
        <f t="shared" si="88"/>
        <v>0</v>
      </c>
      <c r="P919" s="144"/>
      <c r="Q919" s="144"/>
      <c r="R919" s="144"/>
      <c r="S919" s="144"/>
    </row>
    <row r="920" spans="1:19" ht="13.8">
      <c r="A920" s="630"/>
      <c r="B920" s="631"/>
      <c r="C920" s="1127"/>
      <c r="D920" s="632"/>
      <c r="E920" s="1127"/>
      <c r="F920" s="633">
        <f t="shared" si="89"/>
        <v>0</v>
      </c>
      <c r="G920" s="632"/>
      <c r="H920" s="1127"/>
      <c r="I920" s="633">
        <f t="shared" si="90"/>
        <v>0</v>
      </c>
      <c r="J920" s="633">
        <f t="shared" si="91"/>
        <v>0</v>
      </c>
      <c r="K920" s="633">
        <f t="shared" si="92"/>
        <v>0</v>
      </c>
      <c r="L920" s="1127"/>
      <c r="M920" s="1127"/>
      <c r="N920" s="1691">
        <f t="shared" si="87"/>
        <v>0</v>
      </c>
      <c r="O920" s="634">
        <f t="shared" si="88"/>
        <v>0</v>
      </c>
      <c r="P920" s="144"/>
      <c r="Q920" s="144"/>
      <c r="R920" s="144"/>
      <c r="S920" s="144"/>
    </row>
    <row r="921" spans="1:19" ht="13.8">
      <c r="A921" s="630"/>
      <c r="B921" s="631"/>
      <c r="C921" s="1127"/>
      <c r="D921" s="632"/>
      <c r="E921" s="1127"/>
      <c r="F921" s="633">
        <f t="shared" si="89"/>
        <v>0</v>
      </c>
      <c r="G921" s="632"/>
      <c r="H921" s="1127"/>
      <c r="I921" s="633">
        <f t="shared" si="90"/>
        <v>0</v>
      </c>
      <c r="J921" s="633">
        <f t="shared" si="91"/>
        <v>0</v>
      </c>
      <c r="K921" s="633">
        <f t="shared" si="92"/>
        <v>0</v>
      </c>
      <c r="L921" s="1127"/>
      <c r="M921" s="1127"/>
      <c r="N921" s="1691">
        <f t="shared" si="87"/>
        <v>0</v>
      </c>
      <c r="O921" s="634">
        <f t="shared" si="88"/>
        <v>0</v>
      </c>
      <c r="P921" s="144"/>
      <c r="Q921" s="144"/>
      <c r="R921" s="144"/>
      <c r="S921" s="144"/>
    </row>
    <row r="922" spans="1:19" ht="13.8">
      <c r="A922" s="630"/>
      <c r="B922" s="631"/>
      <c r="C922" s="1127"/>
      <c r="D922" s="632"/>
      <c r="E922" s="1127"/>
      <c r="F922" s="633">
        <f t="shared" si="89"/>
        <v>0</v>
      </c>
      <c r="G922" s="632"/>
      <c r="H922" s="1127"/>
      <c r="I922" s="633">
        <f t="shared" si="90"/>
        <v>0</v>
      </c>
      <c r="J922" s="633">
        <f t="shared" si="91"/>
        <v>0</v>
      </c>
      <c r="K922" s="633">
        <f t="shared" si="92"/>
        <v>0</v>
      </c>
      <c r="L922" s="1127"/>
      <c r="M922" s="1127"/>
      <c r="N922" s="1691">
        <f t="shared" si="87"/>
        <v>0</v>
      </c>
      <c r="O922" s="634">
        <f t="shared" si="88"/>
        <v>0</v>
      </c>
      <c r="P922" s="144"/>
      <c r="Q922" s="144"/>
      <c r="R922" s="144"/>
      <c r="S922" s="144"/>
    </row>
    <row r="923" spans="1:19" ht="13.8">
      <c r="A923" s="630"/>
      <c r="B923" s="631"/>
      <c r="C923" s="1127"/>
      <c r="D923" s="632"/>
      <c r="E923" s="1127"/>
      <c r="F923" s="633">
        <f t="shared" si="89"/>
        <v>0</v>
      </c>
      <c r="G923" s="632"/>
      <c r="H923" s="1127"/>
      <c r="I923" s="633">
        <f t="shared" si="90"/>
        <v>0</v>
      </c>
      <c r="J923" s="633">
        <f t="shared" si="91"/>
        <v>0</v>
      </c>
      <c r="K923" s="633">
        <f t="shared" si="92"/>
        <v>0</v>
      </c>
      <c r="L923" s="1127"/>
      <c r="M923" s="1127"/>
      <c r="N923" s="1691">
        <f t="shared" si="87"/>
        <v>0</v>
      </c>
      <c r="O923" s="634">
        <f t="shared" si="88"/>
        <v>0</v>
      </c>
      <c r="P923" s="144"/>
      <c r="Q923" s="144"/>
      <c r="R923" s="144"/>
      <c r="S923" s="144"/>
    </row>
    <row r="924" spans="1:19" ht="13.8">
      <c r="A924" s="630"/>
      <c r="B924" s="631"/>
      <c r="C924" s="1127"/>
      <c r="D924" s="632"/>
      <c r="E924" s="1127"/>
      <c r="F924" s="633">
        <f t="shared" si="89"/>
        <v>0</v>
      </c>
      <c r="G924" s="632"/>
      <c r="H924" s="1127"/>
      <c r="I924" s="633">
        <f t="shared" si="90"/>
        <v>0</v>
      </c>
      <c r="J924" s="633">
        <f t="shared" si="91"/>
        <v>0</v>
      </c>
      <c r="K924" s="633">
        <f t="shared" si="92"/>
        <v>0</v>
      </c>
      <c r="L924" s="1127"/>
      <c r="M924" s="1127"/>
      <c r="N924" s="1691">
        <f t="shared" si="87"/>
        <v>0</v>
      </c>
      <c r="O924" s="634">
        <f t="shared" si="88"/>
        <v>0</v>
      </c>
      <c r="P924" s="144"/>
      <c r="Q924" s="144"/>
      <c r="R924" s="144"/>
      <c r="S924" s="144"/>
    </row>
    <row r="925" spans="1:19" ht="13.8">
      <c r="A925" s="630"/>
      <c r="B925" s="631"/>
      <c r="C925" s="1127"/>
      <c r="D925" s="632"/>
      <c r="E925" s="1127"/>
      <c r="F925" s="633">
        <f t="shared" si="89"/>
        <v>0</v>
      </c>
      <c r="G925" s="632"/>
      <c r="H925" s="1127"/>
      <c r="I925" s="633">
        <f t="shared" si="90"/>
        <v>0</v>
      </c>
      <c r="J925" s="633">
        <f t="shared" si="91"/>
        <v>0</v>
      </c>
      <c r="K925" s="633">
        <f t="shared" si="92"/>
        <v>0</v>
      </c>
      <c r="L925" s="1127"/>
      <c r="M925" s="1127"/>
      <c r="N925" s="1691">
        <f t="shared" si="87"/>
        <v>0</v>
      </c>
      <c r="O925" s="634">
        <f t="shared" si="88"/>
        <v>0</v>
      </c>
      <c r="P925" s="144"/>
      <c r="Q925" s="144"/>
      <c r="R925" s="144"/>
      <c r="S925" s="144"/>
    </row>
    <row r="926" spans="1:19" ht="13.8">
      <c r="A926" s="630"/>
      <c r="B926" s="631"/>
      <c r="C926" s="1127"/>
      <c r="D926" s="632"/>
      <c r="E926" s="1127"/>
      <c r="F926" s="633">
        <f t="shared" si="89"/>
        <v>0</v>
      </c>
      <c r="G926" s="632"/>
      <c r="H926" s="1127"/>
      <c r="I926" s="633">
        <f t="shared" si="90"/>
        <v>0</v>
      </c>
      <c r="J926" s="633">
        <f t="shared" si="91"/>
        <v>0</v>
      </c>
      <c r="K926" s="633">
        <f t="shared" si="92"/>
        <v>0</v>
      </c>
      <c r="L926" s="1127"/>
      <c r="M926" s="1127"/>
      <c r="N926" s="1691">
        <f t="shared" si="87"/>
        <v>0</v>
      </c>
      <c r="O926" s="634">
        <f t="shared" si="88"/>
        <v>0</v>
      </c>
      <c r="P926" s="144"/>
      <c r="Q926" s="144"/>
      <c r="R926" s="144"/>
      <c r="S926" s="144"/>
    </row>
    <row r="927" spans="1:19" ht="13.8">
      <c r="A927" s="630"/>
      <c r="B927" s="631"/>
      <c r="C927" s="1127"/>
      <c r="D927" s="632"/>
      <c r="E927" s="1127"/>
      <c r="F927" s="633">
        <f t="shared" si="89"/>
        <v>0</v>
      </c>
      <c r="G927" s="632"/>
      <c r="H927" s="1127"/>
      <c r="I927" s="633">
        <f t="shared" si="90"/>
        <v>0</v>
      </c>
      <c r="J927" s="633">
        <f t="shared" si="91"/>
        <v>0</v>
      </c>
      <c r="K927" s="633">
        <f t="shared" si="92"/>
        <v>0</v>
      </c>
      <c r="L927" s="1127"/>
      <c r="M927" s="1127"/>
      <c r="N927" s="1691">
        <f t="shared" si="87"/>
        <v>0</v>
      </c>
      <c r="O927" s="634">
        <f t="shared" si="88"/>
        <v>0</v>
      </c>
      <c r="P927" s="144"/>
      <c r="Q927" s="144"/>
      <c r="R927" s="144"/>
      <c r="S927" s="144"/>
    </row>
    <row r="928" spans="1:19" ht="13.8">
      <c r="A928" s="630"/>
      <c r="B928" s="631"/>
      <c r="C928" s="1127"/>
      <c r="D928" s="632"/>
      <c r="E928" s="1127"/>
      <c r="F928" s="633">
        <f t="shared" si="89"/>
        <v>0</v>
      </c>
      <c r="G928" s="632"/>
      <c r="H928" s="1127"/>
      <c r="I928" s="633">
        <f t="shared" si="90"/>
        <v>0</v>
      </c>
      <c r="J928" s="633">
        <f t="shared" si="91"/>
        <v>0</v>
      </c>
      <c r="K928" s="633">
        <f t="shared" si="92"/>
        <v>0</v>
      </c>
      <c r="L928" s="1127"/>
      <c r="M928" s="1127"/>
      <c r="N928" s="1691">
        <f t="shared" si="87"/>
        <v>0</v>
      </c>
      <c r="O928" s="634">
        <f t="shared" si="88"/>
        <v>0</v>
      </c>
      <c r="P928" s="144"/>
      <c r="Q928" s="144"/>
      <c r="R928" s="144"/>
      <c r="S928" s="144"/>
    </row>
    <row r="929" spans="1:19" ht="13.8">
      <c r="A929" s="630"/>
      <c r="B929" s="631"/>
      <c r="C929" s="1127"/>
      <c r="D929" s="632"/>
      <c r="E929" s="1127"/>
      <c r="F929" s="633">
        <f t="shared" si="89"/>
        <v>0</v>
      </c>
      <c r="G929" s="632"/>
      <c r="H929" s="1127"/>
      <c r="I929" s="633">
        <f t="shared" si="90"/>
        <v>0</v>
      </c>
      <c r="J929" s="633">
        <f t="shared" si="91"/>
        <v>0</v>
      </c>
      <c r="K929" s="633">
        <f t="shared" si="92"/>
        <v>0</v>
      </c>
      <c r="L929" s="1127"/>
      <c r="M929" s="1127"/>
      <c r="N929" s="1691">
        <f t="shared" si="87"/>
        <v>0</v>
      </c>
      <c r="O929" s="634">
        <f t="shared" si="88"/>
        <v>0</v>
      </c>
      <c r="P929" s="144"/>
      <c r="Q929" s="144"/>
      <c r="R929" s="144"/>
      <c r="S929" s="144"/>
    </row>
    <row r="930" spans="1:19" ht="13.8">
      <c r="A930" s="630"/>
      <c r="B930" s="631"/>
      <c r="C930" s="1127"/>
      <c r="D930" s="632"/>
      <c r="E930" s="1127"/>
      <c r="F930" s="633">
        <f t="shared" si="89"/>
        <v>0</v>
      </c>
      <c r="G930" s="632"/>
      <c r="H930" s="1127"/>
      <c r="I930" s="633">
        <f t="shared" si="90"/>
        <v>0</v>
      </c>
      <c r="J930" s="633">
        <f t="shared" si="91"/>
        <v>0</v>
      </c>
      <c r="K930" s="633">
        <f t="shared" si="92"/>
        <v>0</v>
      </c>
      <c r="L930" s="1127"/>
      <c r="M930" s="1127"/>
      <c r="N930" s="1691">
        <f t="shared" si="87"/>
        <v>0</v>
      </c>
      <c r="O930" s="634">
        <f t="shared" si="88"/>
        <v>0</v>
      </c>
      <c r="P930" s="144"/>
      <c r="Q930" s="144"/>
      <c r="R930" s="144"/>
      <c r="S930" s="144"/>
    </row>
    <row r="931" spans="1:19" ht="13.8">
      <c r="A931" s="630"/>
      <c r="B931" s="631"/>
      <c r="C931" s="1127"/>
      <c r="D931" s="632"/>
      <c r="E931" s="1127"/>
      <c r="F931" s="633">
        <f t="shared" si="89"/>
        <v>0</v>
      </c>
      <c r="G931" s="632"/>
      <c r="H931" s="1127"/>
      <c r="I931" s="633">
        <f t="shared" si="90"/>
        <v>0</v>
      </c>
      <c r="J931" s="633">
        <f t="shared" si="91"/>
        <v>0</v>
      </c>
      <c r="K931" s="633">
        <f t="shared" si="92"/>
        <v>0</v>
      </c>
      <c r="L931" s="1127"/>
      <c r="M931" s="1127"/>
      <c r="N931" s="1691">
        <f t="shared" si="87"/>
        <v>0</v>
      </c>
      <c r="O931" s="634">
        <f t="shared" si="88"/>
        <v>0</v>
      </c>
      <c r="P931" s="144"/>
      <c r="Q931" s="144"/>
      <c r="R931" s="144"/>
      <c r="S931" s="144"/>
    </row>
    <row r="932" spans="1:19" ht="13.8">
      <c r="A932" s="630"/>
      <c r="B932" s="631"/>
      <c r="C932" s="1127"/>
      <c r="D932" s="632"/>
      <c r="E932" s="1127"/>
      <c r="F932" s="633">
        <f t="shared" si="89"/>
        <v>0</v>
      </c>
      <c r="G932" s="632"/>
      <c r="H932" s="1127"/>
      <c r="I932" s="633">
        <f t="shared" si="90"/>
        <v>0</v>
      </c>
      <c r="J932" s="633">
        <f t="shared" si="91"/>
        <v>0</v>
      </c>
      <c r="K932" s="633">
        <f t="shared" si="92"/>
        <v>0</v>
      </c>
      <c r="L932" s="1127"/>
      <c r="M932" s="1127"/>
      <c r="N932" s="1691">
        <f t="shared" si="87"/>
        <v>0</v>
      </c>
      <c r="O932" s="634">
        <f t="shared" si="88"/>
        <v>0</v>
      </c>
      <c r="P932" s="144"/>
      <c r="Q932" s="144"/>
      <c r="R932" s="144"/>
      <c r="S932" s="144"/>
    </row>
    <row r="933" spans="1:19" ht="13.8">
      <c r="A933" s="630"/>
      <c r="B933" s="631"/>
      <c r="C933" s="1127"/>
      <c r="D933" s="632"/>
      <c r="E933" s="1127"/>
      <c r="F933" s="633">
        <f t="shared" si="89"/>
        <v>0</v>
      </c>
      <c r="G933" s="632"/>
      <c r="H933" s="1127"/>
      <c r="I933" s="633">
        <f t="shared" si="90"/>
        <v>0</v>
      </c>
      <c r="J933" s="633">
        <f t="shared" si="91"/>
        <v>0</v>
      </c>
      <c r="K933" s="633">
        <f t="shared" si="92"/>
        <v>0</v>
      </c>
      <c r="L933" s="1127"/>
      <c r="M933" s="1127"/>
      <c r="N933" s="1691">
        <f t="shared" si="87"/>
        <v>0</v>
      </c>
      <c r="O933" s="634">
        <f t="shared" si="88"/>
        <v>0</v>
      </c>
      <c r="P933" s="144"/>
      <c r="Q933" s="144"/>
      <c r="R933" s="144"/>
      <c r="S933" s="144"/>
    </row>
    <row r="934" spans="1:19" ht="13.8">
      <c r="A934" s="630"/>
      <c r="B934" s="631"/>
      <c r="C934" s="1127"/>
      <c r="D934" s="632"/>
      <c r="E934" s="1127"/>
      <c r="F934" s="633">
        <f t="shared" si="89"/>
        <v>0</v>
      </c>
      <c r="G934" s="632"/>
      <c r="H934" s="1127"/>
      <c r="I934" s="633">
        <f t="shared" si="90"/>
        <v>0</v>
      </c>
      <c r="J934" s="633">
        <f t="shared" si="91"/>
        <v>0</v>
      </c>
      <c r="K934" s="633">
        <f t="shared" si="92"/>
        <v>0</v>
      </c>
      <c r="L934" s="1127"/>
      <c r="M934" s="1127"/>
      <c r="N934" s="1691">
        <f t="shared" si="87"/>
        <v>0</v>
      </c>
      <c r="O934" s="634">
        <f t="shared" si="88"/>
        <v>0</v>
      </c>
      <c r="P934" s="144"/>
      <c r="Q934" s="144"/>
      <c r="R934" s="144"/>
      <c r="S934" s="144"/>
    </row>
    <row r="935" spans="1:19" ht="13.8">
      <c r="A935" s="630"/>
      <c r="B935" s="631"/>
      <c r="C935" s="1127"/>
      <c r="D935" s="632"/>
      <c r="E935" s="1127"/>
      <c r="F935" s="633">
        <f t="shared" si="89"/>
        <v>0</v>
      </c>
      <c r="G935" s="632"/>
      <c r="H935" s="1127"/>
      <c r="I935" s="633">
        <f t="shared" si="90"/>
        <v>0</v>
      </c>
      <c r="J935" s="633">
        <f t="shared" si="91"/>
        <v>0</v>
      </c>
      <c r="K935" s="633">
        <f t="shared" si="92"/>
        <v>0</v>
      </c>
      <c r="L935" s="1127"/>
      <c r="M935" s="1127"/>
      <c r="N935" s="1691">
        <f t="shared" si="87"/>
        <v>0</v>
      </c>
      <c r="O935" s="634">
        <f t="shared" si="88"/>
        <v>0</v>
      </c>
      <c r="P935" s="144"/>
      <c r="Q935" s="144"/>
      <c r="R935" s="144"/>
      <c r="S935" s="144"/>
    </row>
    <row r="936" spans="1:19" ht="13.8">
      <c r="A936" s="630"/>
      <c r="B936" s="631"/>
      <c r="C936" s="1127"/>
      <c r="D936" s="632"/>
      <c r="E936" s="1127"/>
      <c r="F936" s="633">
        <f t="shared" si="89"/>
        <v>0</v>
      </c>
      <c r="G936" s="632"/>
      <c r="H936" s="1127"/>
      <c r="I936" s="633">
        <f t="shared" si="90"/>
        <v>0</v>
      </c>
      <c r="J936" s="633">
        <f t="shared" si="91"/>
        <v>0</v>
      </c>
      <c r="K936" s="633">
        <f t="shared" si="92"/>
        <v>0</v>
      </c>
      <c r="L936" s="1127"/>
      <c r="M936" s="1127"/>
      <c r="N936" s="1691">
        <f t="shared" si="87"/>
        <v>0</v>
      </c>
      <c r="O936" s="634">
        <f t="shared" si="88"/>
        <v>0</v>
      </c>
      <c r="P936" s="144"/>
      <c r="Q936" s="144"/>
      <c r="R936" s="144"/>
      <c r="S936" s="144"/>
    </row>
    <row r="937" spans="1:19" ht="13.8">
      <c r="A937" s="630"/>
      <c r="B937" s="631"/>
      <c r="C937" s="1127"/>
      <c r="D937" s="632"/>
      <c r="E937" s="1127"/>
      <c r="F937" s="633">
        <f t="shared" si="89"/>
        <v>0</v>
      </c>
      <c r="G937" s="632"/>
      <c r="H937" s="1127"/>
      <c r="I937" s="633">
        <f t="shared" si="90"/>
        <v>0</v>
      </c>
      <c r="J937" s="633">
        <f t="shared" si="91"/>
        <v>0</v>
      </c>
      <c r="K937" s="633">
        <f t="shared" si="92"/>
        <v>0</v>
      </c>
      <c r="L937" s="1127"/>
      <c r="M937" s="1127"/>
      <c r="N937" s="1691">
        <f t="shared" si="87"/>
        <v>0</v>
      </c>
      <c r="O937" s="634">
        <f t="shared" si="88"/>
        <v>0</v>
      </c>
      <c r="P937" s="144"/>
      <c r="Q937" s="144"/>
      <c r="R937" s="144"/>
      <c r="S937" s="144"/>
    </row>
    <row r="938" spans="1:19" ht="13.8">
      <c r="A938" s="630"/>
      <c r="B938" s="631"/>
      <c r="C938" s="1127"/>
      <c r="D938" s="632"/>
      <c r="E938" s="1127"/>
      <c r="F938" s="633">
        <f t="shared" si="89"/>
        <v>0</v>
      </c>
      <c r="G938" s="632"/>
      <c r="H938" s="1127"/>
      <c r="I938" s="633">
        <f t="shared" si="90"/>
        <v>0</v>
      </c>
      <c r="J938" s="633">
        <f t="shared" si="91"/>
        <v>0</v>
      </c>
      <c r="K938" s="633">
        <f t="shared" si="92"/>
        <v>0</v>
      </c>
      <c r="L938" s="1127"/>
      <c r="M938" s="1127"/>
      <c r="N938" s="1691">
        <f t="shared" si="87"/>
        <v>0</v>
      </c>
      <c r="O938" s="634">
        <f t="shared" si="88"/>
        <v>0</v>
      </c>
      <c r="P938" s="144"/>
      <c r="Q938" s="144"/>
      <c r="R938" s="144"/>
      <c r="S938" s="144"/>
    </row>
    <row r="939" spans="1:19" ht="13.8">
      <c r="A939" s="630"/>
      <c r="B939" s="631"/>
      <c r="C939" s="1127"/>
      <c r="D939" s="632"/>
      <c r="E939" s="1127"/>
      <c r="F939" s="633">
        <f t="shared" si="89"/>
        <v>0</v>
      </c>
      <c r="G939" s="632"/>
      <c r="H939" s="1127"/>
      <c r="I939" s="633">
        <f t="shared" si="90"/>
        <v>0</v>
      </c>
      <c r="J939" s="633">
        <f t="shared" si="91"/>
        <v>0</v>
      </c>
      <c r="K939" s="633">
        <f t="shared" si="92"/>
        <v>0</v>
      </c>
      <c r="L939" s="1127"/>
      <c r="M939" s="1127"/>
      <c r="N939" s="1691">
        <f t="shared" si="87"/>
        <v>0</v>
      </c>
      <c r="O939" s="634">
        <f t="shared" si="88"/>
        <v>0</v>
      </c>
      <c r="P939" s="144"/>
      <c r="Q939" s="144"/>
      <c r="R939" s="144"/>
      <c r="S939" s="144"/>
    </row>
    <row r="940" spans="1:19" ht="13.8">
      <c r="A940" s="630"/>
      <c r="B940" s="631"/>
      <c r="C940" s="1127"/>
      <c r="D940" s="632"/>
      <c r="E940" s="1127"/>
      <c r="F940" s="633">
        <f t="shared" si="89"/>
        <v>0</v>
      </c>
      <c r="G940" s="632"/>
      <c r="H940" s="1127"/>
      <c r="I940" s="633">
        <f t="shared" si="90"/>
        <v>0</v>
      </c>
      <c r="J940" s="633">
        <f t="shared" si="91"/>
        <v>0</v>
      </c>
      <c r="K940" s="633">
        <f t="shared" si="92"/>
        <v>0</v>
      </c>
      <c r="L940" s="1127"/>
      <c r="M940" s="1127"/>
      <c r="N940" s="1691">
        <f t="shared" si="87"/>
        <v>0</v>
      </c>
      <c r="O940" s="634">
        <f t="shared" si="88"/>
        <v>0</v>
      </c>
      <c r="P940" s="144"/>
      <c r="Q940" s="144"/>
      <c r="R940" s="144"/>
      <c r="S940" s="144"/>
    </row>
    <row r="941" spans="1:19" ht="13.8">
      <c r="A941" s="630"/>
      <c r="B941" s="631"/>
      <c r="C941" s="1127"/>
      <c r="D941" s="632"/>
      <c r="E941" s="1127"/>
      <c r="F941" s="633">
        <f t="shared" si="89"/>
        <v>0</v>
      </c>
      <c r="G941" s="632"/>
      <c r="H941" s="1127"/>
      <c r="I941" s="633">
        <f t="shared" si="90"/>
        <v>0</v>
      </c>
      <c r="J941" s="633">
        <f t="shared" si="91"/>
        <v>0</v>
      </c>
      <c r="K941" s="633">
        <f t="shared" si="92"/>
        <v>0</v>
      </c>
      <c r="L941" s="1127"/>
      <c r="M941" s="1127"/>
      <c r="N941" s="1691">
        <f t="shared" si="87"/>
        <v>0</v>
      </c>
      <c r="O941" s="634">
        <f t="shared" si="88"/>
        <v>0</v>
      </c>
      <c r="P941" s="144"/>
      <c r="Q941" s="144"/>
      <c r="R941" s="144"/>
      <c r="S941" s="144"/>
    </row>
    <row r="942" spans="1:19" ht="13.8">
      <c r="A942" s="630"/>
      <c r="B942" s="631"/>
      <c r="C942" s="1127"/>
      <c r="D942" s="632"/>
      <c r="E942" s="1127"/>
      <c r="F942" s="633">
        <f t="shared" si="89"/>
        <v>0</v>
      </c>
      <c r="G942" s="632"/>
      <c r="H942" s="1127"/>
      <c r="I942" s="633">
        <f t="shared" si="90"/>
        <v>0</v>
      </c>
      <c r="J942" s="633">
        <f t="shared" si="91"/>
        <v>0</v>
      </c>
      <c r="K942" s="633">
        <f t="shared" si="92"/>
        <v>0</v>
      </c>
      <c r="L942" s="1127"/>
      <c r="M942" s="1127"/>
      <c r="N942" s="1691">
        <f t="shared" si="87"/>
        <v>0</v>
      </c>
      <c r="O942" s="634">
        <f t="shared" si="88"/>
        <v>0</v>
      </c>
      <c r="P942" s="144"/>
      <c r="Q942" s="144"/>
      <c r="R942" s="144"/>
      <c r="S942" s="144"/>
    </row>
    <row r="943" spans="1:19" ht="13.8">
      <c r="A943" s="630"/>
      <c r="B943" s="631"/>
      <c r="C943" s="1127"/>
      <c r="D943" s="632"/>
      <c r="E943" s="1127"/>
      <c r="F943" s="633">
        <f t="shared" si="89"/>
        <v>0</v>
      </c>
      <c r="G943" s="632"/>
      <c r="H943" s="1127"/>
      <c r="I943" s="633">
        <f t="shared" si="90"/>
        <v>0</v>
      </c>
      <c r="J943" s="633">
        <f t="shared" si="91"/>
        <v>0</v>
      </c>
      <c r="K943" s="633">
        <f t="shared" si="92"/>
        <v>0</v>
      </c>
      <c r="L943" s="1127"/>
      <c r="M943" s="1127"/>
      <c r="N943" s="1691">
        <f t="shared" si="87"/>
        <v>0</v>
      </c>
      <c r="O943" s="634">
        <f t="shared" si="88"/>
        <v>0</v>
      </c>
      <c r="P943" s="144"/>
      <c r="Q943" s="144"/>
      <c r="R943" s="144"/>
      <c r="S943" s="144"/>
    </row>
    <row r="944" spans="1:19" ht="13.8">
      <c r="A944" s="630"/>
      <c r="B944" s="631"/>
      <c r="C944" s="1127"/>
      <c r="D944" s="632"/>
      <c r="E944" s="1127"/>
      <c r="F944" s="633">
        <f t="shared" si="89"/>
        <v>0</v>
      </c>
      <c r="G944" s="632"/>
      <c r="H944" s="1127"/>
      <c r="I944" s="633">
        <f t="shared" si="90"/>
        <v>0</v>
      </c>
      <c r="J944" s="633">
        <f t="shared" si="91"/>
        <v>0</v>
      </c>
      <c r="K944" s="633">
        <f t="shared" si="92"/>
        <v>0</v>
      </c>
      <c r="L944" s="1127"/>
      <c r="M944" s="1127"/>
      <c r="N944" s="1691">
        <f t="shared" si="87"/>
        <v>0</v>
      </c>
      <c r="O944" s="634">
        <f t="shared" si="88"/>
        <v>0</v>
      </c>
      <c r="P944" s="144"/>
      <c r="Q944" s="144"/>
      <c r="R944" s="144"/>
      <c r="S944" s="144"/>
    </row>
    <row r="945" spans="1:19" ht="13.8">
      <c r="A945" s="630"/>
      <c r="B945" s="631"/>
      <c r="C945" s="1127"/>
      <c r="D945" s="632"/>
      <c r="E945" s="1127"/>
      <c r="F945" s="633">
        <f t="shared" si="89"/>
        <v>0</v>
      </c>
      <c r="G945" s="632"/>
      <c r="H945" s="1127"/>
      <c r="I945" s="633">
        <f t="shared" si="90"/>
        <v>0</v>
      </c>
      <c r="J945" s="633">
        <f t="shared" si="91"/>
        <v>0</v>
      </c>
      <c r="K945" s="633">
        <f t="shared" si="92"/>
        <v>0</v>
      </c>
      <c r="L945" s="1127"/>
      <c r="M945" s="1127"/>
      <c r="N945" s="1691">
        <f t="shared" si="87"/>
        <v>0</v>
      </c>
      <c r="O945" s="634">
        <f t="shared" si="88"/>
        <v>0</v>
      </c>
      <c r="P945" s="144"/>
      <c r="Q945" s="144"/>
      <c r="R945" s="144"/>
      <c r="S945" s="144"/>
    </row>
    <row r="946" spans="1:19" ht="13.8">
      <c r="A946" s="630"/>
      <c r="B946" s="631"/>
      <c r="C946" s="1127"/>
      <c r="D946" s="632"/>
      <c r="E946" s="1127"/>
      <c r="F946" s="633">
        <f t="shared" si="89"/>
        <v>0</v>
      </c>
      <c r="G946" s="632"/>
      <c r="H946" s="1127"/>
      <c r="I946" s="633">
        <f t="shared" si="90"/>
        <v>0</v>
      </c>
      <c r="J946" s="633">
        <f t="shared" si="91"/>
        <v>0</v>
      </c>
      <c r="K946" s="633">
        <f t="shared" si="92"/>
        <v>0</v>
      </c>
      <c r="L946" s="1127"/>
      <c r="M946" s="1127"/>
      <c r="N946" s="1691">
        <f t="shared" si="87"/>
        <v>0</v>
      </c>
      <c r="O946" s="634">
        <f t="shared" si="88"/>
        <v>0</v>
      </c>
      <c r="P946" s="144"/>
      <c r="Q946" s="144"/>
      <c r="R946" s="144"/>
      <c r="S946" s="144"/>
    </row>
    <row r="947" spans="1:19" ht="13.8">
      <c r="A947" s="630"/>
      <c r="B947" s="631"/>
      <c r="C947" s="1127"/>
      <c r="D947" s="632"/>
      <c r="E947" s="1127"/>
      <c r="F947" s="633">
        <f t="shared" si="89"/>
        <v>0</v>
      </c>
      <c r="G947" s="632"/>
      <c r="H947" s="1127"/>
      <c r="I947" s="633">
        <f t="shared" si="90"/>
        <v>0</v>
      </c>
      <c r="J947" s="633">
        <f t="shared" si="91"/>
        <v>0</v>
      </c>
      <c r="K947" s="633">
        <f t="shared" si="92"/>
        <v>0</v>
      </c>
      <c r="L947" s="1127"/>
      <c r="M947" s="1127"/>
      <c r="N947" s="1691">
        <f t="shared" si="87"/>
        <v>0</v>
      </c>
      <c r="O947" s="634">
        <f t="shared" si="88"/>
        <v>0</v>
      </c>
      <c r="P947" s="144"/>
      <c r="Q947" s="144"/>
      <c r="R947" s="144"/>
      <c r="S947" s="144"/>
    </row>
    <row r="948" spans="1:19" ht="13.8">
      <c r="A948" s="630"/>
      <c r="B948" s="631"/>
      <c r="C948" s="1127"/>
      <c r="D948" s="632"/>
      <c r="E948" s="1127"/>
      <c r="F948" s="633">
        <f t="shared" si="89"/>
        <v>0</v>
      </c>
      <c r="G948" s="632"/>
      <c r="H948" s="1127"/>
      <c r="I948" s="633">
        <f t="shared" si="90"/>
        <v>0</v>
      </c>
      <c r="J948" s="633">
        <f t="shared" si="91"/>
        <v>0</v>
      </c>
      <c r="K948" s="633">
        <f t="shared" si="92"/>
        <v>0</v>
      </c>
      <c r="L948" s="1127"/>
      <c r="M948" s="1127"/>
      <c r="N948" s="1691">
        <f t="shared" si="87"/>
        <v>0</v>
      </c>
      <c r="O948" s="634">
        <f t="shared" si="88"/>
        <v>0</v>
      </c>
      <c r="P948" s="144"/>
      <c r="Q948" s="144"/>
      <c r="R948" s="144"/>
      <c r="S948" s="144"/>
    </row>
    <row r="949" spans="1:19" ht="13.8">
      <c r="A949" s="630"/>
      <c r="B949" s="631"/>
      <c r="C949" s="1127"/>
      <c r="D949" s="632"/>
      <c r="E949" s="1127"/>
      <c r="F949" s="633">
        <f t="shared" si="89"/>
        <v>0</v>
      </c>
      <c r="G949" s="632"/>
      <c r="H949" s="1127"/>
      <c r="I949" s="633">
        <f t="shared" si="90"/>
        <v>0</v>
      </c>
      <c r="J949" s="633">
        <f t="shared" si="91"/>
        <v>0</v>
      </c>
      <c r="K949" s="633">
        <f t="shared" si="92"/>
        <v>0</v>
      </c>
      <c r="L949" s="1127"/>
      <c r="M949" s="1127"/>
      <c r="N949" s="1691">
        <f t="shared" si="87"/>
        <v>0</v>
      </c>
      <c r="O949" s="634">
        <f t="shared" si="88"/>
        <v>0</v>
      </c>
      <c r="P949" s="144"/>
      <c r="Q949" s="144"/>
      <c r="R949" s="144"/>
      <c r="S949" s="144"/>
    </row>
    <row r="950" spans="1:19" ht="13.8">
      <c r="A950" s="630"/>
      <c r="B950" s="631"/>
      <c r="C950" s="1127"/>
      <c r="D950" s="632"/>
      <c r="E950" s="1127"/>
      <c r="F950" s="633">
        <f t="shared" si="89"/>
        <v>0</v>
      </c>
      <c r="G950" s="632"/>
      <c r="H950" s="1127"/>
      <c r="I950" s="633">
        <f t="shared" si="90"/>
        <v>0</v>
      </c>
      <c r="J950" s="633">
        <f t="shared" si="91"/>
        <v>0</v>
      </c>
      <c r="K950" s="633">
        <f t="shared" si="92"/>
        <v>0</v>
      </c>
      <c r="L950" s="1127"/>
      <c r="M950" s="1127"/>
      <c r="N950" s="1691">
        <f t="shared" si="87"/>
        <v>0</v>
      </c>
      <c r="O950" s="634">
        <f t="shared" si="88"/>
        <v>0</v>
      </c>
      <c r="P950" s="144"/>
      <c r="Q950" s="144"/>
      <c r="R950" s="144"/>
      <c r="S950" s="144"/>
    </row>
    <row r="951" spans="1:19" ht="13.8">
      <c r="A951" s="630"/>
      <c r="B951" s="631"/>
      <c r="C951" s="1127"/>
      <c r="D951" s="632"/>
      <c r="E951" s="1127"/>
      <c r="F951" s="633">
        <f t="shared" si="89"/>
        <v>0</v>
      </c>
      <c r="G951" s="632"/>
      <c r="H951" s="1127"/>
      <c r="I951" s="633">
        <f t="shared" si="90"/>
        <v>0</v>
      </c>
      <c r="J951" s="633">
        <f t="shared" si="91"/>
        <v>0</v>
      </c>
      <c r="K951" s="633">
        <f t="shared" si="92"/>
        <v>0</v>
      </c>
      <c r="L951" s="1127"/>
      <c r="M951" s="1127"/>
      <c r="N951" s="1691">
        <f t="shared" si="87"/>
        <v>0</v>
      </c>
      <c r="O951" s="634">
        <f t="shared" si="88"/>
        <v>0</v>
      </c>
      <c r="P951" s="144"/>
      <c r="Q951" s="144"/>
      <c r="R951" s="144"/>
      <c r="S951" s="144"/>
    </row>
    <row r="952" spans="1:19" ht="13.8">
      <c r="A952" s="630"/>
      <c r="B952" s="631"/>
      <c r="C952" s="1127"/>
      <c r="D952" s="632"/>
      <c r="E952" s="1127"/>
      <c r="F952" s="633">
        <f t="shared" si="89"/>
        <v>0</v>
      </c>
      <c r="G952" s="632"/>
      <c r="H952" s="1127"/>
      <c r="I952" s="633">
        <f t="shared" si="90"/>
        <v>0</v>
      </c>
      <c r="J952" s="633">
        <f t="shared" si="91"/>
        <v>0</v>
      </c>
      <c r="K952" s="633">
        <f t="shared" si="92"/>
        <v>0</v>
      </c>
      <c r="L952" s="1127"/>
      <c r="M952" s="1127"/>
      <c r="N952" s="1691">
        <f t="shared" si="87"/>
        <v>0</v>
      </c>
      <c r="O952" s="634">
        <f t="shared" si="88"/>
        <v>0</v>
      </c>
      <c r="P952" s="144"/>
      <c r="Q952" s="144"/>
      <c r="R952" s="144"/>
      <c r="S952" s="144"/>
    </row>
    <row r="953" spans="1:19" ht="13.8">
      <c r="A953" s="630"/>
      <c r="B953" s="631"/>
      <c r="C953" s="1127"/>
      <c r="D953" s="632"/>
      <c r="E953" s="1127"/>
      <c r="F953" s="633">
        <f t="shared" si="89"/>
        <v>0</v>
      </c>
      <c r="G953" s="632"/>
      <c r="H953" s="1127"/>
      <c r="I953" s="633">
        <f t="shared" si="90"/>
        <v>0</v>
      </c>
      <c r="J953" s="633">
        <f t="shared" si="91"/>
        <v>0</v>
      </c>
      <c r="K953" s="633">
        <f t="shared" si="92"/>
        <v>0</v>
      </c>
      <c r="L953" s="1127"/>
      <c r="M953" s="1127"/>
      <c r="N953" s="1691">
        <f t="shared" si="87"/>
        <v>0</v>
      </c>
      <c r="O953" s="634">
        <f t="shared" si="88"/>
        <v>0</v>
      </c>
      <c r="P953" s="144"/>
      <c r="Q953" s="144"/>
      <c r="R953" s="144"/>
      <c r="S953" s="144"/>
    </row>
    <row r="954" spans="1:19" ht="13.8">
      <c r="A954" s="630"/>
      <c r="B954" s="631"/>
      <c r="C954" s="1127"/>
      <c r="D954" s="632"/>
      <c r="E954" s="1127"/>
      <c r="F954" s="633">
        <f t="shared" si="89"/>
        <v>0</v>
      </c>
      <c r="G954" s="632"/>
      <c r="H954" s="1127"/>
      <c r="I954" s="633">
        <f t="shared" si="90"/>
        <v>0</v>
      </c>
      <c r="J954" s="633">
        <f t="shared" si="91"/>
        <v>0</v>
      </c>
      <c r="K954" s="633">
        <f t="shared" si="92"/>
        <v>0</v>
      </c>
      <c r="L954" s="1127"/>
      <c r="M954" s="1127"/>
      <c r="N954" s="1691">
        <f t="shared" si="87"/>
        <v>0</v>
      </c>
      <c r="O954" s="634">
        <f t="shared" si="88"/>
        <v>0</v>
      </c>
      <c r="P954" s="144"/>
      <c r="Q954" s="144"/>
      <c r="R954" s="144"/>
      <c r="S954" s="144"/>
    </row>
    <row r="955" spans="1:19" ht="13.8">
      <c r="A955" s="630"/>
      <c r="B955" s="631"/>
      <c r="C955" s="1127"/>
      <c r="D955" s="632"/>
      <c r="E955" s="1127"/>
      <c r="F955" s="633">
        <f t="shared" si="89"/>
        <v>0</v>
      </c>
      <c r="G955" s="632"/>
      <c r="H955" s="1127"/>
      <c r="I955" s="633">
        <f t="shared" si="90"/>
        <v>0</v>
      </c>
      <c r="J955" s="633">
        <f t="shared" si="91"/>
        <v>0</v>
      </c>
      <c r="K955" s="633">
        <f t="shared" si="92"/>
        <v>0</v>
      </c>
      <c r="L955" s="1127"/>
      <c r="M955" s="1127"/>
      <c r="N955" s="1691">
        <f t="shared" si="87"/>
        <v>0</v>
      </c>
      <c r="O955" s="634">
        <f t="shared" si="88"/>
        <v>0</v>
      </c>
      <c r="P955" s="144"/>
      <c r="Q955" s="144"/>
      <c r="R955" s="144"/>
      <c r="S955" s="144"/>
    </row>
    <row r="956" spans="1:19" ht="13.8">
      <c r="A956" s="630"/>
      <c r="B956" s="631"/>
      <c r="C956" s="1127"/>
      <c r="D956" s="632"/>
      <c r="E956" s="1127"/>
      <c r="F956" s="633">
        <f t="shared" si="89"/>
        <v>0</v>
      </c>
      <c r="G956" s="632"/>
      <c r="H956" s="1127"/>
      <c r="I956" s="633">
        <f t="shared" si="90"/>
        <v>0</v>
      </c>
      <c r="J956" s="633">
        <f t="shared" si="91"/>
        <v>0</v>
      </c>
      <c r="K956" s="633">
        <f t="shared" si="92"/>
        <v>0</v>
      </c>
      <c r="L956" s="1127"/>
      <c r="M956" s="1127"/>
      <c r="N956" s="1691">
        <f t="shared" si="87"/>
        <v>0</v>
      </c>
      <c r="O956" s="634">
        <f t="shared" si="88"/>
        <v>0</v>
      </c>
      <c r="P956" s="144"/>
      <c r="Q956" s="144"/>
      <c r="R956" s="144"/>
      <c r="S956" s="144"/>
    </row>
    <row r="957" spans="1:19" ht="13.8">
      <c r="A957" s="630"/>
      <c r="B957" s="631"/>
      <c r="C957" s="1127"/>
      <c r="D957" s="632"/>
      <c r="E957" s="1127"/>
      <c r="F957" s="633">
        <f t="shared" si="89"/>
        <v>0</v>
      </c>
      <c r="G957" s="632"/>
      <c r="H957" s="1127"/>
      <c r="I957" s="633">
        <f t="shared" si="90"/>
        <v>0</v>
      </c>
      <c r="J957" s="633">
        <f t="shared" si="91"/>
        <v>0</v>
      </c>
      <c r="K957" s="633">
        <f t="shared" si="92"/>
        <v>0</v>
      </c>
      <c r="L957" s="1127"/>
      <c r="M957" s="1127"/>
      <c r="N957" s="1691">
        <f t="shared" si="87"/>
        <v>0</v>
      </c>
      <c r="O957" s="634">
        <f t="shared" si="88"/>
        <v>0</v>
      </c>
      <c r="P957" s="144"/>
      <c r="Q957" s="144"/>
      <c r="R957" s="144"/>
      <c r="S957" s="144"/>
    </row>
    <row r="958" spans="1:19" ht="13.8">
      <c r="A958" s="630"/>
      <c r="B958" s="631"/>
      <c r="C958" s="1127"/>
      <c r="D958" s="632"/>
      <c r="E958" s="1127"/>
      <c r="F958" s="633">
        <f t="shared" si="89"/>
        <v>0</v>
      </c>
      <c r="G958" s="632"/>
      <c r="H958" s="1127"/>
      <c r="I958" s="633">
        <f t="shared" si="90"/>
        <v>0</v>
      </c>
      <c r="J958" s="633">
        <f t="shared" si="91"/>
        <v>0</v>
      </c>
      <c r="K958" s="633">
        <f t="shared" si="92"/>
        <v>0</v>
      </c>
      <c r="L958" s="1127"/>
      <c r="M958" s="1127"/>
      <c r="N958" s="1691">
        <f t="shared" si="87"/>
        <v>0</v>
      </c>
      <c r="O958" s="634">
        <f t="shared" si="88"/>
        <v>0</v>
      </c>
      <c r="P958" s="144"/>
      <c r="Q958" s="144"/>
      <c r="R958" s="144"/>
      <c r="S958" s="144"/>
    </row>
    <row r="959" spans="1:19" ht="13.8">
      <c r="A959" s="630"/>
      <c r="B959" s="631"/>
      <c r="C959" s="1127"/>
      <c r="D959" s="632"/>
      <c r="E959" s="1127"/>
      <c r="F959" s="633">
        <f t="shared" si="89"/>
        <v>0</v>
      </c>
      <c r="G959" s="632"/>
      <c r="H959" s="1127"/>
      <c r="I959" s="633">
        <f t="shared" si="90"/>
        <v>0</v>
      </c>
      <c r="J959" s="633">
        <f t="shared" si="91"/>
        <v>0</v>
      </c>
      <c r="K959" s="633">
        <f t="shared" si="92"/>
        <v>0</v>
      </c>
      <c r="L959" s="1127"/>
      <c r="M959" s="1127"/>
      <c r="N959" s="1691">
        <f t="shared" si="87"/>
        <v>0</v>
      </c>
      <c r="O959" s="634">
        <f t="shared" si="88"/>
        <v>0</v>
      </c>
      <c r="P959" s="144"/>
      <c r="Q959" s="144"/>
      <c r="R959" s="144"/>
      <c r="S959" s="144"/>
    </row>
    <row r="960" spans="1:19" ht="13.8">
      <c r="A960" s="630"/>
      <c r="B960" s="631"/>
      <c r="C960" s="1127"/>
      <c r="D960" s="632"/>
      <c r="E960" s="1127"/>
      <c r="F960" s="633">
        <f t="shared" si="89"/>
        <v>0</v>
      </c>
      <c r="G960" s="632"/>
      <c r="H960" s="1127"/>
      <c r="I960" s="633">
        <f t="shared" si="90"/>
        <v>0</v>
      </c>
      <c r="J960" s="633">
        <f t="shared" si="91"/>
        <v>0</v>
      </c>
      <c r="K960" s="633">
        <f t="shared" si="92"/>
        <v>0</v>
      </c>
      <c r="L960" s="1127"/>
      <c r="M960" s="1127"/>
      <c r="N960" s="1691">
        <f t="shared" si="87"/>
        <v>0</v>
      </c>
      <c r="O960" s="634">
        <f t="shared" si="88"/>
        <v>0</v>
      </c>
      <c r="P960" s="144"/>
      <c r="Q960" s="144"/>
      <c r="R960" s="144"/>
      <c r="S960" s="144"/>
    </row>
    <row r="961" spans="1:19" ht="13.8">
      <c r="A961" s="630"/>
      <c r="B961" s="631"/>
      <c r="C961" s="1127"/>
      <c r="D961" s="632"/>
      <c r="E961" s="1127"/>
      <c r="F961" s="633">
        <f t="shared" si="89"/>
        <v>0</v>
      </c>
      <c r="G961" s="632"/>
      <c r="H961" s="1127"/>
      <c r="I961" s="633">
        <f t="shared" si="90"/>
        <v>0</v>
      </c>
      <c r="J961" s="633">
        <f t="shared" si="91"/>
        <v>0</v>
      </c>
      <c r="K961" s="633">
        <f t="shared" si="92"/>
        <v>0</v>
      </c>
      <c r="L961" s="1127"/>
      <c r="M961" s="1127"/>
      <c r="N961" s="1691">
        <f t="shared" si="87"/>
        <v>0</v>
      </c>
      <c r="O961" s="634">
        <f t="shared" si="88"/>
        <v>0</v>
      </c>
      <c r="P961" s="144"/>
      <c r="Q961" s="144"/>
      <c r="R961" s="144"/>
      <c r="S961" s="144"/>
    </row>
    <row r="962" spans="1:19" ht="13.8">
      <c r="A962" s="630"/>
      <c r="B962" s="631"/>
      <c r="C962" s="1127"/>
      <c r="D962" s="632"/>
      <c r="E962" s="1127"/>
      <c r="F962" s="633">
        <f t="shared" si="89"/>
        <v>0</v>
      </c>
      <c r="G962" s="632"/>
      <c r="H962" s="1127"/>
      <c r="I962" s="633">
        <f t="shared" si="90"/>
        <v>0</v>
      </c>
      <c r="J962" s="633">
        <f t="shared" si="91"/>
        <v>0</v>
      </c>
      <c r="K962" s="633">
        <f t="shared" si="92"/>
        <v>0</v>
      </c>
      <c r="L962" s="1127"/>
      <c r="M962" s="1127"/>
      <c r="N962" s="1691">
        <f t="shared" si="87"/>
        <v>0</v>
      </c>
      <c r="O962" s="634">
        <f t="shared" si="88"/>
        <v>0</v>
      </c>
      <c r="P962" s="144"/>
      <c r="Q962" s="144"/>
      <c r="R962" s="144"/>
      <c r="S962" s="144"/>
    </row>
    <row r="963" spans="1:19" ht="13.8">
      <c r="A963" s="630"/>
      <c r="B963" s="631"/>
      <c r="C963" s="1127"/>
      <c r="D963" s="632"/>
      <c r="E963" s="1127"/>
      <c r="F963" s="633">
        <f t="shared" si="89"/>
        <v>0</v>
      </c>
      <c r="G963" s="632"/>
      <c r="H963" s="1127"/>
      <c r="I963" s="633">
        <f t="shared" si="90"/>
        <v>0</v>
      </c>
      <c r="J963" s="633">
        <f t="shared" si="91"/>
        <v>0</v>
      </c>
      <c r="K963" s="633">
        <f t="shared" si="92"/>
        <v>0</v>
      </c>
      <c r="L963" s="1127"/>
      <c r="M963" s="1127"/>
      <c r="N963" s="1691">
        <f t="shared" si="87"/>
        <v>0</v>
      </c>
      <c r="O963" s="634">
        <f t="shared" si="88"/>
        <v>0</v>
      </c>
      <c r="P963" s="144"/>
      <c r="Q963" s="144"/>
      <c r="R963" s="144"/>
      <c r="S963" s="144"/>
    </row>
    <row r="964" spans="1:19" ht="13.8">
      <c r="A964" s="630"/>
      <c r="B964" s="631"/>
      <c r="C964" s="1127"/>
      <c r="D964" s="632"/>
      <c r="E964" s="1127"/>
      <c r="F964" s="633">
        <f t="shared" si="89"/>
        <v>0</v>
      </c>
      <c r="G964" s="632"/>
      <c r="H964" s="1127"/>
      <c r="I964" s="633">
        <f t="shared" si="90"/>
        <v>0</v>
      </c>
      <c r="J964" s="633">
        <f t="shared" si="91"/>
        <v>0</v>
      </c>
      <c r="K964" s="633">
        <f t="shared" si="92"/>
        <v>0</v>
      </c>
      <c r="L964" s="1127"/>
      <c r="M964" s="1127"/>
      <c r="N964" s="1691">
        <f t="shared" si="87"/>
        <v>0</v>
      </c>
      <c r="O964" s="634">
        <f t="shared" si="88"/>
        <v>0</v>
      </c>
      <c r="P964" s="144"/>
      <c r="Q964" s="144"/>
      <c r="R964" s="144"/>
      <c r="S964" s="144"/>
    </row>
    <row r="965" spans="1:19" ht="13.8">
      <c r="A965" s="630"/>
      <c r="B965" s="631"/>
      <c r="C965" s="1127"/>
      <c r="D965" s="632"/>
      <c r="E965" s="1127"/>
      <c r="F965" s="633">
        <f t="shared" si="89"/>
        <v>0</v>
      </c>
      <c r="G965" s="632"/>
      <c r="H965" s="1127"/>
      <c r="I965" s="633">
        <f t="shared" si="90"/>
        <v>0</v>
      </c>
      <c r="J965" s="633">
        <f t="shared" si="91"/>
        <v>0</v>
      </c>
      <c r="K965" s="633">
        <f t="shared" si="92"/>
        <v>0</v>
      </c>
      <c r="L965" s="1127"/>
      <c r="M965" s="1127"/>
      <c r="N965" s="1691">
        <f t="shared" si="87"/>
        <v>0</v>
      </c>
      <c r="O965" s="634">
        <f t="shared" si="88"/>
        <v>0</v>
      </c>
      <c r="P965" s="144"/>
      <c r="Q965" s="144"/>
      <c r="R965" s="144"/>
      <c r="S965" s="144"/>
    </row>
    <row r="966" spans="1:19" ht="13.8">
      <c r="A966" s="630"/>
      <c r="B966" s="631"/>
      <c r="C966" s="1127"/>
      <c r="D966" s="632"/>
      <c r="E966" s="1127"/>
      <c r="F966" s="633">
        <f t="shared" si="89"/>
        <v>0</v>
      </c>
      <c r="G966" s="632"/>
      <c r="H966" s="1127"/>
      <c r="I966" s="633">
        <f t="shared" si="90"/>
        <v>0</v>
      </c>
      <c r="J966" s="633">
        <f t="shared" si="91"/>
        <v>0</v>
      </c>
      <c r="K966" s="633">
        <f t="shared" si="92"/>
        <v>0</v>
      </c>
      <c r="L966" s="1127"/>
      <c r="M966" s="1127"/>
      <c r="N966" s="1691">
        <f t="shared" si="87"/>
        <v>0</v>
      </c>
      <c r="O966" s="634">
        <f t="shared" si="88"/>
        <v>0</v>
      </c>
      <c r="P966" s="144"/>
      <c r="Q966" s="144"/>
      <c r="R966" s="144"/>
      <c r="S966" s="144"/>
    </row>
    <row r="967" spans="1:19" ht="13.8">
      <c r="A967" s="630"/>
      <c r="B967" s="631"/>
      <c r="C967" s="1127"/>
      <c r="D967" s="632"/>
      <c r="E967" s="1127"/>
      <c r="F967" s="633">
        <f t="shared" si="89"/>
        <v>0</v>
      </c>
      <c r="G967" s="632"/>
      <c r="H967" s="1127"/>
      <c r="I967" s="633">
        <f t="shared" si="90"/>
        <v>0</v>
      </c>
      <c r="J967" s="633">
        <f t="shared" si="91"/>
        <v>0</v>
      </c>
      <c r="K967" s="633">
        <f t="shared" si="92"/>
        <v>0</v>
      </c>
      <c r="L967" s="1127"/>
      <c r="M967" s="1127"/>
      <c r="N967" s="1691">
        <f t="shared" si="87"/>
        <v>0</v>
      </c>
      <c r="O967" s="634">
        <f t="shared" si="88"/>
        <v>0</v>
      </c>
      <c r="P967" s="144"/>
      <c r="Q967" s="144"/>
      <c r="R967" s="144"/>
      <c r="S967" s="144"/>
    </row>
    <row r="968" spans="1:19" ht="13.8">
      <c r="A968" s="630"/>
      <c r="B968" s="631"/>
      <c r="C968" s="1127"/>
      <c r="D968" s="632"/>
      <c r="E968" s="1127"/>
      <c r="F968" s="633">
        <f t="shared" si="89"/>
        <v>0</v>
      </c>
      <c r="G968" s="632"/>
      <c r="H968" s="1127"/>
      <c r="I968" s="633">
        <f t="shared" si="90"/>
        <v>0</v>
      </c>
      <c r="J968" s="633">
        <f t="shared" si="91"/>
        <v>0</v>
      </c>
      <c r="K968" s="633">
        <f t="shared" si="92"/>
        <v>0</v>
      </c>
      <c r="L968" s="1127"/>
      <c r="M968" s="1127"/>
      <c r="N968" s="1691">
        <f t="shared" si="87"/>
        <v>0</v>
      </c>
      <c r="O968" s="634">
        <f t="shared" si="88"/>
        <v>0</v>
      </c>
      <c r="P968" s="144"/>
      <c r="Q968" s="144"/>
      <c r="R968" s="144"/>
      <c r="S968" s="144"/>
    </row>
    <row r="969" spans="1:19" ht="13.8">
      <c r="A969" s="630"/>
      <c r="B969" s="631"/>
      <c r="C969" s="1127"/>
      <c r="D969" s="632"/>
      <c r="E969" s="1127"/>
      <c r="F969" s="633">
        <f t="shared" si="89"/>
        <v>0</v>
      </c>
      <c r="G969" s="632"/>
      <c r="H969" s="1127"/>
      <c r="I969" s="633">
        <f t="shared" si="90"/>
        <v>0</v>
      </c>
      <c r="J969" s="633">
        <f t="shared" si="91"/>
        <v>0</v>
      </c>
      <c r="K969" s="633">
        <f t="shared" si="92"/>
        <v>0</v>
      </c>
      <c r="L969" s="1127"/>
      <c r="M969" s="1127"/>
      <c r="N969" s="1691">
        <f t="shared" si="87"/>
        <v>0</v>
      </c>
      <c r="O969" s="634">
        <f t="shared" si="88"/>
        <v>0</v>
      </c>
      <c r="P969" s="144"/>
      <c r="Q969" s="144"/>
      <c r="R969" s="144"/>
      <c r="S969" s="144"/>
    </row>
    <row r="970" spans="1:19" ht="13.8">
      <c r="A970" s="630"/>
      <c r="B970" s="631"/>
      <c r="C970" s="1127"/>
      <c r="D970" s="632"/>
      <c r="E970" s="1127"/>
      <c r="F970" s="633">
        <f t="shared" si="89"/>
        <v>0</v>
      </c>
      <c r="G970" s="632"/>
      <c r="H970" s="1127"/>
      <c r="I970" s="633">
        <f t="shared" si="90"/>
        <v>0</v>
      </c>
      <c r="J970" s="633">
        <f t="shared" si="91"/>
        <v>0</v>
      </c>
      <c r="K970" s="633">
        <f t="shared" si="92"/>
        <v>0</v>
      </c>
      <c r="L970" s="1127"/>
      <c r="M970" s="1127"/>
      <c r="N970" s="1691">
        <f t="shared" ref="N970:N1004" si="93">IF(M970&lt;&gt;0,ROUND(B970*K970,2)+M970,IF(ABS(ROUND(K970*B970,2)-L970)&lt;3,L970,MIN(ROUND(K970*B970,2),L970)))</f>
        <v>0</v>
      </c>
      <c r="O970" s="634">
        <f t="shared" ref="O970:O1004" si="94">IF(ISERROR(L970-N970),"",IF(ABS(L970-N970)&lt;3,0,L970-N970))</f>
        <v>0</v>
      </c>
      <c r="P970" s="144"/>
      <c r="Q970" s="144"/>
      <c r="R970" s="144"/>
      <c r="S970" s="144"/>
    </row>
    <row r="971" spans="1:19" ht="13.8">
      <c r="A971" s="630"/>
      <c r="B971" s="631"/>
      <c r="C971" s="1127"/>
      <c r="D971" s="632"/>
      <c r="E971" s="1127"/>
      <c r="F971" s="633">
        <f t="shared" ref="F971:F1004" si="95">E971*(12-MONTH(D971))/12</f>
        <v>0</v>
      </c>
      <c r="G971" s="632"/>
      <c r="H971" s="1127"/>
      <c r="I971" s="633">
        <f t="shared" ref="I971:I1004" si="96">H971*(12-MONTH(G971))/12</f>
        <v>0</v>
      </c>
      <c r="J971" s="633">
        <f t="shared" ref="J971:J1004" si="97">C971+E971-H971</f>
        <v>0</v>
      </c>
      <c r="K971" s="633">
        <f t="shared" ref="K971:K1004" si="98">C971+F971-I971</f>
        <v>0</v>
      </c>
      <c r="L971" s="1127"/>
      <c r="M971" s="1127"/>
      <c r="N971" s="1691">
        <f t="shared" si="93"/>
        <v>0</v>
      </c>
      <c r="O971" s="634">
        <f t="shared" si="94"/>
        <v>0</v>
      </c>
      <c r="P971" s="144"/>
      <c r="Q971" s="144"/>
      <c r="R971" s="144"/>
      <c r="S971" s="144"/>
    </row>
    <row r="972" spans="1:19" ht="13.8">
      <c r="A972" s="630"/>
      <c r="B972" s="631"/>
      <c r="C972" s="1127"/>
      <c r="D972" s="632"/>
      <c r="E972" s="1127"/>
      <c r="F972" s="633">
        <f t="shared" si="95"/>
        <v>0</v>
      </c>
      <c r="G972" s="632"/>
      <c r="H972" s="1127"/>
      <c r="I972" s="633">
        <f t="shared" si="96"/>
        <v>0</v>
      </c>
      <c r="J972" s="633">
        <f t="shared" si="97"/>
        <v>0</v>
      </c>
      <c r="K972" s="633">
        <f t="shared" si="98"/>
        <v>0</v>
      </c>
      <c r="L972" s="1127"/>
      <c r="M972" s="1127"/>
      <c r="N972" s="1691">
        <f t="shared" si="93"/>
        <v>0</v>
      </c>
      <c r="O972" s="634">
        <f t="shared" si="94"/>
        <v>0</v>
      </c>
      <c r="P972" s="144"/>
      <c r="Q972" s="144"/>
      <c r="R972" s="144"/>
      <c r="S972" s="144"/>
    </row>
    <row r="973" spans="1:19" ht="13.8">
      <c r="A973" s="630"/>
      <c r="B973" s="631"/>
      <c r="C973" s="1127"/>
      <c r="D973" s="632"/>
      <c r="E973" s="1127"/>
      <c r="F973" s="633">
        <f t="shared" si="95"/>
        <v>0</v>
      </c>
      <c r="G973" s="632"/>
      <c r="H973" s="1127"/>
      <c r="I973" s="633">
        <f t="shared" si="96"/>
        <v>0</v>
      </c>
      <c r="J973" s="633">
        <f t="shared" si="97"/>
        <v>0</v>
      </c>
      <c r="K973" s="633">
        <f t="shared" si="98"/>
        <v>0</v>
      </c>
      <c r="L973" s="1127"/>
      <c r="M973" s="1127"/>
      <c r="N973" s="1691">
        <f t="shared" si="93"/>
        <v>0</v>
      </c>
      <c r="O973" s="634">
        <f t="shared" si="94"/>
        <v>0</v>
      </c>
      <c r="P973" s="144"/>
      <c r="Q973" s="144"/>
      <c r="R973" s="144"/>
      <c r="S973" s="144"/>
    </row>
    <row r="974" spans="1:19" ht="13.8">
      <c r="A974" s="630"/>
      <c r="B974" s="631"/>
      <c r="C974" s="1127"/>
      <c r="D974" s="632"/>
      <c r="E974" s="1127"/>
      <c r="F974" s="633">
        <f t="shared" si="95"/>
        <v>0</v>
      </c>
      <c r="G974" s="632"/>
      <c r="H974" s="1127"/>
      <c r="I974" s="633">
        <f t="shared" si="96"/>
        <v>0</v>
      </c>
      <c r="J974" s="633">
        <f t="shared" si="97"/>
        <v>0</v>
      </c>
      <c r="K974" s="633">
        <f t="shared" si="98"/>
        <v>0</v>
      </c>
      <c r="L974" s="1127"/>
      <c r="M974" s="1127"/>
      <c r="N974" s="1691">
        <f t="shared" si="93"/>
        <v>0</v>
      </c>
      <c r="O974" s="634">
        <f t="shared" si="94"/>
        <v>0</v>
      </c>
      <c r="P974" s="144"/>
      <c r="Q974" s="144"/>
      <c r="R974" s="144"/>
      <c r="S974" s="144"/>
    </row>
    <row r="975" spans="1:19" ht="13.8">
      <c r="A975" s="630"/>
      <c r="B975" s="631"/>
      <c r="C975" s="1127"/>
      <c r="D975" s="632"/>
      <c r="E975" s="1127"/>
      <c r="F975" s="633">
        <f t="shared" si="95"/>
        <v>0</v>
      </c>
      <c r="G975" s="632"/>
      <c r="H975" s="1127"/>
      <c r="I975" s="633">
        <f t="shared" si="96"/>
        <v>0</v>
      </c>
      <c r="J975" s="633">
        <f t="shared" si="97"/>
        <v>0</v>
      </c>
      <c r="K975" s="633">
        <f t="shared" si="98"/>
        <v>0</v>
      </c>
      <c r="L975" s="1127"/>
      <c r="M975" s="1127"/>
      <c r="N975" s="1691">
        <f t="shared" si="93"/>
        <v>0</v>
      </c>
      <c r="O975" s="634">
        <f t="shared" si="94"/>
        <v>0</v>
      </c>
      <c r="P975" s="144"/>
      <c r="Q975" s="144"/>
      <c r="R975" s="144"/>
      <c r="S975" s="144"/>
    </row>
    <row r="976" spans="1:19" ht="13.8">
      <c r="A976" s="630"/>
      <c r="B976" s="631"/>
      <c r="C976" s="1127"/>
      <c r="D976" s="632"/>
      <c r="E976" s="1127"/>
      <c r="F976" s="633">
        <f t="shared" si="95"/>
        <v>0</v>
      </c>
      <c r="G976" s="632"/>
      <c r="H976" s="1127"/>
      <c r="I976" s="633">
        <f t="shared" si="96"/>
        <v>0</v>
      </c>
      <c r="J976" s="633">
        <f t="shared" si="97"/>
        <v>0</v>
      </c>
      <c r="K976" s="633">
        <f t="shared" si="98"/>
        <v>0</v>
      </c>
      <c r="L976" s="1127"/>
      <c r="M976" s="1127"/>
      <c r="N976" s="1691">
        <f t="shared" si="93"/>
        <v>0</v>
      </c>
      <c r="O976" s="634">
        <f t="shared" si="94"/>
        <v>0</v>
      </c>
      <c r="P976" s="144"/>
      <c r="Q976" s="144"/>
      <c r="R976" s="144"/>
      <c r="S976" s="144"/>
    </row>
    <row r="977" spans="1:19" ht="13.8">
      <c r="A977" s="630"/>
      <c r="B977" s="631"/>
      <c r="C977" s="1127"/>
      <c r="D977" s="632"/>
      <c r="E977" s="1127"/>
      <c r="F977" s="633">
        <f t="shared" si="95"/>
        <v>0</v>
      </c>
      <c r="G977" s="632"/>
      <c r="H977" s="1127"/>
      <c r="I977" s="633">
        <f t="shared" si="96"/>
        <v>0</v>
      </c>
      <c r="J977" s="633">
        <f t="shared" si="97"/>
        <v>0</v>
      </c>
      <c r="K977" s="633">
        <f t="shared" si="98"/>
        <v>0</v>
      </c>
      <c r="L977" s="1127"/>
      <c r="M977" s="1127"/>
      <c r="N977" s="1691">
        <f t="shared" si="93"/>
        <v>0</v>
      </c>
      <c r="O977" s="634">
        <f t="shared" si="94"/>
        <v>0</v>
      </c>
      <c r="P977" s="144"/>
      <c r="Q977" s="144"/>
      <c r="R977" s="144"/>
      <c r="S977" s="144"/>
    </row>
    <row r="978" spans="1:19" ht="13.8">
      <c r="A978" s="630"/>
      <c r="B978" s="631"/>
      <c r="C978" s="1127"/>
      <c r="D978" s="632"/>
      <c r="E978" s="1127"/>
      <c r="F978" s="633">
        <f t="shared" si="95"/>
        <v>0</v>
      </c>
      <c r="G978" s="632"/>
      <c r="H978" s="1127"/>
      <c r="I978" s="633">
        <f t="shared" si="96"/>
        <v>0</v>
      </c>
      <c r="J978" s="633">
        <f t="shared" si="97"/>
        <v>0</v>
      </c>
      <c r="K978" s="633">
        <f t="shared" si="98"/>
        <v>0</v>
      </c>
      <c r="L978" s="1127"/>
      <c r="M978" s="1127"/>
      <c r="N978" s="1691">
        <f t="shared" si="93"/>
        <v>0</v>
      </c>
      <c r="O978" s="634">
        <f t="shared" si="94"/>
        <v>0</v>
      </c>
      <c r="P978" s="144"/>
      <c r="Q978" s="144"/>
      <c r="R978" s="144"/>
      <c r="S978" s="144"/>
    </row>
    <row r="979" spans="1:19" ht="13.8">
      <c r="A979" s="630"/>
      <c r="B979" s="631"/>
      <c r="C979" s="1127"/>
      <c r="D979" s="632"/>
      <c r="E979" s="1127"/>
      <c r="F979" s="633">
        <f t="shared" si="95"/>
        <v>0</v>
      </c>
      <c r="G979" s="632"/>
      <c r="H979" s="1127"/>
      <c r="I979" s="633">
        <f t="shared" si="96"/>
        <v>0</v>
      </c>
      <c r="J979" s="633">
        <f t="shared" si="97"/>
        <v>0</v>
      </c>
      <c r="K979" s="633">
        <f t="shared" si="98"/>
        <v>0</v>
      </c>
      <c r="L979" s="1127"/>
      <c r="M979" s="1127"/>
      <c r="N979" s="1691">
        <f t="shared" si="93"/>
        <v>0</v>
      </c>
      <c r="O979" s="634">
        <f t="shared" si="94"/>
        <v>0</v>
      </c>
      <c r="P979" s="144"/>
      <c r="Q979" s="144"/>
      <c r="R979" s="144"/>
      <c r="S979" s="144"/>
    </row>
    <row r="980" spans="1:19" ht="13.8">
      <c r="A980" s="630"/>
      <c r="B980" s="631"/>
      <c r="C980" s="1127"/>
      <c r="D980" s="632"/>
      <c r="E980" s="1127"/>
      <c r="F980" s="633">
        <f t="shared" si="95"/>
        <v>0</v>
      </c>
      <c r="G980" s="632"/>
      <c r="H980" s="1127"/>
      <c r="I980" s="633">
        <f t="shared" si="96"/>
        <v>0</v>
      </c>
      <c r="J980" s="633">
        <f t="shared" si="97"/>
        <v>0</v>
      </c>
      <c r="K980" s="633">
        <f t="shared" si="98"/>
        <v>0</v>
      </c>
      <c r="L980" s="1127"/>
      <c r="M980" s="1127"/>
      <c r="N980" s="1691">
        <f t="shared" si="93"/>
        <v>0</v>
      </c>
      <c r="O980" s="634">
        <f t="shared" si="94"/>
        <v>0</v>
      </c>
      <c r="P980" s="144"/>
      <c r="Q980" s="144"/>
      <c r="R980" s="144"/>
      <c r="S980" s="144"/>
    </row>
    <row r="981" spans="1:19" ht="13.8">
      <c r="A981" s="630"/>
      <c r="B981" s="631"/>
      <c r="C981" s="1127"/>
      <c r="D981" s="632"/>
      <c r="E981" s="1127"/>
      <c r="F981" s="633">
        <f t="shared" si="95"/>
        <v>0</v>
      </c>
      <c r="G981" s="632"/>
      <c r="H981" s="1127"/>
      <c r="I981" s="633">
        <f t="shared" si="96"/>
        <v>0</v>
      </c>
      <c r="J981" s="633">
        <f t="shared" si="97"/>
        <v>0</v>
      </c>
      <c r="K981" s="633">
        <f t="shared" si="98"/>
        <v>0</v>
      </c>
      <c r="L981" s="1127"/>
      <c r="M981" s="1127"/>
      <c r="N981" s="1691">
        <f t="shared" si="93"/>
        <v>0</v>
      </c>
      <c r="O981" s="634">
        <f t="shared" si="94"/>
        <v>0</v>
      </c>
      <c r="P981" s="144"/>
      <c r="Q981" s="144"/>
      <c r="R981" s="144"/>
      <c r="S981" s="144"/>
    </row>
    <row r="982" spans="1:19" ht="13.8">
      <c r="A982" s="630"/>
      <c r="B982" s="631"/>
      <c r="C982" s="1127"/>
      <c r="D982" s="632"/>
      <c r="E982" s="1127"/>
      <c r="F982" s="633">
        <f t="shared" si="95"/>
        <v>0</v>
      </c>
      <c r="G982" s="632"/>
      <c r="H982" s="1127"/>
      <c r="I982" s="633">
        <f t="shared" si="96"/>
        <v>0</v>
      </c>
      <c r="J982" s="633">
        <f t="shared" si="97"/>
        <v>0</v>
      </c>
      <c r="K982" s="633">
        <f t="shared" si="98"/>
        <v>0</v>
      </c>
      <c r="L982" s="1127"/>
      <c r="M982" s="1127"/>
      <c r="N982" s="1691">
        <f t="shared" si="93"/>
        <v>0</v>
      </c>
      <c r="O982" s="634">
        <f t="shared" si="94"/>
        <v>0</v>
      </c>
      <c r="P982" s="144"/>
      <c r="Q982" s="144"/>
      <c r="R982" s="144"/>
      <c r="S982" s="144"/>
    </row>
    <row r="983" spans="1:19" ht="13.8">
      <c r="A983" s="630"/>
      <c r="B983" s="631"/>
      <c r="C983" s="1127"/>
      <c r="D983" s="632"/>
      <c r="E983" s="1127"/>
      <c r="F983" s="633">
        <f t="shared" si="95"/>
        <v>0</v>
      </c>
      <c r="G983" s="632"/>
      <c r="H983" s="1127"/>
      <c r="I983" s="633">
        <f t="shared" si="96"/>
        <v>0</v>
      </c>
      <c r="J983" s="633">
        <f t="shared" si="97"/>
        <v>0</v>
      </c>
      <c r="K983" s="633">
        <f t="shared" si="98"/>
        <v>0</v>
      </c>
      <c r="L983" s="1127"/>
      <c r="M983" s="1127"/>
      <c r="N983" s="1691">
        <f t="shared" si="93"/>
        <v>0</v>
      </c>
      <c r="O983" s="634">
        <f t="shared" si="94"/>
        <v>0</v>
      </c>
      <c r="P983" s="144"/>
      <c r="Q983" s="144"/>
      <c r="R983" s="144"/>
      <c r="S983" s="144"/>
    </row>
    <row r="984" spans="1:19" ht="13.8">
      <c r="A984" s="630"/>
      <c r="B984" s="631"/>
      <c r="C984" s="1127"/>
      <c r="D984" s="632"/>
      <c r="E984" s="1127"/>
      <c r="F984" s="633">
        <f t="shared" si="95"/>
        <v>0</v>
      </c>
      <c r="G984" s="632"/>
      <c r="H984" s="1127"/>
      <c r="I984" s="633">
        <f t="shared" si="96"/>
        <v>0</v>
      </c>
      <c r="J984" s="633">
        <f t="shared" si="97"/>
        <v>0</v>
      </c>
      <c r="K984" s="633">
        <f t="shared" si="98"/>
        <v>0</v>
      </c>
      <c r="L984" s="1127"/>
      <c r="M984" s="1127"/>
      <c r="N984" s="1691">
        <f t="shared" si="93"/>
        <v>0</v>
      </c>
      <c r="O984" s="634">
        <f t="shared" si="94"/>
        <v>0</v>
      </c>
      <c r="P984" s="144"/>
      <c r="Q984" s="144"/>
      <c r="R984" s="144"/>
      <c r="S984" s="144"/>
    </row>
    <row r="985" spans="1:19" ht="13.8">
      <c r="A985" s="630"/>
      <c r="B985" s="631"/>
      <c r="C985" s="1127"/>
      <c r="D985" s="632"/>
      <c r="E985" s="1127"/>
      <c r="F985" s="633">
        <f t="shared" si="95"/>
        <v>0</v>
      </c>
      <c r="G985" s="632"/>
      <c r="H985" s="1127"/>
      <c r="I985" s="633">
        <f t="shared" si="96"/>
        <v>0</v>
      </c>
      <c r="J985" s="633">
        <f t="shared" si="97"/>
        <v>0</v>
      </c>
      <c r="K985" s="633">
        <f t="shared" si="98"/>
        <v>0</v>
      </c>
      <c r="L985" s="1127"/>
      <c r="M985" s="1127"/>
      <c r="N985" s="1691">
        <f t="shared" si="93"/>
        <v>0</v>
      </c>
      <c r="O985" s="634">
        <f t="shared" si="94"/>
        <v>0</v>
      </c>
      <c r="P985" s="144"/>
      <c r="Q985" s="144"/>
      <c r="R985" s="144"/>
      <c r="S985" s="144"/>
    </row>
    <row r="986" spans="1:19" ht="13.8">
      <c r="A986" s="630"/>
      <c r="B986" s="631"/>
      <c r="C986" s="1127"/>
      <c r="D986" s="632"/>
      <c r="E986" s="1127"/>
      <c r="F986" s="633">
        <f t="shared" si="95"/>
        <v>0</v>
      </c>
      <c r="G986" s="632"/>
      <c r="H986" s="1127"/>
      <c r="I986" s="633">
        <f t="shared" si="96"/>
        <v>0</v>
      </c>
      <c r="J986" s="633">
        <f t="shared" si="97"/>
        <v>0</v>
      </c>
      <c r="K986" s="633">
        <f t="shared" si="98"/>
        <v>0</v>
      </c>
      <c r="L986" s="1127"/>
      <c r="M986" s="1127"/>
      <c r="N986" s="1691">
        <f t="shared" si="93"/>
        <v>0</v>
      </c>
      <c r="O986" s="634">
        <f t="shared" si="94"/>
        <v>0</v>
      </c>
      <c r="P986" s="144"/>
      <c r="Q986" s="144"/>
      <c r="R986" s="144"/>
      <c r="S986" s="144"/>
    </row>
    <row r="987" spans="1:19" ht="13.8">
      <c r="A987" s="630"/>
      <c r="B987" s="631"/>
      <c r="C987" s="1127"/>
      <c r="D987" s="632"/>
      <c r="E987" s="1127"/>
      <c r="F987" s="633">
        <f t="shared" si="95"/>
        <v>0</v>
      </c>
      <c r="G987" s="632"/>
      <c r="H987" s="1127"/>
      <c r="I987" s="633">
        <f t="shared" si="96"/>
        <v>0</v>
      </c>
      <c r="J987" s="633">
        <f t="shared" si="97"/>
        <v>0</v>
      </c>
      <c r="K987" s="633">
        <f t="shared" si="98"/>
        <v>0</v>
      </c>
      <c r="L987" s="1127"/>
      <c r="M987" s="1127"/>
      <c r="N987" s="1691">
        <f t="shared" si="93"/>
        <v>0</v>
      </c>
      <c r="O987" s="634">
        <f t="shared" si="94"/>
        <v>0</v>
      </c>
      <c r="P987" s="144"/>
      <c r="Q987" s="144"/>
      <c r="R987" s="144"/>
      <c r="S987" s="144"/>
    </row>
    <row r="988" spans="1:19" ht="13.8">
      <c r="A988" s="630"/>
      <c r="B988" s="631"/>
      <c r="C988" s="1127"/>
      <c r="D988" s="632"/>
      <c r="E988" s="1127"/>
      <c r="F988" s="633">
        <f t="shared" si="95"/>
        <v>0</v>
      </c>
      <c r="G988" s="632"/>
      <c r="H988" s="1127"/>
      <c r="I988" s="633">
        <f t="shared" si="96"/>
        <v>0</v>
      </c>
      <c r="J988" s="633">
        <f t="shared" si="97"/>
        <v>0</v>
      </c>
      <c r="K988" s="633">
        <f t="shared" si="98"/>
        <v>0</v>
      </c>
      <c r="L988" s="1127"/>
      <c r="M988" s="1127"/>
      <c r="N988" s="1691">
        <f t="shared" si="93"/>
        <v>0</v>
      </c>
      <c r="O988" s="634">
        <f t="shared" si="94"/>
        <v>0</v>
      </c>
      <c r="P988" s="144"/>
      <c r="Q988" s="144"/>
      <c r="R988" s="144"/>
      <c r="S988" s="144"/>
    </row>
    <row r="989" spans="1:19" ht="13.8">
      <c r="A989" s="630"/>
      <c r="B989" s="631"/>
      <c r="C989" s="1127"/>
      <c r="D989" s="632"/>
      <c r="E989" s="1127"/>
      <c r="F989" s="633">
        <f t="shared" si="95"/>
        <v>0</v>
      </c>
      <c r="G989" s="632"/>
      <c r="H989" s="1127"/>
      <c r="I989" s="633">
        <f t="shared" si="96"/>
        <v>0</v>
      </c>
      <c r="J989" s="633">
        <f t="shared" si="97"/>
        <v>0</v>
      </c>
      <c r="K989" s="633">
        <f t="shared" si="98"/>
        <v>0</v>
      </c>
      <c r="L989" s="1127"/>
      <c r="M989" s="1127"/>
      <c r="N989" s="1691">
        <f t="shared" si="93"/>
        <v>0</v>
      </c>
      <c r="O989" s="634">
        <f t="shared" si="94"/>
        <v>0</v>
      </c>
      <c r="P989" s="144"/>
      <c r="Q989" s="144"/>
      <c r="R989" s="144"/>
      <c r="S989" s="144"/>
    </row>
    <row r="990" spans="1:19" ht="13.8">
      <c r="A990" s="630"/>
      <c r="B990" s="631"/>
      <c r="C990" s="1127"/>
      <c r="D990" s="632"/>
      <c r="E990" s="1127"/>
      <c r="F990" s="633">
        <f t="shared" si="95"/>
        <v>0</v>
      </c>
      <c r="G990" s="632"/>
      <c r="H990" s="1127"/>
      <c r="I990" s="633">
        <f t="shared" si="96"/>
        <v>0</v>
      </c>
      <c r="J990" s="633">
        <f t="shared" si="97"/>
        <v>0</v>
      </c>
      <c r="K990" s="633">
        <f t="shared" si="98"/>
        <v>0</v>
      </c>
      <c r="L990" s="1127"/>
      <c r="M990" s="1127"/>
      <c r="N990" s="1691">
        <f t="shared" si="93"/>
        <v>0</v>
      </c>
      <c r="O990" s="634">
        <f t="shared" si="94"/>
        <v>0</v>
      </c>
      <c r="P990" s="144"/>
      <c r="Q990" s="144"/>
      <c r="R990" s="144"/>
      <c r="S990" s="144"/>
    </row>
    <row r="991" spans="1:19" ht="13.8">
      <c r="A991" s="630"/>
      <c r="B991" s="631"/>
      <c r="C991" s="1127"/>
      <c r="D991" s="632"/>
      <c r="E991" s="1127"/>
      <c r="F991" s="633">
        <f t="shared" si="95"/>
        <v>0</v>
      </c>
      <c r="G991" s="632"/>
      <c r="H991" s="1127"/>
      <c r="I991" s="633">
        <f t="shared" si="96"/>
        <v>0</v>
      </c>
      <c r="J991" s="633">
        <f t="shared" si="97"/>
        <v>0</v>
      </c>
      <c r="K991" s="633">
        <f t="shared" si="98"/>
        <v>0</v>
      </c>
      <c r="L991" s="1127"/>
      <c r="M991" s="1127"/>
      <c r="N991" s="1691">
        <f t="shared" si="93"/>
        <v>0</v>
      </c>
      <c r="O991" s="634">
        <f t="shared" si="94"/>
        <v>0</v>
      </c>
      <c r="P991" s="144"/>
      <c r="Q991" s="144"/>
      <c r="R991" s="144"/>
      <c r="S991" s="144"/>
    </row>
    <row r="992" spans="1:19" ht="13.8">
      <c r="A992" s="630"/>
      <c r="B992" s="631"/>
      <c r="C992" s="1127"/>
      <c r="D992" s="632"/>
      <c r="E992" s="1127"/>
      <c r="F992" s="633">
        <f t="shared" si="95"/>
        <v>0</v>
      </c>
      <c r="G992" s="632"/>
      <c r="H992" s="1127"/>
      <c r="I992" s="633">
        <f t="shared" si="96"/>
        <v>0</v>
      </c>
      <c r="J992" s="633">
        <f t="shared" si="97"/>
        <v>0</v>
      </c>
      <c r="K992" s="633">
        <f t="shared" si="98"/>
        <v>0</v>
      </c>
      <c r="L992" s="1127"/>
      <c r="M992" s="1127"/>
      <c r="N992" s="1691">
        <f t="shared" si="93"/>
        <v>0</v>
      </c>
      <c r="O992" s="634">
        <f t="shared" si="94"/>
        <v>0</v>
      </c>
      <c r="P992" s="144"/>
      <c r="Q992" s="144"/>
      <c r="R992" s="144"/>
      <c r="S992" s="144"/>
    </row>
    <row r="993" spans="1:19" ht="13.8">
      <c r="A993" s="630"/>
      <c r="B993" s="631"/>
      <c r="C993" s="1127"/>
      <c r="D993" s="632"/>
      <c r="E993" s="1127"/>
      <c r="F993" s="633">
        <f t="shared" si="95"/>
        <v>0</v>
      </c>
      <c r="G993" s="632"/>
      <c r="H993" s="1127"/>
      <c r="I993" s="633">
        <f t="shared" si="96"/>
        <v>0</v>
      </c>
      <c r="J993" s="633">
        <f t="shared" si="97"/>
        <v>0</v>
      </c>
      <c r="K993" s="633">
        <f t="shared" si="98"/>
        <v>0</v>
      </c>
      <c r="L993" s="1127"/>
      <c r="M993" s="1127"/>
      <c r="N993" s="1691">
        <f t="shared" si="93"/>
        <v>0</v>
      </c>
      <c r="O993" s="634">
        <f t="shared" si="94"/>
        <v>0</v>
      </c>
      <c r="P993" s="144"/>
      <c r="Q993" s="144"/>
      <c r="R993" s="144"/>
      <c r="S993" s="144"/>
    </row>
    <row r="994" spans="1:19" ht="13.8">
      <c r="A994" s="630"/>
      <c r="B994" s="631"/>
      <c r="C994" s="1127"/>
      <c r="D994" s="632"/>
      <c r="E994" s="1127"/>
      <c r="F994" s="633">
        <f t="shared" si="95"/>
        <v>0</v>
      </c>
      <c r="G994" s="632"/>
      <c r="H994" s="1127"/>
      <c r="I994" s="633">
        <f t="shared" si="96"/>
        <v>0</v>
      </c>
      <c r="J994" s="633">
        <f t="shared" si="97"/>
        <v>0</v>
      </c>
      <c r="K994" s="633">
        <f t="shared" si="98"/>
        <v>0</v>
      </c>
      <c r="L994" s="1127"/>
      <c r="M994" s="1127"/>
      <c r="N994" s="1691">
        <f t="shared" si="93"/>
        <v>0</v>
      </c>
      <c r="O994" s="634">
        <f t="shared" si="94"/>
        <v>0</v>
      </c>
      <c r="P994" s="144"/>
      <c r="Q994" s="144"/>
      <c r="R994" s="144"/>
      <c r="S994" s="144"/>
    </row>
    <row r="995" spans="1:19" ht="13.8">
      <c r="A995" s="630"/>
      <c r="B995" s="631"/>
      <c r="C995" s="1127"/>
      <c r="D995" s="632"/>
      <c r="E995" s="1127"/>
      <c r="F995" s="633">
        <f t="shared" si="95"/>
        <v>0</v>
      </c>
      <c r="G995" s="632"/>
      <c r="H995" s="1127"/>
      <c r="I995" s="633">
        <f t="shared" si="96"/>
        <v>0</v>
      </c>
      <c r="J995" s="633">
        <f t="shared" si="97"/>
        <v>0</v>
      </c>
      <c r="K995" s="633">
        <f t="shared" si="98"/>
        <v>0</v>
      </c>
      <c r="L995" s="1127"/>
      <c r="M995" s="1127"/>
      <c r="N995" s="1691">
        <f t="shared" si="93"/>
        <v>0</v>
      </c>
      <c r="O995" s="634">
        <f t="shared" si="94"/>
        <v>0</v>
      </c>
      <c r="P995" s="144"/>
      <c r="Q995" s="144"/>
      <c r="R995" s="144"/>
      <c r="S995" s="144"/>
    </row>
    <row r="996" spans="1:19" ht="13.8">
      <c r="A996" s="630"/>
      <c r="B996" s="631"/>
      <c r="C996" s="1127"/>
      <c r="D996" s="632"/>
      <c r="E996" s="1127"/>
      <c r="F996" s="633">
        <f t="shared" si="95"/>
        <v>0</v>
      </c>
      <c r="G996" s="632"/>
      <c r="H996" s="1127"/>
      <c r="I996" s="633">
        <f t="shared" si="96"/>
        <v>0</v>
      </c>
      <c r="J996" s="633">
        <f t="shared" si="97"/>
        <v>0</v>
      </c>
      <c r="K996" s="633">
        <f t="shared" si="98"/>
        <v>0</v>
      </c>
      <c r="L996" s="1127"/>
      <c r="M996" s="1127"/>
      <c r="N996" s="1691">
        <f t="shared" si="93"/>
        <v>0</v>
      </c>
      <c r="O996" s="634">
        <f t="shared" si="94"/>
        <v>0</v>
      </c>
      <c r="P996" s="144"/>
      <c r="Q996" s="144"/>
      <c r="R996" s="144"/>
      <c r="S996" s="144"/>
    </row>
    <row r="997" spans="1:19" ht="13.8">
      <c r="A997" s="630"/>
      <c r="B997" s="631"/>
      <c r="C997" s="1127"/>
      <c r="D997" s="632"/>
      <c r="E997" s="1127"/>
      <c r="F997" s="633">
        <f t="shared" si="95"/>
        <v>0</v>
      </c>
      <c r="G997" s="632"/>
      <c r="H997" s="1127"/>
      <c r="I997" s="633">
        <f t="shared" si="96"/>
        <v>0</v>
      </c>
      <c r="J997" s="633">
        <f t="shared" si="97"/>
        <v>0</v>
      </c>
      <c r="K997" s="633">
        <f t="shared" si="98"/>
        <v>0</v>
      </c>
      <c r="L997" s="1127"/>
      <c r="M997" s="1127"/>
      <c r="N997" s="1691">
        <f t="shared" si="93"/>
        <v>0</v>
      </c>
      <c r="O997" s="634">
        <f t="shared" si="94"/>
        <v>0</v>
      </c>
      <c r="P997" s="144"/>
      <c r="Q997" s="144"/>
      <c r="R997" s="144"/>
      <c r="S997" s="144"/>
    </row>
    <row r="998" spans="1:19" ht="13.8">
      <c r="A998" s="630"/>
      <c r="B998" s="631"/>
      <c r="C998" s="1127"/>
      <c r="D998" s="632"/>
      <c r="E998" s="1127"/>
      <c r="F998" s="633">
        <f t="shared" si="95"/>
        <v>0</v>
      </c>
      <c r="G998" s="632"/>
      <c r="H998" s="1127"/>
      <c r="I998" s="633">
        <f t="shared" si="96"/>
        <v>0</v>
      </c>
      <c r="J998" s="633">
        <f t="shared" si="97"/>
        <v>0</v>
      </c>
      <c r="K998" s="633">
        <f t="shared" si="98"/>
        <v>0</v>
      </c>
      <c r="L998" s="1127"/>
      <c r="M998" s="1127"/>
      <c r="N998" s="1691">
        <f t="shared" si="93"/>
        <v>0</v>
      </c>
      <c r="O998" s="634">
        <f t="shared" si="94"/>
        <v>0</v>
      </c>
      <c r="P998" s="144"/>
      <c r="Q998" s="144"/>
      <c r="R998" s="144"/>
      <c r="S998" s="144"/>
    </row>
    <row r="999" spans="1:19" ht="13.8">
      <c r="A999" s="630"/>
      <c r="B999" s="631"/>
      <c r="C999" s="1127"/>
      <c r="D999" s="632"/>
      <c r="E999" s="1127"/>
      <c r="F999" s="633">
        <f t="shared" si="95"/>
        <v>0</v>
      </c>
      <c r="G999" s="632"/>
      <c r="H999" s="1127"/>
      <c r="I999" s="633">
        <f t="shared" si="96"/>
        <v>0</v>
      </c>
      <c r="J999" s="633">
        <f t="shared" si="97"/>
        <v>0</v>
      </c>
      <c r="K999" s="633">
        <f t="shared" si="98"/>
        <v>0</v>
      </c>
      <c r="L999" s="1127"/>
      <c r="M999" s="1127"/>
      <c r="N999" s="1691">
        <f t="shared" si="93"/>
        <v>0</v>
      </c>
      <c r="O999" s="634">
        <f t="shared" si="94"/>
        <v>0</v>
      </c>
      <c r="P999" s="144"/>
      <c r="Q999" s="144"/>
      <c r="R999" s="144"/>
      <c r="S999" s="144"/>
    </row>
    <row r="1000" spans="1:19" ht="13.8">
      <c r="A1000" s="630"/>
      <c r="B1000" s="631"/>
      <c r="C1000" s="1127"/>
      <c r="D1000" s="632"/>
      <c r="E1000" s="1127"/>
      <c r="F1000" s="633">
        <f t="shared" si="95"/>
        <v>0</v>
      </c>
      <c r="G1000" s="632"/>
      <c r="H1000" s="1127"/>
      <c r="I1000" s="633">
        <f t="shared" si="96"/>
        <v>0</v>
      </c>
      <c r="J1000" s="633">
        <f t="shared" si="97"/>
        <v>0</v>
      </c>
      <c r="K1000" s="633">
        <f t="shared" si="98"/>
        <v>0</v>
      </c>
      <c r="L1000" s="1127"/>
      <c r="M1000" s="1127"/>
      <c r="N1000" s="1691">
        <f t="shared" si="93"/>
        <v>0</v>
      </c>
      <c r="O1000" s="634">
        <f t="shared" si="94"/>
        <v>0</v>
      </c>
      <c r="P1000" s="144"/>
      <c r="Q1000" s="144"/>
      <c r="R1000" s="144"/>
      <c r="S1000" s="144"/>
    </row>
    <row r="1001" spans="1:19" ht="13.8">
      <c r="A1001" s="630"/>
      <c r="B1001" s="631"/>
      <c r="C1001" s="1127"/>
      <c r="D1001" s="632"/>
      <c r="E1001" s="1127"/>
      <c r="F1001" s="633">
        <f t="shared" si="95"/>
        <v>0</v>
      </c>
      <c r="G1001" s="632"/>
      <c r="H1001" s="1127"/>
      <c r="I1001" s="633">
        <f t="shared" si="96"/>
        <v>0</v>
      </c>
      <c r="J1001" s="633">
        <f t="shared" si="97"/>
        <v>0</v>
      </c>
      <c r="K1001" s="633">
        <f t="shared" si="98"/>
        <v>0</v>
      </c>
      <c r="L1001" s="1127"/>
      <c r="M1001" s="1127"/>
      <c r="N1001" s="1691">
        <f t="shared" si="93"/>
        <v>0</v>
      </c>
      <c r="O1001" s="634">
        <f t="shared" si="94"/>
        <v>0</v>
      </c>
      <c r="P1001" s="144"/>
      <c r="Q1001" s="144"/>
      <c r="R1001" s="144"/>
      <c r="S1001" s="144"/>
    </row>
    <row r="1002" spans="1:19" ht="13.8">
      <c r="A1002" s="630"/>
      <c r="B1002" s="631"/>
      <c r="C1002" s="1127"/>
      <c r="D1002" s="632"/>
      <c r="E1002" s="1127"/>
      <c r="F1002" s="633">
        <f t="shared" si="95"/>
        <v>0</v>
      </c>
      <c r="G1002" s="632"/>
      <c r="H1002" s="1127"/>
      <c r="I1002" s="633">
        <f t="shared" si="96"/>
        <v>0</v>
      </c>
      <c r="J1002" s="633">
        <f t="shared" si="97"/>
        <v>0</v>
      </c>
      <c r="K1002" s="633">
        <f t="shared" si="98"/>
        <v>0</v>
      </c>
      <c r="L1002" s="1127"/>
      <c r="M1002" s="1127"/>
      <c r="N1002" s="1691">
        <f t="shared" si="93"/>
        <v>0</v>
      </c>
      <c r="O1002" s="634">
        <f t="shared" si="94"/>
        <v>0</v>
      </c>
      <c r="P1002" s="144"/>
      <c r="Q1002" s="144"/>
      <c r="R1002" s="144"/>
      <c r="S1002" s="144"/>
    </row>
    <row r="1003" spans="1:19" ht="13.8">
      <c r="A1003" s="630"/>
      <c r="B1003" s="631"/>
      <c r="C1003" s="1127"/>
      <c r="D1003" s="632"/>
      <c r="E1003" s="1127"/>
      <c r="F1003" s="633">
        <f t="shared" si="95"/>
        <v>0</v>
      </c>
      <c r="G1003" s="632"/>
      <c r="H1003" s="1127"/>
      <c r="I1003" s="633">
        <f t="shared" si="96"/>
        <v>0</v>
      </c>
      <c r="J1003" s="633">
        <f t="shared" si="97"/>
        <v>0</v>
      </c>
      <c r="K1003" s="633">
        <f t="shared" si="98"/>
        <v>0</v>
      </c>
      <c r="L1003" s="1127"/>
      <c r="M1003" s="1127"/>
      <c r="N1003" s="1691">
        <f t="shared" si="93"/>
        <v>0</v>
      </c>
      <c r="O1003" s="634">
        <f t="shared" si="94"/>
        <v>0</v>
      </c>
      <c r="P1003" s="144"/>
      <c r="Q1003" s="144"/>
      <c r="R1003" s="144"/>
      <c r="S1003" s="144"/>
    </row>
    <row r="1004" spans="1:19" ht="13.8">
      <c r="A1004" s="638"/>
      <c r="B1004" s="639"/>
      <c r="C1004" s="1128"/>
      <c r="D1004" s="640"/>
      <c r="E1004" s="1128"/>
      <c r="F1004" s="641">
        <f t="shared" si="95"/>
        <v>0</v>
      </c>
      <c r="G1004" s="640"/>
      <c r="H1004" s="1128"/>
      <c r="I1004" s="641">
        <f t="shared" si="96"/>
        <v>0</v>
      </c>
      <c r="J1004" s="641">
        <f t="shared" si="97"/>
        <v>0</v>
      </c>
      <c r="K1004" s="641">
        <f t="shared" si="98"/>
        <v>0</v>
      </c>
      <c r="L1004" s="1128"/>
      <c r="M1004" s="1688"/>
      <c r="N1004" s="1691">
        <f t="shared" si="93"/>
        <v>0</v>
      </c>
      <c r="O1004" s="634">
        <f t="shared" si="94"/>
        <v>0</v>
      </c>
      <c r="P1004" s="144"/>
      <c r="Q1004" s="144"/>
      <c r="R1004" s="144"/>
      <c r="S1004" s="144"/>
    </row>
    <row r="1005" spans="1:19">
      <c r="O1005" s="642"/>
    </row>
    <row r="1006" spans="1:19">
      <c r="O1006" s="642"/>
    </row>
    <row r="1007" spans="1:19">
      <c r="O1007" s="642"/>
    </row>
    <row r="1008" spans="1:19">
      <c r="O1008" s="642"/>
    </row>
    <row r="1009" spans="15:15">
      <c r="O1009" s="642"/>
    </row>
    <row r="1010" spans="15:15">
      <c r="O1010" s="642"/>
    </row>
    <row r="1011" spans="15:15">
      <c r="O1011" s="642"/>
    </row>
    <row r="1012" spans="15:15">
      <c r="O1012" s="642"/>
    </row>
    <row r="1013" spans="15:15">
      <c r="O1013" s="642"/>
    </row>
    <row r="1014" spans="15:15">
      <c r="O1014" s="642"/>
    </row>
    <row r="1015" spans="15:15">
      <c r="O1015" s="642"/>
    </row>
  </sheetData>
  <sheetProtection selectLockedCells="1" selectUnlockedCells="1"/>
  <mergeCells count="24">
    <mergeCell ref="A8:B8"/>
    <mergeCell ref="G5:I5"/>
    <mergeCell ref="P15:S17"/>
    <mergeCell ref="A4:O4"/>
    <mergeCell ref="A5:A6"/>
    <mergeCell ref="B5:B6"/>
    <mergeCell ref="C5:C6"/>
    <mergeCell ref="K5:K6"/>
    <mergeCell ref="L5:L6"/>
    <mergeCell ref="N5:N6"/>
    <mergeCell ref="D5:F5"/>
    <mergeCell ref="O5:O6"/>
    <mergeCell ref="M5:M6"/>
    <mergeCell ref="A1:O1"/>
    <mergeCell ref="J5:J6"/>
    <mergeCell ref="A3:F3"/>
    <mergeCell ref="H3:I3"/>
    <mergeCell ref="P1:P4"/>
    <mergeCell ref="A2:F2"/>
    <mergeCell ref="H2:I2"/>
    <mergeCell ref="K2:L2"/>
    <mergeCell ref="N2:N3"/>
    <mergeCell ref="O2:O3"/>
    <mergeCell ref="K3:L3"/>
  </mergeCells>
  <phoneticPr fontId="51" type="noConversion"/>
  <dataValidations count="6">
    <dataValidation operator="lessThanOrEqual" allowBlank="1" showErrorMessage="1" errorTitle="日期错误" error="没有这个日期或日期大于本年度" sqref="L5:M5 L1005:M1132 F9:F1004 L8:M8">
      <formula1>0</formula1>
      <formula2>0</formula2>
    </dataValidation>
    <dataValidation type="date" allowBlank="1" showErrorMessage="1" errorTitle="日期超出范围" error="没有这个日期或输入的购置日期超出1906年至本会计期间截止日范围。" sqref="D9:D1004">
      <formula1>1906-1-1</formula1>
      <formula2>DATE(本年度,截止月,截止日)</formula2>
    </dataValidation>
    <dataValidation operator="lessThanOrEqual" allowBlank="1" errorTitle="日期错误" error="没有这个日期或日期大于本年度" sqref="E9:E1004">
      <formula1>0</formula1>
      <formula2>0</formula2>
    </dataValidation>
    <dataValidation type="date" allowBlank="1" showErrorMessage="1" errorTitle="日期超出范围" error="没有这个日期或输入的减少日期超出会计期间范围。" sqref="G9:G1004">
      <formula1>DATE(本年度,起始月,起始日)</formula1>
      <formula2>DATE(本年度,截止月,截止日)</formula2>
    </dataValidation>
    <dataValidation allowBlank="1" sqref="K9:K1004">
      <formula1>0</formula1>
      <formula2>0</formula2>
    </dataValidation>
    <dataValidation type="list" allowBlank="1" showErrorMessage="1" sqref="A9:A1132">
      <formula1>"房屋建筑,机械设备,工器家具,运输工具,电子设备"</formula1>
      <formula2>0</formula2>
    </dataValidation>
  </dataValidations>
  <hyperlinks>
    <hyperlink ref="P9" location="资产负债!A1" display="资产负债表"/>
    <hyperlink ref="P10" location="资产折旧纳税调整表!A1" display="资产折旧纳税调整表"/>
    <hyperlink ref="P11" location="固资折旧!A1" display="固定资产及折旧审核表"/>
    <hyperlink ref="P12" location="固定资产加速折旧审核表!A1" display="固定资产加速折旧审核表!A1"/>
  </hyperlinks>
  <pageMargins left="0.78740157480314998" right="0.35433070866141703" top="0.511811023622047" bottom="0.11811023622047198" header="0.511811023622047" footer="0.511811023622047"/>
  <pageSetup paperSize="9" firstPageNumber="0" orientation="landscape" blackAndWhite="1" r:id="rId1"/>
  <headerFooter alignWithMargins="0"/>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30"/>
  <dimension ref="A1:AV108"/>
  <sheetViews>
    <sheetView workbookViewId="0">
      <selection activeCell="P10" sqref="P10"/>
    </sheetView>
  </sheetViews>
  <sheetFormatPr defaultColWidth="9" defaultRowHeight="15.6"/>
  <cols>
    <col min="1" max="1" width="19.19921875" style="130" customWidth="1"/>
    <col min="2" max="2" width="8.5" style="130" customWidth="1"/>
    <col min="3" max="7" width="9.69921875" style="130" customWidth="1"/>
    <col min="8" max="8" width="4.09765625" style="643" customWidth="1"/>
    <col min="9" max="11" width="9.69921875" style="130" customWidth="1"/>
    <col min="12" max="12" width="4.09765625" style="643" customWidth="1"/>
    <col min="13" max="14" width="9.69921875" style="643" customWidth="1"/>
    <col min="15" max="15" width="9.69921875" style="130" customWidth="1"/>
    <col min="16" max="16" width="22.59765625" style="554" customWidth="1"/>
    <col min="17" max="17" width="9" style="554"/>
    <col min="18" max="18" width="15.5" style="554" customWidth="1"/>
    <col min="19" max="16384" width="9" style="554"/>
  </cols>
  <sheetData>
    <row r="1" spans="1:23" ht="31.5" customHeight="1">
      <c r="A1" s="3150" t="s">
        <v>353</v>
      </c>
      <c r="B1" s="3150"/>
      <c r="C1" s="3150"/>
      <c r="D1" s="3150"/>
      <c r="E1" s="3150"/>
      <c r="F1" s="3150"/>
      <c r="G1" s="3150"/>
      <c r="H1" s="3150"/>
      <c r="I1" s="3150"/>
      <c r="J1" s="3150"/>
      <c r="K1" s="3150"/>
      <c r="L1" s="3150"/>
      <c r="M1" s="3150"/>
      <c r="N1" s="3150"/>
      <c r="O1" s="3150"/>
      <c r="P1" s="84"/>
      <c r="Q1" s="90"/>
      <c r="R1" s="90"/>
      <c r="S1" s="90"/>
      <c r="T1" s="90"/>
    </row>
    <row r="2" spans="1:23" s="558" customFormat="1" ht="22.5" customHeight="1">
      <c r="A2" s="3175" t="str">
        <f>"委托单位："&amp;基本情况!B2</f>
        <v>委托单位：0</v>
      </c>
      <c r="B2" s="3175"/>
      <c r="C2" s="3175"/>
      <c r="D2" s="3175"/>
      <c r="E2" s="3175"/>
      <c r="F2" s="3175"/>
      <c r="G2" s="136" t="s">
        <v>451</v>
      </c>
      <c r="H2" s="3026">
        <f>基本情况!B12</f>
        <v>0</v>
      </c>
      <c r="I2" s="3026"/>
      <c r="J2" s="136" t="s">
        <v>883</v>
      </c>
      <c r="K2" s="3176" t="str">
        <f>TEXT(基本情况!B21,"yyyy-mm-dd")</f>
        <v>2017-03-16</v>
      </c>
      <c r="L2" s="3176"/>
      <c r="M2" s="644"/>
      <c r="N2" s="644"/>
      <c r="O2" s="485" t="s">
        <v>283</v>
      </c>
      <c r="P2" s="557"/>
      <c r="Q2" s="557"/>
      <c r="R2" s="557"/>
      <c r="S2" s="557"/>
      <c r="T2" s="557"/>
    </row>
    <row r="3" spans="1:23" s="558" customFormat="1" ht="22.5" customHeight="1">
      <c r="A3" s="3082" t="str">
        <f>"会计期间："&amp;基本情况!B7</f>
        <v>会计期间：2016年01月01日至2016年12月31日</v>
      </c>
      <c r="B3" s="3082"/>
      <c r="C3" s="3082"/>
      <c r="D3" s="3082"/>
      <c r="E3" s="3082"/>
      <c r="F3" s="3082"/>
      <c r="G3" s="140" t="s">
        <v>453</v>
      </c>
      <c r="H3" s="3030">
        <f>基本情况!B11</f>
        <v>0</v>
      </c>
      <c r="I3" s="3030"/>
      <c r="J3" s="140" t="s">
        <v>883</v>
      </c>
      <c r="K3" s="3174" t="str">
        <f>TEXT(基本情况!B22,"yyyy-mm-dd")</f>
        <v>2017-05-04</v>
      </c>
      <c r="L3" s="3174"/>
      <c r="M3" s="645"/>
      <c r="N3" s="1715"/>
      <c r="O3" s="646" t="str">
        <f>档案索引!A38</f>
        <v>2A-18</v>
      </c>
      <c r="P3" s="557"/>
      <c r="Q3" s="557"/>
      <c r="R3" s="557"/>
      <c r="S3" s="557"/>
      <c r="T3" s="557"/>
    </row>
    <row r="4" spans="1:23" s="565" customFormat="1" ht="7.5" customHeight="1">
      <c r="A4" s="2894"/>
      <c r="B4" s="2894"/>
      <c r="C4" s="2894"/>
      <c r="D4" s="2894"/>
      <c r="E4" s="2894"/>
      <c r="F4" s="2894"/>
      <c r="G4" s="2894"/>
      <c r="H4" s="2894"/>
      <c r="I4" s="2894"/>
      <c r="J4" s="2894"/>
      <c r="K4" s="2894"/>
      <c r="L4" s="2894"/>
      <c r="M4" s="2894"/>
      <c r="N4" s="2894"/>
      <c r="O4" s="2894"/>
      <c r="P4" s="543"/>
      <c r="Q4" s="543"/>
      <c r="R4" s="543"/>
      <c r="S4" s="543"/>
      <c r="T4" s="543"/>
    </row>
    <row r="5" spans="1:23" s="649" customFormat="1" ht="20.25" customHeight="1">
      <c r="A5" s="3183" t="s">
        <v>1251</v>
      </c>
      <c r="B5" s="3170" t="s">
        <v>884</v>
      </c>
      <c r="C5" s="3170"/>
      <c r="D5" s="3170"/>
      <c r="E5" s="3170"/>
      <c r="F5" s="3178" t="s">
        <v>885</v>
      </c>
      <c r="G5" s="3184" t="s">
        <v>886</v>
      </c>
      <c r="H5" s="3178" t="s">
        <v>887</v>
      </c>
      <c r="I5" s="2898" t="s">
        <v>888</v>
      </c>
      <c r="J5" s="2898"/>
      <c r="K5" s="3178" t="s">
        <v>889</v>
      </c>
      <c r="L5" s="3179" t="s">
        <v>890</v>
      </c>
      <c r="M5" s="3180"/>
      <c r="N5" s="3181"/>
      <c r="O5" s="3129" t="s">
        <v>891</v>
      </c>
      <c r="P5" s="84" t="s">
        <v>396</v>
      </c>
      <c r="Q5" s="648"/>
      <c r="R5" s="648"/>
      <c r="S5" s="648"/>
      <c r="T5" s="648"/>
    </row>
    <row r="6" spans="1:23" s="649" customFormat="1" ht="25.5" customHeight="1">
      <c r="A6" s="3183"/>
      <c r="B6" s="611" t="s">
        <v>892</v>
      </c>
      <c r="C6" s="611" t="s">
        <v>893</v>
      </c>
      <c r="D6" s="611" t="s">
        <v>894</v>
      </c>
      <c r="E6" s="611" t="s">
        <v>1256</v>
      </c>
      <c r="F6" s="3178"/>
      <c r="G6" s="3184"/>
      <c r="H6" s="3178"/>
      <c r="I6" s="605" t="s">
        <v>895</v>
      </c>
      <c r="J6" s="605" t="s">
        <v>896</v>
      </c>
      <c r="K6" s="3178"/>
      <c r="L6" s="611" t="s">
        <v>897</v>
      </c>
      <c r="M6" s="650" t="s">
        <v>898</v>
      </c>
      <c r="N6" s="617" t="s">
        <v>6419</v>
      </c>
      <c r="O6" s="3129"/>
      <c r="P6" s="232" t="s">
        <v>1539</v>
      </c>
      <c r="Q6" s="648"/>
      <c r="R6" s="648"/>
      <c r="S6" s="648"/>
      <c r="T6" s="648"/>
    </row>
    <row r="7" spans="1:23" s="558" customFormat="1" ht="24" customHeight="1">
      <c r="A7" s="651" t="s">
        <v>899</v>
      </c>
      <c r="B7" s="652"/>
      <c r="C7" s="653">
        <f>C8+C9+C10+C11+C12</f>
        <v>0</v>
      </c>
      <c r="D7" s="653">
        <f t="shared" ref="D7:J7" si="0">D8+D9+D10+D11+D12</f>
        <v>0</v>
      </c>
      <c r="E7" s="653">
        <f t="shared" si="0"/>
        <v>0</v>
      </c>
      <c r="F7" s="653">
        <f t="shared" si="0"/>
        <v>0</v>
      </c>
      <c r="G7" s="653">
        <f t="shared" si="0"/>
        <v>0</v>
      </c>
      <c r="H7" s="654"/>
      <c r="I7" s="653">
        <f t="shared" si="0"/>
        <v>0</v>
      </c>
      <c r="J7" s="653">
        <f t="shared" si="0"/>
        <v>0</v>
      </c>
      <c r="K7" s="653">
        <f>SUM(K8:K12)</f>
        <v>0</v>
      </c>
      <c r="L7" s="654"/>
      <c r="M7" s="653">
        <f t="shared" ref="M7:O7" si="1">M8+M9+M10+M11+M12</f>
        <v>0</v>
      </c>
      <c r="N7" s="653">
        <f t="shared" si="1"/>
        <v>0</v>
      </c>
      <c r="O7" s="653">
        <f t="shared" si="1"/>
        <v>0</v>
      </c>
      <c r="P7" s="575" t="s">
        <v>620</v>
      </c>
      <c r="Q7" s="557"/>
      <c r="R7" s="557"/>
      <c r="S7" s="144"/>
      <c r="T7" s="557"/>
    </row>
    <row r="8" spans="1:23" s="558" customFormat="1" ht="24">
      <c r="A8" s="656" t="s">
        <v>6403</v>
      </c>
      <c r="B8" s="657"/>
      <c r="C8" s="1130"/>
      <c r="D8" s="1130"/>
      <c r="E8" s="659">
        <f>C8+D8</f>
        <v>0</v>
      </c>
      <c r="F8" s="1130"/>
      <c r="G8" s="1130"/>
      <c r="H8" s="660"/>
      <c r="I8" s="658"/>
      <c r="J8" s="658"/>
      <c r="K8" s="659">
        <f>F8+G8-I8-J8</f>
        <v>0</v>
      </c>
      <c r="L8" s="661"/>
      <c r="M8" s="1230"/>
      <c r="N8" s="1230"/>
      <c r="O8" s="662">
        <f>IF(I8-M8&lt;3,0,I8-M8)</f>
        <v>0</v>
      </c>
      <c r="P8" s="232" t="s">
        <v>1292</v>
      </c>
      <c r="Q8" s="557"/>
      <c r="R8" s="557"/>
      <c r="S8" s="144"/>
      <c r="T8" s="557"/>
    </row>
    <row r="9" spans="1:23" s="558" customFormat="1" ht="24">
      <c r="A9" s="663" t="s">
        <v>6404</v>
      </c>
      <c r="B9" s="664"/>
      <c r="C9" s="1131"/>
      <c r="D9" s="1131"/>
      <c r="E9" s="666">
        <f>C9+D9</f>
        <v>0</v>
      </c>
      <c r="F9" s="1131"/>
      <c r="G9" s="1131"/>
      <c r="H9" s="667"/>
      <c r="I9" s="665"/>
      <c r="J9" s="665"/>
      <c r="K9" s="666">
        <f>F9+G9-I9-J9</f>
        <v>0</v>
      </c>
      <c r="L9" s="668"/>
      <c r="M9" s="1231"/>
      <c r="N9" s="1230"/>
      <c r="O9" s="662">
        <f>IF(I9-M9&lt;3,0,I9-M9)</f>
        <v>0</v>
      </c>
      <c r="P9" s="493" t="s">
        <v>324</v>
      </c>
      <c r="Q9" s="557"/>
      <c r="R9" s="557"/>
      <c r="S9" s="144"/>
      <c r="T9" s="557"/>
    </row>
    <row r="10" spans="1:23" s="558" customFormat="1" ht="24">
      <c r="A10" s="663" t="s">
        <v>6405</v>
      </c>
      <c r="B10" s="664"/>
      <c r="C10" s="1131"/>
      <c r="D10" s="1131"/>
      <c r="E10" s="666">
        <f>C10+D10</f>
        <v>0</v>
      </c>
      <c r="F10" s="1131"/>
      <c r="G10" s="1131"/>
      <c r="H10" s="667"/>
      <c r="I10" s="1131"/>
      <c r="J10" s="1131"/>
      <c r="K10" s="666">
        <f>F10+G10-I10-J10</f>
        <v>0</v>
      </c>
      <c r="L10" s="668"/>
      <c r="M10" s="1229"/>
      <c r="N10" s="1233"/>
      <c r="O10" s="662">
        <f>IF(I10-M10&lt;3,0,I10-M10)</f>
        <v>0</v>
      </c>
      <c r="P10" s="232" t="s">
        <v>1289</v>
      </c>
      <c r="Q10" s="557"/>
      <c r="R10" s="557"/>
      <c r="S10" s="144"/>
      <c r="T10" s="557"/>
    </row>
    <row r="11" spans="1:23" s="558" customFormat="1" ht="16.5" customHeight="1">
      <c r="A11" s="663" t="s">
        <v>6406</v>
      </c>
      <c r="B11" s="664"/>
      <c r="C11" s="1131"/>
      <c r="D11" s="1131"/>
      <c r="E11" s="666">
        <f>C11+D11</f>
        <v>0</v>
      </c>
      <c r="F11" s="1131"/>
      <c r="G11" s="1131"/>
      <c r="H11" s="667"/>
      <c r="I11" s="1131"/>
      <c r="J11" s="1131"/>
      <c r="K11" s="666">
        <f>F11+G11-I11-J11</f>
        <v>0</v>
      </c>
      <c r="L11" s="668"/>
      <c r="M11" s="1229"/>
      <c r="N11" s="1233"/>
      <c r="O11" s="662">
        <f>IF(I11-M11&lt;3,0,I11-M11)</f>
        <v>0</v>
      </c>
      <c r="P11" s="1707"/>
      <c r="Q11" s="557"/>
      <c r="R11" s="557"/>
      <c r="S11" s="144"/>
      <c r="T11" s="557"/>
    </row>
    <row r="12" spans="1:23" s="558" customFormat="1" ht="16.5" customHeight="1">
      <c r="A12" s="663" t="s">
        <v>6407</v>
      </c>
      <c r="B12" s="664"/>
      <c r="C12" s="666">
        <f>SUM(C13:C16)</f>
        <v>0</v>
      </c>
      <c r="D12" s="666">
        <f t="shared" ref="D12:K12" si="2">SUM(D13:D16)</f>
        <v>0</v>
      </c>
      <c r="E12" s="669">
        <f t="shared" si="2"/>
        <v>0</v>
      </c>
      <c r="F12" s="666">
        <f t="shared" si="2"/>
        <v>0</v>
      </c>
      <c r="G12" s="666">
        <f t="shared" si="2"/>
        <v>0</v>
      </c>
      <c r="H12" s="667"/>
      <c r="I12" s="666">
        <f t="shared" si="2"/>
        <v>0</v>
      </c>
      <c r="J12" s="666">
        <f t="shared" si="2"/>
        <v>0</v>
      </c>
      <c r="K12" s="669">
        <f t="shared" si="2"/>
        <v>0</v>
      </c>
      <c r="L12" s="667"/>
      <c r="M12" s="670">
        <f>SUM(M13:M16)</f>
        <v>0</v>
      </c>
      <c r="N12" s="670">
        <f>SUM(N13:N16)</f>
        <v>0</v>
      </c>
      <c r="O12" s="531">
        <f>SUM(O13:O16)</f>
        <v>0</v>
      </c>
      <c r="P12" s="671" t="s">
        <v>900</v>
      </c>
      <c r="Q12" s="557"/>
      <c r="R12" s="557"/>
      <c r="S12" s="557"/>
      <c r="T12" s="557"/>
    </row>
    <row r="13" spans="1:23" s="558" customFormat="1" ht="16.5" customHeight="1">
      <c r="A13" s="672"/>
      <c r="B13" s="664"/>
      <c r="C13" s="1131"/>
      <c r="D13" s="1131"/>
      <c r="E13" s="666">
        <f>C13+D13</f>
        <v>0</v>
      </c>
      <c r="F13" s="1131"/>
      <c r="G13" s="1131"/>
      <c r="H13" s="667"/>
      <c r="I13" s="1131"/>
      <c r="J13" s="1131"/>
      <c r="K13" s="666">
        <f>F13+G13-I13-J13</f>
        <v>0</v>
      </c>
      <c r="L13" s="668"/>
      <c r="M13" s="1229"/>
      <c r="N13" s="1233"/>
      <c r="O13" s="662">
        <f>IF(I13-M13&lt;3,0,I13-M13)</f>
        <v>0</v>
      </c>
      <c r="P13" s="3090" t="s">
        <v>901</v>
      </c>
      <c r="Q13" s="3090"/>
      <c r="R13" s="3090"/>
      <c r="S13" s="3090"/>
      <c r="T13" s="3090"/>
      <c r="U13" s="587"/>
      <c r="V13" s="587"/>
      <c r="W13" s="673"/>
    </row>
    <row r="14" spans="1:23" s="558" customFormat="1" ht="16.5" customHeight="1">
      <c r="A14" s="672"/>
      <c r="B14" s="664"/>
      <c r="C14" s="1131"/>
      <c r="D14" s="1131"/>
      <c r="E14" s="666">
        <f>C14+D14</f>
        <v>0</v>
      </c>
      <c r="F14" s="1131"/>
      <c r="G14" s="1131"/>
      <c r="H14" s="667"/>
      <c r="I14" s="1131"/>
      <c r="J14" s="1227"/>
      <c r="K14" s="666">
        <f>F14+G14-I14-J14</f>
        <v>0</v>
      </c>
      <c r="L14" s="668"/>
      <c r="M14" s="1229"/>
      <c r="N14" s="1233"/>
      <c r="O14" s="662">
        <f t="shared" ref="O14:O27" si="3">IF(I14-M14&lt;3,0,I14-M14)</f>
        <v>0</v>
      </c>
      <c r="P14" s="3090"/>
      <c r="Q14" s="3090"/>
      <c r="R14" s="3090"/>
      <c r="S14" s="3090"/>
      <c r="T14" s="3090"/>
      <c r="U14" s="587"/>
      <c r="V14" s="587"/>
      <c r="W14" s="673"/>
    </row>
    <row r="15" spans="1:23" s="558" customFormat="1" ht="16.5" customHeight="1">
      <c r="A15" s="672"/>
      <c r="B15" s="664"/>
      <c r="C15" s="1131"/>
      <c r="D15" s="1131"/>
      <c r="E15" s="666">
        <f>C15+D15</f>
        <v>0</v>
      </c>
      <c r="F15" s="1131"/>
      <c r="G15" s="1131"/>
      <c r="H15" s="667"/>
      <c r="I15" s="1131"/>
      <c r="J15" s="1227"/>
      <c r="K15" s="666">
        <f>F15+G15-I15-J15</f>
        <v>0</v>
      </c>
      <c r="L15" s="668"/>
      <c r="M15" s="1229"/>
      <c r="N15" s="1233"/>
      <c r="O15" s="662">
        <f t="shared" si="3"/>
        <v>0</v>
      </c>
      <c r="P15" s="3090"/>
      <c r="Q15" s="3090"/>
      <c r="R15" s="3090"/>
      <c r="S15" s="3090"/>
      <c r="T15" s="3090"/>
      <c r="U15" s="587"/>
      <c r="V15" s="587"/>
      <c r="W15" s="673"/>
    </row>
    <row r="16" spans="1:23" s="558" customFormat="1" ht="16.5" customHeight="1">
      <c r="A16" s="674"/>
      <c r="B16" s="675"/>
      <c r="C16" s="1132"/>
      <c r="D16" s="1132"/>
      <c r="E16" s="676">
        <f>C16+D16</f>
        <v>0</v>
      </c>
      <c r="F16" s="1132"/>
      <c r="G16" s="1132"/>
      <c r="H16" s="677"/>
      <c r="I16" s="1132"/>
      <c r="J16" s="1228"/>
      <c r="K16" s="676">
        <f>F16+G16-I16-J16</f>
        <v>0</v>
      </c>
      <c r="L16" s="678"/>
      <c r="M16" s="1232"/>
      <c r="N16" s="1748"/>
      <c r="O16" s="662">
        <f t="shared" si="3"/>
        <v>0</v>
      </c>
      <c r="P16" s="3090"/>
      <c r="Q16" s="3090"/>
      <c r="R16" s="3090"/>
      <c r="S16" s="3090"/>
      <c r="T16" s="3090"/>
      <c r="U16" s="587"/>
      <c r="V16" s="587"/>
      <c r="W16" s="673"/>
    </row>
    <row r="17" spans="1:23" s="558" customFormat="1" ht="24.75" customHeight="1">
      <c r="A17" s="651" t="s">
        <v>902</v>
      </c>
      <c r="B17" s="652"/>
      <c r="C17" s="653">
        <f>SUM(C18:C24)</f>
        <v>0</v>
      </c>
      <c r="D17" s="653">
        <f>SUM(D18:D24)</f>
        <v>0</v>
      </c>
      <c r="E17" s="653">
        <f>SUM(E18:E24)</f>
        <v>0</v>
      </c>
      <c r="F17" s="653">
        <f>SUM(F18:F24)</f>
        <v>0</v>
      </c>
      <c r="G17" s="653">
        <f>SUM(G18:G24)</f>
        <v>0</v>
      </c>
      <c r="H17" s="654"/>
      <c r="I17" s="653">
        <f>SUM(I18:I24)</f>
        <v>0</v>
      </c>
      <c r="J17" s="653">
        <f>SUM(J18:J24)</f>
        <v>0</v>
      </c>
      <c r="K17" s="653">
        <f>SUM(K18:K24)</f>
        <v>0</v>
      </c>
      <c r="L17" s="654"/>
      <c r="M17" s="679">
        <f>SUM(M18:M24)</f>
        <v>0</v>
      </c>
      <c r="N17" s="679">
        <f>SUM(N18:N24)</f>
        <v>0</v>
      </c>
      <c r="O17" s="655">
        <f>SUM(O18:O24)</f>
        <v>0</v>
      </c>
      <c r="P17" s="3090"/>
      <c r="Q17" s="3090"/>
      <c r="R17" s="3090"/>
      <c r="S17" s="3090"/>
      <c r="T17" s="3090"/>
      <c r="U17" s="587"/>
      <c r="V17" s="587"/>
      <c r="W17" s="673"/>
    </row>
    <row r="18" spans="1:23" s="558" customFormat="1" ht="16.5" customHeight="1">
      <c r="A18" s="663" t="s">
        <v>6420</v>
      </c>
      <c r="B18" s="657"/>
      <c r="C18" s="1130"/>
      <c r="D18" s="1130"/>
      <c r="E18" s="659">
        <f t="shared" ref="E18:E27" si="4">C18+D18</f>
        <v>0</v>
      </c>
      <c r="F18" s="1130"/>
      <c r="G18" s="1130"/>
      <c r="H18" s="661"/>
      <c r="I18" s="1130"/>
      <c r="J18" s="1130"/>
      <c r="K18" s="659">
        <f t="shared" ref="K18:K27" si="5">F18+G18-I18-J18</f>
        <v>0</v>
      </c>
      <c r="L18" s="661"/>
      <c r="M18" s="1233"/>
      <c r="N18" s="1233"/>
      <c r="O18" s="662">
        <f t="shared" si="3"/>
        <v>0</v>
      </c>
      <c r="P18" s="3090"/>
      <c r="Q18" s="3090"/>
      <c r="R18" s="3090"/>
      <c r="S18" s="3090"/>
      <c r="T18" s="3090"/>
      <c r="U18" s="587"/>
      <c r="V18" s="587"/>
      <c r="W18" s="673"/>
    </row>
    <row r="19" spans="1:23" s="558" customFormat="1" ht="16.5" customHeight="1">
      <c r="A19" s="663" t="s">
        <v>6421</v>
      </c>
      <c r="B19" s="681"/>
      <c r="C19" s="1131"/>
      <c r="D19" s="1131"/>
      <c r="E19" s="666">
        <f t="shared" si="4"/>
        <v>0</v>
      </c>
      <c r="F19" s="1131"/>
      <c r="G19" s="1131"/>
      <c r="H19" s="668"/>
      <c r="I19" s="1131"/>
      <c r="J19" s="1131"/>
      <c r="K19" s="666">
        <f t="shared" si="5"/>
        <v>0</v>
      </c>
      <c r="L19" s="668"/>
      <c r="M19" s="1229"/>
      <c r="N19" s="1233"/>
      <c r="O19" s="662">
        <f t="shared" si="3"/>
        <v>0</v>
      </c>
      <c r="P19" s="3090"/>
      <c r="Q19" s="3090"/>
      <c r="R19" s="3090"/>
      <c r="S19" s="3090"/>
      <c r="T19" s="3090"/>
      <c r="U19" s="587"/>
      <c r="V19" s="587"/>
      <c r="W19" s="673"/>
    </row>
    <row r="20" spans="1:23" s="558" customFormat="1" ht="16.5" customHeight="1">
      <c r="A20" s="663" t="s">
        <v>6422</v>
      </c>
      <c r="B20" s="681"/>
      <c r="C20" s="1131"/>
      <c r="D20" s="1131"/>
      <c r="E20" s="666">
        <f t="shared" si="4"/>
        <v>0</v>
      </c>
      <c r="F20" s="1131"/>
      <c r="G20" s="1131"/>
      <c r="H20" s="668"/>
      <c r="I20" s="1131"/>
      <c r="J20" s="1131"/>
      <c r="K20" s="666">
        <f t="shared" si="5"/>
        <v>0</v>
      </c>
      <c r="L20" s="668"/>
      <c r="M20" s="1229"/>
      <c r="N20" s="1233"/>
      <c r="O20" s="662">
        <f t="shared" si="3"/>
        <v>0</v>
      </c>
      <c r="P20" s="3090"/>
      <c r="Q20" s="3090"/>
      <c r="R20" s="3090"/>
      <c r="S20" s="3090"/>
      <c r="T20" s="3090"/>
      <c r="U20" s="587"/>
      <c r="V20" s="587"/>
      <c r="W20" s="673"/>
    </row>
    <row r="21" spans="1:23" s="558" customFormat="1" ht="16.5" customHeight="1">
      <c r="A21" s="663" t="s">
        <v>6423</v>
      </c>
      <c r="B21" s="681"/>
      <c r="C21" s="1131"/>
      <c r="D21" s="1131"/>
      <c r="E21" s="666">
        <f t="shared" si="4"/>
        <v>0</v>
      </c>
      <c r="F21" s="1131"/>
      <c r="G21" s="1131"/>
      <c r="H21" s="668"/>
      <c r="I21" s="1131"/>
      <c r="J21" s="1131"/>
      <c r="K21" s="666">
        <f t="shared" si="5"/>
        <v>0</v>
      </c>
      <c r="L21" s="668"/>
      <c r="M21" s="1229"/>
      <c r="N21" s="1233"/>
      <c r="O21" s="662">
        <f t="shared" si="3"/>
        <v>0</v>
      </c>
      <c r="P21" s="3090"/>
      <c r="Q21" s="3090"/>
      <c r="R21" s="3090"/>
      <c r="S21" s="3090"/>
      <c r="T21" s="3090"/>
      <c r="U21" s="587"/>
      <c r="V21" s="587"/>
      <c r="W21" s="673"/>
    </row>
    <row r="22" spans="1:23" s="558" customFormat="1" ht="16.5" customHeight="1">
      <c r="A22" s="663" t="s">
        <v>6424</v>
      </c>
      <c r="B22" s="681"/>
      <c r="C22" s="1131"/>
      <c r="D22" s="1131"/>
      <c r="E22" s="666">
        <f t="shared" si="4"/>
        <v>0</v>
      </c>
      <c r="F22" s="1131"/>
      <c r="G22" s="1131"/>
      <c r="H22" s="668"/>
      <c r="I22" s="1131"/>
      <c r="J22" s="1131"/>
      <c r="K22" s="666">
        <f t="shared" si="5"/>
        <v>0</v>
      </c>
      <c r="L22" s="668"/>
      <c r="M22" s="1229"/>
      <c r="N22" s="1233"/>
      <c r="O22" s="662">
        <f t="shared" si="3"/>
        <v>0</v>
      </c>
      <c r="P22" s="1705"/>
      <c r="Q22" s="1705"/>
      <c r="R22" s="1705"/>
      <c r="S22" s="1705"/>
      <c r="T22" s="1705"/>
      <c r="U22" s="1706"/>
      <c r="V22" s="1706"/>
      <c r="W22" s="673"/>
    </row>
    <row r="23" spans="1:23" s="558" customFormat="1" ht="16.5" customHeight="1">
      <c r="A23" s="663" t="s">
        <v>6425</v>
      </c>
      <c r="B23" s="681"/>
      <c r="C23" s="1131"/>
      <c r="D23" s="1131"/>
      <c r="E23" s="666">
        <f t="shared" si="4"/>
        <v>0</v>
      </c>
      <c r="F23" s="1131"/>
      <c r="G23" s="1131"/>
      <c r="H23" s="668"/>
      <c r="I23" s="1131"/>
      <c r="J23" s="1131"/>
      <c r="K23" s="666">
        <f t="shared" si="5"/>
        <v>0</v>
      </c>
      <c r="L23" s="668"/>
      <c r="M23" s="1229"/>
      <c r="N23" s="1233"/>
      <c r="O23" s="662">
        <f t="shared" si="3"/>
        <v>0</v>
      </c>
      <c r="P23" s="3090" t="s">
        <v>903</v>
      </c>
      <c r="Q23" s="3090"/>
      <c r="R23" s="3090"/>
      <c r="S23" s="3090"/>
      <c r="T23" s="3090"/>
      <c r="U23" s="587"/>
      <c r="V23" s="587"/>
      <c r="W23" s="673"/>
    </row>
    <row r="24" spans="1:23" s="558" customFormat="1" ht="16.5" customHeight="1">
      <c r="A24" s="1759" t="s">
        <v>6426</v>
      </c>
      <c r="B24" s="683"/>
      <c r="C24" s="1133"/>
      <c r="D24" s="1133"/>
      <c r="E24" s="684">
        <f t="shared" si="4"/>
        <v>0</v>
      </c>
      <c r="F24" s="1133"/>
      <c r="G24" s="1133"/>
      <c r="H24" s="685"/>
      <c r="I24" s="1133"/>
      <c r="J24" s="1133"/>
      <c r="K24" s="684">
        <f t="shared" si="5"/>
        <v>0</v>
      </c>
      <c r="L24" s="685"/>
      <c r="M24" s="1234"/>
      <c r="N24" s="1748"/>
      <c r="O24" s="1753">
        <f t="shared" si="3"/>
        <v>0</v>
      </c>
      <c r="P24" s="3090"/>
      <c r="Q24" s="3090"/>
      <c r="R24" s="3090"/>
      <c r="S24" s="3090"/>
      <c r="T24" s="3090"/>
      <c r="U24" s="587"/>
      <c r="V24" s="587"/>
    </row>
    <row r="25" spans="1:23" s="558" customFormat="1" ht="16.5" customHeight="1">
      <c r="A25" s="1760" t="s">
        <v>6427</v>
      </c>
      <c r="B25" s="1754"/>
      <c r="C25" s="1761">
        <f>C26+C27</f>
        <v>0</v>
      </c>
      <c r="D25" s="1761">
        <f>D26+D27</f>
        <v>0</v>
      </c>
      <c r="E25" s="1762">
        <f>E26+E27</f>
        <v>0</v>
      </c>
      <c r="F25" s="1761">
        <f>F26+F27</f>
        <v>0</v>
      </c>
      <c r="G25" s="1761">
        <f t="shared" ref="G25:K25" si="6">G26+G27</f>
        <v>0</v>
      </c>
      <c r="H25" s="1755"/>
      <c r="I25" s="1761">
        <f t="shared" si="6"/>
        <v>0</v>
      </c>
      <c r="J25" s="1761">
        <f t="shared" si="6"/>
        <v>0</v>
      </c>
      <c r="K25" s="653">
        <f t="shared" si="6"/>
        <v>0</v>
      </c>
      <c r="L25" s="1756"/>
      <c r="M25" s="679">
        <f>M26+M27</f>
        <v>0</v>
      </c>
      <c r="N25" s="679">
        <f>N26+N27</f>
        <v>0</v>
      </c>
      <c r="O25" s="655">
        <f>O26+O27</f>
        <v>0</v>
      </c>
      <c r="P25" s="3090"/>
      <c r="Q25" s="3090"/>
      <c r="R25" s="3090"/>
      <c r="S25" s="3090"/>
      <c r="T25" s="3090"/>
      <c r="U25" s="1716"/>
      <c r="V25" s="1716"/>
    </row>
    <row r="26" spans="1:23" s="558" customFormat="1" ht="16.5" customHeight="1">
      <c r="A26" s="663" t="s">
        <v>6428</v>
      </c>
      <c r="B26" s="1757"/>
      <c r="C26" s="1131"/>
      <c r="D26" s="1131"/>
      <c r="E26" s="666">
        <f t="shared" si="4"/>
        <v>0</v>
      </c>
      <c r="F26" s="1131"/>
      <c r="G26" s="1131"/>
      <c r="H26" s="1758"/>
      <c r="I26" s="1229"/>
      <c r="J26" s="1229"/>
      <c r="K26" s="666">
        <f t="shared" si="5"/>
        <v>0</v>
      </c>
      <c r="L26" s="1758"/>
      <c r="M26" s="1229"/>
      <c r="N26" s="1131"/>
      <c r="O26" s="662">
        <f t="shared" si="3"/>
        <v>0</v>
      </c>
      <c r="P26" s="3090"/>
      <c r="Q26" s="3090"/>
      <c r="R26" s="3090"/>
      <c r="S26" s="3090"/>
      <c r="T26" s="3090"/>
      <c r="U26" s="1716"/>
      <c r="V26" s="1716"/>
    </row>
    <row r="27" spans="1:23" s="558" customFormat="1" ht="16.5" customHeight="1">
      <c r="A27" s="663" t="s">
        <v>6429</v>
      </c>
      <c r="B27" s="1749"/>
      <c r="C27" s="1750"/>
      <c r="D27" s="1750"/>
      <c r="E27" s="666">
        <f t="shared" si="4"/>
        <v>0</v>
      </c>
      <c r="F27" s="1750"/>
      <c r="G27" s="1750"/>
      <c r="H27" s="1751"/>
      <c r="I27" s="1752"/>
      <c r="J27" s="1752"/>
      <c r="K27" s="666">
        <f t="shared" si="5"/>
        <v>0</v>
      </c>
      <c r="L27" s="1751"/>
      <c r="M27" s="1752"/>
      <c r="N27" s="1748"/>
      <c r="O27" s="662">
        <f t="shared" si="3"/>
        <v>0</v>
      </c>
      <c r="P27" s="3090"/>
      <c r="Q27" s="3090"/>
      <c r="R27" s="3090"/>
      <c r="S27" s="3090"/>
      <c r="T27" s="3090"/>
      <c r="U27" s="1716"/>
      <c r="V27" s="1716"/>
    </row>
    <row r="28" spans="1:23" s="558" customFormat="1" ht="22.5" customHeight="1">
      <c r="A28" s="3021" t="s">
        <v>642</v>
      </c>
      <c r="B28" s="3021"/>
      <c r="C28" s="3188" t="str">
        <f>IF(K7&lt;&gt;资产负债!D32,"长期待摊费用账载数与报表数相差"&amp;DOLLAR(K7-资产负债!D32,2)&amp;"元！","长期待摊费用账载数与报表数相符！")</f>
        <v>长期待摊费用账载数与报表数相符！</v>
      </c>
      <c r="D28" s="3188"/>
      <c r="E28" s="3188"/>
      <c r="F28" s="3188"/>
      <c r="G28" s="3188"/>
      <c r="H28" s="3186" t="str">
        <f>IF(K17&lt;&gt;资产负债!D30,"无形资产账载数与报表数相差"&amp;DOLLAR(K17-资产负债!D30,2)&amp;"元！","无形资产账载数与报表数相符！")</f>
        <v>无形资产账载数与报表数相符！</v>
      </c>
      <c r="I28" s="3186"/>
      <c r="J28" s="3186"/>
      <c r="K28" s="3186"/>
      <c r="L28" s="3186"/>
      <c r="M28" s="3186"/>
      <c r="N28" s="3186"/>
      <c r="O28" s="3186"/>
      <c r="P28" s="3090"/>
      <c r="Q28" s="3090"/>
      <c r="R28" s="3090"/>
      <c r="S28" s="3090"/>
      <c r="T28" s="3090"/>
    </row>
    <row r="29" spans="1:23" s="558" customFormat="1" ht="15" customHeight="1">
      <c r="A29" s="3024" t="s">
        <v>1324</v>
      </c>
      <c r="B29" s="3024"/>
      <c r="C29" s="3177" t="s">
        <v>858</v>
      </c>
      <c r="D29" s="3177"/>
      <c r="E29" s="3177"/>
      <c r="F29" s="3187" t="str">
        <f>IF(OR(I7-M7&gt;0,I17-M17&gt;0),"、E","")</f>
        <v/>
      </c>
      <c r="G29" s="3187"/>
      <c r="H29" s="3187"/>
      <c r="I29" s="3187"/>
      <c r="J29" s="3187"/>
      <c r="K29" s="3187"/>
      <c r="L29" s="3187"/>
      <c r="M29" s="3187"/>
      <c r="N29" s="3187"/>
      <c r="O29" s="3187"/>
      <c r="P29" s="3090" t="s">
        <v>904</v>
      </c>
      <c r="Q29" s="3090"/>
      <c r="R29" s="3090"/>
      <c r="S29" s="3090"/>
      <c r="T29" s="3090"/>
    </row>
    <row r="30" spans="1:23" s="558" customFormat="1" ht="32.25" customHeight="1">
      <c r="A30" s="3024"/>
      <c r="B30" s="3024"/>
      <c r="C30" s="3159"/>
      <c r="D30" s="3159"/>
      <c r="E30" s="3159"/>
      <c r="F30" s="3159"/>
      <c r="G30" s="3159"/>
      <c r="H30" s="3159"/>
      <c r="I30" s="3159"/>
      <c r="J30" s="3159"/>
      <c r="K30" s="3159"/>
      <c r="L30" s="3159"/>
      <c r="M30" s="3159"/>
      <c r="N30" s="3159"/>
      <c r="O30" s="3159"/>
      <c r="P30" s="3090"/>
      <c r="Q30" s="3090"/>
      <c r="R30" s="3090"/>
      <c r="S30" s="3090"/>
      <c r="T30" s="3090"/>
    </row>
    <row r="31" spans="1:23" s="558" customFormat="1" ht="22.5" customHeight="1">
      <c r="A31" s="3156" t="s">
        <v>575</v>
      </c>
      <c r="B31" s="3156"/>
      <c r="C31" s="3182" t="str">
        <f>IF(I7-M7&gt;0,"长期待摊费用摊销应予纳税调增"&amp;DOLLAR(I7-M7,2)&amp;"元！","长期待摊费用会计摊销与税收摊销不存在差异，认可！")</f>
        <v>长期待摊费用会计摊销与税收摊销不存在差异，认可！</v>
      </c>
      <c r="D31" s="3182"/>
      <c r="E31" s="3182"/>
      <c r="F31" s="3182"/>
      <c r="G31" s="3182"/>
      <c r="H31" s="3189" t="str">
        <f>IF(I17-M17&gt;0,"无形资产摊销应予纳税调增"&amp;DOLLAR(I17-M17,2)&amp;"元！","无形资产会计摊销与税收摊销不存在差异，认可！")</f>
        <v>无形资产会计摊销与税收摊销不存在差异，认可！</v>
      </c>
      <c r="I31" s="3189"/>
      <c r="J31" s="3189"/>
      <c r="K31" s="3189"/>
      <c r="L31" s="3189"/>
      <c r="M31" s="3189"/>
      <c r="N31" s="3189"/>
      <c r="O31" s="3189"/>
      <c r="P31" s="3090" t="s">
        <v>1461</v>
      </c>
      <c r="Q31" s="3090"/>
      <c r="R31" s="3090"/>
      <c r="S31" s="3090"/>
      <c r="T31" s="3090"/>
    </row>
    <row r="32" spans="1:23" s="558" customFormat="1" ht="20.100000000000001" customHeight="1">
      <c r="A32" s="686"/>
      <c r="B32" s="687"/>
      <c r="C32" s="687"/>
      <c r="D32" s="687"/>
      <c r="E32" s="687"/>
      <c r="F32" s="687"/>
      <c r="G32" s="687"/>
      <c r="H32" s="688"/>
      <c r="I32" s="687"/>
      <c r="J32" s="687"/>
      <c r="K32" s="687"/>
      <c r="L32" s="688"/>
      <c r="M32" s="688"/>
      <c r="N32" s="688"/>
      <c r="O32" s="687"/>
    </row>
    <row r="33" spans="1:48" s="558" customFormat="1" ht="15.75" customHeight="1">
      <c r="A33" s="687"/>
      <c r="B33" s="687"/>
      <c r="C33" s="687"/>
      <c r="D33" s="689"/>
      <c r="E33" s="687"/>
      <c r="F33" s="687"/>
      <c r="G33" s="687"/>
      <c r="H33" s="688"/>
      <c r="I33" s="687"/>
      <c r="J33" s="687"/>
      <c r="K33" s="3185"/>
      <c r="L33" s="3185"/>
      <c r="M33" s="3185"/>
      <c r="N33" s="3185"/>
      <c r="O33" s="3185"/>
    </row>
    <row r="34" spans="1:48" ht="20.100000000000001" customHeight="1">
      <c r="A34" s="687"/>
      <c r="B34" s="687"/>
      <c r="C34" s="687"/>
      <c r="D34" s="687"/>
      <c r="E34" s="690"/>
      <c r="F34" s="687"/>
      <c r="G34" s="687"/>
      <c r="H34" s="688"/>
      <c r="I34" s="687"/>
      <c r="J34" s="687"/>
      <c r="K34" s="687"/>
      <c r="L34" s="688"/>
      <c r="M34" s="688"/>
      <c r="N34" s="688"/>
      <c r="O34" s="687"/>
      <c r="P34" s="502"/>
      <c r="Q34" s="502"/>
      <c r="R34" s="502"/>
      <c r="S34" s="502"/>
      <c r="T34" s="502"/>
      <c r="U34" s="502"/>
      <c r="V34" s="502"/>
      <c r="W34" s="502"/>
      <c r="X34" s="502"/>
      <c r="Y34" s="502"/>
      <c r="Z34" s="502"/>
      <c r="AA34" s="502"/>
      <c r="AB34" s="502"/>
      <c r="AC34" s="502"/>
      <c r="AD34" s="502"/>
      <c r="AE34" s="502"/>
      <c r="AF34" s="502"/>
      <c r="AG34" s="502"/>
      <c r="AH34" s="502"/>
      <c r="AI34" s="502"/>
      <c r="AJ34" s="502"/>
      <c r="AK34" s="502"/>
      <c r="AL34" s="502"/>
      <c r="AM34" s="502"/>
      <c r="AN34" s="502"/>
      <c r="AO34" s="502"/>
      <c r="AP34" s="502"/>
      <c r="AQ34" s="502"/>
      <c r="AR34" s="502"/>
      <c r="AS34" s="502"/>
      <c r="AT34" s="502"/>
      <c r="AU34" s="502"/>
      <c r="AV34" s="502"/>
    </row>
    <row r="35" spans="1:48" ht="20.100000000000001" customHeight="1">
      <c r="A35" s="687"/>
      <c r="B35" s="687"/>
      <c r="C35" s="687"/>
      <c r="D35" s="687"/>
      <c r="E35" s="687"/>
      <c r="F35" s="687"/>
      <c r="G35" s="687"/>
      <c r="H35" s="688"/>
      <c r="I35" s="687"/>
      <c r="J35" s="687"/>
      <c r="K35" s="687"/>
      <c r="L35" s="688"/>
      <c r="M35" s="688"/>
      <c r="N35" s="688"/>
      <c r="O35" s="687"/>
      <c r="P35" s="502"/>
      <c r="Q35" s="502"/>
      <c r="R35" s="502"/>
      <c r="S35" s="502"/>
      <c r="T35" s="502"/>
      <c r="U35" s="502"/>
      <c r="V35" s="502"/>
      <c r="W35" s="502"/>
      <c r="X35" s="502"/>
      <c r="Y35" s="502"/>
      <c r="Z35" s="502"/>
      <c r="AA35" s="502"/>
      <c r="AB35" s="502"/>
      <c r="AC35" s="502"/>
      <c r="AD35" s="502"/>
      <c r="AE35" s="502"/>
      <c r="AF35" s="502"/>
      <c r="AG35" s="502"/>
      <c r="AH35" s="502"/>
      <c r="AI35" s="502"/>
      <c r="AJ35" s="502"/>
      <c r="AK35" s="502"/>
      <c r="AL35" s="502"/>
      <c r="AM35" s="502"/>
      <c r="AN35" s="502"/>
      <c r="AO35" s="502"/>
      <c r="AP35" s="502"/>
      <c r="AQ35" s="502"/>
      <c r="AR35" s="502"/>
      <c r="AS35" s="502"/>
      <c r="AT35" s="502"/>
      <c r="AU35" s="502"/>
      <c r="AV35" s="502"/>
    </row>
    <row r="36" spans="1:48">
      <c r="A36" s="687"/>
      <c r="B36" s="687"/>
      <c r="C36" s="687"/>
      <c r="D36" s="687"/>
      <c r="E36" s="687"/>
      <c r="F36" s="687"/>
      <c r="G36" s="687"/>
      <c r="H36" s="688"/>
      <c r="I36" s="687"/>
      <c r="J36" s="687"/>
      <c r="K36" s="687"/>
      <c r="L36" s="688"/>
      <c r="M36" s="688"/>
      <c r="N36" s="688"/>
      <c r="O36" s="687"/>
      <c r="P36" s="502"/>
      <c r="Q36" s="502"/>
      <c r="R36" s="502"/>
      <c r="S36" s="502"/>
      <c r="T36" s="502"/>
      <c r="U36" s="502"/>
      <c r="V36" s="502"/>
      <c r="W36" s="502"/>
      <c r="X36" s="502"/>
      <c r="Y36" s="502"/>
      <c r="Z36" s="502"/>
      <c r="AA36" s="502"/>
      <c r="AB36" s="502"/>
      <c r="AC36" s="502"/>
      <c r="AD36" s="502"/>
      <c r="AE36" s="502"/>
      <c r="AF36" s="502"/>
      <c r="AG36" s="502"/>
      <c r="AH36" s="502"/>
      <c r="AI36" s="502"/>
      <c r="AJ36" s="502"/>
      <c r="AK36" s="502"/>
      <c r="AL36" s="502"/>
      <c r="AM36" s="502"/>
      <c r="AN36" s="502"/>
      <c r="AO36" s="502"/>
      <c r="AP36" s="502"/>
      <c r="AQ36" s="502"/>
      <c r="AR36" s="502"/>
      <c r="AS36" s="502"/>
      <c r="AT36" s="502"/>
      <c r="AU36" s="502"/>
      <c r="AV36" s="502"/>
    </row>
    <row r="37" spans="1:48">
      <c r="A37" s="687"/>
      <c r="B37" s="687"/>
      <c r="C37" s="687"/>
      <c r="D37" s="687"/>
      <c r="E37" s="687"/>
      <c r="F37" s="687"/>
      <c r="G37" s="687"/>
      <c r="H37" s="688"/>
      <c r="I37" s="687"/>
      <c r="J37" s="687"/>
      <c r="K37" s="687"/>
      <c r="L37" s="688"/>
      <c r="M37" s="688"/>
      <c r="N37" s="688"/>
      <c r="O37" s="687"/>
      <c r="P37" s="502"/>
      <c r="Q37" s="502"/>
      <c r="R37" s="502"/>
      <c r="S37" s="502"/>
      <c r="T37" s="502"/>
      <c r="U37" s="502"/>
      <c r="V37" s="502"/>
      <c r="W37" s="502"/>
      <c r="X37" s="502"/>
      <c r="Y37" s="502"/>
      <c r="Z37" s="502"/>
      <c r="AA37" s="502"/>
      <c r="AB37" s="502"/>
      <c r="AC37" s="502"/>
      <c r="AD37" s="502"/>
      <c r="AE37" s="502"/>
      <c r="AF37" s="502"/>
      <c r="AG37" s="502"/>
      <c r="AH37" s="502"/>
      <c r="AI37" s="502"/>
      <c r="AJ37" s="502"/>
      <c r="AK37" s="502"/>
      <c r="AL37" s="502"/>
      <c r="AM37" s="502"/>
      <c r="AN37" s="502"/>
      <c r="AO37" s="502"/>
      <c r="AP37" s="502"/>
      <c r="AQ37" s="502"/>
      <c r="AR37" s="502"/>
      <c r="AS37" s="502"/>
      <c r="AT37" s="502"/>
      <c r="AU37" s="502"/>
      <c r="AV37" s="502"/>
    </row>
    <row r="38" spans="1:48">
      <c r="A38" s="687"/>
      <c r="B38" s="687"/>
      <c r="C38" s="687"/>
      <c r="D38" s="687"/>
      <c r="E38" s="687"/>
      <c r="F38" s="687"/>
      <c r="G38" s="687"/>
      <c r="H38" s="688"/>
      <c r="I38" s="687"/>
      <c r="J38" s="687"/>
      <c r="K38" s="687"/>
      <c r="L38" s="688"/>
      <c r="M38" s="688"/>
      <c r="N38" s="688"/>
      <c r="O38" s="687"/>
      <c r="P38" s="502"/>
      <c r="Q38" s="502"/>
      <c r="R38" s="502"/>
      <c r="S38" s="502"/>
      <c r="T38" s="502"/>
      <c r="U38" s="502"/>
      <c r="V38" s="502"/>
      <c r="W38" s="502"/>
      <c r="X38" s="502"/>
      <c r="Y38" s="502"/>
      <c r="Z38" s="502"/>
      <c r="AA38" s="502"/>
      <c r="AB38" s="502"/>
      <c r="AC38" s="502"/>
      <c r="AD38" s="502"/>
      <c r="AE38" s="502"/>
      <c r="AF38" s="502"/>
      <c r="AG38" s="502"/>
      <c r="AH38" s="502"/>
      <c r="AI38" s="502"/>
      <c r="AJ38" s="502"/>
      <c r="AK38" s="502"/>
      <c r="AL38" s="502"/>
      <c r="AM38" s="502"/>
      <c r="AN38" s="502"/>
      <c r="AO38" s="502"/>
      <c r="AP38" s="502"/>
      <c r="AQ38" s="502"/>
      <c r="AR38" s="502"/>
      <c r="AS38" s="502"/>
      <c r="AT38" s="502"/>
      <c r="AU38" s="502"/>
      <c r="AV38" s="502"/>
    </row>
    <row r="39" spans="1:48">
      <c r="A39" s="687"/>
      <c r="B39" s="687"/>
      <c r="C39" s="687"/>
      <c r="D39" s="687"/>
      <c r="E39" s="687"/>
      <c r="F39" s="687"/>
      <c r="G39" s="687"/>
      <c r="H39" s="688"/>
      <c r="I39" s="687"/>
      <c r="J39" s="687"/>
      <c r="K39" s="687"/>
      <c r="L39" s="688"/>
      <c r="M39" s="688"/>
      <c r="N39" s="688"/>
      <c r="O39" s="687"/>
      <c r="P39" s="502"/>
      <c r="Q39" s="502"/>
      <c r="R39" s="502"/>
      <c r="S39" s="502"/>
      <c r="T39" s="502"/>
      <c r="U39" s="502"/>
      <c r="V39" s="502"/>
      <c r="W39" s="502"/>
      <c r="X39" s="502"/>
      <c r="Y39" s="502"/>
      <c r="Z39" s="502"/>
      <c r="AA39" s="502"/>
      <c r="AB39" s="502"/>
      <c r="AC39" s="502"/>
      <c r="AD39" s="502"/>
      <c r="AE39" s="502"/>
      <c r="AF39" s="502"/>
      <c r="AG39" s="502"/>
      <c r="AH39" s="502"/>
      <c r="AI39" s="502"/>
      <c r="AJ39" s="502"/>
      <c r="AK39" s="502"/>
      <c r="AL39" s="502"/>
      <c r="AM39" s="502"/>
      <c r="AN39" s="502"/>
      <c r="AO39" s="502"/>
      <c r="AP39" s="502"/>
      <c r="AQ39" s="502"/>
      <c r="AR39" s="502"/>
      <c r="AS39" s="502"/>
      <c r="AT39" s="502"/>
      <c r="AU39" s="502"/>
      <c r="AV39" s="502"/>
    </row>
    <row r="40" spans="1:48">
      <c r="A40" s="687"/>
      <c r="B40" s="687"/>
      <c r="C40" s="687"/>
      <c r="D40" s="687"/>
      <c r="E40" s="687"/>
      <c r="F40" s="687"/>
      <c r="G40" s="687"/>
      <c r="H40" s="688"/>
      <c r="I40" s="687"/>
      <c r="J40" s="687"/>
      <c r="K40" s="687"/>
      <c r="L40" s="688"/>
      <c r="M40" s="688"/>
      <c r="N40" s="688"/>
      <c r="O40" s="687"/>
      <c r="P40" s="502"/>
      <c r="Q40" s="502"/>
      <c r="R40" s="502"/>
      <c r="S40" s="502"/>
      <c r="T40" s="502"/>
      <c r="U40" s="502"/>
      <c r="V40" s="502"/>
      <c r="W40" s="502"/>
      <c r="X40" s="502"/>
      <c r="Y40" s="502"/>
      <c r="Z40" s="502"/>
      <c r="AA40" s="502"/>
      <c r="AB40" s="502"/>
      <c r="AC40" s="502"/>
      <c r="AD40" s="502"/>
      <c r="AE40" s="502"/>
      <c r="AF40" s="502"/>
      <c r="AG40" s="502"/>
      <c r="AH40" s="502"/>
      <c r="AI40" s="502"/>
      <c r="AJ40" s="502"/>
      <c r="AK40" s="502"/>
      <c r="AL40" s="502"/>
      <c r="AM40" s="502"/>
      <c r="AN40" s="502"/>
      <c r="AO40" s="502"/>
      <c r="AP40" s="502"/>
      <c r="AQ40" s="502"/>
      <c r="AR40" s="502"/>
      <c r="AS40" s="502"/>
      <c r="AT40" s="502"/>
      <c r="AU40" s="502"/>
      <c r="AV40" s="502"/>
    </row>
    <row r="41" spans="1:48">
      <c r="A41" s="687"/>
      <c r="B41" s="687"/>
      <c r="C41" s="687"/>
      <c r="D41" s="687"/>
      <c r="E41" s="687"/>
      <c r="F41" s="687"/>
      <c r="G41" s="687"/>
      <c r="H41" s="688"/>
      <c r="I41" s="687"/>
      <c r="J41" s="687"/>
      <c r="K41" s="687"/>
      <c r="L41" s="688"/>
      <c r="M41" s="688"/>
      <c r="N41" s="688"/>
      <c r="O41" s="687"/>
      <c r="P41" s="502"/>
      <c r="Q41" s="502"/>
      <c r="R41" s="502"/>
      <c r="S41" s="502"/>
      <c r="T41" s="502"/>
      <c r="U41" s="502"/>
      <c r="V41" s="502"/>
      <c r="W41" s="502"/>
      <c r="X41" s="502"/>
      <c r="Y41" s="502"/>
      <c r="Z41" s="502"/>
      <c r="AA41" s="502"/>
      <c r="AB41" s="502"/>
      <c r="AC41" s="502"/>
      <c r="AD41" s="502"/>
      <c r="AE41" s="502"/>
      <c r="AF41" s="502"/>
      <c r="AG41" s="502"/>
      <c r="AH41" s="502"/>
      <c r="AI41" s="502"/>
      <c r="AJ41" s="502"/>
      <c r="AK41" s="502"/>
      <c r="AL41" s="502"/>
      <c r="AM41" s="502"/>
      <c r="AN41" s="502"/>
      <c r="AO41" s="502"/>
      <c r="AP41" s="502"/>
      <c r="AQ41" s="502"/>
      <c r="AR41" s="502"/>
      <c r="AS41" s="502"/>
      <c r="AT41" s="502"/>
      <c r="AU41" s="502"/>
      <c r="AV41" s="502"/>
    </row>
    <row r="42" spans="1:48">
      <c r="A42" s="687"/>
      <c r="B42" s="687"/>
      <c r="C42" s="687"/>
      <c r="D42" s="687"/>
      <c r="E42" s="687"/>
      <c r="F42" s="687"/>
      <c r="G42" s="687"/>
      <c r="H42" s="688"/>
      <c r="I42" s="687"/>
      <c r="J42" s="687"/>
      <c r="K42" s="687"/>
      <c r="L42" s="688"/>
      <c r="M42" s="688"/>
      <c r="N42" s="688"/>
      <c r="O42" s="687"/>
      <c r="P42" s="502"/>
      <c r="Q42" s="502"/>
      <c r="R42" s="502"/>
      <c r="S42" s="502"/>
      <c r="T42" s="502"/>
      <c r="U42" s="502"/>
      <c r="V42" s="502"/>
      <c r="W42" s="502"/>
      <c r="X42" s="502"/>
      <c r="Y42" s="502"/>
      <c r="Z42" s="502"/>
      <c r="AA42" s="502"/>
      <c r="AB42" s="502"/>
      <c r="AC42" s="502"/>
      <c r="AD42" s="502"/>
      <c r="AE42" s="502"/>
      <c r="AF42" s="502"/>
      <c r="AG42" s="502"/>
      <c r="AH42" s="502"/>
      <c r="AI42" s="502"/>
      <c r="AJ42" s="502"/>
      <c r="AK42" s="502"/>
      <c r="AL42" s="502"/>
      <c r="AM42" s="502"/>
      <c r="AN42" s="502"/>
      <c r="AO42" s="502"/>
      <c r="AP42" s="502"/>
      <c r="AQ42" s="502"/>
      <c r="AR42" s="502"/>
      <c r="AS42" s="502"/>
      <c r="AT42" s="502"/>
      <c r="AU42" s="502"/>
      <c r="AV42" s="502"/>
    </row>
    <row r="43" spans="1:48">
      <c r="A43" s="687"/>
      <c r="B43" s="687"/>
      <c r="C43" s="687"/>
      <c r="D43" s="687"/>
      <c r="E43" s="687"/>
      <c r="F43" s="687"/>
      <c r="G43" s="687"/>
      <c r="H43" s="688"/>
      <c r="I43" s="687"/>
      <c r="J43" s="687"/>
      <c r="K43" s="687"/>
      <c r="L43" s="688"/>
      <c r="M43" s="688"/>
      <c r="N43" s="688"/>
      <c r="O43" s="687"/>
      <c r="P43" s="502"/>
      <c r="Q43" s="502"/>
      <c r="R43" s="502"/>
      <c r="S43" s="502"/>
      <c r="T43" s="502"/>
      <c r="U43" s="502"/>
      <c r="V43" s="502"/>
      <c r="W43" s="502"/>
      <c r="X43" s="502"/>
      <c r="Y43" s="502"/>
      <c r="Z43" s="502"/>
      <c r="AA43" s="502"/>
      <c r="AB43" s="502"/>
      <c r="AC43" s="502"/>
      <c r="AD43" s="502"/>
      <c r="AE43" s="502"/>
      <c r="AF43" s="502"/>
      <c r="AG43" s="502"/>
      <c r="AH43" s="502"/>
      <c r="AI43" s="502"/>
      <c r="AJ43" s="502"/>
      <c r="AK43" s="502"/>
      <c r="AL43" s="502"/>
      <c r="AM43" s="502"/>
      <c r="AN43" s="502"/>
      <c r="AO43" s="502"/>
      <c r="AP43" s="502"/>
      <c r="AQ43" s="502"/>
      <c r="AR43" s="502"/>
      <c r="AS43" s="502"/>
      <c r="AT43" s="502"/>
      <c r="AU43" s="502"/>
      <c r="AV43" s="502"/>
    </row>
    <row r="44" spans="1:48">
      <c r="A44" s="687"/>
      <c r="B44" s="687"/>
      <c r="C44" s="687"/>
      <c r="D44" s="687"/>
      <c r="E44" s="687"/>
      <c r="F44" s="687"/>
      <c r="G44" s="687"/>
      <c r="H44" s="688"/>
      <c r="I44" s="687"/>
      <c r="J44" s="687"/>
      <c r="K44" s="687"/>
      <c r="L44" s="688"/>
      <c r="M44" s="688"/>
      <c r="N44" s="688"/>
      <c r="O44" s="687"/>
      <c r="P44" s="502"/>
      <c r="Q44" s="502"/>
      <c r="R44" s="502"/>
      <c r="S44" s="502"/>
      <c r="T44" s="502"/>
      <c r="U44" s="502"/>
      <c r="V44" s="502"/>
      <c r="W44" s="502"/>
      <c r="X44" s="502"/>
      <c r="Y44" s="502"/>
      <c r="Z44" s="502"/>
      <c r="AA44" s="502"/>
      <c r="AB44" s="502"/>
      <c r="AC44" s="502"/>
      <c r="AD44" s="502"/>
      <c r="AE44" s="502"/>
      <c r="AF44" s="502"/>
      <c r="AG44" s="502"/>
      <c r="AH44" s="502"/>
      <c r="AI44" s="502"/>
      <c r="AJ44" s="502"/>
      <c r="AK44" s="502"/>
      <c r="AL44" s="502"/>
      <c r="AM44" s="502"/>
      <c r="AN44" s="502"/>
      <c r="AO44" s="502"/>
      <c r="AP44" s="502"/>
      <c r="AQ44" s="502"/>
      <c r="AR44" s="502"/>
      <c r="AS44" s="502"/>
      <c r="AT44" s="502"/>
      <c r="AU44" s="502"/>
      <c r="AV44" s="502"/>
    </row>
    <row r="45" spans="1:48">
      <c r="A45" s="687"/>
      <c r="B45" s="687"/>
      <c r="C45" s="687"/>
      <c r="D45" s="687"/>
      <c r="E45" s="687"/>
      <c r="F45" s="687"/>
      <c r="G45" s="687"/>
      <c r="H45" s="688"/>
      <c r="I45" s="687"/>
      <c r="J45" s="687"/>
      <c r="K45" s="687"/>
      <c r="L45" s="688"/>
      <c r="M45" s="688"/>
      <c r="N45" s="688"/>
      <c r="O45" s="687"/>
      <c r="P45" s="502"/>
      <c r="Q45" s="502"/>
      <c r="R45" s="502"/>
      <c r="S45" s="502"/>
      <c r="T45" s="502"/>
      <c r="U45" s="502"/>
      <c r="V45" s="502"/>
      <c r="W45" s="502"/>
      <c r="X45" s="502"/>
      <c r="Y45" s="502"/>
      <c r="Z45" s="502"/>
      <c r="AA45" s="502"/>
      <c r="AB45" s="502"/>
      <c r="AC45" s="502"/>
      <c r="AD45" s="502"/>
      <c r="AE45" s="502"/>
      <c r="AF45" s="502"/>
      <c r="AG45" s="502"/>
      <c r="AH45" s="502"/>
      <c r="AI45" s="502"/>
      <c r="AJ45" s="502"/>
      <c r="AK45" s="502"/>
      <c r="AL45" s="502"/>
      <c r="AM45" s="502"/>
      <c r="AN45" s="502"/>
      <c r="AO45" s="502"/>
      <c r="AP45" s="502"/>
      <c r="AQ45" s="502"/>
      <c r="AR45" s="502"/>
      <c r="AS45" s="502"/>
      <c r="AT45" s="502"/>
      <c r="AU45" s="502"/>
      <c r="AV45" s="502"/>
    </row>
    <row r="46" spans="1:48">
      <c r="A46" s="687"/>
      <c r="B46" s="687"/>
      <c r="C46" s="687"/>
      <c r="D46" s="687"/>
      <c r="E46" s="687"/>
      <c r="F46" s="687"/>
      <c r="G46" s="687"/>
      <c r="H46" s="688"/>
      <c r="I46" s="687"/>
      <c r="J46" s="687"/>
      <c r="K46" s="687"/>
      <c r="L46" s="688"/>
      <c r="M46" s="688"/>
      <c r="N46" s="688"/>
      <c r="O46" s="687"/>
      <c r="P46" s="502"/>
      <c r="Q46" s="502"/>
      <c r="R46" s="502"/>
      <c r="S46" s="502"/>
      <c r="T46" s="502"/>
      <c r="U46" s="502"/>
      <c r="V46" s="502"/>
      <c r="W46" s="502"/>
      <c r="X46" s="502"/>
      <c r="Y46" s="502"/>
      <c r="Z46" s="502"/>
      <c r="AA46" s="502"/>
      <c r="AB46" s="502"/>
      <c r="AC46" s="502"/>
      <c r="AD46" s="502"/>
      <c r="AE46" s="502"/>
      <c r="AF46" s="502"/>
      <c r="AG46" s="502"/>
      <c r="AH46" s="502"/>
      <c r="AI46" s="502"/>
      <c r="AJ46" s="502"/>
      <c r="AK46" s="502"/>
      <c r="AL46" s="502"/>
      <c r="AM46" s="502"/>
      <c r="AN46" s="502"/>
      <c r="AO46" s="502"/>
      <c r="AP46" s="502"/>
      <c r="AQ46" s="502"/>
      <c r="AR46" s="502"/>
      <c r="AS46" s="502"/>
      <c r="AT46" s="502"/>
      <c r="AU46" s="502"/>
      <c r="AV46" s="502"/>
    </row>
    <row r="47" spans="1:48">
      <c r="A47" s="687"/>
      <c r="B47" s="687"/>
      <c r="C47" s="687"/>
      <c r="D47" s="687"/>
      <c r="E47" s="687"/>
      <c r="F47" s="687"/>
      <c r="G47" s="687"/>
      <c r="H47" s="688"/>
      <c r="I47" s="687"/>
      <c r="J47" s="687"/>
      <c r="K47" s="687"/>
      <c r="L47" s="688"/>
      <c r="M47" s="688"/>
      <c r="N47" s="688"/>
      <c r="O47" s="687"/>
      <c r="P47" s="502"/>
      <c r="Q47" s="502"/>
      <c r="R47" s="502"/>
      <c r="S47" s="502"/>
      <c r="T47" s="502"/>
      <c r="U47" s="502"/>
      <c r="V47" s="502"/>
      <c r="W47" s="502"/>
      <c r="X47" s="502"/>
      <c r="Y47" s="502"/>
      <c r="Z47" s="502"/>
      <c r="AA47" s="502"/>
      <c r="AB47" s="502"/>
      <c r="AC47" s="502"/>
      <c r="AD47" s="502"/>
      <c r="AE47" s="502"/>
      <c r="AF47" s="502"/>
      <c r="AG47" s="502"/>
      <c r="AH47" s="502"/>
      <c r="AI47" s="502"/>
      <c r="AJ47" s="502"/>
      <c r="AK47" s="502"/>
      <c r="AL47" s="502"/>
      <c r="AM47" s="502"/>
      <c r="AN47" s="502"/>
      <c r="AO47" s="502"/>
      <c r="AP47" s="502"/>
      <c r="AQ47" s="502"/>
      <c r="AR47" s="502"/>
      <c r="AS47" s="502"/>
      <c r="AT47" s="502"/>
      <c r="AU47" s="502"/>
      <c r="AV47" s="502"/>
    </row>
    <row r="48" spans="1:48">
      <c r="A48" s="687"/>
      <c r="B48" s="687"/>
      <c r="C48" s="687"/>
      <c r="D48" s="687"/>
      <c r="E48" s="687"/>
      <c r="F48" s="687"/>
      <c r="G48" s="687"/>
      <c r="H48" s="688"/>
      <c r="I48" s="687"/>
      <c r="J48" s="687"/>
      <c r="K48" s="687"/>
      <c r="L48" s="688"/>
      <c r="M48" s="688"/>
      <c r="N48" s="688"/>
      <c r="O48" s="687"/>
      <c r="P48" s="502"/>
      <c r="Q48" s="502"/>
      <c r="R48" s="502"/>
      <c r="S48" s="502"/>
      <c r="T48" s="502"/>
      <c r="U48" s="502"/>
      <c r="V48" s="502"/>
      <c r="W48" s="502"/>
      <c r="X48" s="502"/>
      <c r="Y48" s="502"/>
      <c r="Z48" s="502"/>
      <c r="AA48" s="502"/>
      <c r="AB48" s="502"/>
      <c r="AC48" s="502"/>
      <c r="AD48" s="502"/>
      <c r="AE48" s="502"/>
      <c r="AF48" s="502"/>
      <c r="AG48" s="502"/>
      <c r="AH48" s="502"/>
      <c r="AI48" s="502"/>
      <c r="AJ48" s="502"/>
      <c r="AK48" s="502"/>
      <c r="AL48" s="502"/>
      <c r="AM48" s="502"/>
      <c r="AN48" s="502"/>
      <c r="AO48" s="502"/>
      <c r="AP48" s="502"/>
      <c r="AQ48" s="502"/>
      <c r="AR48" s="502"/>
      <c r="AS48" s="502"/>
      <c r="AT48" s="502"/>
      <c r="AU48" s="502"/>
      <c r="AV48" s="502"/>
    </row>
    <row r="49" spans="1:48">
      <c r="A49" s="687"/>
      <c r="B49" s="687"/>
      <c r="C49" s="687"/>
      <c r="D49" s="687"/>
      <c r="E49" s="687"/>
      <c r="F49" s="687"/>
      <c r="G49" s="687"/>
      <c r="H49" s="688"/>
      <c r="I49" s="687"/>
      <c r="J49" s="687"/>
      <c r="K49" s="687"/>
      <c r="L49" s="688"/>
      <c r="M49" s="688"/>
      <c r="N49" s="688"/>
      <c r="O49" s="687"/>
      <c r="P49" s="502"/>
      <c r="Q49" s="502"/>
      <c r="R49" s="502"/>
      <c r="S49" s="502"/>
      <c r="T49" s="502"/>
      <c r="U49" s="502"/>
      <c r="V49" s="502"/>
      <c r="W49" s="502"/>
      <c r="X49" s="502"/>
      <c r="Y49" s="502"/>
      <c r="Z49" s="502"/>
      <c r="AA49" s="502"/>
      <c r="AB49" s="502"/>
      <c r="AC49" s="502"/>
      <c r="AD49" s="502"/>
      <c r="AE49" s="502"/>
      <c r="AF49" s="502"/>
      <c r="AG49" s="502"/>
      <c r="AH49" s="502"/>
      <c r="AI49" s="502"/>
      <c r="AJ49" s="502"/>
      <c r="AK49" s="502"/>
      <c r="AL49" s="502"/>
      <c r="AM49" s="502"/>
      <c r="AN49" s="502"/>
      <c r="AO49" s="502"/>
      <c r="AP49" s="502"/>
      <c r="AQ49" s="502"/>
      <c r="AR49" s="502"/>
      <c r="AS49" s="502"/>
      <c r="AT49" s="502"/>
      <c r="AU49" s="502"/>
      <c r="AV49" s="502"/>
    </row>
    <row r="50" spans="1:48">
      <c r="A50" s="687"/>
      <c r="B50" s="687"/>
      <c r="C50" s="687"/>
      <c r="D50" s="687"/>
      <c r="E50" s="687"/>
      <c r="F50" s="687"/>
      <c r="G50" s="687"/>
      <c r="H50" s="688"/>
      <c r="I50" s="687"/>
      <c r="J50" s="687"/>
      <c r="K50" s="687"/>
      <c r="L50" s="688"/>
      <c r="M50" s="688"/>
      <c r="N50" s="688"/>
      <c r="O50" s="687"/>
      <c r="P50" s="502"/>
      <c r="Q50" s="502"/>
      <c r="R50" s="502"/>
      <c r="S50" s="502"/>
      <c r="T50" s="502"/>
      <c r="U50" s="502"/>
      <c r="V50" s="502"/>
      <c r="W50" s="502"/>
      <c r="X50" s="502"/>
      <c r="Y50" s="502"/>
      <c r="Z50" s="502"/>
      <c r="AA50" s="502"/>
      <c r="AB50" s="502"/>
      <c r="AC50" s="502"/>
      <c r="AD50" s="502"/>
      <c r="AE50" s="502"/>
      <c r="AF50" s="502"/>
      <c r="AG50" s="502"/>
      <c r="AH50" s="502"/>
      <c r="AI50" s="502"/>
      <c r="AJ50" s="502"/>
      <c r="AK50" s="502"/>
      <c r="AL50" s="502"/>
      <c r="AM50" s="502"/>
      <c r="AN50" s="502"/>
      <c r="AO50" s="502"/>
      <c r="AP50" s="502"/>
      <c r="AQ50" s="502"/>
      <c r="AR50" s="502"/>
      <c r="AS50" s="502"/>
      <c r="AT50" s="502"/>
      <c r="AU50" s="502"/>
      <c r="AV50" s="502"/>
    </row>
    <row r="51" spans="1:48">
      <c r="A51" s="687"/>
      <c r="B51" s="687"/>
      <c r="C51" s="687"/>
      <c r="D51" s="687"/>
      <c r="E51" s="687"/>
      <c r="F51" s="687"/>
      <c r="G51" s="687"/>
      <c r="H51" s="688"/>
      <c r="I51" s="687"/>
      <c r="J51" s="687"/>
      <c r="K51" s="687"/>
      <c r="L51" s="688"/>
      <c r="M51" s="688"/>
      <c r="N51" s="688"/>
      <c r="O51" s="687"/>
      <c r="P51" s="502"/>
      <c r="Q51" s="502"/>
      <c r="R51" s="502"/>
      <c r="S51" s="502"/>
      <c r="T51" s="502"/>
      <c r="U51" s="502"/>
      <c r="V51" s="502"/>
      <c r="W51" s="502"/>
      <c r="X51" s="502"/>
      <c r="Y51" s="502"/>
      <c r="Z51" s="502"/>
      <c r="AA51" s="502"/>
      <c r="AB51" s="502"/>
      <c r="AC51" s="502"/>
      <c r="AD51" s="502"/>
      <c r="AE51" s="502"/>
      <c r="AF51" s="502"/>
      <c r="AG51" s="502"/>
      <c r="AH51" s="502"/>
      <c r="AI51" s="502"/>
      <c r="AJ51" s="502"/>
      <c r="AK51" s="502"/>
      <c r="AL51" s="502"/>
      <c r="AM51" s="502"/>
      <c r="AN51" s="502"/>
      <c r="AO51" s="502"/>
      <c r="AP51" s="502"/>
      <c r="AQ51" s="502"/>
      <c r="AR51" s="502"/>
      <c r="AS51" s="502"/>
      <c r="AT51" s="502"/>
      <c r="AU51" s="502"/>
      <c r="AV51" s="502"/>
    </row>
    <row r="52" spans="1:48">
      <c r="A52" s="687"/>
      <c r="B52" s="687"/>
      <c r="C52" s="687"/>
      <c r="D52" s="687"/>
      <c r="E52" s="687"/>
      <c r="F52" s="687"/>
      <c r="G52" s="687"/>
      <c r="H52" s="688"/>
      <c r="I52" s="687"/>
      <c r="J52" s="687"/>
      <c r="K52" s="687"/>
      <c r="L52" s="688"/>
      <c r="M52" s="688"/>
      <c r="N52" s="688"/>
      <c r="O52" s="687"/>
      <c r="P52" s="502"/>
      <c r="Q52" s="502"/>
      <c r="R52" s="502"/>
      <c r="S52" s="502"/>
      <c r="T52" s="502"/>
      <c r="U52" s="502"/>
      <c r="V52" s="502"/>
      <c r="W52" s="502"/>
      <c r="X52" s="502"/>
      <c r="Y52" s="502"/>
      <c r="Z52" s="502"/>
      <c r="AA52" s="502"/>
      <c r="AB52" s="502"/>
      <c r="AC52" s="502"/>
      <c r="AD52" s="502"/>
      <c r="AE52" s="502"/>
      <c r="AF52" s="502"/>
      <c r="AG52" s="502"/>
      <c r="AH52" s="502"/>
      <c r="AI52" s="502"/>
      <c r="AJ52" s="502"/>
      <c r="AK52" s="502"/>
      <c r="AL52" s="502"/>
      <c r="AM52" s="502"/>
      <c r="AN52" s="502"/>
      <c r="AO52" s="502"/>
      <c r="AP52" s="502"/>
      <c r="AQ52" s="502"/>
      <c r="AR52" s="502"/>
      <c r="AS52" s="502"/>
      <c r="AT52" s="502"/>
      <c r="AU52" s="502"/>
      <c r="AV52" s="502"/>
    </row>
    <row r="53" spans="1:48">
      <c r="A53" s="687"/>
      <c r="B53" s="687"/>
      <c r="C53" s="687"/>
      <c r="D53" s="687"/>
      <c r="E53" s="687"/>
      <c r="F53" s="687"/>
      <c r="G53" s="687"/>
      <c r="H53" s="688"/>
      <c r="I53" s="687"/>
      <c r="J53" s="687"/>
      <c r="K53" s="687"/>
      <c r="L53" s="688"/>
      <c r="M53" s="688"/>
      <c r="N53" s="688"/>
      <c r="O53" s="687"/>
      <c r="P53" s="502"/>
      <c r="Q53" s="502"/>
      <c r="R53" s="502"/>
      <c r="S53" s="502"/>
      <c r="T53" s="502"/>
      <c r="U53" s="502"/>
      <c r="V53" s="502"/>
      <c r="W53" s="502"/>
      <c r="X53" s="502"/>
      <c r="Y53" s="502"/>
      <c r="Z53" s="502"/>
      <c r="AA53" s="502"/>
      <c r="AB53" s="502"/>
      <c r="AC53" s="502"/>
      <c r="AD53" s="502"/>
      <c r="AE53" s="502"/>
      <c r="AF53" s="502"/>
      <c r="AG53" s="502"/>
      <c r="AH53" s="502"/>
      <c r="AI53" s="502"/>
      <c r="AJ53" s="502"/>
      <c r="AK53" s="502"/>
      <c r="AL53" s="502"/>
      <c r="AM53" s="502"/>
      <c r="AN53" s="502"/>
      <c r="AO53" s="502"/>
      <c r="AP53" s="502"/>
      <c r="AQ53" s="502"/>
      <c r="AR53" s="502"/>
      <c r="AS53" s="502"/>
      <c r="AT53" s="502"/>
      <c r="AU53" s="502"/>
      <c r="AV53" s="502"/>
    </row>
    <row r="54" spans="1:48">
      <c r="A54" s="687"/>
      <c r="B54" s="687"/>
      <c r="C54" s="687"/>
      <c r="D54" s="687"/>
      <c r="E54" s="687"/>
      <c r="F54" s="687"/>
      <c r="G54" s="687"/>
      <c r="H54" s="688"/>
      <c r="I54" s="687"/>
      <c r="J54" s="687"/>
      <c r="K54" s="687"/>
      <c r="L54" s="688"/>
      <c r="M54" s="688"/>
      <c r="N54" s="688"/>
      <c r="O54" s="687"/>
      <c r="P54" s="502"/>
      <c r="Q54" s="502"/>
      <c r="R54" s="502"/>
      <c r="S54" s="502"/>
      <c r="T54" s="502"/>
      <c r="U54" s="502"/>
      <c r="V54" s="502"/>
      <c r="W54" s="502"/>
      <c r="X54" s="502"/>
      <c r="Y54" s="502"/>
      <c r="Z54" s="502"/>
      <c r="AA54" s="502"/>
      <c r="AB54" s="502"/>
      <c r="AC54" s="502"/>
      <c r="AD54" s="502"/>
      <c r="AE54" s="502"/>
      <c r="AF54" s="502"/>
      <c r="AG54" s="502"/>
      <c r="AH54" s="502"/>
      <c r="AI54" s="502"/>
      <c r="AJ54" s="502"/>
      <c r="AK54" s="502"/>
      <c r="AL54" s="502"/>
      <c r="AM54" s="502"/>
      <c r="AN54" s="502"/>
      <c r="AO54" s="502"/>
      <c r="AP54" s="502"/>
      <c r="AQ54" s="502"/>
      <c r="AR54" s="502"/>
      <c r="AS54" s="502"/>
      <c r="AT54" s="502"/>
      <c r="AU54" s="502"/>
      <c r="AV54" s="502"/>
    </row>
    <row r="55" spans="1:48">
      <c r="A55" s="565"/>
      <c r="B55" s="565"/>
      <c r="C55" s="565"/>
      <c r="D55" s="565"/>
      <c r="E55" s="565"/>
      <c r="F55" s="565"/>
      <c r="G55" s="565"/>
      <c r="H55" s="691"/>
      <c r="I55" s="565"/>
      <c r="J55" s="565"/>
      <c r="K55" s="565"/>
      <c r="L55" s="691"/>
      <c r="M55" s="691"/>
      <c r="N55" s="691"/>
      <c r="O55" s="565"/>
      <c r="P55" s="502"/>
      <c r="Q55" s="502"/>
      <c r="R55" s="502"/>
      <c r="S55" s="502"/>
      <c r="T55" s="502"/>
      <c r="U55" s="502"/>
      <c r="V55" s="502"/>
      <c r="W55" s="502"/>
      <c r="X55" s="502"/>
      <c r="Y55" s="502"/>
      <c r="Z55" s="502"/>
      <c r="AA55" s="502"/>
      <c r="AB55" s="502"/>
      <c r="AC55" s="502"/>
      <c r="AD55" s="502"/>
      <c r="AE55" s="502"/>
      <c r="AF55" s="502"/>
      <c r="AG55" s="502"/>
      <c r="AH55" s="502"/>
      <c r="AI55" s="502"/>
      <c r="AJ55" s="502"/>
      <c r="AK55" s="502"/>
      <c r="AL55" s="502"/>
      <c r="AM55" s="502"/>
      <c r="AN55" s="502"/>
      <c r="AO55" s="502"/>
      <c r="AP55" s="502"/>
      <c r="AQ55" s="502"/>
      <c r="AR55" s="502"/>
      <c r="AS55" s="502"/>
      <c r="AT55" s="502"/>
      <c r="AU55" s="502"/>
      <c r="AV55" s="502"/>
    </row>
    <row r="56" spans="1:48">
      <c r="A56" s="565"/>
      <c r="B56" s="565"/>
      <c r="C56" s="565"/>
      <c r="D56" s="565"/>
      <c r="E56" s="565"/>
      <c r="F56" s="565"/>
      <c r="G56" s="565"/>
      <c r="H56" s="691"/>
      <c r="I56" s="565"/>
      <c r="J56" s="565"/>
      <c r="K56" s="565"/>
      <c r="L56" s="691"/>
      <c r="M56" s="691"/>
      <c r="N56" s="691"/>
      <c r="O56" s="565"/>
      <c r="P56" s="502"/>
      <c r="Q56" s="502"/>
      <c r="R56" s="502"/>
      <c r="S56" s="502"/>
      <c r="T56" s="502"/>
      <c r="U56" s="502"/>
      <c r="V56" s="502"/>
      <c r="W56" s="502"/>
      <c r="X56" s="502"/>
      <c r="Y56" s="502"/>
      <c r="Z56" s="502"/>
      <c r="AA56" s="502"/>
      <c r="AB56" s="502"/>
      <c r="AC56" s="502"/>
      <c r="AD56" s="502"/>
      <c r="AE56" s="502"/>
      <c r="AF56" s="502"/>
      <c r="AG56" s="502"/>
      <c r="AH56" s="502"/>
      <c r="AI56" s="502"/>
      <c r="AJ56" s="502"/>
      <c r="AK56" s="502"/>
      <c r="AL56" s="502"/>
      <c r="AM56" s="502"/>
      <c r="AN56" s="502"/>
      <c r="AO56" s="502"/>
      <c r="AP56" s="502"/>
      <c r="AQ56" s="502"/>
      <c r="AR56" s="502"/>
      <c r="AS56" s="502"/>
      <c r="AT56" s="502"/>
      <c r="AU56" s="502"/>
      <c r="AV56" s="502"/>
    </row>
    <row r="57" spans="1:48">
      <c r="A57" s="565"/>
      <c r="B57" s="565"/>
      <c r="C57" s="565"/>
      <c r="D57" s="565"/>
      <c r="E57" s="565"/>
      <c r="F57" s="565"/>
      <c r="G57" s="565"/>
      <c r="H57" s="691"/>
      <c r="I57" s="565"/>
      <c r="J57" s="565"/>
      <c r="K57" s="565"/>
      <c r="L57" s="691"/>
      <c r="M57" s="691"/>
      <c r="N57" s="691"/>
      <c r="O57" s="565"/>
      <c r="P57" s="502"/>
      <c r="Q57" s="502"/>
      <c r="R57" s="502"/>
      <c r="S57" s="502"/>
      <c r="T57" s="502"/>
      <c r="U57" s="502"/>
      <c r="V57" s="502"/>
      <c r="W57" s="502"/>
      <c r="X57" s="502"/>
      <c r="Y57" s="502"/>
      <c r="Z57" s="502"/>
      <c r="AA57" s="502"/>
      <c r="AB57" s="502"/>
      <c r="AC57" s="502"/>
      <c r="AD57" s="502"/>
      <c r="AE57" s="502"/>
      <c r="AF57" s="502"/>
      <c r="AG57" s="502"/>
      <c r="AH57" s="502"/>
      <c r="AI57" s="502"/>
      <c r="AJ57" s="502"/>
      <c r="AK57" s="502"/>
      <c r="AL57" s="502"/>
      <c r="AM57" s="502"/>
      <c r="AN57" s="502"/>
      <c r="AO57" s="502"/>
      <c r="AP57" s="502"/>
      <c r="AQ57" s="502"/>
      <c r="AR57" s="502"/>
      <c r="AS57" s="502"/>
      <c r="AT57" s="502"/>
      <c r="AU57" s="502"/>
      <c r="AV57" s="502"/>
    </row>
    <row r="58" spans="1:48">
      <c r="A58" s="565"/>
      <c r="B58" s="565"/>
      <c r="C58" s="565"/>
      <c r="D58" s="565"/>
      <c r="E58" s="565"/>
      <c r="F58" s="565"/>
      <c r="G58" s="565"/>
      <c r="H58" s="691"/>
      <c r="I58" s="565"/>
      <c r="J58" s="565"/>
      <c r="K58" s="565"/>
      <c r="L58" s="691"/>
      <c r="M58" s="691"/>
      <c r="N58" s="691"/>
      <c r="O58" s="565"/>
      <c r="P58" s="502"/>
      <c r="Q58" s="502"/>
      <c r="R58" s="502"/>
      <c r="S58" s="502"/>
      <c r="T58" s="502"/>
      <c r="U58" s="502"/>
      <c r="V58" s="502"/>
      <c r="W58" s="502"/>
      <c r="X58" s="502"/>
      <c r="Y58" s="502"/>
      <c r="Z58" s="502"/>
      <c r="AA58" s="502"/>
      <c r="AB58" s="502"/>
      <c r="AC58" s="502"/>
      <c r="AD58" s="502"/>
      <c r="AE58" s="502"/>
      <c r="AF58" s="502"/>
      <c r="AG58" s="502"/>
      <c r="AH58" s="502"/>
      <c r="AI58" s="502"/>
      <c r="AJ58" s="502"/>
      <c r="AK58" s="502"/>
      <c r="AL58" s="502"/>
      <c r="AM58" s="502"/>
      <c r="AN58" s="502"/>
      <c r="AO58" s="502"/>
      <c r="AP58" s="502"/>
      <c r="AQ58" s="502"/>
      <c r="AR58" s="502"/>
      <c r="AS58" s="502"/>
      <c r="AT58" s="502"/>
      <c r="AU58" s="502"/>
      <c r="AV58" s="502"/>
    </row>
    <row r="59" spans="1:48">
      <c r="A59" s="565"/>
      <c r="B59" s="565"/>
      <c r="C59" s="565"/>
      <c r="D59" s="565"/>
      <c r="E59" s="565"/>
      <c r="F59" s="565"/>
      <c r="G59" s="565"/>
      <c r="H59" s="691"/>
      <c r="I59" s="565"/>
      <c r="J59" s="565"/>
      <c r="K59" s="565"/>
      <c r="L59" s="691"/>
      <c r="M59" s="691"/>
      <c r="N59" s="691"/>
      <c r="O59" s="565"/>
      <c r="P59" s="502"/>
      <c r="Q59" s="502"/>
      <c r="R59" s="502"/>
      <c r="S59" s="502"/>
      <c r="T59" s="502"/>
      <c r="U59" s="502"/>
      <c r="V59" s="502"/>
      <c r="W59" s="502"/>
      <c r="X59" s="502"/>
      <c r="Y59" s="502"/>
      <c r="Z59" s="502"/>
      <c r="AA59" s="502"/>
      <c r="AB59" s="502"/>
      <c r="AC59" s="502"/>
      <c r="AD59" s="502"/>
      <c r="AE59" s="502"/>
      <c r="AF59" s="502"/>
      <c r="AG59" s="502"/>
      <c r="AH59" s="502"/>
      <c r="AI59" s="502"/>
      <c r="AJ59" s="502"/>
      <c r="AK59" s="502"/>
      <c r="AL59" s="502"/>
      <c r="AM59" s="502"/>
      <c r="AN59" s="502"/>
      <c r="AO59" s="502"/>
      <c r="AP59" s="502"/>
      <c r="AQ59" s="502"/>
      <c r="AR59" s="502"/>
      <c r="AS59" s="502"/>
      <c r="AT59" s="502"/>
      <c r="AU59" s="502"/>
      <c r="AV59" s="502"/>
    </row>
    <row r="60" spans="1:48">
      <c r="A60" s="565"/>
      <c r="B60" s="565"/>
      <c r="C60" s="565"/>
      <c r="D60" s="565"/>
      <c r="E60" s="565"/>
      <c r="F60" s="565"/>
      <c r="G60" s="565"/>
      <c r="H60" s="691"/>
      <c r="I60" s="565"/>
      <c r="J60" s="565"/>
      <c r="K60" s="565"/>
      <c r="L60" s="691"/>
      <c r="M60" s="691"/>
      <c r="N60" s="691"/>
      <c r="O60" s="565"/>
      <c r="P60" s="502"/>
      <c r="Q60" s="502"/>
      <c r="R60" s="502"/>
      <c r="S60" s="502"/>
      <c r="T60" s="502"/>
      <c r="U60" s="502"/>
      <c r="V60" s="502"/>
      <c r="W60" s="502"/>
      <c r="X60" s="502"/>
      <c r="Y60" s="502"/>
      <c r="Z60" s="502"/>
      <c r="AA60" s="502"/>
      <c r="AB60" s="502"/>
      <c r="AC60" s="502"/>
      <c r="AD60" s="502"/>
      <c r="AE60" s="502"/>
      <c r="AF60" s="502"/>
      <c r="AG60" s="502"/>
      <c r="AH60" s="502"/>
      <c r="AI60" s="502"/>
      <c r="AJ60" s="502"/>
      <c r="AK60" s="502"/>
      <c r="AL60" s="502"/>
      <c r="AM60" s="502"/>
      <c r="AN60" s="502"/>
      <c r="AO60" s="502"/>
      <c r="AP60" s="502"/>
      <c r="AQ60" s="502"/>
      <c r="AR60" s="502"/>
      <c r="AS60" s="502"/>
      <c r="AT60" s="502"/>
      <c r="AU60" s="502"/>
      <c r="AV60" s="502"/>
    </row>
    <row r="61" spans="1:48">
      <c r="A61" s="565"/>
      <c r="B61" s="565"/>
      <c r="C61" s="565"/>
      <c r="D61" s="565"/>
      <c r="E61" s="565"/>
      <c r="F61" s="565"/>
      <c r="G61" s="565"/>
      <c r="H61" s="691"/>
      <c r="I61" s="565"/>
      <c r="J61" s="565"/>
      <c r="K61" s="565"/>
      <c r="L61" s="691"/>
      <c r="M61" s="691"/>
      <c r="N61" s="691"/>
      <c r="O61" s="565"/>
      <c r="P61" s="502"/>
      <c r="Q61" s="502"/>
      <c r="R61" s="502"/>
      <c r="S61" s="502"/>
      <c r="T61" s="502"/>
      <c r="U61" s="502"/>
      <c r="V61" s="502"/>
      <c r="W61" s="502"/>
      <c r="X61" s="502"/>
      <c r="Y61" s="502"/>
      <c r="Z61" s="502"/>
      <c r="AA61" s="502"/>
      <c r="AB61" s="502"/>
      <c r="AC61" s="502"/>
      <c r="AD61" s="502"/>
      <c r="AE61" s="502"/>
      <c r="AF61" s="502"/>
      <c r="AG61" s="502"/>
      <c r="AH61" s="502"/>
      <c r="AI61" s="502"/>
      <c r="AJ61" s="502"/>
      <c r="AK61" s="502"/>
      <c r="AL61" s="502"/>
      <c r="AM61" s="502"/>
      <c r="AN61" s="502"/>
      <c r="AO61" s="502"/>
      <c r="AP61" s="502"/>
      <c r="AQ61" s="502"/>
      <c r="AR61" s="502"/>
      <c r="AS61" s="502"/>
      <c r="AT61" s="502"/>
      <c r="AU61" s="502"/>
      <c r="AV61" s="502"/>
    </row>
    <row r="62" spans="1:48">
      <c r="A62" s="565"/>
      <c r="B62" s="565"/>
      <c r="C62" s="565"/>
      <c r="D62" s="565"/>
      <c r="E62" s="565"/>
      <c r="F62" s="565"/>
      <c r="G62" s="565"/>
      <c r="H62" s="691"/>
      <c r="I62" s="565"/>
      <c r="J62" s="565"/>
      <c r="K62" s="565"/>
      <c r="L62" s="691"/>
      <c r="M62" s="691"/>
      <c r="N62" s="691"/>
      <c r="O62" s="565"/>
      <c r="P62" s="502"/>
      <c r="Q62" s="502"/>
      <c r="R62" s="502"/>
      <c r="S62" s="502"/>
      <c r="T62" s="502"/>
      <c r="U62" s="502"/>
      <c r="V62" s="502"/>
      <c r="W62" s="502"/>
      <c r="X62" s="502"/>
      <c r="Y62" s="502"/>
      <c r="Z62" s="502"/>
      <c r="AA62" s="502"/>
      <c r="AB62" s="502"/>
      <c r="AC62" s="502"/>
      <c r="AD62" s="502"/>
      <c r="AE62" s="502"/>
      <c r="AF62" s="502"/>
      <c r="AG62" s="502"/>
      <c r="AH62" s="502"/>
      <c r="AI62" s="502"/>
      <c r="AJ62" s="502"/>
      <c r="AK62" s="502"/>
      <c r="AL62" s="502"/>
      <c r="AM62" s="502"/>
      <c r="AN62" s="502"/>
      <c r="AO62" s="502"/>
      <c r="AP62" s="502"/>
      <c r="AQ62" s="502"/>
      <c r="AR62" s="502"/>
      <c r="AS62" s="502"/>
      <c r="AT62" s="502"/>
      <c r="AU62" s="502"/>
      <c r="AV62" s="502"/>
    </row>
    <row r="63" spans="1:48">
      <c r="A63" s="565"/>
      <c r="B63" s="565"/>
      <c r="C63" s="565"/>
      <c r="D63" s="565"/>
      <c r="E63" s="565"/>
      <c r="F63" s="565"/>
      <c r="G63" s="565"/>
      <c r="H63" s="691"/>
      <c r="I63" s="565"/>
      <c r="J63" s="565"/>
      <c r="K63" s="565"/>
      <c r="L63" s="691"/>
      <c r="M63" s="691"/>
      <c r="N63" s="691"/>
      <c r="O63" s="565"/>
      <c r="P63" s="502"/>
      <c r="Q63" s="502"/>
      <c r="R63" s="502"/>
      <c r="S63" s="502"/>
      <c r="T63" s="502"/>
      <c r="U63" s="502"/>
      <c r="V63" s="502"/>
      <c r="W63" s="502"/>
      <c r="X63" s="502"/>
      <c r="Y63" s="502"/>
      <c r="Z63" s="502"/>
      <c r="AA63" s="502"/>
      <c r="AB63" s="502"/>
      <c r="AC63" s="502"/>
      <c r="AD63" s="502"/>
      <c r="AE63" s="502"/>
      <c r="AF63" s="502"/>
      <c r="AG63" s="502"/>
      <c r="AH63" s="502"/>
      <c r="AI63" s="502"/>
      <c r="AJ63" s="502"/>
      <c r="AK63" s="502"/>
      <c r="AL63" s="502"/>
      <c r="AM63" s="502"/>
      <c r="AN63" s="502"/>
      <c r="AO63" s="502"/>
      <c r="AP63" s="502"/>
      <c r="AQ63" s="502"/>
      <c r="AR63" s="502"/>
      <c r="AS63" s="502"/>
      <c r="AT63" s="502"/>
      <c r="AU63" s="502"/>
      <c r="AV63" s="502"/>
    </row>
    <row r="64" spans="1:48">
      <c r="A64" s="565"/>
      <c r="B64" s="565"/>
      <c r="C64" s="565"/>
      <c r="D64" s="565"/>
      <c r="E64" s="565"/>
      <c r="F64" s="565"/>
      <c r="G64" s="565"/>
      <c r="H64" s="691"/>
      <c r="I64" s="565"/>
      <c r="J64" s="565"/>
      <c r="K64" s="565"/>
      <c r="L64" s="691"/>
      <c r="M64" s="691"/>
      <c r="N64" s="691"/>
      <c r="O64" s="565"/>
      <c r="P64" s="502"/>
      <c r="Q64" s="502"/>
      <c r="R64" s="502"/>
      <c r="S64" s="502"/>
      <c r="T64" s="502"/>
      <c r="U64" s="502"/>
      <c r="V64" s="502"/>
      <c r="W64" s="502"/>
      <c r="X64" s="502"/>
      <c r="Y64" s="502"/>
      <c r="Z64" s="502"/>
      <c r="AA64" s="502"/>
      <c r="AB64" s="502"/>
      <c r="AC64" s="502"/>
      <c r="AD64" s="502"/>
      <c r="AE64" s="502"/>
      <c r="AF64" s="502"/>
      <c r="AG64" s="502"/>
      <c r="AH64" s="502"/>
      <c r="AI64" s="502"/>
      <c r="AJ64" s="502"/>
      <c r="AK64" s="502"/>
      <c r="AL64" s="502"/>
      <c r="AM64" s="502"/>
      <c r="AN64" s="502"/>
      <c r="AO64" s="502"/>
      <c r="AP64" s="502"/>
      <c r="AQ64" s="502"/>
      <c r="AR64" s="502"/>
      <c r="AS64" s="502"/>
      <c r="AT64" s="502"/>
      <c r="AU64" s="502"/>
      <c r="AV64" s="502"/>
    </row>
    <row r="65" spans="1:48">
      <c r="A65" s="565"/>
      <c r="B65" s="565"/>
      <c r="C65" s="565"/>
      <c r="D65" s="565"/>
      <c r="E65" s="565"/>
      <c r="F65" s="565"/>
      <c r="G65" s="565"/>
      <c r="H65" s="691"/>
      <c r="I65" s="565"/>
      <c r="J65" s="565"/>
      <c r="K65" s="565"/>
      <c r="L65" s="691"/>
      <c r="M65" s="691"/>
      <c r="N65" s="691"/>
      <c r="O65" s="565"/>
      <c r="P65" s="502"/>
      <c r="Q65" s="502"/>
      <c r="R65" s="502"/>
      <c r="S65" s="502"/>
      <c r="T65" s="502"/>
      <c r="U65" s="502"/>
      <c r="V65" s="502"/>
      <c r="W65" s="502"/>
      <c r="X65" s="502"/>
      <c r="Y65" s="502"/>
      <c r="Z65" s="502"/>
      <c r="AA65" s="502"/>
      <c r="AB65" s="502"/>
      <c r="AC65" s="502"/>
      <c r="AD65" s="502"/>
      <c r="AE65" s="502"/>
      <c r="AF65" s="502"/>
      <c r="AG65" s="502"/>
      <c r="AH65" s="502"/>
      <c r="AI65" s="502"/>
      <c r="AJ65" s="502"/>
      <c r="AK65" s="502"/>
      <c r="AL65" s="502"/>
      <c r="AM65" s="502"/>
      <c r="AN65" s="502"/>
      <c r="AO65" s="502"/>
      <c r="AP65" s="502"/>
      <c r="AQ65" s="502"/>
      <c r="AR65" s="502"/>
      <c r="AS65" s="502"/>
      <c r="AT65" s="502"/>
      <c r="AU65" s="502"/>
      <c r="AV65" s="502"/>
    </row>
    <row r="66" spans="1:48">
      <c r="A66" s="565"/>
      <c r="B66" s="565"/>
      <c r="C66" s="565"/>
      <c r="D66" s="565"/>
      <c r="E66" s="565"/>
      <c r="F66" s="565"/>
      <c r="G66" s="565"/>
      <c r="H66" s="691"/>
      <c r="I66" s="565"/>
      <c r="J66" s="565"/>
      <c r="K66" s="565"/>
      <c r="L66" s="691"/>
      <c r="M66" s="691"/>
      <c r="N66" s="691"/>
      <c r="O66" s="565"/>
      <c r="P66" s="502"/>
      <c r="Q66" s="502"/>
      <c r="R66" s="502"/>
      <c r="S66" s="502"/>
      <c r="T66" s="502"/>
      <c r="U66" s="502"/>
      <c r="V66" s="502"/>
      <c r="W66" s="502"/>
      <c r="X66" s="502"/>
      <c r="Y66" s="502"/>
      <c r="Z66" s="502"/>
      <c r="AA66" s="502"/>
      <c r="AB66" s="502"/>
      <c r="AC66" s="502"/>
      <c r="AD66" s="502"/>
      <c r="AE66" s="502"/>
      <c r="AF66" s="502"/>
      <c r="AG66" s="502"/>
      <c r="AH66" s="502"/>
      <c r="AI66" s="502"/>
      <c r="AJ66" s="502"/>
      <c r="AK66" s="502"/>
      <c r="AL66" s="502"/>
      <c r="AM66" s="502"/>
      <c r="AN66" s="502"/>
      <c r="AO66" s="502"/>
      <c r="AP66" s="502"/>
      <c r="AQ66" s="502"/>
      <c r="AR66" s="502"/>
      <c r="AS66" s="502"/>
      <c r="AT66" s="502"/>
      <c r="AU66" s="502"/>
      <c r="AV66" s="502"/>
    </row>
    <row r="67" spans="1:48">
      <c r="A67" s="565"/>
      <c r="B67" s="565"/>
      <c r="C67" s="565"/>
      <c r="D67" s="565"/>
      <c r="E67" s="565"/>
      <c r="F67" s="565"/>
      <c r="G67" s="565"/>
      <c r="H67" s="691"/>
      <c r="I67" s="565"/>
      <c r="J67" s="565"/>
      <c r="K67" s="565"/>
      <c r="L67" s="691"/>
      <c r="M67" s="691"/>
      <c r="N67" s="691"/>
      <c r="O67" s="565"/>
      <c r="P67" s="502"/>
      <c r="Q67" s="502"/>
      <c r="R67" s="502"/>
      <c r="S67" s="502"/>
      <c r="T67" s="502"/>
      <c r="U67" s="502"/>
      <c r="V67" s="502"/>
      <c r="W67" s="502"/>
      <c r="X67" s="502"/>
      <c r="Y67" s="502"/>
      <c r="Z67" s="502"/>
      <c r="AA67" s="502"/>
      <c r="AB67" s="502"/>
      <c r="AC67" s="502"/>
      <c r="AD67" s="502"/>
      <c r="AE67" s="502"/>
      <c r="AF67" s="502"/>
      <c r="AG67" s="502"/>
      <c r="AH67" s="502"/>
      <c r="AI67" s="502"/>
      <c r="AJ67" s="502"/>
      <c r="AK67" s="502"/>
      <c r="AL67" s="502"/>
      <c r="AM67" s="502"/>
      <c r="AN67" s="502"/>
      <c r="AO67" s="502"/>
      <c r="AP67" s="502"/>
      <c r="AQ67" s="502"/>
      <c r="AR67" s="502"/>
      <c r="AS67" s="502"/>
      <c r="AT67" s="502"/>
      <c r="AU67" s="502"/>
      <c r="AV67" s="502"/>
    </row>
    <row r="68" spans="1:48">
      <c r="A68" s="565"/>
      <c r="B68" s="565"/>
      <c r="C68" s="565"/>
      <c r="D68" s="565"/>
      <c r="E68" s="565"/>
      <c r="F68" s="565"/>
      <c r="G68" s="565"/>
      <c r="H68" s="691"/>
      <c r="I68" s="565"/>
      <c r="J68" s="565"/>
      <c r="K68" s="565"/>
      <c r="L68" s="691"/>
      <c r="M68" s="691"/>
      <c r="N68" s="691"/>
      <c r="O68" s="565"/>
      <c r="P68" s="502"/>
      <c r="Q68" s="502"/>
      <c r="R68" s="502"/>
      <c r="S68" s="502"/>
      <c r="T68" s="502"/>
      <c r="U68" s="502"/>
      <c r="V68" s="502"/>
      <c r="W68" s="502"/>
      <c r="X68" s="502"/>
      <c r="Y68" s="502"/>
      <c r="Z68" s="502"/>
      <c r="AA68" s="502"/>
      <c r="AB68" s="502"/>
      <c r="AC68" s="502"/>
      <c r="AD68" s="502"/>
      <c r="AE68" s="502"/>
      <c r="AF68" s="502"/>
      <c r="AG68" s="502"/>
      <c r="AH68" s="502"/>
      <c r="AI68" s="502"/>
      <c r="AJ68" s="502"/>
      <c r="AK68" s="502"/>
      <c r="AL68" s="502"/>
      <c r="AM68" s="502"/>
      <c r="AN68" s="502"/>
      <c r="AO68" s="502"/>
      <c r="AP68" s="502"/>
      <c r="AQ68" s="502"/>
      <c r="AR68" s="502"/>
      <c r="AS68" s="502"/>
      <c r="AT68" s="502"/>
      <c r="AU68" s="502"/>
      <c r="AV68" s="502"/>
    </row>
    <row r="69" spans="1:48">
      <c r="A69" s="565"/>
      <c r="B69" s="565"/>
      <c r="C69" s="565"/>
      <c r="D69" s="565"/>
      <c r="E69" s="565"/>
      <c r="F69" s="565"/>
      <c r="G69" s="565"/>
      <c r="H69" s="691"/>
      <c r="I69" s="565"/>
      <c r="J69" s="565"/>
      <c r="K69" s="565"/>
      <c r="L69" s="691"/>
      <c r="M69" s="691"/>
      <c r="N69" s="691"/>
      <c r="O69" s="565"/>
      <c r="P69" s="502"/>
      <c r="Q69" s="502"/>
      <c r="R69" s="502"/>
      <c r="S69" s="502"/>
      <c r="T69" s="502"/>
      <c r="U69" s="502"/>
      <c r="V69" s="502"/>
      <c r="W69" s="502"/>
      <c r="X69" s="502"/>
      <c r="Y69" s="502"/>
      <c r="Z69" s="502"/>
      <c r="AA69" s="502"/>
      <c r="AB69" s="502"/>
      <c r="AC69" s="502"/>
      <c r="AD69" s="502"/>
      <c r="AE69" s="502"/>
      <c r="AF69" s="502"/>
      <c r="AG69" s="502"/>
      <c r="AH69" s="502"/>
      <c r="AI69" s="502"/>
      <c r="AJ69" s="502"/>
      <c r="AK69" s="502"/>
      <c r="AL69" s="502"/>
      <c r="AM69" s="502"/>
      <c r="AN69" s="502"/>
      <c r="AO69" s="502"/>
      <c r="AP69" s="502"/>
      <c r="AQ69" s="502"/>
      <c r="AR69" s="502"/>
      <c r="AS69" s="502"/>
      <c r="AT69" s="502"/>
      <c r="AU69" s="502"/>
      <c r="AV69" s="502"/>
    </row>
    <row r="70" spans="1:48">
      <c r="A70" s="565"/>
      <c r="B70" s="565"/>
      <c r="C70" s="565"/>
      <c r="D70" s="565"/>
      <c r="E70" s="565"/>
      <c r="F70" s="565"/>
      <c r="G70" s="565"/>
      <c r="H70" s="691"/>
      <c r="I70" s="565"/>
      <c r="J70" s="565"/>
      <c r="K70" s="565"/>
      <c r="L70" s="691"/>
      <c r="M70" s="691"/>
      <c r="N70" s="691"/>
      <c r="O70" s="565"/>
      <c r="P70" s="502"/>
      <c r="Q70" s="502"/>
      <c r="R70" s="502"/>
      <c r="S70" s="502"/>
      <c r="T70" s="502"/>
      <c r="U70" s="502"/>
      <c r="V70" s="502"/>
      <c r="W70" s="502"/>
      <c r="X70" s="502"/>
      <c r="Y70" s="502"/>
      <c r="Z70" s="502"/>
      <c r="AA70" s="502"/>
      <c r="AB70" s="502"/>
      <c r="AC70" s="502"/>
      <c r="AD70" s="502"/>
      <c r="AE70" s="502"/>
      <c r="AF70" s="502"/>
      <c r="AG70" s="502"/>
      <c r="AH70" s="502"/>
      <c r="AI70" s="502"/>
      <c r="AJ70" s="502"/>
      <c r="AK70" s="502"/>
      <c r="AL70" s="502"/>
      <c r="AM70" s="502"/>
      <c r="AN70" s="502"/>
      <c r="AO70" s="502"/>
      <c r="AP70" s="502"/>
      <c r="AQ70" s="502"/>
      <c r="AR70" s="502"/>
      <c r="AS70" s="502"/>
      <c r="AT70" s="502"/>
      <c r="AU70" s="502"/>
      <c r="AV70" s="502"/>
    </row>
    <row r="71" spans="1:48">
      <c r="A71" s="565"/>
      <c r="B71" s="565"/>
      <c r="C71" s="565"/>
      <c r="D71" s="565"/>
      <c r="E71" s="565"/>
      <c r="F71" s="565"/>
      <c r="G71" s="565"/>
      <c r="H71" s="691"/>
      <c r="I71" s="565"/>
      <c r="J71" s="565"/>
      <c r="K71" s="565"/>
      <c r="L71" s="691"/>
      <c r="M71" s="691"/>
      <c r="N71" s="691"/>
      <c r="O71" s="565"/>
      <c r="P71" s="502"/>
      <c r="Q71" s="502"/>
      <c r="R71" s="502"/>
      <c r="S71" s="502"/>
      <c r="T71" s="502"/>
      <c r="U71" s="502"/>
      <c r="V71" s="502"/>
      <c r="W71" s="502"/>
      <c r="X71" s="502"/>
      <c r="Y71" s="502"/>
      <c r="Z71" s="502"/>
      <c r="AA71" s="502"/>
      <c r="AB71" s="502"/>
      <c r="AC71" s="502"/>
      <c r="AD71" s="502"/>
      <c r="AE71" s="502"/>
      <c r="AF71" s="502"/>
      <c r="AG71" s="502"/>
      <c r="AH71" s="502"/>
      <c r="AI71" s="502"/>
      <c r="AJ71" s="502"/>
      <c r="AK71" s="502"/>
      <c r="AL71" s="502"/>
      <c r="AM71" s="502"/>
      <c r="AN71" s="502"/>
      <c r="AO71" s="502"/>
      <c r="AP71" s="502"/>
      <c r="AQ71" s="502"/>
      <c r="AR71" s="502"/>
      <c r="AS71" s="502"/>
      <c r="AT71" s="502"/>
      <c r="AU71" s="502"/>
      <c r="AV71" s="502"/>
    </row>
    <row r="72" spans="1:48">
      <c r="A72" s="565"/>
      <c r="B72" s="565"/>
      <c r="C72" s="565"/>
      <c r="D72" s="565"/>
      <c r="E72" s="565"/>
      <c r="F72" s="565"/>
      <c r="G72" s="565"/>
      <c r="H72" s="691"/>
      <c r="I72" s="565"/>
      <c r="J72" s="565"/>
      <c r="K72" s="565"/>
      <c r="L72" s="691"/>
      <c r="M72" s="691"/>
      <c r="N72" s="691"/>
      <c r="O72" s="565"/>
      <c r="P72" s="502"/>
      <c r="Q72" s="502"/>
      <c r="R72" s="502"/>
      <c r="S72" s="502"/>
      <c r="T72" s="502"/>
      <c r="U72" s="502"/>
      <c r="V72" s="502"/>
      <c r="W72" s="502"/>
      <c r="X72" s="502"/>
      <c r="Y72" s="502"/>
      <c r="Z72" s="502"/>
      <c r="AA72" s="502"/>
      <c r="AB72" s="502"/>
      <c r="AC72" s="502"/>
      <c r="AD72" s="502"/>
      <c r="AE72" s="502"/>
      <c r="AF72" s="502"/>
      <c r="AG72" s="502"/>
      <c r="AH72" s="502"/>
      <c r="AI72" s="502"/>
      <c r="AJ72" s="502"/>
      <c r="AK72" s="502"/>
      <c r="AL72" s="502"/>
      <c r="AM72" s="502"/>
      <c r="AN72" s="502"/>
      <c r="AO72" s="502"/>
      <c r="AP72" s="502"/>
      <c r="AQ72" s="502"/>
      <c r="AR72" s="502"/>
      <c r="AS72" s="502"/>
      <c r="AT72" s="502"/>
      <c r="AU72" s="502"/>
      <c r="AV72" s="502"/>
    </row>
    <row r="73" spans="1:48">
      <c r="A73" s="565"/>
      <c r="B73" s="565"/>
      <c r="C73" s="565"/>
      <c r="D73" s="565"/>
      <c r="E73" s="565"/>
      <c r="F73" s="565"/>
      <c r="G73" s="565"/>
      <c r="H73" s="691"/>
      <c r="I73" s="565"/>
      <c r="J73" s="565"/>
      <c r="K73" s="565"/>
      <c r="L73" s="691"/>
      <c r="M73" s="691"/>
      <c r="N73" s="691"/>
      <c r="O73" s="565"/>
      <c r="P73" s="502"/>
      <c r="Q73" s="502"/>
      <c r="R73" s="502"/>
      <c r="S73" s="502"/>
      <c r="T73" s="502"/>
      <c r="U73" s="502"/>
      <c r="V73" s="502"/>
      <c r="W73" s="502"/>
      <c r="X73" s="502"/>
      <c r="Y73" s="502"/>
      <c r="Z73" s="502"/>
      <c r="AA73" s="502"/>
      <c r="AB73" s="502"/>
      <c r="AC73" s="502"/>
      <c r="AD73" s="502"/>
      <c r="AE73" s="502"/>
      <c r="AF73" s="502"/>
      <c r="AG73" s="502"/>
      <c r="AH73" s="502"/>
      <c r="AI73" s="502"/>
      <c r="AJ73" s="502"/>
      <c r="AK73" s="502"/>
      <c r="AL73" s="502"/>
      <c r="AM73" s="502"/>
      <c r="AN73" s="502"/>
      <c r="AO73" s="502"/>
      <c r="AP73" s="502"/>
      <c r="AQ73" s="502"/>
      <c r="AR73" s="502"/>
      <c r="AS73" s="502"/>
      <c r="AT73" s="502"/>
      <c r="AU73" s="502"/>
      <c r="AV73" s="502"/>
    </row>
    <row r="74" spans="1:48">
      <c r="A74" s="565"/>
      <c r="B74" s="565"/>
      <c r="C74" s="565"/>
      <c r="D74" s="565"/>
      <c r="E74" s="565"/>
      <c r="F74" s="565"/>
      <c r="G74" s="565"/>
      <c r="H74" s="691"/>
      <c r="I74" s="565"/>
      <c r="J74" s="565"/>
      <c r="K74" s="565"/>
      <c r="L74" s="691"/>
      <c r="M74" s="691"/>
      <c r="N74" s="691"/>
      <c r="O74" s="565"/>
      <c r="P74" s="502"/>
      <c r="Q74" s="502"/>
      <c r="R74" s="502"/>
      <c r="S74" s="502"/>
      <c r="T74" s="502"/>
      <c r="U74" s="502"/>
      <c r="V74" s="502"/>
      <c r="W74" s="502"/>
      <c r="X74" s="502"/>
      <c r="Y74" s="502"/>
      <c r="Z74" s="502"/>
      <c r="AA74" s="502"/>
      <c r="AB74" s="502"/>
      <c r="AC74" s="502"/>
      <c r="AD74" s="502"/>
      <c r="AE74" s="502"/>
      <c r="AF74" s="502"/>
      <c r="AG74" s="502"/>
      <c r="AH74" s="502"/>
      <c r="AI74" s="502"/>
      <c r="AJ74" s="502"/>
      <c r="AK74" s="502"/>
      <c r="AL74" s="502"/>
      <c r="AM74" s="502"/>
      <c r="AN74" s="502"/>
      <c r="AO74" s="502"/>
      <c r="AP74" s="502"/>
      <c r="AQ74" s="502"/>
      <c r="AR74" s="502"/>
      <c r="AS74" s="502"/>
      <c r="AT74" s="502"/>
      <c r="AU74" s="502"/>
      <c r="AV74" s="502"/>
    </row>
    <row r="75" spans="1:48">
      <c r="A75" s="565"/>
      <c r="B75" s="565"/>
      <c r="C75" s="565"/>
      <c r="D75" s="565"/>
      <c r="E75" s="565"/>
      <c r="F75" s="565"/>
      <c r="G75" s="565"/>
      <c r="H75" s="691"/>
      <c r="I75" s="565"/>
      <c r="J75" s="565"/>
      <c r="K75" s="565"/>
      <c r="L75" s="691"/>
      <c r="M75" s="691"/>
      <c r="N75" s="691"/>
      <c r="O75" s="565"/>
      <c r="P75" s="502"/>
      <c r="Q75" s="502"/>
      <c r="R75" s="502"/>
      <c r="S75" s="502"/>
      <c r="T75" s="502"/>
      <c r="U75" s="502"/>
      <c r="V75" s="502"/>
      <c r="W75" s="502"/>
      <c r="X75" s="502"/>
      <c r="Y75" s="502"/>
      <c r="Z75" s="502"/>
      <c r="AA75" s="502"/>
      <c r="AB75" s="502"/>
      <c r="AC75" s="502"/>
      <c r="AD75" s="502"/>
      <c r="AE75" s="502"/>
      <c r="AF75" s="502"/>
      <c r="AG75" s="502"/>
      <c r="AH75" s="502"/>
      <c r="AI75" s="502"/>
      <c r="AJ75" s="502"/>
      <c r="AK75" s="502"/>
      <c r="AL75" s="502"/>
      <c r="AM75" s="502"/>
      <c r="AN75" s="502"/>
      <c r="AO75" s="502"/>
      <c r="AP75" s="502"/>
      <c r="AQ75" s="502"/>
      <c r="AR75" s="502"/>
      <c r="AS75" s="502"/>
      <c r="AT75" s="502"/>
      <c r="AU75" s="502"/>
      <c r="AV75" s="502"/>
    </row>
    <row r="76" spans="1:48">
      <c r="A76" s="565"/>
      <c r="B76" s="565"/>
      <c r="C76" s="565"/>
      <c r="D76" s="565"/>
      <c r="E76" s="565"/>
      <c r="F76" s="565"/>
      <c r="G76" s="565"/>
      <c r="H76" s="691"/>
      <c r="I76" s="565"/>
      <c r="J76" s="565"/>
      <c r="K76" s="565"/>
      <c r="L76" s="691"/>
      <c r="M76" s="691"/>
      <c r="N76" s="691"/>
      <c r="O76" s="565"/>
      <c r="P76" s="502"/>
      <c r="Q76" s="502"/>
      <c r="R76" s="502"/>
      <c r="S76" s="502"/>
      <c r="T76" s="502"/>
      <c r="U76" s="502"/>
      <c r="V76" s="502"/>
      <c r="W76" s="502"/>
      <c r="X76" s="502"/>
      <c r="Y76" s="502"/>
      <c r="Z76" s="502"/>
      <c r="AA76" s="502"/>
      <c r="AB76" s="502"/>
      <c r="AC76" s="502"/>
      <c r="AD76" s="502"/>
      <c r="AE76" s="502"/>
      <c r="AF76" s="502"/>
      <c r="AG76" s="502"/>
      <c r="AH76" s="502"/>
      <c r="AI76" s="502"/>
      <c r="AJ76" s="502"/>
      <c r="AK76" s="502"/>
      <c r="AL76" s="502"/>
      <c r="AM76" s="502"/>
      <c r="AN76" s="502"/>
      <c r="AO76" s="502"/>
      <c r="AP76" s="502"/>
      <c r="AQ76" s="502"/>
      <c r="AR76" s="502"/>
      <c r="AS76" s="502"/>
      <c r="AT76" s="502"/>
      <c r="AU76" s="502"/>
      <c r="AV76" s="502"/>
    </row>
    <row r="77" spans="1:48">
      <c r="A77" s="565"/>
      <c r="B77" s="565"/>
      <c r="C77" s="565"/>
      <c r="D77" s="565"/>
      <c r="E77" s="565"/>
      <c r="F77" s="565"/>
      <c r="G77" s="565"/>
      <c r="H77" s="691"/>
      <c r="I77" s="565"/>
      <c r="J77" s="565"/>
      <c r="K77" s="565"/>
      <c r="L77" s="691"/>
      <c r="M77" s="691"/>
      <c r="N77" s="691"/>
      <c r="O77" s="565"/>
      <c r="P77" s="502"/>
      <c r="Q77" s="502"/>
      <c r="R77" s="502"/>
      <c r="S77" s="502"/>
      <c r="T77" s="502"/>
      <c r="U77" s="502"/>
      <c r="V77" s="502"/>
      <c r="W77" s="502"/>
      <c r="X77" s="502"/>
      <c r="Y77" s="502"/>
      <c r="Z77" s="502"/>
      <c r="AA77" s="502"/>
      <c r="AB77" s="502"/>
      <c r="AC77" s="502"/>
      <c r="AD77" s="502"/>
      <c r="AE77" s="502"/>
      <c r="AF77" s="502"/>
      <c r="AG77" s="502"/>
      <c r="AH77" s="502"/>
      <c r="AI77" s="502"/>
      <c r="AJ77" s="502"/>
      <c r="AK77" s="502"/>
      <c r="AL77" s="502"/>
      <c r="AM77" s="502"/>
      <c r="AN77" s="502"/>
      <c r="AO77" s="502"/>
      <c r="AP77" s="502"/>
      <c r="AQ77" s="502"/>
      <c r="AR77" s="502"/>
      <c r="AS77" s="502"/>
      <c r="AT77" s="502"/>
      <c r="AU77" s="502"/>
      <c r="AV77" s="502"/>
    </row>
    <row r="78" spans="1:48">
      <c r="A78" s="565"/>
      <c r="B78" s="565"/>
      <c r="C78" s="565"/>
      <c r="D78" s="565"/>
      <c r="E78" s="565"/>
      <c r="F78" s="565"/>
      <c r="G78" s="565"/>
      <c r="H78" s="691"/>
      <c r="I78" s="565"/>
      <c r="J78" s="565"/>
      <c r="K78" s="565"/>
      <c r="L78" s="691"/>
      <c r="M78" s="691"/>
      <c r="N78" s="691"/>
      <c r="O78" s="565"/>
      <c r="P78" s="502"/>
      <c r="Q78" s="502"/>
      <c r="R78" s="502"/>
      <c r="S78" s="502"/>
      <c r="T78" s="502"/>
      <c r="U78" s="502"/>
      <c r="V78" s="502"/>
      <c r="W78" s="502"/>
      <c r="X78" s="502"/>
      <c r="Y78" s="502"/>
      <c r="Z78" s="502"/>
      <c r="AA78" s="502"/>
      <c r="AB78" s="502"/>
      <c r="AC78" s="502"/>
      <c r="AD78" s="502"/>
      <c r="AE78" s="502"/>
      <c r="AF78" s="502"/>
      <c r="AG78" s="502"/>
      <c r="AH78" s="502"/>
      <c r="AI78" s="502"/>
      <c r="AJ78" s="502"/>
      <c r="AK78" s="502"/>
      <c r="AL78" s="502"/>
      <c r="AM78" s="502"/>
      <c r="AN78" s="502"/>
      <c r="AO78" s="502"/>
      <c r="AP78" s="502"/>
      <c r="AQ78" s="502"/>
      <c r="AR78" s="502"/>
      <c r="AS78" s="502"/>
      <c r="AT78" s="502"/>
      <c r="AU78" s="502"/>
      <c r="AV78" s="502"/>
    </row>
    <row r="79" spans="1:48">
      <c r="A79" s="565"/>
      <c r="B79" s="565"/>
      <c r="C79" s="565"/>
      <c r="D79" s="565"/>
      <c r="E79" s="565"/>
      <c r="F79" s="565"/>
      <c r="G79" s="565"/>
      <c r="H79" s="691"/>
      <c r="I79" s="565"/>
      <c r="J79" s="565"/>
      <c r="K79" s="565"/>
      <c r="L79" s="691"/>
      <c r="M79" s="691"/>
      <c r="N79" s="691"/>
      <c r="O79" s="565"/>
      <c r="P79" s="502"/>
      <c r="Q79" s="502"/>
      <c r="R79" s="502"/>
      <c r="S79" s="502"/>
      <c r="T79" s="502"/>
      <c r="U79" s="502"/>
      <c r="V79" s="502"/>
      <c r="W79" s="502"/>
      <c r="X79" s="502"/>
      <c r="Y79" s="502"/>
      <c r="Z79" s="502"/>
      <c r="AA79" s="502"/>
      <c r="AB79" s="502"/>
      <c r="AC79" s="502"/>
      <c r="AD79" s="502"/>
      <c r="AE79" s="502"/>
      <c r="AF79" s="502"/>
      <c r="AG79" s="502"/>
      <c r="AH79" s="502"/>
      <c r="AI79" s="502"/>
      <c r="AJ79" s="502"/>
      <c r="AK79" s="502"/>
      <c r="AL79" s="502"/>
      <c r="AM79" s="502"/>
      <c r="AN79" s="502"/>
      <c r="AO79" s="502"/>
      <c r="AP79" s="502"/>
      <c r="AQ79" s="502"/>
      <c r="AR79" s="502"/>
      <c r="AS79" s="502"/>
      <c r="AT79" s="502"/>
      <c r="AU79" s="502"/>
      <c r="AV79" s="502"/>
    </row>
    <row r="80" spans="1:48">
      <c r="A80" s="565"/>
      <c r="B80" s="565"/>
      <c r="C80" s="565"/>
      <c r="D80" s="565"/>
      <c r="E80" s="565"/>
      <c r="F80" s="565"/>
      <c r="G80" s="565"/>
      <c r="H80" s="691"/>
      <c r="I80" s="565"/>
      <c r="J80" s="565"/>
      <c r="K80" s="565"/>
      <c r="L80" s="691"/>
      <c r="M80" s="691"/>
      <c r="N80" s="691"/>
      <c r="O80" s="565"/>
      <c r="P80" s="502"/>
      <c r="Q80" s="502"/>
      <c r="R80" s="502"/>
      <c r="S80" s="502"/>
      <c r="T80" s="502"/>
      <c r="U80" s="502"/>
      <c r="V80" s="502"/>
      <c r="W80" s="502"/>
      <c r="X80" s="502"/>
      <c r="Y80" s="502"/>
      <c r="Z80" s="502"/>
      <c r="AA80" s="502"/>
      <c r="AB80" s="502"/>
      <c r="AC80" s="502"/>
      <c r="AD80" s="502"/>
      <c r="AE80" s="502"/>
      <c r="AF80" s="502"/>
      <c r="AG80" s="502"/>
      <c r="AH80" s="502"/>
      <c r="AI80" s="502"/>
      <c r="AJ80" s="502"/>
      <c r="AK80" s="502"/>
      <c r="AL80" s="502"/>
      <c r="AM80" s="502"/>
      <c r="AN80" s="502"/>
      <c r="AO80" s="502"/>
      <c r="AP80" s="502"/>
      <c r="AQ80" s="502"/>
      <c r="AR80" s="502"/>
      <c r="AS80" s="502"/>
      <c r="AT80" s="502"/>
      <c r="AU80" s="502"/>
      <c r="AV80" s="502"/>
    </row>
    <row r="81" spans="1:48">
      <c r="A81" s="565"/>
      <c r="B81" s="565"/>
      <c r="C81" s="565"/>
      <c r="D81" s="565"/>
      <c r="E81" s="565"/>
      <c r="F81" s="565"/>
      <c r="G81" s="565"/>
      <c r="H81" s="691"/>
      <c r="I81" s="565"/>
      <c r="J81" s="565"/>
      <c r="K81" s="565"/>
      <c r="L81" s="691"/>
      <c r="M81" s="691"/>
      <c r="N81" s="691"/>
      <c r="O81" s="565"/>
      <c r="P81" s="502"/>
      <c r="Q81" s="502"/>
      <c r="R81" s="502"/>
      <c r="S81" s="502"/>
      <c r="T81" s="502"/>
      <c r="U81" s="502"/>
      <c r="V81" s="502"/>
      <c r="W81" s="502"/>
      <c r="X81" s="502"/>
      <c r="Y81" s="502"/>
      <c r="Z81" s="502"/>
      <c r="AA81" s="502"/>
      <c r="AB81" s="502"/>
      <c r="AC81" s="502"/>
      <c r="AD81" s="502"/>
      <c r="AE81" s="502"/>
      <c r="AF81" s="502"/>
      <c r="AG81" s="502"/>
      <c r="AH81" s="502"/>
      <c r="AI81" s="502"/>
      <c r="AJ81" s="502"/>
      <c r="AK81" s="502"/>
      <c r="AL81" s="502"/>
      <c r="AM81" s="502"/>
      <c r="AN81" s="502"/>
      <c r="AO81" s="502"/>
      <c r="AP81" s="502"/>
      <c r="AQ81" s="502"/>
      <c r="AR81" s="502"/>
      <c r="AS81" s="502"/>
      <c r="AT81" s="502"/>
      <c r="AU81" s="502"/>
      <c r="AV81" s="502"/>
    </row>
    <row r="82" spans="1:48">
      <c r="A82" s="565"/>
      <c r="B82" s="565"/>
      <c r="C82" s="565"/>
      <c r="D82" s="565"/>
      <c r="E82" s="565"/>
      <c r="F82" s="565"/>
      <c r="G82" s="565"/>
      <c r="H82" s="691"/>
      <c r="I82" s="565"/>
      <c r="J82" s="565"/>
      <c r="K82" s="565"/>
      <c r="L82" s="691"/>
      <c r="M82" s="691"/>
      <c r="N82" s="691"/>
      <c r="O82" s="565"/>
      <c r="P82" s="502"/>
      <c r="Q82" s="502"/>
      <c r="R82" s="502"/>
      <c r="S82" s="502"/>
      <c r="T82" s="502"/>
      <c r="U82" s="502"/>
      <c r="V82" s="502"/>
      <c r="W82" s="502"/>
      <c r="X82" s="502"/>
      <c r="Y82" s="502"/>
      <c r="Z82" s="502"/>
      <c r="AA82" s="502"/>
      <c r="AB82" s="502"/>
      <c r="AC82" s="502"/>
      <c r="AD82" s="502"/>
      <c r="AE82" s="502"/>
      <c r="AF82" s="502"/>
      <c r="AG82" s="502"/>
      <c r="AH82" s="502"/>
      <c r="AI82" s="502"/>
      <c r="AJ82" s="502"/>
      <c r="AK82" s="502"/>
      <c r="AL82" s="502"/>
      <c r="AM82" s="502"/>
      <c r="AN82" s="502"/>
      <c r="AO82" s="502"/>
      <c r="AP82" s="502"/>
      <c r="AQ82" s="502"/>
      <c r="AR82" s="502"/>
      <c r="AS82" s="502"/>
      <c r="AT82" s="502"/>
      <c r="AU82" s="502"/>
      <c r="AV82" s="502"/>
    </row>
    <row r="83" spans="1:48">
      <c r="A83" s="565"/>
      <c r="B83" s="565"/>
      <c r="C83" s="565"/>
      <c r="D83" s="565"/>
      <c r="E83" s="565"/>
      <c r="F83" s="565"/>
      <c r="G83" s="565"/>
      <c r="H83" s="691"/>
      <c r="I83" s="565"/>
      <c r="J83" s="565"/>
      <c r="K83" s="565"/>
      <c r="L83" s="691"/>
      <c r="M83" s="691"/>
      <c r="N83" s="691"/>
      <c r="O83" s="565"/>
      <c r="P83" s="502"/>
      <c r="Q83" s="502"/>
      <c r="R83" s="502"/>
      <c r="S83" s="502"/>
      <c r="T83" s="502"/>
      <c r="U83" s="502"/>
      <c r="V83" s="502"/>
      <c r="W83" s="502"/>
      <c r="X83" s="502"/>
      <c r="Y83" s="502"/>
      <c r="Z83" s="502"/>
      <c r="AA83" s="502"/>
      <c r="AB83" s="502"/>
      <c r="AC83" s="502"/>
      <c r="AD83" s="502"/>
      <c r="AE83" s="502"/>
      <c r="AF83" s="502"/>
      <c r="AG83" s="502"/>
      <c r="AH83" s="502"/>
      <c r="AI83" s="502"/>
      <c r="AJ83" s="502"/>
      <c r="AK83" s="502"/>
      <c r="AL83" s="502"/>
      <c r="AM83" s="502"/>
      <c r="AN83" s="502"/>
      <c r="AO83" s="502"/>
      <c r="AP83" s="502"/>
      <c r="AQ83" s="502"/>
      <c r="AR83" s="502"/>
      <c r="AS83" s="502"/>
      <c r="AT83" s="502"/>
      <c r="AU83" s="502"/>
      <c r="AV83" s="502"/>
    </row>
    <row r="84" spans="1:48">
      <c r="A84" s="565"/>
      <c r="B84" s="565"/>
      <c r="C84" s="565"/>
      <c r="D84" s="565"/>
      <c r="E84" s="565"/>
      <c r="F84" s="565"/>
      <c r="G84" s="565"/>
      <c r="H84" s="691"/>
      <c r="I84" s="565"/>
      <c r="J84" s="565"/>
      <c r="K84" s="565"/>
      <c r="L84" s="691"/>
      <c r="M84" s="691"/>
      <c r="N84" s="691"/>
      <c r="O84" s="565"/>
      <c r="P84" s="502"/>
      <c r="Q84" s="502"/>
      <c r="R84" s="502"/>
      <c r="S84" s="502"/>
      <c r="T84" s="502"/>
      <c r="U84" s="502"/>
      <c r="V84" s="502"/>
      <c r="W84" s="502"/>
      <c r="X84" s="502"/>
      <c r="Y84" s="502"/>
      <c r="Z84" s="502"/>
      <c r="AA84" s="502"/>
      <c r="AB84" s="502"/>
      <c r="AC84" s="502"/>
      <c r="AD84" s="502"/>
      <c r="AE84" s="502"/>
      <c r="AF84" s="502"/>
      <c r="AG84" s="502"/>
      <c r="AH84" s="502"/>
      <c r="AI84" s="502"/>
      <c r="AJ84" s="502"/>
      <c r="AK84" s="502"/>
      <c r="AL84" s="502"/>
      <c r="AM84" s="502"/>
      <c r="AN84" s="502"/>
      <c r="AO84" s="502"/>
      <c r="AP84" s="502"/>
      <c r="AQ84" s="502"/>
      <c r="AR84" s="502"/>
      <c r="AS84" s="502"/>
      <c r="AT84" s="502"/>
      <c r="AU84" s="502"/>
      <c r="AV84" s="502"/>
    </row>
    <row r="85" spans="1:48">
      <c r="A85" s="565"/>
      <c r="B85" s="565"/>
      <c r="C85" s="565"/>
      <c r="D85" s="565"/>
      <c r="E85" s="565"/>
      <c r="F85" s="565"/>
      <c r="G85" s="565"/>
      <c r="H85" s="691"/>
      <c r="I85" s="565"/>
      <c r="J85" s="565"/>
      <c r="K85" s="565"/>
      <c r="L85" s="691"/>
      <c r="M85" s="691"/>
      <c r="N85" s="691"/>
      <c r="O85" s="565"/>
      <c r="P85" s="502"/>
      <c r="Q85" s="502"/>
      <c r="R85" s="502"/>
      <c r="S85" s="502"/>
      <c r="T85" s="502"/>
      <c r="U85" s="502"/>
      <c r="V85" s="502"/>
      <c r="W85" s="502"/>
      <c r="X85" s="502"/>
      <c r="Y85" s="502"/>
      <c r="Z85" s="502"/>
      <c r="AA85" s="502"/>
      <c r="AB85" s="502"/>
      <c r="AC85" s="502"/>
      <c r="AD85" s="502"/>
      <c r="AE85" s="502"/>
      <c r="AF85" s="502"/>
      <c r="AG85" s="502"/>
      <c r="AH85" s="502"/>
      <c r="AI85" s="502"/>
      <c r="AJ85" s="502"/>
      <c r="AK85" s="502"/>
      <c r="AL85" s="502"/>
      <c r="AM85" s="502"/>
      <c r="AN85" s="502"/>
      <c r="AO85" s="502"/>
      <c r="AP85" s="502"/>
      <c r="AQ85" s="502"/>
      <c r="AR85" s="502"/>
      <c r="AS85" s="502"/>
      <c r="AT85" s="502"/>
      <c r="AU85" s="502"/>
      <c r="AV85" s="502"/>
    </row>
    <row r="86" spans="1:48">
      <c r="A86" s="565"/>
      <c r="B86" s="565"/>
      <c r="C86" s="565"/>
      <c r="D86" s="565"/>
      <c r="E86" s="565"/>
      <c r="F86" s="565"/>
      <c r="G86" s="565"/>
      <c r="H86" s="691"/>
      <c r="I86" s="565"/>
      <c r="J86" s="565"/>
      <c r="K86" s="565"/>
      <c r="L86" s="691"/>
      <c r="M86" s="691"/>
      <c r="N86" s="691"/>
      <c r="O86" s="565"/>
      <c r="P86" s="502"/>
      <c r="Q86" s="502"/>
      <c r="R86" s="502"/>
      <c r="S86" s="502"/>
      <c r="T86" s="502"/>
      <c r="U86" s="502"/>
      <c r="V86" s="502"/>
      <c r="W86" s="502"/>
      <c r="X86" s="502"/>
      <c r="Y86" s="502"/>
      <c r="Z86" s="502"/>
      <c r="AA86" s="502"/>
      <c r="AB86" s="502"/>
      <c r="AC86" s="502"/>
      <c r="AD86" s="502"/>
      <c r="AE86" s="502"/>
      <c r="AF86" s="502"/>
      <c r="AG86" s="502"/>
      <c r="AH86" s="502"/>
      <c r="AI86" s="502"/>
      <c r="AJ86" s="502"/>
      <c r="AK86" s="502"/>
      <c r="AL86" s="502"/>
      <c r="AM86" s="502"/>
      <c r="AN86" s="502"/>
      <c r="AO86" s="502"/>
      <c r="AP86" s="502"/>
      <c r="AQ86" s="502"/>
      <c r="AR86" s="502"/>
      <c r="AS86" s="502"/>
      <c r="AT86" s="502"/>
      <c r="AU86" s="502"/>
      <c r="AV86" s="502"/>
    </row>
    <row r="87" spans="1:48">
      <c r="A87" s="565"/>
      <c r="B87" s="565"/>
      <c r="C87" s="565"/>
      <c r="D87" s="565"/>
      <c r="E87" s="565"/>
      <c r="F87" s="565"/>
      <c r="G87" s="565"/>
      <c r="H87" s="691"/>
      <c r="I87" s="565"/>
      <c r="J87" s="565"/>
      <c r="K87" s="565"/>
      <c r="L87" s="691"/>
      <c r="M87" s="691"/>
      <c r="N87" s="691"/>
      <c r="O87" s="565"/>
      <c r="P87" s="502"/>
      <c r="Q87" s="502"/>
      <c r="R87" s="502"/>
      <c r="S87" s="502"/>
      <c r="T87" s="502"/>
      <c r="U87" s="502"/>
      <c r="V87" s="502"/>
      <c r="W87" s="502"/>
      <c r="X87" s="502"/>
      <c r="Y87" s="502"/>
      <c r="Z87" s="502"/>
      <c r="AA87" s="502"/>
      <c r="AB87" s="502"/>
      <c r="AC87" s="502"/>
      <c r="AD87" s="502"/>
      <c r="AE87" s="502"/>
      <c r="AF87" s="502"/>
      <c r="AG87" s="502"/>
      <c r="AH87" s="502"/>
      <c r="AI87" s="502"/>
      <c r="AJ87" s="502"/>
      <c r="AK87" s="502"/>
      <c r="AL87" s="502"/>
      <c r="AM87" s="502"/>
      <c r="AN87" s="502"/>
      <c r="AO87" s="502"/>
      <c r="AP87" s="502"/>
      <c r="AQ87" s="502"/>
      <c r="AR87" s="502"/>
      <c r="AS87" s="502"/>
      <c r="AT87" s="502"/>
      <c r="AU87" s="502"/>
      <c r="AV87" s="502"/>
    </row>
    <row r="88" spans="1:48">
      <c r="A88" s="565"/>
      <c r="B88" s="565"/>
      <c r="C88" s="565"/>
      <c r="D88" s="565"/>
      <c r="E88" s="565"/>
      <c r="F88" s="565"/>
      <c r="G88" s="565"/>
      <c r="H88" s="691"/>
      <c r="I88" s="565"/>
      <c r="J88" s="565"/>
      <c r="K88" s="565"/>
      <c r="L88" s="691"/>
      <c r="M88" s="691"/>
      <c r="N88" s="691"/>
      <c r="O88" s="565"/>
      <c r="P88" s="502"/>
      <c r="Q88" s="502"/>
      <c r="R88" s="502"/>
      <c r="S88" s="502"/>
      <c r="T88" s="502"/>
      <c r="U88" s="502"/>
      <c r="V88" s="502"/>
      <c r="W88" s="502"/>
      <c r="X88" s="502"/>
      <c r="Y88" s="502"/>
      <c r="Z88" s="502"/>
      <c r="AA88" s="502"/>
      <c r="AB88" s="502"/>
      <c r="AC88" s="502"/>
      <c r="AD88" s="502"/>
      <c r="AE88" s="502"/>
      <c r="AF88" s="502"/>
      <c r="AG88" s="502"/>
      <c r="AH88" s="502"/>
      <c r="AI88" s="502"/>
      <c r="AJ88" s="502"/>
      <c r="AK88" s="502"/>
      <c r="AL88" s="502"/>
      <c r="AM88" s="502"/>
      <c r="AN88" s="502"/>
      <c r="AO88" s="502"/>
      <c r="AP88" s="502"/>
      <c r="AQ88" s="502"/>
      <c r="AR88" s="502"/>
      <c r="AS88" s="502"/>
      <c r="AT88" s="502"/>
      <c r="AU88" s="502"/>
      <c r="AV88" s="502"/>
    </row>
    <row r="89" spans="1:48">
      <c r="A89" s="565"/>
      <c r="B89" s="565"/>
      <c r="C89" s="565"/>
      <c r="D89" s="565"/>
      <c r="E89" s="565"/>
      <c r="F89" s="565"/>
      <c r="G89" s="565"/>
      <c r="H89" s="691"/>
      <c r="I89" s="565"/>
      <c r="J89" s="565"/>
      <c r="K89" s="565"/>
      <c r="L89" s="691"/>
      <c r="M89" s="691"/>
      <c r="N89" s="691"/>
      <c r="O89" s="565"/>
      <c r="P89" s="502"/>
      <c r="Q89" s="502"/>
      <c r="R89" s="502"/>
      <c r="S89" s="502"/>
      <c r="T89" s="502"/>
      <c r="U89" s="502"/>
      <c r="V89" s="502"/>
      <c r="W89" s="502"/>
      <c r="X89" s="502"/>
      <c r="Y89" s="502"/>
      <c r="Z89" s="502"/>
      <c r="AA89" s="502"/>
      <c r="AB89" s="502"/>
      <c r="AC89" s="502"/>
      <c r="AD89" s="502"/>
      <c r="AE89" s="502"/>
      <c r="AF89" s="502"/>
      <c r="AG89" s="502"/>
      <c r="AH89" s="502"/>
      <c r="AI89" s="502"/>
      <c r="AJ89" s="502"/>
      <c r="AK89" s="502"/>
      <c r="AL89" s="502"/>
      <c r="AM89" s="502"/>
      <c r="AN89" s="502"/>
      <c r="AO89" s="502"/>
      <c r="AP89" s="502"/>
      <c r="AQ89" s="502"/>
      <c r="AR89" s="502"/>
      <c r="AS89" s="502"/>
      <c r="AT89" s="502"/>
      <c r="AU89" s="502"/>
      <c r="AV89" s="502"/>
    </row>
    <row r="90" spans="1:48">
      <c r="A90" s="565"/>
      <c r="B90" s="565"/>
      <c r="C90" s="565"/>
      <c r="D90" s="565"/>
      <c r="E90" s="565"/>
      <c r="F90" s="565"/>
      <c r="G90" s="565"/>
      <c r="H90" s="691"/>
      <c r="I90" s="565"/>
      <c r="J90" s="565"/>
      <c r="K90" s="565"/>
      <c r="L90" s="691"/>
      <c r="M90" s="691"/>
      <c r="N90" s="691"/>
      <c r="O90" s="565"/>
      <c r="P90" s="502"/>
      <c r="Q90" s="502"/>
      <c r="R90" s="502"/>
      <c r="S90" s="502"/>
      <c r="T90" s="502"/>
      <c r="U90" s="502"/>
      <c r="V90" s="502"/>
      <c r="W90" s="502"/>
      <c r="X90" s="502"/>
      <c r="Y90" s="502"/>
      <c r="Z90" s="502"/>
      <c r="AA90" s="502"/>
      <c r="AB90" s="502"/>
      <c r="AC90" s="502"/>
      <c r="AD90" s="502"/>
      <c r="AE90" s="502"/>
      <c r="AF90" s="502"/>
      <c r="AG90" s="502"/>
      <c r="AH90" s="502"/>
      <c r="AI90" s="502"/>
      <c r="AJ90" s="502"/>
      <c r="AK90" s="502"/>
      <c r="AL90" s="502"/>
      <c r="AM90" s="502"/>
      <c r="AN90" s="502"/>
      <c r="AO90" s="502"/>
      <c r="AP90" s="502"/>
      <c r="AQ90" s="502"/>
      <c r="AR90" s="502"/>
      <c r="AS90" s="502"/>
      <c r="AT90" s="502"/>
      <c r="AU90" s="502"/>
      <c r="AV90" s="502"/>
    </row>
    <row r="91" spans="1:48">
      <c r="A91" s="565"/>
      <c r="B91" s="565"/>
      <c r="C91" s="565"/>
      <c r="D91" s="565"/>
      <c r="E91" s="565"/>
      <c r="F91" s="565"/>
      <c r="G91" s="565"/>
      <c r="H91" s="691"/>
      <c r="I91" s="565"/>
      <c r="J91" s="565"/>
      <c r="K91" s="565"/>
      <c r="L91" s="691"/>
      <c r="M91" s="691"/>
      <c r="N91" s="691"/>
      <c r="O91" s="565"/>
      <c r="P91" s="502"/>
      <c r="Q91" s="502"/>
      <c r="R91" s="502"/>
      <c r="S91" s="502"/>
      <c r="T91" s="502"/>
      <c r="U91" s="502"/>
      <c r="V91" s="502"/>
      <c r="W91" s="502"/>
      <c r="X91" s="502"/>
      <c r="Y91" s="502"/>
      <c r="Z91" s="502"/>
      <c r="AA91" s="502"/>
      <c r="AB91" s="502"/>
      <c r="AC91" s="502"/>
      <c r="AD91" s="502"/>
      <c r="AE91" s="502"/>
      <c r="AF91" s="502"/>
      <c r="AG91" s="502"/>
      <c r="AH91" s="502"/>
      <c r="AI91" s="502"/>
      <c r="AJ91" s="502"/>
      <c r="AK91" s="502"/>
      <c r="AL91" s="502"/>
      <c r="AM91" s="502"/>
      <c r="AN91" s="502"/>
      <c r="AO91" s="502"/>
      <c r="AP91" s="502"/>
      <c r="AQ91" s="502"/>
      <c r="AR91" s="502"/>
      <c r="AS91" s="502"/>
      <c r="AT91" s="502"/>
      <c r="AU91" s="502"/>
      <c r="AV91" s="502"/>
    </row>
    <row r="92" spans="1:48">
      <c r="A92" s="565"/>
      <c r="B92" s="565"/>
      <c r="C92" s="565"/>
      <c r="D92" s="565"/>
      <c r="E92" s="565"/>
      <c r="F92" s="565"/>
      <c r="G92" s="565"/>
      <c r="H92" s="691"/>
      <c r="I92" s="565"/>
      <c r="J92" s="565"/>
      <c r="K92" s="565"/>
      <c r="L92" s="691"/>
      <c r="M92" s="691"/>
      <c r="N92" s="691"/>
      <c r="O92" s="565"/>
      <c r="P92" s="502"/>
      <c r="Q92" s="502"/>
      <c r="R92" s="502"/>
      <c r="S92" s="502"/>
      <c r="T92" s="502"/>
      <c r="U92" s="502"/>
      <c r="V92" s="502"/>
      <c r="W92" s="502"/>
      <c r="X92" s="502"/>
      <c r="Y92" s="502"/>
      <c r="Z92" s="502"/>
      <c r="AA92" s="502"/>
      <c r="AB92" s="502"/>
      <c r="AC92" s="502"/>
      <c r="AD92" s="502"/>
      <c r="AE92" s="502"/>
      <c r="AF92" s="502"/>
      <c r="AG92" s="502"/>
      <c r="AH92" s="502"/>
      <c r="AI92" s="502"/>
      <c r="AJ92" s="502"/>
      <c r="AK92" s="502"/>
      <c r="AL92" s="502"/>
      <c r="AM92" s="502"/>
      <c r="AN92" s="502"/>
      <c r="AO92" s="502"/>
      <c r="AP92" s="502"/>
      <c r="AQ92" s="502"/>
      <c r="AR92" s="502"/>
      <c r="AS92" s="502"/>
      <c r="AT92" s="502"/>
      <c r="AU92" s="502"/>
      <c r="AV92" s="502"/>
    </row>
    <row r="93" spans="1:48">
      <c r="A93" s="565"/>
      <c r="B93" s="565"/>
      <c r="C93" s="565"/>
      <c r="D93" s="565"/>
      <c r="E93" s="565"/>
      <c r="F93" s="565"/>
      <c r="G93" s="565"/>
      <c r="H93" s="691"/>
      <c r="I93" s="565"/>
      <c r="J93" s="565"/>
      <c r="K93" s="565"/>
      <c r="L93" s="691"/>
      <c r="M93" s="691"/>
      <c r="N93" s="691"/>
      <c r="O93" s="565"/>
      <c r="P93" s="502"/>
      <c r="Q93" s="502"/>
      <c r="R93" s="502"/>
      <c r="S93" s="502"/>
      <c r="T93" s="502"/>
      <c r="U93" s="502"/>
      <c r="V93" s="502"/>
      <c r="W93" s="502"/>
      <c r="X93" s="502"/>
      <c r="Y93" s="502"/>
      <c r="Z93" s="502"/>
      <c r="AA93" s="502"/>
      <c r="AB93" s="502"/>
      <c r="AC93" s="502"/>
      <c r="AD93" s="502"/>
      <c r="AE93" s="502"/>
      <c r="AF93" s="502"/>
      <c r="AG93" s="502"/>
      <c r="AH93" s="502"/>
      <c r="AI93" s="502"/>
      <c r="AJ93" s="502"/>
      <c r="AK93" s="502"/>
      <c r="AL93" s="502"/>
      <c r="AM93" s="502"/>
      <c r="AN93" s="502"/>
      <c r="AO93" s="502"/>
      <c r="AP93" s="502"/>
      <c r="AQ93" s="502"/>
      <c r="AR93" s="502"/>
      <c r="AS93" s="502"/>
      <c r="AT93" s="502"/>
      <c r="AU93" s="502"/>
      <c r="AV93" s="502"/>
    </row>
    <row r="94" spans="1:48">
      <c r="A94" s="565"/>
      <c r="B94" s="565"/>
      <c r="C94" s="565"/>
      <c r="D94" s="565"/>
      <c r="E94" s="565"/>
      <c r="F94" s="565"/>
      <c r="G94" s="565"/>
      <c r="H94" s="691"/>
      <c r="I94" s="565"/>
      <c r="J94" s="565"/>
      <c r="K94" s="565"/>
      <c r="L94" s="691"/>
      <c r="M94" s="691"/>
      <c r="N94" s="691"/>
      <c r="O94" s="565"/>
      <c r="P94" s="502"/>
      <c r="Q94" s="502"/>
      <c r="R94" s="502"/>
      <c r="S94" s="502"/>
      <c r="T94" s="502"/>
      <c r="U94" s="502"/>
      <c r="V94" s="502"/>
      <c r="W94" s="502"/>
      <c r="X94" s="502"/>
      <c r="Y94" s="502"/>
      <c r="Z94" s="502"/>
      <c r="AA94" s="502"/>
      <c r="AB94" s="502"/>
      <c r="AC94" s="502"/>
      <c r="AD94" s="502"/>
      <c r="AE94" s="502"/>
      <c r="AF94" s="502"/>
      <c r="AG94" s="502"/>
      <c r="AH94" s="502"/>
      <c r="AI94" s="502"/>
      <c r="AJ94" s="502"/>
      <c r="AK94" s="502"/>
      <c r="AL94" s="502"/>
      <c r="AM94" s="502"/>
      <c r="AN94" s="502"/>
      <c r="AO94" s="502"/>
      <c r="AP94" s="502"/>
      <c r="AQ94" s="502"/>
      <c r="AR94" s="502"/>
      <c r="AS94" s="502"/>
      <c r="AT94" s="502"/>
      <c r="AU94" s="502"/>
      <c r="AV94" s="502"/>
    </row>
    <row r="95" spans="1:48">
      <c r="A95" s="565"/>
      <c r="B95" s="565"/>
      <c r="C95" s="565"/>
      <c r="D95" s="565"/>
      <c r="E95" s="565"/>
      <c r="F95" s="565"/>
      <c r="G95" s="565"/>
      <c r="H95" s="691"/>
      <c r="I95" s="565"/>
      <c r="J95" s="565"/>
      <c r="K95" s="565"/>
      <c r="L95" s="691"/>
      <c r="M95" s="691"/>
      <c r="N95" s="691"/>
      <c r="O95" s="565"/>
      <c r="P95" s="502"/>
      <c r="Q95" s="502"/>
      <c r="R95" s="502"/>
      <c r="S95" s="502"/>
      <c r="T95" s="502"/>
      <c r="U95" s="502"/>
      <c r="V95" s="502"/>
      <c r="W95" s="502"/>
      <c r="X95" s="502"/>
      <c r="Y95" s="502"/>
      <c r="Z95" s="502"/>
      <c r="AA95" s="502"/>
      <c r="AB95" s="502"/>
      <c r="AC95" s="502"/>
      <c r="AD95" s="502"/>
      <c r="AE95" s="502"/>
      <c r="AF95" s="502"/>
      <c r="AG95" s="502"/>
      <c r="AH95" s="502"/>
      <c r="AI95" s="502"/>
      <c r="AJ95" s="502"/>
      <c r="AK95" s="502"/>
      <c r="AL95" s="502"/>
      <c r="AM95" s="502"/>
      <c r="AN95" s="502"/>
      <c r="AO95" s="502"/>
      <c r="AP95" s="502"/>
      <c r="AQ95" s="502"/>
      <c r="AR95" s="502"/>
      <c r="AS95" s="502"/>
      <c r="AT95" s="502"/>
      <c r="AU95" s="502"/>
      <c r="AV95" s="502"/>
    </row>
    <row r="96" spans="1:48">
      <c r="A96" s="565"/>
      <c r="B96" s="565"/>
      <c r="C96" s="565"/>
      <c r="D96" s="565"/>
      <c r="E96" s="565"/>
      <c r="F96" s="565"/>
      <c r="G96" s="565"/>
      <c r="H96" s="691"/>
      <c r="I96" s="565"/>
      <c r="J96" s="565"/>
      <c r="K96" s="565"/>
      <c r="L96" s="691"/>
      <c r="M96" s="691"/>
      <c r="N96" s="691"/>
      <c r="O96" s="565"/>
      <c r="P96" s="502"/>
      <c r="Q96" s="502"/>
      <c r="R96" s="502"/>
      <c r="S96" s="502"/>
      <c r="T96" s="502"/>
      <c r="U96" s="502"/>
      <c r="V96" s="502"/>
      <c r="W96" s="502"/>
      <c r="X96" s="502"/>
      <c r="Y96" s="502"/>
      <c r="Z96" s="502"/>
      <c r="AA96" s="502"/>
      <c r="AB96" s="502"/>
      <c r="AC96" s="502"/>
      <c r="AD96" s="502"/>
      <c r="AE96" s="502"/>
      <c r="AF96" s="502"/>
      <c r="AG96" s="502"/>
      <c r="AH96" s="502"/>
      <c r="AI96" s="502"/>
      <c r="AJ96" s="502"/>
      <c r="AK96" s="502"/>
      <c r="AL96" s="502"/>
      <c r="AM96" s="502"/>
      <c r="AN96" s="502"/>
      <c r="AO96" s="502"/>
      <c r="AP96" s="502"/>
      <c r="AQ96" s="502"/>
      <c r="AR96" s="502"/>
      <c r="AS96" s="502"/>
      <c r="AT96" s="502"/>
      <c r="AU96" s="502"/>
      <c r="AV96" s="502"/>
    </row>
    <row r="97" spans="1:48">
      <c r="A97" s="565"/>
      <c r="B97" s="565"/>
      <c r="C97" s="565"/>
      <c r="D97" s="565"/>
      <c r="E97" s="565"/>
      <c r="F97" s="565"/>
      <c r="G97" s="565"/>
      <c r="H97" s="691"/>
      <c r="I97" s="565"/>
      <c r="J97" s="565"/>
      <c r="K97" s="565"/>
      <c r="L97" s="691"/>
      <c r="M97" s="691"/>
      <c r="N97" s="691"/>
      <c r="O97" s="565"/>
      <c r="P97" s="502"/>
      <c r="Q97" s="502"/>
      <c r="R97" s="502"/>
      <c r="S97" s="502"/>
      <c r="T97" s="502"/>
      <c r="U97" s="502"/>
      <c r="V97" s="502"/>
      <c r="W97" s="502"/>
      <c r="X97" s="502"/>
      <c r="Y97" s="502"/>
      <c r="Z97" s="502"/>
      <c r="AA97" s="502"/>
      <c r="AB97" s="502"/>
      <c r="AC97" s="502"/>
      <c r="AD97" s="502"/>
      <c r="AE97" s="502"/>
      <c r="AF97" s="502"/>
      <c r="AG97" s="502"/>
      <c r="AH97" s="502"/>
      <c r="AI97" s="502"/>
      <c r="AJ97" s="502"/>
      <c r="AK97" s="502"/>
      <c r="AL97" s="502"/>
      <c r="AM97" s="502"/>
      <c r="AN97" s="502"/>
      <c r="AO97" s="502"/>
      <c r="AP97" s="502"/>
      <c r="AQ97" s="502"/>
      <c r="AR97" s="502"/>
      <c r="AS97" s="502"/>
      <c r="AT97" s="502"/>
      <c r="AU97" s="502"/>
      <c r="AV97" s="502"/>
    </row>
    <row r="98" spans="1:48">
      <c r="A98" s="565"/>
      <c r="B98" s="565"/>
      <c r="C98" s="565"/>
      <c r="D98" s="565"/>
      <c r="E98" s="565"/>
      <c r="F98" s="565"/>
      <c r="G98" s="565"/>
      <c r="H98" s="691"/>
      <c r="I98" s="565"/>
      <c r="J98" s="565"/>
      <c r="K98" s="565"/>
      <c r="L98" s="691"/>
      <c r="M98" s="691"/>
      <c r="N98" s="691"/>
      <c r="O98" s="565"/>
      <c r="P98" s="502"/>
      <c r="Q98" s="502"/>
      <c r="R98" s="502"/>
      <c r="S98" s="502"/>
      <c r="T98" s="502"/>
      <c r="U98" s="502"/>
      <c r="V98" s="502"/>
      <c r="W98" s="502"/>
      <c r="X98" s="502"/>
      <c r="Y98" s="502"/>
      <c r="Z98" s="502"/>
      <c r="AA98" s="502"/>
      <c r="AB98" s="502"/>
      <c r="AC98" s="502"/>
      <c r="AD98" s="502"/>
      <c r="AE98" s="502"/>
      <c r="AF98" s="502"/>
      <c r="AG98" s="502"/>
      <c r="AH98" s="502"/>
      <c r="AI98" s="502"/>
      <c r="AJ98" s="502"/>
      <c r="AK98" s="502"/>
      <c r="AL98" s="502"/>
      <c r="AM98" s="502"/>
      <c r="AN98" s="502"/>
      <c r="AO98" s="502"/>
      <c r="AP98" s="502"/>
      <c r="AQ98" s="502"/>
      <c r="AR98" s="502"/>
      <c r="AS98" s="502"/>
      <c r="AT98" s="502"/>
      <c r="AU98" s="502"/>
      <c r="AV98" s="502"/>
    </row>
    <row r="99" spans="1:48">
      <c r="A99" s="565"/>
      <c r="B99" s="565"/>
      <c r="C99" s="565"/>
      <c r="D99" s="565"/>
      <c r="E99" s="565"/>
      <c r="F99" s="565"/>
      <c r="G99" s="565"/>
      <c r="H99" s="691"/>
      <c r="I99" s="565"/>
      <c r="J99" s="565"/>
      <c r="K99" s="565"/>
      <c r="L99" s="691"/>
      <c r="M99" s="691"/>
      <c r="N99" s="691"/>
      <c r="O99" s="565"/>
      <c r="P99" s="502"/>
      <c r="Q99" s="502"/>
      <c r="R99" s="502"/>
      <c r="S99" s="502"/>
      <c r="T99" s="502"/>
      <c r="U99" s="502"/>
      <c r="V99" s="502"/>
      <c r="W99" s="502"/>
      <c r="X99" s="502"/>
      <c r="Y99" s="502"/>
      <c r="Z99" s="502"/>
      <c r="AA99" s="502"/>
      <c r="AB99" s="502"/>
      <c r="AC99" s="502"/>
      <c r="AD99" s="502"/>
      <c r="AE99" s="502"/>
      <c r="AF99" s="502"/>
      <c r="AG99" s="502"/>
      <c r="AH99" s="502"/>
      <c r="AI99" s="502"/>
      <c r="AJ99" s="502"/>
      <c r="AK99" s="502"/>
      <c r="AL99" s="502"/>
      <c r="AM99" s="502"/>
      <c r="AN99" s="502"/>
      <c r="AO99" s="502"/>
      <c r="AP99" s="502"/>
      <c r="AQ99" s="502"/>
      <c r="AR99" s="502"/>
      <c r="AS99" s="502"/>
      <c r="AT99" s="502"/>
      <c r="AU99" s="502"/>
      <c r="AV99" s="502"/>
    </row>
    <row r="100" spans="1:48">
      <c r="A100" s="565"/>
      <c r="B100" s="565"/>
      <c r="C100" s="565"/>
      <c r="D100" s="565"/>
      <c r="E100" s="565"/>
      <c r="F100" s="565"/>
      <c r="G100" s="565"/>
      <c r="H100" s="691"/>
      <c r="I100" s="565"/>
      <c r="J100" s="565"/>
      <c r="K100" s="565"/>
      <c r="L100" s="691"/>
      <c r="M100" s="691"/>
      <c r="N100" s="691"/>
      <c r="O100" s="565"/>
      <c r="P100" s="502"/>
      <c r="Q100" s="502"/>
      <c r="R100" s="502"/>
      <c r="S100" s="502"/>
      <c r="T100" s="502"/>
      <c r="U100" s="502"/>
      <c r="V100" s="502"/>
      <c r="W100" s="502"/>
      <c r="X100" s="502"/>
      <c r="Y100" s="502"/>
      <c r="Z100" s="502"/>
      <c r="AA100" s="502"/>
      <c r="AB100" s="502"/>
      <c r="AC100" s="502"/>
      <c r="AD100" s="502"/>
      <c r="AE100" s="502"/>
      <c r="AF100" s="502"/>
      <c r="AG100" s="502"/>
      <c r="AH100" s="502"/>
      <c r="AI100" s="502"/>
      <c r="AJ100" s="502"/>
      <c r="AK100" s="502"/>
      <c r="AL100" s="502"/>
      <c r="AM100" s="502"/>
      <c r="AN100" s="502"/>
      <c r="AO100" s="502"/>
      <c r="AP100" s="502"/>
      <c r="AQ100" s="502"/>
      <c r="AR100" s="502"/>
      <c r="AS100" s="502"/>
      <c r="AT100" s="502"/>
      <c r="AU100" s="502"/>
      <c r="AV100" s="502"/>
    </row>
    <row r="101" spans="1:48">
      <c r="A101" s="565"/>
      <c r="B101" s="565"/>
      <c r="C101" s="565"/>
      <c r="D101" s="565"/>
      <c r="E101" s="565"/>
      <c r="F101" s="565"/>
      <c r="G101" s="565"/>
      <c r="H101" s="691"/>
      <c r="I101" s="565"/>
      <c r="J101" s="565"/>
      <c r="K101" s="565"/>
      <c r="L101" s="691"/>
      <c r="M101" s="691"/>
      <c r="N101" s="691"/>
      <c r="O101" s="565"/>
      <c r="P101" s="502"/>
      <c r="Q101" s="502"/>
      <c r="R101" s="502"/>
      <c r="S101" s="502"/>
      <c r="T101" s="502"/>
      <c r="U101" s="502"/>
      <c r="V101" s="502"/>
      <c r="W101" s="502"/>
      <c r="X101" s="502"/>
      <c r="Y101" s="502"/>
      <c r="Z101" s="502"/>
      <c r="AA101" s="502"/>
      <c r="AB101" s="502"/>
      <c r="AC101" s="502"/>
      <c r="AD101" s="502"/>
      <c r="AE101" s="502"/>
      <c r="AF101" s="502"/>
      <c r="AG101" s="502"/>
      <c r="AH101" s="502"/>
      <c r="AI101" s="502"/>
      <c r="AJ101" s="502"/>
      <c r="AK101" s="502"/>
      <c r="AL101" s="502"/>
      <c r="AM101" s="502"/>
      <c r="AN101" s="502"/>
      <c r="AO101" s="502"/>
      <c r="AP101" s="502"/>
      <c r="AQ101" s="502"/>
      <c r="AR101" s="502"/>
      <c r="AS101" s="502"/>
      <c r="AT101" s="502"/>
      <c r="AU101" s="502"/>
      <c r="AV101" s="502"/>
    </row>
    <row r="102" spans="1:48">
      <c r="A102" s="565"/>
      <c r="B102" s="565"/>
      <c r="C102" s="565"/>
      <c r="D102" s="565"/>
      <c r="E102" s="565"/>
      <c r="F102" s="565"/>
      <c r="G102" s="565"/>
      <c r="H102" s="691"/>
      <c r="I102" s="565"/>
      <c r="J102" s="565"/>
      <c r="K102" s="565"/>
      <c r="L102" s="691"/>
      <c r="M102" s="691"/>
      <c r="N102" s="691"/>
      <c r="O102" s="565"/>
      <c r="P102" s="502"/>
      <c r="Q102" s="502"/>
      <c r="R102" s="502"/>
      <c r="S102" s="502"/>
      <c r="T102" s="502"/>
      <c r="U102" s="502"/>
      <c r="V102" s="502"/>
      <c r="W102" s="502"/>
      <c r="X102" s="502"/>
      <c r="Y102" s="502"/>
      <c r="Z102" s="502"/>
      <c r="AA102" s="502"/>
      <c r="AB102" s="502"/>
      <c r="AC102" s="502"/>
      <c r="AD102" s="502"/>
      <c r="AE102" s="502"/>
      <c r="AF102" s="502"/>
      <c r="AG102" s="502"/>
      <c r="AH102" s="502"/>
      <c r="AI102" s="502"/>
      <c r="AJ102" s="502"/>
      <c r="AK102" s="502"/>
      <c r="AL102" s="502"/>
      <c r="AM102" s="502"/>
      <c r="AN102" s="502"/>
      <c r="AO102" s="502"/>
      <c r="AP102" s="502"/>
      <c r="AQ102" s="502"/>
      <c r="AR102" s="502"/>
      <c r="AS102" s="502"/>
      <c r="AT102" s="502"/>
      <c r="AU102" s="502"/>
      <c r="AV102" s="502"/>
    </row>
    <row r="103" spans="1:48">
      <c r="A103" s="565"/>
      <c r="B103" s="565"/>
      <c r="C103" s="565"/>
      <c r="D103" s="565"/>
      <c r="E103" s="565"/>
      <c r="F103" s="565"/>
      <c r="G103" s="565"/>
      <c r="H103" s="691"/>
      <c r="I103" s="565"/>
      <c r="J103" s="565"/>
      <c r="K103" s="565"/>
      <c r="L103" s="691"/>
      <c r="M103" s="691"/>
      <c r="N103" s="691"/>
      <c r="O103" s="565"/>
      <c r="P103" s="502"/>
      <c r="Q103" s="502"/>
      <c r="R103" s="502"/>
      <c r="S103" s="502"/>
      <c r="T103" s="502"/>
      <c r="U103" s="502"/>
      <c r="V103" s="502"/>
      <c r="W103" s="502"/>
      <c r="X103" s="502"/>
      <c r="Y103" s="502"/>
      <c r="Z103" s="502"/>
      <c r="AA103" s="502"/>
      <c r="AB103" s="502"/>
      <c r="AC103" s="502"/>
      <c r="AD103" s="502"/>
      <c r="AE103" s="502"/>
      <c r="AF103" s="502"/>
      <c r="AG103" s="502"/>
      <c r="AH103" s="502"/>
      <c r="AI103" s="502"/>
      <c r="AJ103" s="502"/>
      <c r="AK103" s="502"/>
      <c r="AL103" s="502"/>
      <c r="AM103" s="502"/>
      <c r="AN103" s="502"/>
      <c r="AO103" s="502"/>
      <c r="AP103" s="502"/>
      <c r="AQ103" s="502"/>
      <c r="AR103" s="502"/>
      <c r="AS103" s="502"/>
      <c r="AT103" s="502"/>
      <c r="AU103" s="502"/>
      <c r="AV103" s="502"/>
    </row>
    <row r="104" spans="1:48">
      <c r="A104" s="565"/>
      <c r="B104" s="565"/>
      <c r="C104" s="565"/>
      <c r="D104" s="565"/>
      <c r="E104" s="565"/>
      <c r="F104" s="565"/>
      <c r="G104" s="565"/>
      <c r="H104" s="691"/>
      <c r="I104" s="565"/>
      <c r="J104" s="565"/>
      <c r="K104" s="565"/>
      <c r="L104" s="691"/>
      <c r="M104" s="691"/>
      <c r="N104" s="691"/>
      <c r="O104" s="565"/>
      <c r="P104" s="502"/>
      <c r="Q104" s="502"/>
      <c r="R104" s="502"/>
      <c r="S104" s="502"/>
      <c r="T104" s="502"/>
      <c r="U104" s="502"/>
      <c r="V104" s="502"/>
      <c r="W104" s="502"/>
      <c r="X104" s="502"/>
      <c r="Y104" s="502"/>
      <c r="Z104" s="502"/>
      <c r="AA104" s="502"/>
      <c r="AB104" s="502"/>
      <c r="AC104" s="502"/>
      <c r="AD104" s="502"/>
      <c r="AE104" s="502"/>
      <c r="AF104" s="502"/>
      <c r="AG104" s="502"/>
      <c r="AH104" s="502"/>
      <c r="AI104" s="502"/>
      <c r="AJ104" s="502"/>
      <c r="AK104" s="502"/>
      <c r="AL104" s="502"/>
      <c r="AM104" s="502"/>
      <c r="AN104" s="502"/>
      <c r="AO104" s="502"/>
      <c r="AP104" s="502"/>
      <c r="AQ104" s="502"/>
      <c r="AR104" s="502"/>
      <c r="AS104" s="502"/>
      <c r="AT104" s="502"/>
      <c r="AU104" s="502"/>
      <c r="AV104" s="502"/>
    </row>
    <row r="105" spans="1:48">
      <c r="A105" s="558"/>
      <c r="B105" s="558"/>
      <c r="C105" s="558"/>
      <c r="D105" s="558"/>
      <c r="E105" s="558"/>
      <c r="F105" s="558"/>
      <c r="G105" s="558"/>
      <c r="H105" s="692"/>
      <c r="I105" s="558"/>
      <c r="J105" s="558"/>
      <c r="K105" s="558"/>
      <c r="L105" s="692"/>
      <c r="M105" s="692"/>
      <c r="N105" s="692"/>
      <c r="O105" s="558"/>
      <c r="P105" s="502"/>
      <c r="Q105" s="502"/>
      <c r="R105" s="502"/>
      <c r="S105" s="502"/>
      <c r="T105" s="502"/>
      <c r="U105" s="502"/>
      <c r="V105" s="502"/>
      <c r="W105" s="502"/>
      <c r="X105" s="502"/>
      <c r="Y105" s="502"/>
      <c r="Z105" s="502"/>
      <c r="AA105" s="502"/>
      <c r="AB105" s="502"/>
      <c r="AC105" s="502"/>
      <c r="AD105" s="502"/>
      <c r="AE105" s="502"/>
      <c r="AF105" s="502"/>
      <c r="AG105" s="502"/>
      <c r="AH105" s="502"/>
      <c r="AI105" s="502"/>
      <c r="AJ105" s="502"/>
      <c r="AK105" s="502"/>
      <c r="AL105" s="502"/>
      <c r="AM105" s="502"/>
      <c r="AN105" s="502"/>
      <c r="AO105" s="502"/>
      <c r="AP105" s="502"/>
      <c r="AQ105" s="502"/>
      <c r="AR105" s="502"/>
      <c r="AS105" s="502"/>
      <c r="AT105" s="502"/>
      <c r="AU105" s="502"/>
      <c r="AV105" s="502"/>
    </row>
    <row r="106" spans="1:48">
      <c r="A106" s="558"/>
      <c r="B106" s="558"/>
      <c r="C106" s="558"/>
      <c r="D106" s="558"/>
      <c r="E106" s="558"/>
      <c r="F106" s="558"/>
      <c r="G106" s="558"/>
      <c r="H106" s="692"/>
      <c r="I106" s="558"/>
      <c r="J106" s="558"/>
      <c r="K106" s="558"/>
      <c r="L106" s="692"/>
      <c r="M106" s="692"/>
      <c r="N106" s="692"/>
      <c r="O106" s="558"/>
      <c r="P106" s="502"/>
      <c r="Q106" s="502"/>
      <c r="R106" s="502"/>
      <c r="S106" s="502"/>
      <c r="T106" s="502"/>
      <c r="U106" s="502"/>
      <c r="V106" s="502"/>
      <c r="W106" s="502"/>
      <c r="X106" s="502"/>
      <c r="Y106" s="502"/>
      <c r="Z106" s="502"/>
      <c r="AA106" s="502"/>
      <c r="AB106" s="502"/>
      <c r="AC106" s="502"/>
      <c r="AD106" s="502"/>
      <c r="AE106" s="502"/>
      <c r="AF106" s="502"/>
      <c r="AG106" s="502"/>
      <c r="AH106" s="502"/>
      <c r="AI106" s="502"/>
      <c r="AJ106" s="502"/>
      <c r="AK106" s="502"/>
      <c r="AL106" s="502"/>
      <c r="AM106" s="502"/>
      <c r="AN106" s="502"/>
      <c r="AO106" s="502"/>
      <c r="AP106" s="502"/>
      <c r="AQ106" s="502"/>
      <c r="AR106" s="502"/>
      <c r="AS106" s="502"/>
      <c r="AT106" s="502"/>
      <c r="AU106" s="502"/>
      <c r="AV106" s="502"/>
    </row>
    <row r="107" spans="1:48">
      <c r="A107" s="558"/>
      <c r="B107" s="558"/>
      <c r="C107" s="558"/>
      <c r="D107" s="558"/>
      <c r="E107" s="558"/>
      <c r="F107" s="558"/>
      <c r="G107" s="558"/>
      <c r="H107" s="692"/>
      <c r="I107" s="558"/>
      <c r="J107" s="558"/>
      <c r="K107" s="558"/>
      <c r="L107" s="692"/>
      <c r="M107" s="692"/>
      <c r="N107" s="692"/>
      <c r="O107" s="558"/>
      <c r="P107" s="502"/>
      <c r="Q107" s="502"/>
      <c r="R107" s="502"/>
      <c r="S107" s="502"/>
      <c r="T107" s="502"/>
      <c r="U107" s="502"/>
      <c r="V107" s="502"/>
      <c r="W107" s="502"/>
      <c r="X107" s="502"/>
      <c r="Y107" s="502"/>
      <c r="Z107" s="502"/>
      <c r="AA107" s="502"/>
      <c r="AB107" s="502"/>
      <c r="AC107" s="502"/>
      <c r="AD107" s="502"/>
      <c r="AE107" s="502"/>
      <c r="AF107" s="502"/>
      <c r="AG107" s="502"/>
      <c r="AH107" s="502"/>
      <c r="AI107" s="502"/>
      <c r="AJ107" s="502"/>
      <c r="AK107" s="502"/>
      <c r="AL107" s="502"/>
      <c r="AM107" s="502"/>
      <c r="AN107" s="502"/>
      <c r="AO107" s="502"/>
      <c r="AP107" s="502"/>
      <c r="AQ107" s="502"/>
      <c r="AR107" s="502"/>
      <c r="AS107" s="502"/>
      <c r="AT107" s="502"/>
      <c r="AU107" s="502"/>
      <c r="AV107" s="502"/>
    </row>
    <row r="108" spans="1:48">
      <c r="A108" s="558"/>
      <c r="B108" s="558"/>
      <c r="C108" s="558"/>
      <c r="D108" s="558"/>
      <c r="E108" s="558"/>
      <c r="F108" s="558"/>
      <c r="G108" s="558"/>
      <c r="H108" s="692"/>
      <c r="I108" s="558"/>
      <c r="J108" s="558"/>
      <c r="K108" s="558"/>
      <c r="L108" s="692"/>
      <c r="M108" s="692"/>
      <c r="N108" s="692"/>
      <c r="O108" s="558"/>
      <c r="P108" s="502"/>
      <c r="Q108" s="502"/>
      <c r="R108" s="502"/>
      <c r="S108" s="502"/>
      <c r="T108" s="502"/>
      <c r="U108" s="502"/>
      <c r="V108" s="502"/>
      <c r="W108" s="502"/>
      <c r="X108" s="502"/>
      <c r="Y108" s="502"/>
      <c r="Z108" s="502"/>
      <c r="AA108" s="502"/>
      <c r="AB108" s="502"/>
      <c r="AC108" s="502"/>
      <c r="AD108" s="502"/>
      <c r="AE108" s="502"/>
      <c r="AF108" s="502"/>
      <c r="AG108" s="502"/>
      <c r="AH108" s="502"/>
      <c r="AI108" s="502"/>
      <c r="AJ108" s="502"/>
      <c r="AK108" s="502"/>
      <c r="AL108" s="502"/>
      <c r="AM108" s="502"/>
      <c r="AN108" s="502"/>
      <c r="AO108" s="502"/>
      <c r="AP108" s="502"/>
      <c r="AQ108" s="502"/>
      <c r="AR108" s="502"/>
      <c r="AS108" s="502"/>
      <c r="AT108" s="502"/>
      <c r="AU108" s="502"/>
      <c r="AV108" s="502"/>
    </row>
  </sheetData>
  <sheetProtection selectLockedCells="1" selectUnlockedCells="1"/>
  <mergeCells count="32">
    <mergeCell ref="K33:O33"/>
    <mergeCell ref="P13:T21"/>
    <mergeCell ref="P23:T28"/>
    <mergeCell ref="H28:O28"/>
    <mergeCell ref="F29:O29"/>
    <mergeCell ref="P29:T30"/>
    <mergeCell ref="C28:G28"/>
    <mergeCell ref="H31:O31"/>
    <mergeCell ref="P31:T31"/>
    <mergeCell ref="A31:B31"/>
    <mergeCell ref="C31:G31"/>
    <mergeCell ref="A5:A6"/>
    <mergeCell ref="H5:H6"/>
    <mergeCell ref="B5:E5"/>
    <mergeCell ref="F5:F6"/>
    <mergeCell ref="G5:G6"/>
    <mergeCell ref="O5:O6"/>
    <mergeCell ref="I5:J5"/>
    <mergeCell ref="A29:B30"/>
    <mergeCell ref="C29:E29"/>
    <mergeCell ref="C30:O30"/>
    <mergeCell ref="A28:B28"/>
    <mergeCell ref="K5:K6"/>
    <mergeCell ref="L5:N5"/>
    <mergeCell ref="A3:F3"/>
    <mergeCell ref="A4:O4"/>
    <mergeCell ref="H3:I3"/>
    <mergeCell ref="K3:L3"/>
    <mergeCell ref="A1:O1"/>
    <mergeCell ref="A2:F2"/>
    <mergeCell ref="H2:I2"/>
    <mergeCell ref="K2:L2"/>
  </mergeCells>
  <phoneticPr fontId="51" type="noConversion"/>
  <dataValidations count="3">
    <dataValidation allowBlank="1" showErrorMessage="1" promptTitle="存在调整事项时" prompt="_x000a_选择 “E”" sqref="F29:O29">
      <formula1>0</formula1>
      <formula2>0</formula2>
    </dataValidation>
    <dataValidation type="list" allowBlank="1" showErrorMessage="1" sqref="H2:I2">
      <formula1>编制列表</formula1>
      <formula2>0</formula2>
    </dataValidation>
    <dataValidation type="date" operator="lessThanOrEqual" allowBlank="1" showInputMessage="1" showErrorMessage="1" errorTitle="日期超出范围" error="起摊日期超过审核截止日，请核对。" promptTitle="输入格式" prompt="yyyy-mm-dd_x000a_如2010-12-31" sqref="B7:B27">
      <formula1>DATE(本年度,截止月,截止日)</formula1>
      <formula2>0</formula2>
    </dataValidation>
  </dataValidations>
  <hyperlinks>
    <hyperlink ref="P6" location="事项说明!A1" display="事项说明"/>
    <hyperlink ref="P7" location="资产折旧纳税调整表!a1" display="资产折旧纳税调整表"/>
    <hyperlink ref="P8" location="纳税调整明细表!G46" display="纳税调整明细表"/>
    <hyperlink ref="P9" location="管理费用!A1" display="管理费用审核表"/>
    <hyperlink ref="P10" location="资产负债!A1" display="资产负债表"/>
  </hyperlinks>
  <pageMargins left="0.78740157480314998" right="0.35433070866141703" top="0.511811023622047" bottom="0.11811023622047198" header="0.511811023622047" footer="0.511811023622047"/>
  <pageSetup paperSize="9" firstPageNumber="0" orientation="landscape" blackAndWhite="1" r:id="rId1"/>
  <headerFooter alignWithMargins="0"/>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31"/>
  <dimension ref="A1:O35"/>
  <sheetViews>
    <sheetView workbookViewId="0">
      <selection activeCell="H13" sqref="H13:O19"/>
    </sheetView>
  </sheetViews>
  <sheetFormatPr defaultRowHeight="15.6"/>
  <cols>
    <col min="1" max="1" width="4.8984375" customWidth="1"/>
    <col min="2" max="2" width="6.19921875" customWidth="1"/>
    <col min="3" max="3" width="23.3984375" customWidth="1"/>
    <col min="4" max="6" width="11.69921875" customWidth="1"/>
    <col min="7" max="7" width="12.19921875" customWidth="1"/>
  </cols>
  <sheetData>
    <row r="1" spans="1:15" ht="22.2">
      <c r="A1" s="2707" t="s">
        <v>1462</v>
      </c>
      <c r="B1" s="2707"/>
      <c r="C1" s="2707"/>
      <c r="D1" s="2707"/>
      <c r="E1" s="2707"/>
      <c r="F1" s="2707"/>
      <c r="G1" s="2707"/>
      <c r="H1" s="693"/>
      <c r="I1" s="693"/>
      <c r="J1" s="84"/>
      <c r="K1" s="84"/>
      <c r="L1" s="84"/>
      <c r="M1" s="84"/>
      <c r="N1" s="84"/>
      <c r="O1" s="84"/>
    </row>
    <row r="2" spans="1:15">
      <c r="A2" s="2707"/>
      <c r="B2" s="2707"/>
      <c r="C2" s="2707"/>
      <c r="D2" s="2707"/>
      <c r="E2" s="2707"/>
      <c r="F2" s="2707"/>
      <c r="G2" s="2707"/>
      <c r="H2" s="84"/>
      <c r="I2" s="84"/>
      <c r="J2" s="84"/>
      <c r="K2" s="84"/>
      <c r="L2" s="84"/>
      <c r="M2" s="84"/>
      <c r="N2" s="84"/>
      <c r="O2" s="84"/>
    </row>
    <row r="3" spans="1:15">
      <c r="A3" s="3190" t="str">
        <f>"委托单位："&amp;基本情况!B2</f>
        <v>委托单位：0</v>
      </c>
      <c r="B3" s="3190"/>
      <c r="C3" s="3190"/>
      <c r="D3" s="509"/>
      <c r="E3" s="136" t="s">
        <v>449</v>
      </c>
      <c r="F3" s="136" t="s">
        <v>450</v>
      </c>
      <c r="G3" s="485" t="s">
        <v>283</v>
      </c>
      <c r="H3" s="84"/>
      <c r="I3" s="84"/>
      <c r="J3" s="84"/>
      <c r="K3" s="84"/>
      <c r="L3" s="84"/>
      <c r="M3" s="84"/>
      <c r="N3" s="84"/>
      <c r="O3" s="84"/>
    </row>
    <row r="4" spans="1:15" ht="17.25" customHeight="1">
      <c r="A4" s="3190"/>
      <c r="B4" s="3190"/>
      <c r="C4" s="3190"/>
      <c r="D4" s="158" t="s">
        <v>451</v>
      </c>
      <c r="E4" s="510">
        <f>基本情况!B12</f>
        <v>0</v>
      </c>
      <c r="F4" s="559" t="str">
        <f>TEXT(基本情况!B21,"yyyy-mm-dd")</f>
        <v>2017-03-16</v>
      </c>
      <c r="G4" s="3081" t="str">
        <f>档案索引!A39</f>
        <v>2A-19</v>
      </c>
      <c r="H4" s="84"/>
      <c r="I4" s="84"/>
      <c r="J4" s="84"/>
      <c r="K4" s="84"/>
      <c r="L4" s="84"/>
      <c r="M4" s="84"/>
      <c r="N4" s="84"/>
      <c r="O4" s="84"/>
    </row>
    <row r="5" spans="1:15" ht="17.25" customHeight="1">
      <c r="A5" s="3191" t="str">
        <f>"会计期间："&amp;基本情况!B7</f>
        <v>会计期间：2016年01月01日至2016年12月31日</v>
      </c>
      <c r="B5" s="3191"/>
      <c r="C5" s="3191"/>
      <c r="D5" s="140" t="s">
        <v>453</v>
      </c>
      <c r="E5" s="513">
        <f>基本情况!B11</f>
        <v>0</v>
      </c>
      <c r="F5" s="513" t="str">
        <f>TEXT(基本情况!B22,"yyyy-mm-dd")</f>
        <v>2017-05-04</v>
      </c>
      <c r="G5" s="3081"/>
      <c r="H5" s="84"/>
      <c r="I5" s="84"/>
      <c r="J5" s="84"/>
      <c r="K5" s="84"/>
      <c r="L5" s="84"/>
      <c r="M5" s="84"/>
      <c r="N5" s="84"/>
      <c r="O5" s="84"/>
    </row>
    <row r="6" spans="1:15" ht="7.5" customHeight="1">
      <c r="A6" s="2959"/>
      <c r="B6" s="2959"/>
      <c r="C6" s="2959"/>
      <c r="D6" s="2959"/>
      <c r="E6" s="2959"/>
      <c r="F6" s="2959"/>
      <c r="G6" s="2959"/>
      <c r="H6" s="84"/>
      <c r="I6" s="84"/>
      <c r="J6" s="84"/>
      <c r="K6" s="84"/>
      <c r="L6" s="84"/>
      <c r="M6" s="84"/>
      <c r="N6" s="84"/>
      <c r="O6" s="84"/>
    </row>
    <row r="7" spans="1:15" ht="20.25" customHeight="1">
      <c r="A7" s="135" t="s">
        <v>646</v>
      </c>
      <c r="B7" s="2898" t="s">
        <v>666</v>
      </c>
      <c r="C7" s="2898"/>
      <c r="D7" s="136" t="s">
        <v>1332</v>
      </c>
      <c r="E7" s="136" t="s">
        <v>1301</v>
      </c>
      <c r="F7" s="136" t="s">
        <v>1463</v>
      </c>
      <c r="G7" s="485" t="s">
        <v>1464</v>
      </c>
      <c r="H7" s="84" t="s">
        <v>396</v>
      </c>
      <c r="I7" s="84"/>
      <c r="J7" s="84"/>
      <c r="K7" s="84"/>
      <c r="L7" s="84"/>
      <c r="M7" s="84"/>
      <c r="N7" s="84"/>
      <c r="O7" s="84"/>
    </row>
    <row r="8" spans="1:15" ht="20.100000000000001" customHeight="1">
      <c r="A8" s="143">
        <v>1</v>
      </c>
      <c r="B8" s="3193" t="s">
        <v>1465</v>
      </c>
      <c r="C8" s="3193"/>
      <c r="D8" s="1120">
        <f>G24</f>
        <v>0</v>
      </c>
      <c r="E8" s="1134">
        <f>MIN(社保明细工资人数!B21,D8)</f>
        <v>0</v>
      </c>
      <c r="F8" s="525">
        <f>MAX(0,D8-E8)</f>
        <v>0</v>
      </c>
      <c r="G8" s="694" t="s">
        <v>510</v>
      </c>
      <c r="H8" s="84"/>
      <c r="I8" s="84"/>
      <c r="J8" s="84"/>
      <c r="K8" s="84"/>
      <c r="L8" s="84"/>
      <c r="M8" s="84"/>
      <c r="N8" s="84"/>
      <c r="O8" s="84"/>
    </row>
    <row r="9" spans="1:15" ht="20.100000000000001" customHeight="1">
      <c r="A9" s="143">
        <v>2</v>
      </c>
      <c r="B9" s="3193" t="s">
        <v>1466</v>
      </c>
      <c r="C9" s="3193"/>
      <c r="D9" s="526" t="s">
        <v>510</v>
      </c>
      <c r="E9" s="526" t="s">
        <v>510</v>
      </c>
      <c r="F9" s="526" t="s">
        <v>510</v>
      </c>
      <c r="G9" s="694" t="s">
        <v>510</v>
      </c>
      <c r="H9" s="3194" t="s">
        <v>1467</v>
      </c>
      <c r="I9" s="3194"/>
      <c r="J9" s="3194"/>
      <c r="K9" s="3194"/>
      <c r="L9" s="84"/>
      <c r="M9" s="84"/>
      <c r="N9" s="84"/>
      <c r="O9" s="84"/>
    </row>
    <row r="10" spans="1:15" ht="20.100000000000001" customHeight="1">
      <c r="A10" s="143">
        <v>3</v>
      </c>
      <c r="B10" s="3193" t="s">
        <v>1468</v>
      </c>
      <c r="C10" s="3193"/>
      <c r="D10" s="526" t="s">
        <v>510</v>
      </c>
      <c r="E10" s="526" t="s">
        <v>510</v>
      </c>
      <c r="F10" s="526" t="s">
        <v>510</v>
      </c>
      <c r="G10" s="694" t="s">
        <v>510</v>
      </c>
      <c r="H10" s="84"/>
      <c r="I10" s="84"/>
      <c r="J10" s="84"/>
      <c r="K10" s="84"/>
      <c r="L10" s="84"/>
      <c r="M10" s="84"/>
      <c r="N10" s="84"/>
      <c r="O10" s="84"/>
    </row>
    <row r="11" spans="1:15" ht="20.100000000000001" customHeight="1">
      <c r="A11" s="143">
        <v>4</v>
      </c>
      <c r="B11" s="3193" t="s">
        <v>1469</v>
      </c>
      <c r="C11" s="3193"/>
      <c r="D11" s="526" t="s">
        <v>510</v>
      </c>
      <c r="E11" s="526" t="s">
        <v>510</v>
      </c>
      <c r="F11" s="526" t="s">
        <v>510</v>
      </c>
      <c r="G11" s="694" t="s">
        <v>510</v>
      </c>
      <c r="H11" s="3194" t="s">
        <v>324</v>
      </c>
      <c r="I11" s="3194"/>
      <c r="J11" s="3194"/>
      <c r="K11" s="84"/>
      <c r="L11" s="84"/>
      <c r="M11" s="84"/>
      <c r="N11" s="84"/>
      <c r="O11" s="84"/>
    </row>
    <row r="12" spans="1:15" ht="19.5" customHeight="1">
      <c r="A12" s="143">
        <v>5</v>
      </c>
      <c r="B12" s="3193" t="s">
        <v>1470</v>
      </c>
      <c r="C12" s="3193"/>
      <c r="D12" s="526" t="s">
        <v>510</v>
      </c>
      <c r="E12" s="526" t="s">
        <v>510</v>
      </c>
      <c r="F12" s="526" t="s">
        <v>510</v>
      </c>
      <c r="G12" s="694" t="s">
        <v>510</v>
      </c>
      <c r="H12" s="84"/>
      <c r="I12" s="84"/>
      <c r="J12" s="84"/>
      <c r="K12" s="84"/>
      <c r="L12" s="84"/>
      <c r="M12" s="84"/>
      <c r="N12" s="84"/>
      <c r="O12" s="84"/>
    </row>
    <row r="13" spans="1:15" ht="20.100000000000001" customHeight="1">
      <c r="A13" s="143">
        <v>6</v>
      </c>
      <c r="B13" s="3193" t="s">
        <v>1471</v>
      </c>
      <c r="C13" s="3193"/>
      <c r="D13" s="526" t="s">
        <v>510</v>
      </c>
      <c r="E13" s="526" t="s">
        <v>510</v>
      </c>
      <c r="F13" s="526" t="s">
        <v>510</v>
      </c>
      <c r="G13" s="694" t="s">
        <v>510</v>
      </c>
      <c r="H13" s="3090" t="s">
        <v>10094</v>
      </c>
      <c r="I13" s="3090"/>
      <c r="J13" s="3090"/>
      <c r="K13" s="3090"/>
      <c r="L13" s="3090"/>
      <c r="M13" s="3090"/>
      <c r="N13" s="3090"/>
      <c r="O13" s="3090"/>
    </row>
    <row r="14" spans="1:15" ht="20.100000000000001" customHeight="1">
      <c r="A14" s="143">
        <v>7</v>
      </c>
      <c r="B14" s="3193" t="s">
        <v>1472</v>
      </c>
      <c r="C14" s="3193"/>
      <c r="D14" s="1682">
        <f>D15+D16</f>
        <v>0</v>
      </c>
      <c r="E14" s="1135">
        <f>E15+E16</f>
        <v>0</v>
      </c>
      <c r="F14" s="525">
        <f t="shared" ref="F14:F19" si="0">MAX(0,D14-E14)</f>
        <v>0</v>
      </c>
      <c r="G14" s="694" t="s">
        <v>510</v>
      </c>
      <c r="H14" s="3090"/>
      <c r="I14" s="3090"/>
      <c r="J14" s="3090"/>
      <c r="K14" s="3090"/>
      <c r="L14" s="3090"/>
      <c r="M14" s="3090"/>
      <c r="N14" s="3090"/>
      <c r="O14" s="3090"/>
    </row>
    <row r="15" spans="1:15" ht="20.100000000000001" customHeight="1">
      <c r="A15" s="143">
        <v>8</v>
      </c>
      <c r="B15" s="3193" t="s">
        <v>1473</v>
      </c>
      <c r="C15" s="3193"/>
      <c r="D15" s="1682">
        <f>社保明细工资人数!B36</f>
        <v>0</v>
      </c>
      <c r="E15" s="1134">
        <f>MIN(社保明细工资人数!B36,工资福利!C17*0.05)</f>
        <v>0</v>
      </c>
      <c r="F15" s="525">
        <f t="shared" si="0"/>
        <v>0</v>
      </c>
      <c r="G15" s="694" t="s">
        <v>510</v>
      </c>
      <c r="H15" s="3090"/>
      <c r="I15" s="3090"/>
      <c r="J15" s="3090"/>
      <c r="K15" s="3090"/>
      <c r="L15" s="3090"/>
      <c r="M15" s="3090"/>
      <c r="N15" s="3090"/>
      <c r="O15" s="3090"/>
    </row>
    <row r="16" spans="1:15" ht="20.100000000000001" customHeight="1">
      <c r="A16" s="143">
        <v>9</v>
      </c>
      <c r="B16" s="3193" t="s">
        <v>1474</v>
      </c>
      <c r="C16" s="3193"/>
      <c r="D16" s="1682">
        <f>社保明细工资人数!F36</f>
        <v>0</v>
      </c>
      <c r="E16" s="1134">
        <f>MIN(社保明细工资人数!F36,工资福利!C17*0.05)</f>
        <v>0</v>
      </c>
      <c r="F16" s="525">
        <f t="shared" si="0"/>
        <v>0</v>
      </c>
      <c r="G16" s="694" t="s">
        <v>510</v>
      </c>
      <c r="H16" s="3090"/>
      <c r="I16" s="3090"/>
      <c r="J16" s="3090"/>
      <c r="K16" s="3090"/>
      <c r="L16" s="3090"/>
      <c r="M16" s="3090"/>
      <c r="N16" s="3090"/>
      <c r="O16" s="3090"/>
    </row>
    <row r="17" spans="1:15" ht="20.100000000000001" customHeight="1">
      <c r="A17" s="143">
        <v>10</v>
      </c>
      <c r="B17" s="3193" t="s">
        <v>1475</v>
      </c>
      <c r="C17" s="3193"/>
      <c r="D17" s="1120">
        <f>G27</f>
        <v>0</v>
      </c>
      <c r="E17" s="1134">
        <f>社保明细工资人数!F21</f>
        <v>0</v>
      </c>
      <c r="F17" s="525">
        <f t="shared" si="0"/>
        <v>0</v>
      </c>
      <c r="G17" s="694" t="s">
        <v>510</v>
      </c>
      <c r="H17" s="3090"/>
      <c r="I17" s="3090"/>
      <c r="J17" s="3090"/>
      <c r="K17" s="3090"/>
      <c r="L17" s="3090"/>
      <c r="M17" s="3090"/>
      <c r="N17" s="3090"/>
      <c r="O17" s="3090"/>
    </row>
    <row r="18" spans="1:15" ht="20.100000000000001" customHeight="1">
      <c r="A18" s="143">
        <v>11</v>
      </c>
      <c r="B18" s="3193" t="s">
        <v>6099</v>
      </c>
      <c r="C18" s="3193"/>
      <c r="D18" s="1120"/>
      <c r="E18" s="1120"/>
      <c r="F18" s="525">
        <f t="shared" si="0"/>
        <v>0</v>
      </c>
      <c r="G18" s="694" t="s">
        <v>510</v>
      </c>
      <c r="H18" s="3090"/>
      <c r="I18" s="3090"/>
      <c r="J18" s="3090"/>
      <c r="K18" s="3090"/>
      <c r="L18" s="3090"/>
      <c r="M18" s="3090"/>
      <c r="N18" s="3090"/>
      <c r="O18" s="3090"/>
    </row>
    <row r="19" spans="1:15" ht="20.100000000000001" customHeight="1">
      <c r="A19" s="695">
        <v>12</v>
      </c>
      <c r="B19" s="3195"/>
      <c r="C19" s="3195"/>
      <c r="D19" s="1122"/>
      <c r="E19" s="1122"/>
      <c r="F19" s="525">
        <f t="shared" si="0"/>
        <v>0</v>
      </c>
      <c r="G19" s="694" t="s">
        <v>510</v>
      </c>
      <c r="H19" s="3090"/>
      <c r="I19" s="3090"/>
      <c r="J19" s="3090"/>
      <c r="K19" s="3090"/>
      <c r="L19" s="3090"/>
      <c r="M19" s="3090"/>
      <c r="N19" s="3090"/>
      <c r="O19" s="3090"/>
    </row>
    <row r="20" spans="1:15" ht="22.5" customHeight="1">
      <c r="A20" s="3021" t="s">
        <v>703</v>
      </c>
      <c r="B20" s="3021"/>
      <c r="C20" s="3021"/>
      <c r="D20" s="697">
        <f>D8+D14+D17+D18</f>
        <v>0</v>
      </c>
      <c r="E20" s="697">
        <f>E8+E14+E17+E18</f>
        <v>0</v>
      </c>
      <c r="F20" s="697">
        <f>F8+F14+F17+F18</f>
        <v>0</v>
      </c>
      <c r="G20" s="698"/>
      <c r="H20" s="523"/>
      <c r="I20" s="592"/>
      <c r="J20" s="592"/>
      <c r="K20" s="592"/>
      <c r="L20" s="592"/>
      <c r="M20" s="592"/>
      <c r="N20" s="592"/>
      <c r="O20" s="592"/>
    </row>
    <row r="21" spans="1:15" s="558" customFormat="1" ht="20.25" customHeight="1">
      <c r="A21" s="3192" t="s">
        <v>1476</v>
      </c>
      <c r="B21" s="3192"/>
      <c r="C21" s="3192"/>
      <c r="D21" s="3192"/>
      <c r="E21" s="3192"/>
      <c r="F21" s="3192"/>
      <c r="G21" s="3192"/>
      <c r="H21" s="557"/>
      <c r="I21" s="557"/>
      <c r="J21" s="557"/>
      <c r="K21" s="557"/>
      <c r="L21" s="557"/>
      <c r="M21" s="557"/>
      <c r="N21" s="557"/>
      <c r="O21" s="557"/>
    </row>
    <row r="22" spans="1:15" s="558" customFormat="1" ht="19.5" customHeight="1">
      <c r="A22" s="3196" t="s">
        <v>1477</v>
      </c>
      <c r="B22" s="3196"/>
      <c r="C22" s="3196"/>
      <c r="D22" s="3196"/>
      <c r="E22" s="3196"/>
      <c r="F22" s="3196"/>
      <c r="G22" s="3196"/>
      <c r="H22" s="557"/>
      <c r="I22" s="557"/>
      <c r="J22" s="557"/>
      <c r="K22" s="557"/>
      <c r="L22" s="557"/>
      <c r="M22" s="557"/>
      <c r="N22" s="557"/>
      <c r="O22" s="557"/>
    </row>
    <row r="23" spans="1:15" s="558" customFormat="1" ht="19.5" customHeight="1">
      <c r="A23" s="3058" t="s">
        <v>854</v>
      </c>
      <c r="B23" s="3058"/>
      <c r="C23" s="158" t="s">
        <v>1293</v>
      </c>
      <c r="D23" s="158" t="s">
        <v>855</v>
      </c>
      <c r="E23" s="158" t="s">
        <v>856</v>
      </c>
      <c r="F23" s="158" t="s">
        <v>857</v>
      </c>
      <c r="G23" s="159" t="s">
        <v>703</v>
      </c>
      <c r="H23" s="557"/>
      <c r="I23" s="557"/>
      <c r="J23" s="557"/>
      <c r="K23" s="557"/>
      <c r="L23" s="557"/>
      <c r="M23" s="557"/>
      <c r="N23" s="557"/>
      <c r="O23" s="557"/>
    </row>
    <row r="24" spans="1:15" s="558" customFormat="1" ht="19.5" customHeight="1">
      <c r="A24" s="2903" t="s">
        <v>558</v>
      </c>
      <c r="B24" s="2903"/>
      <c r="C24" s="518">
        <f>管理费用!H17</f>
        <v>0</v>
      </c>
      <c r="D24" s="1110"/>
      <c r="E24" s="518">
        <f>营业费用!H17</f>
        <v>0</v>
      </c>
      <c r="F24" s="1110"/>
      <c r="G24" s="699">
        <f>SUM(C24:F24)</f>
        <v>0</v>
      </c>
      <c r="H24" s="700"/>
      <c r="I24" s="557"/>
      <c r="J24" s="557"/>
      <c r="K24" s="557"/>
      <c r="L24" s="557"/>
      <c r="M24" s="557"/>
      <c r="N24" s="557"/>
      <c r="O24" s="557"/>
    </row>
    <row r="25" spans="1:15" s="558" customFormat="1" ht="19.5" customHeight="1">
      <c r="A25" s="3202" t="s">
        <v>1478</v>
      </c>
      <c r="B25" s="3202"/>
      <c r="C25" s="3202"/>
      <c r="D25" s="3202"/>
      <c r="E25" s="3202"/>
      <c r="F25" s="3202"/>
      <c r="G25" s="3202"/>
      <c r="H25" s="557"/>
      <c r="I25" s="557"/>
      <c r="J25" s="557"/>
      <c r="K25" s="557"/>
      <c r="L25" s="557"/>
      <c r="M25" s="557"/>
      <c r="N25" s="557"/>
      <c r="O25" s="557"/>
    </row>
    <row r="26" spans="1:15" s="558" customFormat="1" ht="19.5" customHeight="1">
      <c r="A26" s="3058" t="s">
        <v>854</v>
      </c>
      <c r="B26" s="3058"/>
      <c r="C26" s="158" t="s">
        <v>1293</v>
      </c>
      <c r="D26" s="158" t="s">
        <v>855</v>
      </c>
      <c r="E26" s="158" t="s">
        <v>856</v>
      </c>
      <c r="F26" s="158" t="s">
        <v>857</v>
      </c>
      <c r="G26" s="159" t="s">
        <v>703</v>
      </c>
      <c r="H26" s="557"/>
      <c r="I26" s="557"/>
      <c r="J26" s="557"/>
      <c r="K26" s="557"/>
      <c r="L26" s="557"/>
      <c r="M26" s="557"/>
      <c r="N26" s="557"/>
      <c r="O26" s="557"/>
    </row>
    <row r="27" spans="1:15" s="558" customFormat="1" ht="19.5" customHeight="1">
      <c r="A27" s="3147" t="s">
        <v>558</v>
      </c>
      <c r="B27" s="3147"/>
      <c r="C27" s="701">
        <f>管理费用!H13</f>
        <v>0</v>
      </c>
      <c r="D27" s="1113"/>
      <c r="E27" s="701">
        <f>营业费用!H13</f>
        <v>0</v>
      </c>
      <c r="F27" s="1113"/>
      <c r="G27" s="702">
        <f>SUM(C27:F27)</f>
        <v>0</v>
      </c>
      <c r="H27" s="700"/>
      <c r="I27" s="557"/>
      <c r="J27" s="557"/>
      <c r="K27" s="557"/>
      <c r="L27" s="557"/>
      <c r="M27" s="557"/>
      <c r="N27" s="557"/>
      <c r="O27" s="557"/>
    </row>
    <row r="28" spans="1:15" s="558" customFormat="1" ht="20.25" customHeight="1">
      <c r="A28" s="3021" t="s">
        <v>642</v>
      </c>
      <c r="B28" s="3021"/>
      <c r="C28" s="3199" t="str">
        <f>IF(G24&lt;&gt;D8,"保障性缴款原始凭证检查金额与账载数不符，请检查！","保障性缴款原始凭证检查金额与账载数相符！")</f>
        <v>保障性缴款原始凭证检查金额与账载数相符！</v>
      </c>
      <c r="D28" s="3199"/>
      <c r="E28" s="3200" t="str">
        <f>IF(G27&lt;&gt;D17,"住房公积金原始凭证检查金额与账载数不符，请检查！","住房公积金原始凭证检查金额与账载数相符！")</f>
        <v>住房公积金原始凭证检查金额与账载数相符！</v>
      </c>
      <c r="F28" s="3200"/>
      <c r="G28" s="3200"/>
      <c r="H28" s="557"/>
      <c r="I28" s="557"/>
      <c r="J28" s="557"/>
      <c r="K28" s="557"/>
      <c r="L28" s="557"/>
      <c r="M28" s="557"/>
      <c r="N28" s="557"/>
      <c r="O28" s="557"/>
    </row>
    <row r="29" spans="1:15" ht="15" customHeight="1">
      <c r="A29" s="3141" t="s">
        <v>1324</v>
      </c>
      <c r="B29" s="3141"/>
      <c r="C29" s="550" t="s">
        <v>1249</v>
      </c>
      <c r="D29" s="3109" t="str">
        <f>IF(OR(F8&gt;0,F17&gt;0),"、E","")</f>
        <v/>
      </c>
      <c r="E29" s="3109"/>
      <c r="F29" s="3109"/>
      <c r="G29" s="3109"/>
      <c r="H29" s="523"/>
      <c r="I29" s="592"/>
      <c r="J29" s="592"/>
      <c r="K29" s="592"/>
      <c r="L29" s="592"/>
      <c r="M29" s="592"/>
      <c r="N29" s="592"/>
      <c r="O29" s="592"/>
    </row>
    <row r="30" spans="1:15" ht="107.25" customHeight="1">
      <c r="A30" s="3141"/>
      <c r="B30" s="3141"/>
      <c r="C30" s="3201"/>
      <c r="D30" s="3201"/>
      <c r="E30" s="3201"/>
      <c r="F30" s="3201"/>
      <c r="G30" s="3201"/>
      <c r="H30" s="84"/>
      <c r="I30" s="84"/>
      <c r="J30" s="84"/>
      <c r="K30" s="84"/>
      <c r="L30" s="84"/>
      <c r="M30" s="84"/>
      <c r="N30" s="84"/>
      <c r="O30" s="84"/>
    </row>
    <row r="31" spans="1:15" ht="14.25" customHeight="1">
      <c r="A31" s="3156" t="s">
        <v>575</v>
      </c>
      <c r="B31" s="3156"/>
      <c r="C31" s="3197" t="str">
        <f>IF(F8&lt;&gt;0,"实际列支社会保障性缴款大于税法允许列支的限额,应予纳税调整增加"&amp;DOLLAR(F8,2)&amp;"元！","不存在社会保障性缴款调整事项，认可！")</f>
        <v>不存在社会保障性缴款调整事项，认可！</v>
      </c>
      <c r="D31" s="3197"/>
      <c r="E31" s="3197"/>
      <c r="F31" s="3197"/>
      <c r="G31" s="3197"/>
      <c r="H31" s="84"/>
      <c r="I31" s="84"/>
      <c r="J31" s="84"/>
      <c r="K31" s="84"/>
      <c r="L31" s="84"/>
      <c r="M31" s="84"/>
      <c r="N31" s="84"/>
      <c r="O31" s="84"/>
    </row>
    <row r="32" spans="1:15">
      <c r="A32" s="3156"/>
      <c r="B32" s="3156"/>
      <c r="C32" s="3197"/>
      <c r="D32" s="3197"/>
      <c r="E32" s="3197"/>
      <c r="F32" s="3197"/>
      <c r="G32" s="3197"/>
      <c r="H32" s="84"/>
      <c r="I32" s="84"/>
      <c r="J32" s="84"/>
      <c r="K32" s="84"/>
      <c r="L32" s="84"/>
      <c r="M32" s="84"/>
      <c r="N32" s="84"/>
      <c r="O32" s="84"/>
    </row>
    <row r="33" spans="1:15">
      <c r="A33" s="3156"/>
      <c r="B33" s="3156"/>
      <c r="C33" s="3198" t="str">
        <f>IF(F17&lt;&gt;0,"实际列支住房公积金大于税法允许列支的限额,应予纳税调整增加"&amp;DOLLAR(F17,2)&amp;"元！","不存在住房公积金调整事项，认可！")</f>
        <v>不存在住房公积金调整事项，认可！</v>
      </c>
      <c r="D33" s="3198"/>
      <c r="E33" s="3198"/>
      <c r="F33" s="3198"/>
      <c r="G33" s="3198"/>
      <c r="H33" s="84"/>
      <c r="I33" s="84"/>
      <c r="J33" s="84"/>
      <c r="K33" s="84"/>
      <c r="L33" s="84"/>
      <c r="M33" s="84"/>
      <c r="N33" s="84"/>
      <c r="O33" s="84"/>
    </row>
    <row r="34" spans="1:15">
      <c r="A34" s="3156"/>
      <c r="B34" s="3156"/>
      <c r="C34" s="3198"/>
      <c r="D34" s="3198"/>
      <c r="E34" s="3198"/>
      <c r="F34" s="3198"/>
      <c r="G34" s="3198"/>
      <c r="H34" s="84"/>
      <c r="I34" s="84"/>
      <c r="J34" s="84"/>
      <c r="K34" s="84"/>
      <c r="L34" s="84"/>
      <c r="M34" s="84"/>
      <c r="N34" s="84"/>
      <c r="O34" s="84"/>
    </row>
    <row r="35" spans="1:15">
      <c r="A35" s="704"/>
      <c r="B35" s="704"/>
      <c r="C35" s="502"/>
      <c r="D35" s="502"/>
      <c r="E35" s="502"/>
      <c r="F35" s="502"/>
      <c r="G35" s="502"/>
    </row>
  </sheetData>
  <sheetProtection selectLockedCells="1" selectUnlockedCells="1"/>
  <mergeCells count="38">
    <mergeCell ref="A22:G22"/>
    <mergeCell ref="A23:B23"/>
    <mergeCell ref="A24:B24"/>
    <mergeCell ref="A31:B34"/>
    <mergeCell ref="C31:G32"/>
    <mergeCell ref="C33:G34"/>
    <mergeCell ref="A26:B26"/>
    <mergeCell ref="A27:B27"/>
    <mergeCell ref="A28:B28"/>
    <mergeCell ref="C28:D28"/>
    <mergeCell ref="E28:G28"/>
    <mergeCell ref="A29:B30"/>
    <mergeCell ref="D29:G29"/>
    <mergeCell ref="C30:G30"/>
    <mergeCell ref="A25:G25"/>
    <mergeCell ref="H9:K9"/>
    <mergeCell ref="B10:C10"/>
    <mergeCell ref="B12:C12"/>
    <mergeCell ref="B13:C13"/>
    <mergeCell ref="H13:O19"/>
    <mergeCell ref="B14:C14"/>
    <mergeCell ref="B15:C15"/>
    <mergeCell ref="B16:C16"/>
    <mergeCell ref="B17:C17"/>
    <mergeCell ref="B18:C18"/>
    <mergeCell ref="B11:C11"/>
    <mergeCell ref="H11:J11"/>
    <mergeCell ref="B19:C19"/>
    <mergeCell ref="A20:C20"/>
    <mergeCell ref="A21:G21"/>
    <mergeCell ref="B7:C7"/>
    <mergeCell ref="B8:C8"/>
    <mergeCell ref="B9:C9"/>
    <mergeCell ref="A1:G2"/>
    <mergeCell ref="A3:C4"/>
    <mergeCell ref="G4:G5"/>
    <mergeCell ref="A5:C5"/>
    <mergeCell ref="A6:G6"/>
  </mergeCells>
  <phoneticPr fontId="51" type="noConversion"/>
  <dataValidations count="2">
    <dataValidation allowBlank="1" showErrorMessage="1" sqref="E4 C31">
      <formula1>0</formula1>
      <formula2>0</formula2>
    </dataValidation>
    <dataValidation allowBlank="1" showErrorMessage="1" promptTitle="存在调整事项时" prompt="_x000a_选择 “E”" sqref="D29:G29">
      <formula1>0</formula1>
      <formula2>0</formula2>
    </dataValidation>
  </dataValidations>
  <hyperlinks>
    <hyperlink ref="H9" location="纳税调整明细表!C35" display="纳税调整明细表!C35"/>
    <hyperlink ref="H11" location="管理费用!A1" display="管理费用审核表"/>
  </hyperlinks>
  <pageMargins left="0.78740157480314998" right="0.35433070866141703" top="0.511811023622047" bottom="0.11811023622047198" header="0.511811023622047" footer="0.511811023622047"/>
  <pageSetup paperSize="9" firstPageNumber="0" orientation="portrait" blackAndWhite="1" r:id="rId1"/>
  <headerFooter alignWithMargins="0"/>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32"/>
  <dimension ref="A1:FI164"/>
  <sheetViews>
    <sheetView workbookViewId="0">
      <selection activeCell="O9" sqref="O9"/>
    </sheetView>
  </sheetViews>
  <sheetFormatPr defaultRowHeight="15.6"/>
  <cols>
    <col min="1" max="1" width="5.19921875" customWidth="1"/>
    <col min="10" max="10" width="8.3984375" customWidth="1"/>
    <col min="35" max="165" width="9" style="705"/>
  </cols>
  <sheetData>
    <row r="1" spans="1:34">
      <c r="A1" s="2707" t="s">
        <v>1479</v>
      </c>
      <c r="B1" s="2707"/>
      <c r="C1" s="2707"/>
      <c r="D1" s="2707"/>
      <c r="E1" s="2707"/>
      <c r="F1" s="2707"/>
      <c r="G1" s="2707"/>
      <c r="H1" s="2707"/>
      <c r="I1" s="2707"/>
      <c r="J1" s="2707"/>
      <c r="K1" s="705"/>
      <c r="L1" s="705"/>
      <c r="M1" s="705"/>
      <c r="N1" s="705"/>
      <c r="O1" s="705"/>
      <c r="P1" s="705"/>
      <c r="Q1" s="705"/>
      <c r="R1" s="705"/>
      <c r="S1" s="705"/>
      <c r="T1" s="705"/>
      <c r="U1" s="705"/>
      <c r="V1" s="705"/>
      <c r="W1" s="705"/>
      <c r="X1" s="705"/>
      <c r="Y1" s="705"/>
      <c r="Z1" s="705"/>
      <c r="AA1" s="705"/>
      <c r="AB1" s="705"/>
      <c r="AC1" s="705"/>
      <c r="AD1" s="705"/>
      <c r="AE1" s="705"/>
      <c r="AF1" s="705"/>
      <c r="AG1" s="705"/>
      <c r="AH1" s="705"/>
    </row>
    <row r="2" spans="1:34">
      <c r="A2" s="2707"/>
      <c r="B2" s="2707"/>
      <c r="C2" s="2707"/>
      <c r="D2" s="2707"/>
      <c r="E2" s="2707"/>
      <c r="F2" s="2707"/>
      <c r="G2" s="2707"/>
      <c r="H2" s="2707"/>
      <c r="I2" s="2707"/>
      <c r="J2" s="2707"/>
      <c r="K2" s="705"/>
      <c r="L2" s="705"/>
      <c r="M2" s="705"/>
      <c r="N2" s="705"/>
      <c r="O2" s="705"/>
      <c r="P2" s="705"/>
      <c r="Q2" s="705"/>
      <c r="R2" s="705"/>
      <c r="S2" s="705"/>
      <c r="T2" s="705"/>
      <c r="U2" s="705"/>
      <c r="V2" s="705"/>
      <c r="W2" s="705"/>
      <c r="X2" s="705"/>
      <c r="Y2" s="705"/>
      <c r="Z2" s="705"/>
      <c r="AA2" s="705"/>
      <c r="AB2" s="705"/>
      <c r="AC2" s="705"/>
      <c r="AD2" s="705"/>
      <c r="AE2" s="705"/>
      <c r="AF2" s="705"/>
      <c r="AG2" s="705"/>
      <c r="AH2" s="705"/>
    </row>
    <row r="3" spans="1:34" ht="19.5" customHeight="1">
      <c r="A3" s="3190" t="str">
        <f>"委托单位："&amp;基本情况!B2</f>
        <v>委托单位：0</v>
      </c>
      <c r="B3" s="3190"/>
      <c r="C3" s="3190"/>
      <c r="D3" s="3190"/>
      <c r="E3" s="3190"/>
      <c r="F3" s="509"/>
      <c r="G3" s="2898" t="s">
        <v>449</v>
      </c>
      <c r="H3" s="2898"/>
      <c r="I3" s="136" t="s">
        <v>450</v>
      </c>
      <c r="J3" s="485" t="s">
        <v>283</v>
      </c>
      <c r="K3" s="705"/>
      <c r="L3" s="705"/>
      <c r="M3" s="705"/>
      <c r="N3" s="705"/>
      <c r="O3" s="705"/>
      <c r="P3" s="705"/>
      <c r="Q3" s="705"/>
      <c r="R3" s="705"/>
      <c r="S3" s="705"/>
      <c r="T3" s="705"/>
      <c r="U3" s="705"/>
      <c r="V3" s="705"/>
      <c r="W3" s="705"/>
      <c r="X3" s="705"/>
      <c r="Y3" s="705"/>
      <c r="Z3" s="705"/>
      <c r="AA3" s="705"/>
      <c r="AB3" s="705"/>
      <c r="AC3" s="705"/>
      <c r="AD3" s="705"/>
      <c r="AE3" s="705"/>
      <c r="AF3" s="705"/>
      <c r="AG3" s="705"/>
      <c r="AH3" s="705"/>
    </row>
    <row r="4" spans="1:34" ht="19.5" customHeight="1">
      <c r="A4" s="3190"/>
      <c r="B4" s="3190"/>
      <c r="C4" s="3190"/>
      <c r="D4" s="3190"/>
      <c r="E4" s="3190"/>
      <c r="F4" s="158" t="s">
        <v>451</v>
      </c>
      <c r="G4" s="3204">
        <f>基本情况!B12</f>
        <v>0</v>
      </c>
      <c r="H4" s="3204"/>
      <c r="I4" s="559" t="str">
        <f>TEXT(基本情况!B21,"yyyy-mm-dd")</f>
        <v>2017-03-16</v>
      </c>
      <c r="J4" s="3205"/>
      <c r="K4" s="705"/>
      <c r="L4" s="705"/>
      <c r="M4" s="705"/>
      <c r="N4" s="705"/>
      <c r="O4" s="705"/>
      <c r="P4" s="705"/>
      <c r="Q4" s="705"/>
      <c r="R4" s="705"/>
      <c r="S4" s="705"/>
      <c r="T4" s="705"/>
      <c r="U4" s="705"/>
      <c r="V4" s="705"/>
      <c r="W4" s="705"/>
      <c r="X4" s="705"/>
      <c r="Y4" s="705"/>
      <c r="Z4" s="705"/>
      <c r="AA4" s="705"/>
      <c r="AB4" s="705"/>
      <c r="AC4" s="705"/>
      <c r="AD4" s="705"/>
      <c r="AE4" s="705"/>
      <c r="AF4" s="705"/>
      <c r="AG4" s="705"/>
      <c r="AH4" s="705"/>
    </row>
    <row r="5" spans="1:34" ht="19.5" customHeight="1">
      <c r="A5" s="3191" t="str">
        <f>"会计期间："&amp;基本情况!B7</f>
        <v>会计期间：2016年01月01日至2016年12月31日</v>
      </c>
      <c r="B5" s="3191"/>
      <c r="C5" s="3191"/>
      <c r="D5" s="3191"/>
      <c r="E5" s="3191"/>
      <c r="F5" s="140" t="s">
        <v>453</v>
      </c>
      <c r="G5" s="3030">
        <f>基本情况!B11</f>
        <v>0</v>
      </c>
      <c r="H5" s="3030"/>
      <c r="I5" s="513" t="str">
        <f>TEXT(基本情况!B22,"yyyy-mm-dd")</f>
        <v>2017-05-04</v>
      </c>
      <c r="J5" s="3205"/>
      <c r="K5" s="705"/>
      <c r="L5" s="705"/>
      <c r="M5" s="705"/>
      <c r="N5" s="705"/>
      <c r="O5" s="705"/>
      <c r="P5" s="705"/>
      <c r="Q5" s="705"/>
      <c r="R5" s="705"/>
      <c r="S5" s="705"/>
      <c r="T5" s="705"/>
      <c r="U5" s="705"/>
      <c r="V5" s="705"/>
      <c r="W5" s="705"/>
      <c r="X5" s="705"/>
      <c r="Y5" s="705"/>
      <c r="Z5" s="705"/>
      <c r="AA5" s="705"/>
      <c r="AB5" s="705"/>
      <c r="AC5" s="705"/>
      <c r="AD5" s="705"/>
      <c r="AE5" s="705"/>
      <c r="AF5" s="705"/>
      <c r="AG5" s="705"/>
      <c r="AH5" s="705"/>
    </row>
    <row r="6" spans="1:34" ht="6.75" customHeight="1">
      <c r="A6" s="2959"/>
      <c r="B6" s="2959"/>
      <c r="C6" s="2959"/>
      <c r="D6" s="2959"/>
      <c r="E6" s="2959"/>
      <c r="F6" s="2959"/>
      <c r="G6" s="2959"/>
      <c r="H6" s="2959"/>
      <c r="I6" s="2959"/>
      <c r="J6" s="2959"/>
      <c r="K6" s="705"/>
      <c r="L6" s="705"/>
      <c r="M6" s="705"/>
      <c r="N6" s="705"/>
      <c r="O6" s="705"/>
      <c r="P6" s="705"/>
      <c r="Q6" s="705"/>
      <c r="R6" s="705"/>
      <c r="S6" s="705"/>
      <c r="T6" s="705"/>
      <c r="U6" s="705"/>
      <c r="V6" s="705"/>
      <c r="W6" s="705"/>
      <c r="X6" s="705"/>
      <c r="Y6" s="705"/>
      <c r="Z6" s="705"/>
      <c r="AA6" s="705"/>
      <c r="AB6" s="705"/>
      <c r="AC6" s="705"/>
      <c r="AD6" s="705"/>
      <c r="AE6" s="705"/>
      <c r="AF6" s="705"/>
      <c r="AG6" s="705"/>
      <c r="AH6" s="705"/>
    </row>
    <row r="7" spans="1:34" ht="16.5" customHeight="1">
      <c r="A7" s="3024" t="s">
        <v>661</v>
      </c>
      <c r="B7" s="2898" t="s">
        <v>1480</v>
      </c>
      <c r="C7" s="2898"/>
      <c r="D7" s="2898"/>
      <c r="E7" s="2898"/>
      <c r="F7" s="2898" t="s">
        <v>1481</v>
      </c>
      <c r="G7" s="2898"/>
      <c r="H7" s="2898"/>
      <c r="I7" s="2898"/>
      <c r="J7" s="1633" t="s">
        <v>1482</v>
      </c>
      <c r="K7" s="706" t="s">
        <v>396</v>
      </c>
      <c r="L7" s="705"/>
      <c r="M7" s="705"/>
      <c r="N7" s="705"/>
      <c r="O7" s="705"/>
      <c r="P7" s="705"/>
      <c r="Q7" s="705"/>
      <c r="R7" s="705"/>
      <c r="S7" s="705"/>
      <c r="T7" s="705"/>
      <c r="U7" s="705"/>
      <c r="V7" s="705"/>
      <c r="W7" s="705"/>
      <c r="X7" s="705"/>
      <c r="Y7" s="705"/>
      <c r="Z7" s="705"/>
      <c r="AA7" s="705"/>
      <c r="AB7" s="705"/>
      <c r="AC7" s="705"/>
      <c r="AD7" s="705"/>
      <c r="AE7" s="705"/>
      <c r="AF7" s="705"/>
      <c r="AG7" s="705"/>
      <c r="AH7" s="705"/>
    </row>
    <row r="8" spans="1:34" ht="16.5" customHeight="1">
      <c r="A8" s="3024"/>
      <c r="B8" s="2906" t="s">
        <v>1483</v>
      </c>
      <c r="C8" s="2906"/>
      <c r="D8" s="2906" t="s">
        <v>1484</v>
      </c>
      <c r="E8" s="2906"/>
      <c r="F8" s="2906" t="s">
        <v>1483</v>
      </c>
      <c r="G8" s="2906"/>
      <c r="H8" s="2906" t="s">
        <v>1484</v>
      </c>
      <c r="I8" s="2906"/>
      <c r="J8" s="2057"/>
      <c r="K8" s="705"/>
      <c r="L8" s="705"/>
      <c r="M8" s="705"/>
      <c r="N8" s="705"/>
      <c r="O8" s="705"/>
      <c r="P8" s="705"/>
      <c r="Q8" s="705"/>
      <c r="R8" s="705"/>
      <c r="S8" s="705"/>
      <c r="T8" s="705"/>
      <c r="U8" s="705"/>
      <c r="V8" s="705"/>
      <c r="W8" s="705"/>
      <c r="X8" s="705"/>
      <c r="Y8" s="705"/>
      <c r="Z8" s="705"/>
      <c r="AA8" s="705"/>
      <c r="AB8" s="705"/>
      <c r="AC8" s="705"/>
      <c r="AD8" s="705"/>
      <c r="AE8" s="705"/>
      <c r="AF8" s="705"/>
      <c r="AG8" s="705"/>
      <c r="AH8" s="705"/>
    </row>
    <row r="9" spans="1:34" ht="16.5" customHeight="1">
      <c r="A9" s="707">
        <v>1</v>
      </c>
      <c r="B9" s="3203"/>
      <c r="C9" s="3203"/>
      <c r="D9" s="3203"/>
      <c r="E9" s="3203"/>
      <c r="F9" s="3203"/>
      <c r="G9" s="3203"/>
      <c r="H9" s="3203"/>
      <c r="I9" s="3203"/>
      <c r="J9" s="1259"/>
      <c r="K9" s="708" t="s">
        <v>1480</v>
      </c>
      <c r="L9" s="705"/>
      <c r="M9" s="705"/>
      <c r="N9" s="705"/>
      <c r="O9" s="705"/>
      <c r="P9" s="705"/>
      <c r="Q9" s="705"/>
      <c r="R9" s="705"/>
      <c r="S9" s="705"/>
      <c r="T9" s="705"/>
      <c r="U9" s="705"/>
      <c r="V9" s="705"/>
      <c r="W9" s="705"/>
      <c r="X9" s="705"/>
      <c r="Y9" s="705"/>
      <c r="Z9" s="705"/>
      <c r="AA9" s="705"/>
      <c r="AB9" s="705"/>
      <c r="AC9" s="705"/>
      <c r="AD9" s="705"/>
      <c r="AE9" s="705"/>
      <c r="AF9" s="705"/>
      <c r="AG9" s="705"/>
      <c r="AH9" s="705"/>
    </row>
    <row r="10" spans="1:34" ht="16.5" customHeight="1">
      <c r="A10" s="707">
        <v>2</v>
      </c>
      <c r="B10" s="3203"/>
      <c r="C10" s="3203"/>
      <c r="D10" s="3203"/>
      <c r="E10" s="3203"/>
      <c r="F10" s="3203"/>
      <c r="G10" s="3203"/>
      <c r="H10" s="3203"/>
      <c r="I10" s="3203"/>
      <c r="J10" s="1259"/>
      <c r="K10" s="705"/>
      <c r="L10" s="705"/>
      <c r="M10" s="705"/>
      <c r="N10" s="705"/>
      <c r="O10" s="705"/>
      <c r="P10" s="705"/>
      <c r="Q10" s="705"/>
      <c r="R10" s="705"/>
      <c r="S10" s="705"/>
      <c r="T10" s="705"/>
      <c r="U10" s="705"/>
      <c r="V10" s="705"/>
      <c r="W10" s="705"/>
      <c r="X10" s="705"/>
      <c r="Y10" s="705"/>
      <c r="Z10" s="705"/>
      <c r="AA10" s="705"/>
      <c r="AB10" s="705"/>
      <c r="AC10" s="705"/>
      <c r="AD10" s="705"/>
      <c r="AE10" s="705"/>
      <c r="AF10" s="705"/>
      <c r="AG10" s="705"/>
      <c r="AH10" s="705"/>
    </row>
    <row r="11" spans="1:34" ht="16.5" customHeight="1">
      <c r="A11" s="707">
        <v>3</v>
      </c>
      <c r="B11" s="3203"/>
      <c r="C11" s="3203"/>
      <c r="D11" s="3203"/>
      <c r="E11" s="3203"/>
      <c r="F11" s="3203"/>
      <c r="G11" s="3203"/>
      <c r="H11" s="3203"/>
      <c r="I11" s="3203"/>
      <c r="J11" s="1259"/>
      <c r="K11" s="708" t="s">
        <v>1485</v>
      </c>
      <c r="L11" s="705"/>
      <c r="M11" s="705"/>
      <c r="N11" s="705"/>
      <c r="O11" s="705"/>
      <c r="P11" s="705"/>
      <c r="Q11" s="705"/>
      <c r="R11" s="705"/>
      <c r="S11" s="705"/>
      <c r="T11" s="705"/>
      <c r="U11" s="705"/>
      <c r="V11" s="705"/>
      <c r="W11" s="705"/>
      <c r="X11" s="705"/>
      <c r="Y11" s="705"/>
      <c r="Z11" s="705"/>
      <c r="AA11" s="705"/>
      <c r="AB11" s="705"/>
      <c r="AC11" s="705"/>
      <c r="AD11" s="705"/>
      <c r="AE11" s="705"/>
      <c r="AF11" s="705"/>
      <c r="AG11" s="705"/>
      <c r="AH11" s="705"/>
    </row>
    <row r="12" spans="1:34" ht="16.5" customHeight="1">
      <c r="A12" s="707">
        <v>4</v>
      </c>
      <c r="B12" s="3203"/>
      <c r="C12" s="3203"/>
      <c r="D12" s="3203"/>
      <c r="E12" s="3203"/>
      <c r="F12" s="3203"/>
      <c r="G12" s="3203"/>
      <c r="H12" s="3203"/>
      <c r="I12" s="3203"/>
      <c r="J12" s="1259"/>
      <c r="K12" s="705"/>
      <c r="L12" s="705"/>
      <c r="M12" s="705"/>
      <c r="N12" s="705"/>
      <c r="O12" s="705"/>
      <c r="P12" s="705"/>
      <c r="Q12" s="705"/>
      <c r="R12" s="705"/>
      <c r="S12" s="705"/>
      <c r="T12" s="705"/>
      <c r="U12" s="705"/>
      <c r="V12" s="705"/>
      <c r="W12" s="705"/>
      <c r="X12" s="705"/>
      <c r="Y12" s="705"/>
      <c r="Z12" s="705"/>
      <c r="AA12" s="705"/>
      <c r="AB12" s="705"/>
      <c r="AC12" s="705"/>
      <c r="AD12" s="705"/>
      <c r="AE12" s="705"/>
      <c r="AF12" s="705"/>
      <c r="AG12" s="705"/>
      <c r="AH12" s="705"/>
    </row>
    <row r="13" spans="1:34" ht="16.5" customHeight="1">
      <c r="A13" s="707">
        <v>5</v>
      </c>
      <c r="B13" s="3203"/>
      <c r="C13" s="3203"/>
      <c r="D13" s="3203"/>
      <c r="E13" s="3203"/>
      <c r="F13" s="3203"/>
      <c r="G13" s="3203"/>
      <c r="H13" s="3203"/>
      <c r="I13" s="3203"/>
      <c r="J13" s="1259"/>
      <c r="K13" s="708" t="s">
        <v>1486</v>
      </c>
      <c r="L13" s="705"/>
      <c r="M13" s="705"/>
      <c r="N13" s="705"/>
      <c r="O13" s="705"/>
      <c r="P13" s="705"/>
      <c r="Q13" s="705"/>
      <c r="R13" s="705"/>
      <c r="S13" s="705"/>
      <c r="T13" s="705"/>
      <c r="U13" s="705"/>
      <c r="V13" s="705"/>
      <c r="W13" s="705"/>
      <c r="X13" s="705"/>
      <c r="Y13" s="705"/>
      <c r="Z13" s="705"/>
      <c r="AA13" s="705"/>
      <c r="AB13" s="705"/>
      <c r="AC13" s="705"/>
      <c r="AD13" s="705"/>
      <c r="AE13" s="705"/>
      <c r="AF13" s="705"/>
      <c r="AG13" s="705"/>
      <c r="AH13" s="705"/>
    </row>
    <row r="14" spans="1:34" ht="16.5" customHeight="1">
      <c r="A14" s="707">
        <v>6</v>
      </c>
      <c r="B14" s="3203"/>
      <c r="C14" s="3203"/>
      <c r="D14" s="3203"/>
      <c r="E14" s="3203"/>
      <c r="F14" s="3203"/>
      <c r="G14" s="3203"/>
      <c r="H14" s="3203"/>
      <c r="I14" s="3203"/>
      <c r="J14" s="1259"/>
      <c r="K14" s="705"/>
      <c r="L14" s="705"/>
      <c r="M14" s="705"/>
      <c r="N14" s="705"/>
      <c r="O14" s="705"/>
      <c r="P14" s="705"/>
      <c r="Q14" s="705"/>
      <c r="R14" s="705"/>
      <c r="S14" s="705"/>
      <c r="T14" s="705"/>
      <c r="U14" s="705"/>
      <c r="V14" s="705"/>
      <c r="W14" s="705"/>
      <c r="X14" s="705"/>
      <c r="Y14" s="705"/>
      <c r="Z14" s="705"/>
      <c r="AA14" s="705"/>
      <c r="AB14" s="705"/>
      <c r="AC14" s="705"/>
      <c r="AD14" s="705"/>
      <c r="AE14" s="705"/>
      <c r="AF14" s="705"/>
      <c r="AG14" s="705"/>
      <c r="AH14" s="705"/>
    </row>
    <row r="15" spans="1:34" ht="16.5" customHeight="1">
      <c r="A15" s="707">
        <v>7</v>
      </c>
      <c r="B15" s="3203"/>
      <c r="C15" s="3203"/>
      <c r="D15" s="3203"/>
      <c r="E15" s="3203"/>
      <c r="F15" s="3203"/>
      <c r="G15" s="3203"/>
      <c r="H15" s="3203"/>
      <c r="I15" s="3203"/>
      <c r="J15" s="1259"/>
      <c r="K15" s="708" t="s">
        <v>1487</v>
      </c>
      <c r="L15" s="705"/>
      <c r="M15" s="705"/>
      <c r="N15" s="705"/>
      <c r="O15" s="705"/>
      <c r="P15" s="705"/>
      <c r="Q15" s="705"/>
      <c r="R15" s="705"/>
      <c r="S15" s="705"/>
      <c r="T15" s="705"/>
      <c r="U15" s="705"/>
      <c r="V15" s="705"/>
      <c r="W15" s="705"/>
      <c r="X15" s="705"/>
      <c r="Y15" s="705"/>
      <c r="Z15" s="705"/>
      <c r="AA15" s="705"/>
      <c r="AB15" s="705"/>
      <c r="AC15" s="705"/>
      <c r="AD15" s="705"/>
      <c r="AE15" s="705"/>
      <c r="AF15" s="705"/>
      <c r="AG15" s="705"/>
      <c r="AH15" s="705"/>
    </row>
    <row r="16" spans="1:34" ht="16.5" customHeight="1">
      <c r="A16" s="707">
        <v>8</v>
      </c>
      <c r="B16" s="3203"/>
      <c r="C16" s="3203"/>
      <c r="D16" s="3203"/>
      <c r="E16" s="3203"/>
      <c r="F16" s="3203"/>
      <c r="G16" s="3203"/>
      <c r="H16" s="3203"/>
      <c r="I16" s="3203"/>
      <c r="J16" s="1259"/>
      <c r="K16" s="705"/>
      <c r="L16" s="705"/>
      <c r="M16" s="705"/>
      <c r="N16" s="705"/>
      <c r="O16" s="705"/>
      <c r="P16" s="705"/>
      <c r="Q16" s="705"/>
      <c r="R16" s="705"/>
      <c r="S16" s="705"/>
      <c r="T16" s="705"/>
      <c r="U16" s="705"/>
      <c r="V16" s="705"/>
      <c r="W16" s="705"/>
      <c r="X16" s="705"/>
      <c r="Y16" s="705"/>
      <c r="Z16" s="705"/>
      <c r="AA16" s="705"/>
      <c r="AB16" s="705"/>
      <c r="AC16" s="705"/>
      <c r="AD16" s="705"/>
      <c r="AE16" s="705"/>
      <c r="AF16" s="705"/>
      <c r="AG16" s="705"/>
      <c r="AH16" s="705"/>
    </row>
    <row r="17" spans="1:34" ht="16.5" customHeight="1">
      <c r="A17" s="707">
        <v>9</v>
      </c>
      <c r="B17" s="3203"/>
      <c r="C17" s="3203"/>
      <c r="D17" s="3203"/>
      <c r="E17" s="3203"/>
      <c r="F17" s="3203"/>
      <c r="G17" s="3203"/>
      <c r="H17" s="3203"/>
      <c r="I17" s="3203"/>
      <c r="J17" s="1259"/>
      <c r="K17" s="1270" t="s">
        <v>1336</v>
      </c>
      <c r="L17" s="705"/>
      <c r="M17" s="705"/>
      <c r="N17" s="705"/>
      <c r="O17" s="705"/>
      <c r="P17" s="705"/>
      <c r="Q17" s="705"/>
      <c r="R17" s="705"/>
      <c r="S17" s="705"/>
      <c r="T17" s="705"/>
      <c r="U17" s="705"/>
      <c r="V17" s="705"/>
      <c r="W17" s="705"/>
      <c r="X17" s="705"/>
      <c r="Y17" s="705"/>
      <c r="Z17" s="705"/>
      <c r="AA17" s="705"/>
      <c r="AB17" s="705"/>
      <c r="AC17" s="705"/>
      <c r="AD17" s="705"/>
      <c r="AE17" s="705"/>
      <c r="AF17" s="705"/>
      <c r="AG17" s="705"/>
      <c r="AH17" s="705"/>
    </row>
    <row r="18" spans="1:34" ht="16.5" customHeight="1">
      <c r="A18" s="707">
        <v>10</v>
      </c>
      <c r="B18" s="3203"/>
      <c r="C18" s="3203"/>
      <c r="D18" s="3203"/>
      <c r="E18" s="3203"/>
      <c r="F18" s="3203"/>
      <c r="G18" s="3203"/>
      <c r="H18" s="3203"/>
      <c r="I18" s="3203"/>
      <c r="J18" s="1259"/>
      <c r="K18" s="705"/>
      <c r="L18" s="705"/>
      <c r="M18" s="705"/>
      <c r="N18" s="705"/>
      <c r="O18" s="705"/>
      <c r="P18" s="705"/>
      <c r="Q18" s="705"/>
      <c r="R18" s="705"/>
      <c r="S18" s="705"/>
      <c r="T18" s="705"/>
      <c r="U18" s="705"/>
      <c r="V18" s="705"/>
      <c r="W18" s="705"/>
      <c r="X18" s="705"/>
      <c r="Y18" s="705"/>
      <c r="Z18" s="705"/>
      <c r="AA18" s="705"/>
      <c r="AB18" s="705"/>
      <c r="AC18" s="705"/>
      <c r="AD18" s="705"/>
      <c r="AE18" s="705"/>
      <c r="AF18" s="705"/>
      <c r="AG18" s="705"/>
      <c r="AH18" s="705"/>
    </row>
    <row r="19" spans="1:34" ht="16.5" customHeight="1">
      <c r="A19" s="707">
        <v>11</v>
      </c>
      <c r="B19" s="3203"/>
      <c r="C19" s="3203"/>
      <c r="D19" s="3203"/>
      <c r="E19" s="3203"/>
      <c r="F19" s="3203"/>
      <c r="G19" s="3203"/>
      <c r="H19" s="3203"/>
      <c r="I19" s="3203"/>
      <c r="J19" s="1259"/>
      <c r="K19" s="705"/>
      <c r="L19" s="705"/>
      <c r="M19" s="705"/>
      <c r="N19" s="705"/>
      <c r="O19" s="705"/>
      <c r="P19" s="705"/>
      <c r="Q19" s="705"/>
      <c r="R19" s="705"/>
      <c r="S19" s="705"/>
      <c r="T19" s="705"/>
      <c r="U19" s="705"/>
      <c r="V19" s="705"/>
      <c r="W19" s="705"/>
      <c r="X19" s="705"/>
      <c r="Y19" s="705"/>
      <c r="Z19" s="705"/>
      <c r="AA19" s="705"/>
      <c r="AB19" s="705"/>
      <c r="AC19" s="705"/>
      <c r="AD19" s="705"/>
      <c r="AE19" s="705"/>
      <c r="AF19" s="705"/>
      <c r="AG19" s="705"/>
      <c r="AH19" s="705"/>
    </row>
    <row r="20" spans="1:34" ht="16.5" customHeight="1">
      <c r="A20" s="707">
        <v>12</v>
      </c>
      <c r="B20" s="3203"/>
      <c r="C20" s="3203"/>
      <c r="D20" s="3203"/>
      <c r="E20" s="3203"/>
      <c r="F20" s="3203"/>
      <c r="G20" s="3203"/>
      <c r="H20" s="3203"/>
      <c r="I20" s="3203"/>
      <c r="J20" s="1259"/>
      <c r="K20" s="705"/>
      <c r="L20" s="705"/>
      <c r="M20" s="705"/>
      <c r="N20" s="705"/>
      <c r="O20" s="705"/>
      <c r="P20" s="705"/>
      <c r="Q20" s="705"/>
      <c r="R20" s="705"/>
      <c r="S20" s="705"/>
      <c r="T20" s="705"/>
      <c r="U20" s="705"/>
      <c r="V20" s="705"/>
      <c r="W20" s="705"/>
      <c r="X20" s="705"/>
      <c r="Y20" s="705"/>
      <c r="Z20" s="705"/>
      <c r="AA20" s="705"/>
      <c r="AB20" s="705"/>
      <c r="AC20" s="705"/>
      <c r="AD20" s="705"/>
      <c r="AE20" s="705"/>
      <c r="AF20" s="705"/>
      <c r="AG20" s="705"/>
      <c r="AH20" s="705"/>
    </row>
    <row r="21" spans="1:34" ht="18" customHeight="1">
      <c r="A21" s="709" t="s">
        <v>703</v>
      </c>
      <c r="B21" s="3206">
        <f>SUM(B9:C20)</f>
        <v>0</v>
      </c>
      <c r="C21" s="3206"/>
      <c r="D21" s="3206">
        <f>SUM(D9:E20)</f>
        <v>0</v>
      </c>
      <c r="E21" s="3206"/>
      <c r="F21" s="3206">
        <f>SUM(F9:G20)</f>
        <v>0</v>
      </c>
      <c r="G21" s="3206"/>
      <c r="H21" s="3206">
        <f>SUM(H9:I20)</f>
        <v>0</v>
      </c>
      <c r="I21" s="3206"/>
      <c r="J21" s="1260">
        <f>SUM(J9:J20)</f>
        <v>0</v>
      </c>
      <c r="K21" s="705"/>
      <c r="L21" s="705"/>
      <c r="M21" s="705"/>
      <c r="N21" s="705"/>
      <c r="O21" s="705"/>
      <c r="P21" s="705"/>
      <c r="Q21" s="705"/>
      <c r="R21" s="705"/>
      <c r="S21" s="705"/>
      <c r="T21" s="705"/>
      <c r="U21" s="705"/>
      <c r="V21" s="705"/>
      <c r="W21" s="705"/>
      <c r="X21" s="705"/>
      <c r="Y21" s="705"/>
      <c r="Z21" s="705"/>
      <c r="AA21" s="705"/>
      <c r="AB21" s="705"/>
      <c r="AC21" s="705"/>
      <c r="AD21" s="705"/>
      <c r="AE21" s="705"/>
      <c r="AF21" s="705"/>
      <c r="AG21" s="705"/>
      <c r="AH21" s="705"/>
    </row>
    <row r="22" spans="1:34" ht="19.5" customHeight="1">
      <c r="A22" s="3024" t="s">
        <v>661</v>
      </c>
      <c r="B22" s="2898" t="s">
        <v>1488</v>
      </c>
      <c r="C22" s="2898"/>
      <c r="D22" s="2898"/>
      <c r="E22" s="2898"/>
      <c r="F22" s="2898" t="s">
        <v>1489</v>
      </c>
      <c r="G22" s="2898"/>
      <c r="H22" s="2898"/>
      <c r="I22" s="2898"/>
      <c r="J22" s="3207" t="s">
        <v>1639</v>
      </c>
      <c r="K22" s="705"/>
      <c r="L22" s="705"/>
      <c r="M22" s="705"/>
      <c r="N22" s="705"/>
      <c r="O22" s="705"/>
      <c r="P22" s="705"/>
      <c r="Q22" s="705"/>
      <c r="R22" s="705"/>
      <c r="S22" s="705"/>
      <c r="T22" s="705"/>
      <c r="U22" s="705"/>
      <c r="V22" s="705"/>
      <c r="W22" s="705"/>
      <c r="X22" s="705"/>
      <c r="Y22" s="705"/>
      <c r="Z22" s="705"/>
      <c r="AA22" s="705"/>
      <c r="AB22" s="705"/>
      <c r="AC22" s="705"/>
      <c r="AD22" s="705"/>
      <c r="AE22" s="705"/>
      <c r="AF22" s="705"/>
      <c r="AG22" s="705"/>
      <c r="AH22" s="705"/>
    </row>
    <row r="23" spans="1:34" ht="19.5" customHeight="1">
      <c r="A23" s="3024"/>
      <c r="B23" s="2906" t="s">
        <v>1483</v>
      </c>
      <c r="C23" s="2906"/>
      <c r="D23" s="2906" t="s">
        <v>1484</v>
      </c>
      <c r="E23" s="2906"/>
      <c r="F23" s="2906" t="s">
        <v>1483</v>
      </c>
      <c r="G23" s="2906"/>
      <c r="H23" s="2906" t="s">
        <v>1484</v>
      </c>
      <c r="I23" s="2906"/>
      <c r="J23" s="3208"/>
      <c r="K23" s="705"/>
      <c r="L23" s="705"/>
      <c r="M23" s="705"/>
      <c r="N23" s="705"/>
      <c r="O23" s="705"/>
      <c r="P23" s="705"/>
      <c r="Q23" s="705"/>
      <c r="R23" s="705"/>
      <c r="S23" s="705"/>
      <c r="T23" s="705"/>
      <c r="U23" s="705"/>
      <c r="V23" s="705"/>
      <c r="W23" s="705"/>
      <c r="X23" s="705"/>
      <c r="Y23" s="705"/>
      <c r="Z23" s="705"/>
      <c r="AA23" s="705"/>
      <c r="AB23" s="705"/>
      <c r="AC23" s="705"/>
      <c r="AD23" s="705"/>
      <c r="AE23" s="705"/>
      <c r="AF23" s="705"/>
      <c r="AG23" s="705"/>
      <c r="AH23" s="705"/>
    </row>
    <row r="24" spans="1:34" ht="16.5" customHeight="1">
      <c r="A24" s="707">
        <v>1</v>
      </c>
      <c r="B24" s="3203"/>
      <c r="C24" s="3203"/>
      <c r="D24" s="3203"/>
      <c r="E24" s="3203"/>
      <c r="F24" s="3203"/>
      <c r="G24" s="3203"/>
      <c r="H24" s="3203"/>
      <c r="I24" s="3203"/>
      <c r="J24" s="1259"/>
      <c r="K24" s="705"/>
      <c r="L24" s="705"/>
      <c r="M24" s="705"/>
      <c r="N24" s="705"/>
      <c r="O24" s="705"/>
      <c r="P24" s="705"/>
      <c r="Q24" s="705"/>
      <c r="R24" s="705"/>
      <c r="S24" s="705"/>
      <c r="T24" s="705"/>
      <c r="U24" s="705"/>
      <c r="V24" s="705"/>
      <c r="W24" s="705"/>
      <c r="X24" s="705"/>
      <c r="Y24" s="705"/>
      <c r="Z24" s="705"/>
      <c r="AA24" s="705"/>
      <c r="AB24" s="705"/>
      <c r="AC24" s="705"/>
      <c r="AD24" s="705"/>
      <c r="AE24" s="705"/>
      <c r="AF24" s="705"/>
      <c r="AG24" s="705"/>
      <c r="AH24" s="705"/>
    </row>
    <row r="25" spans="1:34" ht="16.5" customHeight="1">
      <c r="A25" s="707">
        <v>2</v>
      </c>
      <c r="B25" s="3203"/>
      <c r="C25" s="3203"/>
      <c r="D25" s="3203"/>
      <c r="E25" s="3203"/>
      <c r="F25" s="3203"/>
      <c r="G25" s="3203"/>
      <c r="H25" s="3203"/>
      <c r="I25" s="3203"/>
      <c r="J25" s="1259"/>
      <c r="K25" s="705"/>
      <c r="L25" s="705"/>
      <c r="M25" s="705"/>
      <c r="N25" s="705"/>
      <c r="O25" s="705"/>
      <c r="P25" s="705"/>
      <c r="Q25" s="705"/>
      <c r="R25" s="705"/>
      <c r="S25" s="705"/>
      <c r="T25" s="705"/>
      <c r="U25" s="705"/>
      <c r="V25" s="705"/>
      <c r="W25" s="705"/>
      <c r="X25" s="705"/>
      <c r="Y25" s="705"/>
      <c r="Z25" s="705"/>
      <c r="AA25" s="705"/>
      <c r="AB25" s="705"/>
      <c r="AC25" s="705"/>
      <c r="AD25" s="705"/>
      <c r="AE25" s="705"/>
      <c r="AF25" s="705"/>
      <c r="AG25" s="705"/>
      <c r="AH25" s="705"/>
    </row>
    <row r="26" spans="1:34" ht="16.5" customHeight="1">
      <c r="A26" s="707">
        <v>3</v>
      </c>
      <c r="B26" s="3203"/>
      <c r="C26" s="3203"/>
      <c r="D26" s="3203"/>
      <c r="E26" s="3203"/>
      <c r="F26" s="3203"/>
      <c r="G26" s="3203"/>
      <c r="H26" s="3203"/>
      <c r="I26" s="3203"/>
      <c r="J26" s="1259"/>
      <c r="K26" s="705"/>
      <c r="L26" s="705"/>
      <c r="M26" s="705"/>
      <c r="N26" s="705"/>
      <c r="O26" s="705"/>
      <c r="P26" s="705"/>
      <c r="Q26" s="705"/>
      <c r="R26" s="705"/>
      <c r="S26" s="705"/>
      <c r="T26" s="705"/>
      <c r="U26" s="705"/>
      <c r="V26" s="705"/>
      <c r="W26" s="705"/>
      <c r="X26" s="705"/>
      <c r="Y26" s="705"/>
      <c r="Z26" s="705"/>
      <c r="AA26" s="705"/>
      <c r="AB26" s="705"/>
      <c r="AC26" s="705"/>
      <c r="AD26" s="705"/>
      <c r="AE26" s="705"/>
      <c r="AF26" s="705"/>
      <c r="AG26" s="705"/>
      <c r="AH26" s="705"/>
    </row>
    <row r="27" spans="1:34" ht="16.5" customHeight="1">
      <c r="A27" s="707">
        <v>4</v>
      </c>
      <c r="B27" s="3203"/>
      <c r="C27" s="3203"/>
      <c r="D27" s="3203"/>
      <c r="E27" s="3203"/>
      <c r="F27" s="3203"/>
      <c r="G27" s="3203"/>
      <c r="H27" s="3203"/>
      <c r="I27" s="3203"/>
      <c r="J27" s="1259"/>
      <c r="K27" s="705"/>
      <c r="L27" s="705"/>
      <c r="M27" s="705"/>
      <c r="N27" s="705"/>
      <c r="O27" s="705"/>
      <c r="P27" s="705"/>
      <c r="Q27" s="705"/>
      <c r="R27" s="705"/>
      <c r="S27" s="705"/>
      <c r="T27" s="705"/>
      <c r="U27" s="705"/>
      <c r="V27" s="705"/>
      <c r="W27" s="705"/>
      <c r="X27" s="705"/>
      <c r="Y27" s="705"/>
      <c r="Z27" s="705"/>
      <c r="AA27" s="705"/>
      <c r="AB27" s="705"/>
      <c r="AC27" s="705"/>
      <c r="AD27" s="705"/>
      <c r="AE27" s="705"/>
      <c r="AF27" s="705"/>
      <c r="AG27" s="705"/>
      <c r="AH27" s="705"/>
    </row>
    <row r="28" spans="1:34" ht="16.5" customHeight="1">
      <c r="A28" s="707">
        <v>5</v>
      </c>
      <c r="B28" s="3203"/>
      <c r="C28" s="3203"/>
      <c r="D28" s="3203"/>
      <c r="E28" s="3203"/>
      <c r="F28" s="3203"/>
      <c r="G28" s="3203"/>
      <c r="H28" s="3203"/>
      <c r="I28" s="3203"/>
      <c r="J28" s="1259"/>
      <c r="K28" s="705"/>
      <c r="L28" s="705"/>
      <c r="M28" s="705"/>
      <c r="N28" s="705"/>
      <c r="O28" s="705"/>
      <c r="P28" s="705"/>
      <c r="Q28" s="705"/>
      <c r="R28" s="705"/>
      <c r="S28" s="705"/>
      <c r="T28" s="705"/>
      <c r="U28" s="705"/>
      <c r="V28" s="705"/>
      <c r="W28" s="705"/>
      <c r="X28" s="705"/>
      <c r="Y28" s="705"/>
      <c r="Z28" s="705"/>
      <c r="AA28" s="705"/>
      <c r="AB28" s="705"/>
      <c r="AC28" s="705"/>
      <c r="AD28" s="705"/>
      <c r="AE28" s="705"/>
      <c r="AF28" s="705"/>
      <c r="AG28" s="705"/>
      <c r="AH28" s="705"/>
    </row>
    <row r="29" spans="1:34" ht="16.5" customHeight="1">
      <c r="A29" s="707">
        <v>6</v>
      </c>
      <c r="B29" s="3203"/>
      <c r="C29" s="3203"/>
      <c r="D29" s="3203"/>
      <c r="E29" s="3203"/>
      <c r="F29" s="3203"/>
      <c r="G29" s="3203"/>
      <c r="H29" s="3203"/>
      <c r="I29" s="3203"/>
      <c r="J29" s="1259"/>
      <c r="K29" s="705"/>
      <c r="L29" s="705"/>
      <c r="M29" s="705"/>
      <c r="N29" s="705"/>
      <c r="O29" s="705"/>
      <c r="P29" s="705"/>
      <c r="Q29" s="705"/>
      <c r="R29" s="705"/>
      <c r="S29" s="705"/>
      <c r="T29" s="705"/>
      <c r="U29" s="705"/>
      <c r="V29" s="705"/>
      <c r="W29" s="705"/>
      <c r="X29" s="705"/>
      <c r="Y29" s="705"/>
      <c r="Z29" s="705"/>
      <c r="AA29" s="705"/>
      <c r="AB29" s="705"/>
      <c r="AC29" s="705"/>
      <c r="AD29" s="705"/>
      <c r="AE29" s="705"/>
      <c r="AF29" s="705"/>
      <c r="AG29" s="705"/>
      <c r="AH29" s="705"/>
    </row>
    <row r="30" spans="1:34" ht="16.5" customHeight="1">
      <c r="A30" s="707">
        <v>7</v>
      </c>
      <c r="B30" s="3203"/>
      <c r="C30" s="3203"/>
      <c r="D30" s="3203"/>
      <c r="E30" s="3203"/>
      <c r="F30" s="3203"/>
      <c r="G30" s="3203"/>
      <c r="H30" s="3203"/>
      <c r="I30" s="3203"/>
      <c r="J30" s="1259"/>
      <c r="K30" s="705"/>
      <c r="L30" s="705"/>
      <c r="M30" s="705"/>
      <c r="N30" s="705"/>
      <c r="O30" s="705"/>
      <c r="P30" s="705"/>
      <c r="Q30" s="705"/>
      <c r="R30" s="705"/>
      <c r="S30" s="705"/>
      <c r="T30" s="705"/>
      <c r="U30" s="705"/>
      <c r="V30" s="705"/>
      <c r="W30" s="705"/>
      <c r="X30" s="705"/>
      <c r="Y30" s="705"/>
      <c r="Z30" s="705"/>
      <c r="AA30" s="705"/>
      <c r="AB30" s="705"/>
      <c r="AC30" s="705"/>
      <c r="AD30" s="705"/>
      <c r="AE30" s="705"/>
      <c r="AF30" s="705"/>
      <c r="AG30" s="705"/>
      <c r="AH30" s="705"/>
    </row>
    <row r="31" spans="1:34" ht="16.5" customHeight="1">
      <c r="A31" s="707">
        <v>8</v>
      </c>
      <c r="B31" s="3203"/>
      <c r="C31" s="3203"/>
      <c r="D31" s="3203"/>
      <c r="E31" s="3203"/>
      <c r="F31" s="3203"/>
      <c r="G31" s="3203"/>
      <c r="H31" s="3203"/>
      <c r="I31" s="3203"/>
      <c r="J31" s="1259"/>
      <c r="K31" s="705"/>
      <c r="L31" s="705"/>
      <c r="M31" s="705"/>
      <c r="N31" s="705"/>
      <c r="O31" s="705"/>
      <c r="P31" s="705"/>
      <c r="Q31" s="705"/>
      <c r="R31" s="705"/>
      <c r="S31" s="705"/>
      <c r="T31" s="705"/>
      <c r="U31" s="705"/>
      <c r="V31" s="705"/>
      <c r="W31" s="705"/>
      <c r="X31" s="705"/>
      <c r="Y31" s="705"/>
      <c r="Z31" s="705"/>
      <c r="AA31" s="705"/>
      <c r="AB31" s="705"/>
      <c r="AC31" s="705"/>
      <c r="AD31" s="705"/>
      <c r="AE31" s="705"/>
      <c r="AF31" s="705"/>
      <c r="AG31" s="705"/>
      <c r="AH31" s="705"/>
    </row>
    <row r="32" spans="1:34" ht="16.5" customHeight="1">
      <c r="A32" s="707">
        <v>9</v>
      </c>
      <c r="B32" s="3203"/>
      <c r="C32" s="3203"/>
      <c r="D32" s="3203"/>
      <c r="E32" s="3203"/>
      <c r="F32" s="3203"/>
      <c r="G32" s="3203"/>
      <c r="H32" s="3203"/>
      <c r="I32" s="3203"/>
      <c r="J32" s="1259"/>
      <c r="K32" s="705"/>
      <c r="L32" s="705"/>
      <c r="M32" s="705"/>
      <c r="N32" s="705"/>
      <c r="O32" s="705"/>
      <c r="P32" s="705"/>
      <c r="Q32" s="705"/>
      <c r="R32" s="705"/>
      <c r="S32" s="705"/>
      <c r="T32" s="705"/>
      <c r="U32" s="705"/>
      <c r="V32" s="705"/>
      <c r="W32" s="705"/>
      <c r="X32" s="705"/>
      <c r="Y32" s="705"/>
      <c r="Z32" s="705"/>
      <c r="AA32" s="705"/>
      <c r="AB32" s="705"/>
      <c r="AC32" s="705"/>
      <c r="AD32" s="705"/>
      <c r="AE32" s="705"/>
      <c r="AF32" s="705"/>
      <c r="AG32" s="705"/>
      <c r="AH32" s="705"/>
    </row>
    <row r="33" spans="1:34" ht="16.5" customHeight="1">
      <c r="A33" s="707">
        <v>10</v>
      </c>
      <c r="B33" s="3203"/>
      <c r="C33" s="3203"/>
      <c r="D33" s="3203"/>
      <c r="E33" s="3203"/>
      <c r="F33" s="3203"/>
      <c r="G33" s="3203"/>
      <c r="H33" s="3203"/>
      <c r="I33" s="3203"/>
      <c r="J33" s="1259"/>
      <c r="K33" s="705"/>
      <c r="L33" s="705"/>
      <c r="M33" s="705"/>
      <c r="N33" s="705"/>
      <c r="O33" s="705"/>
      <c r="P33" s="705"/>
      <c r="Q33" s="705"/>
      <c r="R33" s="705"/>
      <c r="S33" s="705"/>
      <c r="T33" s="705"/>
      <c r="U33" s="705"/>
      <c r="V33" s="705"/>
      <c r="W33" s="705"/>
      <c r="X33" s="705"/>
      <c r="Y33" s="705"/>
      <c r="Z33" s="705"/>
      <c r="AA33" s="705"/>
      <c r="AB33" s="705"/>
      <c r="AC33" s="705"/>
      <c r="AD33" s="705"/>
      <c r="AE33" s="705"/>
      <c r="AF33" s="705"/>
      <c r="AG33" s="705"/>
      <c r="AH33" s="705"/>
    </row>
    <row r="34" spans="1:34" ht="16.5" customHeight="1">
      <c r="A34" s="707">
        <v>11</v>
      </c>
      <c r="B34" s="3203"/>
      <c r="C34" s="3203"/>
      <c r="D34" s="3203"/>
      <c r="E34" s="3203"/>
      <c r="F34" s="3203"/>
      <c r="G34" s="3203"/>
      <c r="H34" s="3203"/>
      <c r="I34" s="3203"/>
      <c r="J34" s="1259"/>
      <c r="K34" s="705"/>
      <c r="L34" s="705"/>
      <c r="M34" s="705"/>
      <c r="N34" s="705"/>
      <c r="O34" s="705"/>
      <c r="P34" s="705"/>
      <c r="Q34" s="705"/>
      <c r="R34" s="705"/>
      <c r="S34" s="705"/>
      <c r="T34" s="705"/>
      <c r="U34" s="705"/>
      <c r="V34" s="705"/>
      <c r="W34" s="705"/>
      <c r="X34" s="705"/>
      <c r="Y34" s="705"/>
      <c r="Z34" s="705"/>
      <c r="AA34" s="705"/>
      <c r="AB34" s="705"/>
      <c r="AC34" s="705"/>
      <c r="AD34" s="705"/>
      <c r="AE34" s="705"/>
      <c r="AF34" s="705"/>
      <c r="AG34" s="705"/>
      <c r="AH34" s="705"/>
    </row>
    <row r="35" spans="1:34" ht="16.5" customHeight="1">
      <c r="A35" s="707">
        <v>12</v>
      </c>
      <c r="B35" s="3203"/>
      <c r="C35" s="3203"/>
      <c r="D35" s="3203"/>
      <c r="E35" s="3203"/>
      <c r="F35" s="3203"/>
      <c r="G35" s="3203"/>
      <c r="H35" s="3203"/>
      <c r="I35" s="3203"/>
      <c r="J35" s="1259"/>
      <c r="K35" s="705"/>
      <c r="L35" s="705"/>
      <c r="M35" s="705"/>
      <c r="N35" s="705"/>
      <c r="O35" s="705"/>
      <c r="P35" s="705"/>
      <c r="Q35" s="705"/>
      <c r="R35" s="705"/>
      <c r="S35" s="705"/>
      <c r="T35" s="705"/>
      <c r="U35" s="705"/>
      <c r="V35" s="705"/>
      <c r="W35" s="705"/>
      <c r="X35" s="705"/>
      <c r="Y35" s="705"/>
      <c r="Z35" s="705"/>
      <c r="AA35" s="705"/>
      <c r="AB35" s="705"/>
      <c r="AC35" s="705"/>
      <c r="AD35" s="705"/>
      <c r="AE35" s="705"/>
      <c r="AF35" s="705"/>
      <c r="AG35" s="705"/>
      <c r="AH35" s="705"/>
    </row>
    <row r="36" spans="1:34" ht="18" customHeight="1">
      <c r="A36" s="709" t="s">
        <v>703</v>
      </c>
      <c r="B36" s="3206">
        <f>SUM(B24:C35)</f>
        <v>0</v>
      </c>
      <c r="C36" s="3206"/>
      <c r="D36" s="3206">
        <f>SUM(D24:E35)</f>
        <v>0</v>
      </c>
      <c r="E36" s="3206"/>
      <c r="F36" s="3206">
        <f>SUM(F24:G35)</f>
        <v>0</v>
      </c>
      <c r="G36" s="3206"/>
      <c r="H36" s="3206">
        <f>SUM(H24:I35)</f>
        <v>0</v>
      </c>
      <c r="I36" s="3206"/>
      <c r="J36" s="1260">
        <f>SUM(J24:J35)</f>
        <v>0</v>
      </c>
      <c r="K36" s="705"/>
      <c r="L36" s="705"/>
      <c r="M36" s="705"/>
      <c r="N36" s="705"/>
      <c r="O36" s="705"/>
      <c r="P36" s="705"/>
      <c r="Q36" s="705"/>
      <c r="R36" s="705"/>
      <c r="S36" s="705"/>
      <c r="T36" s="705"/>
      <c r="U36" s="705"/>
      <c r="V36" s="705"/>
      <c r="W36" s="705"/>
      <c r="X36" s="705"/>
      <c r="Y36" s="705"/>
      <c r="Z36" s="705"/>
      <c r="AA36" s="705"/>
      <c r="AB36" s="705"/>
      <c r="AC36" s="705"/>
      <c r="AD36" s="705"/>
      <c r="AE36" s="705"/>
      <c r="AF36" s="705"/>
      <c r="AG36" s="705"/>
      <c r="AH36" s="705"/>
    </row>
    <row r="37" spans="1:34">
      <c r="A37" s="705"/>
      <c r="B37" s="705"/>
      <c r="C37" s="705"/>
      <c r="D37" s="705"/>
      <c r="E37" s="705"/>
      <c r="F37" s="705"/>
      <c r="G37" s="705"/>
      <c r="H37" s="705"/>
      <c r="I37" s="705"/>
      <c r="J37" s="705"/>
      <c r="K37" s="705"/>
      <c r="L37" s="705"/>
      <c r="M37" s="705"/>
      <c r="N37" s="705"/>
      <c r="O37" s="705"/>
      <c r="P37" s="705"/>
      <c r="Q37" s="705"/>
      <c r="R37" s="705"/>
      <c r="S37" s="705"/>
      <c r="T37" s="705"/>
      <c r="U37" s="705"/>
      <c r="V37" s="705"/>
      <c r="W37" s="705"/>
      <c r="X37" s="705"/>
      <c r="Y37" s="705"/>
      <c r="Z37" s="705"/>
      <c r="AA37" s="705"/>
      <c r="AB37" s="705"/>
      <c r="AC37" s="705"/>
      <c r="AD37" s="705"/>
      <c r="AE37" s="705"/>
      <c r="AF37" s="705"/>
      <c r="AG37" s="705"/>
      <c r="AH37" s="705"/>
    </row>
    <row r="38" spans="1:34">
      <c r="A38" s="705"/>
      <c r="B38" s="705"/>
      <c r="C38" s="705"/>
      <c r="D38" s="705"/>
      <c r="E38" s="705"/>
      <c r="F38" s="705"/>
      <c r="G38" s="705"/>
      <c r="H38" s="705"/>
      <c r="I38" s="705"/>
      <c r="J38" s="705"/>
      <c r="K38" s="705"/>
      <c r="L38" s="705"/>
      <c r="M38" s="705"/>
      <c r="N38" s="705"/>
      <c r="O38" s="705"/>
      <c r="P38" s="705"/>
      <c r="Q38" s="705"/>
      <c r="R38" s="705"/>
      <c r="S38" s="705"/>
      <c r="T38" s="705"/>
      <c r="U38" s="705"/>
      <c r="V38" s="705"/>
      <c r="W38" s="705"/>
      <c r="X38" s="705"/>
      <c r="Y38" s="705"/>
      <c r="Z38" s="705"/>
      <c r="AA38" s="705"/>
      <c r="AB38" s="705"/>
      <c r="AC38" s="705"/>
      <c r="AD38" s="705"/>
      <c r="AE38" s="705"/>
      <c r="AF38" s="705"/>
      <c r="AG38" s="705"/>
      <c r="AH38" s="705"/>
    </row>
    <row r="39" spans="1:34">
      <c r="A39" s="705"/>
      <c r="B39" s="705"/>
      <c r="C39" s="705"/>
      <c r="D39" s="705"/>
      <c r="E39" s="705"/>
      <c r="F39" s="705"/>
      <c r="G39" s="705"/>
      <c r="H39" s="705"/>
      <c r="I39" s="705"/>
      <c r="J39" s="705"/>
      <c r="K39" s="705"/>
      <c r="L39" s="705"/>
      <c r="M39" s="705"/>
      <c r="N39" s="705"/>
      <c r="O39" s="705"/>
      <c r="P39" s="705"/>
      <c r="Q39" s="705"/>
      <c r="R39" s="705"/>
      <c r="S39" s="705"/>
      <c r="T39" s="705"/>
      <c r="U39" s="705"/>
      <c r="V39" s="705"/>
      <c r="W39" s="705"/>
      <c r="X39" s="705"/>
      <c r="Y39" s="705"/>
      <c r="Z39" s="705"/>
      <c r="AA39" s="705"/>
      <c r="AB39" s="705"/>
      <c r="AC39" s="705"/>
      <c r="AD39" s="705"/>
      <c r="AE39" s="705"/>
      <c r="AF39" s="705"/>
      <c r="AG39" s="705"/>
      <c r="AH39" s="705"/>
    </row>
    <row r="40" spans="1:34">
      <c r="A40" s="705"/>
      <c r="B40" s="705"/>
      <c r="C40" s="705"/>
      <c r="D40" s="705"/>
      <c r="E40" s="705"/>
      <c r="F40" s="705"/>
      <c r="G40" s="705"/>
      <c r="H40" s="705"/>
      <c r="I40" s="705"/>
      <c r="J40" s="705"/>
      <c r="K40" s="705"/>
      <c r="L40" s="705"/>
      <c r="M40" s="705"/>
      <c r="N40" s="705"/>
      <c r="O40" s="705"/>
      <c r="P40" s="705"/>
      <c r="Q40" s="705"/>
      <c r="R40" s="705"/>
      <c r="S40" s="705"/>
      <c r="T40" s="705"/>
      <c r="U40" s="705"/>
      <c r="V40" s="705"/>
      <c r="W40" s="705"/>
      <c r="X40" s="705"/>
      <c r="Y40" s="705"/>
      <c r="Z40" s="705"/>
      <c r="AA40" s="705"/>
      <c r="AB40" s="705"/>
      <c r="AC40" s="705"/>
      <c r="AD40" s="705"/>
      <c r="AE40" s="705"/>
      <c r="AF40" s="705"/>
      <c r="AG40" s="705"/>
      <c r="AH40" s="705"/>
    </row>
    <row r="41" spans="1:34">
      <c r="A41" s="705"/>
      <c r="B41" s="705"/>
      <c r="C41" s="705"/>
      <c r="D41" s="705"/>
      <c r="E41" s="705"/>
      <c r="F41" s="705"/>
      <c r="G41" s="705"/>
      <c r="H41" s="705"/>
      <c r="I41" s="705"/>
      <c r="J41" s="705"/>
      <c r="K41" s="705"/>
      <c r="L41" s="705"/>
      <c r="M41" s="705"/>
      <c r="N41" s="705"/>
      <c r="O41" s="705"/>
      <c r="P41" s="705"/>
      <c r="Q41" s="705"/>
      <c r="R41" s="705"/>
      <c r="S41" s="705"/>
      <c r="T41" s="705"/>
      <c r="U41" s="705"/>
      <c r="V41" s="705"/>
      <c r="W41" s="705"/>
      <c r="X41" s="705"/>
      <c r="Y41" s="705"/>
      <c r="Z41" s="705"/>
      <c r="AA41" s="705"/>
      <c r="AB41" s="705"/>
      <c r="AC41" s="705"/>
      <c r="AD41" s="705"/>
      <c r="AE41" s="705"/>
      <c r="AF41" s="705"/>
      <c r="AG41" s="705"/>
      <c r="AH41" s="705"/>
    </row>
    <row r="42" spans="1:34">
      <c r="A42" s="705"/>
      <c r="B42" s="705"/>
      <c r="C42" s="705"/>
      <c r="D42" s="705"/>
      <c r="E42" s="705"/>
      <c r="F42" s="705"/>
      <c r="G42" s="705"/>
      <c r="H42" s="705"/>
      <c r="I42" s="705"/>
      <c r="J42" s="705"/>
      <c r="K42" s="705"/>
      <c r="L42" s="705"/>
      <c r="M42" s="705"/>
      <c r="N42" s="705"/>
      <c r="O42" s="705"/>
      <c r="P42" s="705"/>
      <c r="Q42" s="705"/>
      <c r="R42" s="705"/>
      <c r="S42" s="705"/>
      <c r="T42" s="705"/>
      <c r="U42" s="705"/>
      <c r="V42" s="705"/>
      <c r="W42" s="705"/>
      <c r="X42" s="705"/>
      <c r="Y42" s="705"/>
      <c r="Z42" s="705"/>
      <c r="AA42" s="705"/>
      <c r="AB42" s="705"/>
      <c r="AC42" s="705"/>
      <c r="AD42" s="705"/>
      <c r="AE42" s="705"/>
      <c r="AF42" s="705"/>
      <c r="AG42" s="705"/>
      <c r="AH42" s="705"/>
    </row>
    <row r="43" spans="1:34">
      <c r="A43" s="705"/>
      <c r="B43" s="705"/>
      <c r="C43" s="705"/>
      <c r="D43" s="705"/>
      <c r="E43" s="705"/>
      <c r="F43" s="705"/>
      <c r="G43" s="705"/>
      <c r="H43" s="705"/>
      <c r="I43" s="705"/>
      <c r="J43" s="705"/>
      <c r="K43" s="705"/>
      <c r="L43" s="705"/>
      <c r="M43" s="705"/>
      <c r="N43" s="705"/>
      <c r="O43" s="705"/>
      <c r="P43" s="705"/>
      <c r="Q43" s="705"/>
      <c r="R43" s="705"/>
      <c r="S43" s="705"/>
      <c r="T43" s="705"/>
      <c r="U43" s="705"/>
      <c r="V43" s="705"/>
      <c r="W43" s="705"/>
      <c r="X43" s="705"/>
      <c r="Y43" s="705"/>
      <c r="Z43" s="705"/>
      <c r="AA43" s="705"/>
      <c r="AB43" s="705"/>
      <c r="AC43" s="705"/>
      <c r="AD43" s="705"/>
      <c r="AE43" s="705"/>
      <c r="AF43" s="705"/>
      <c r="AG43" s="705"/>
      <c r="AH43" s="705"/>
    </row>
    <row r="44" spans="1:34">
      <c r="A44" s="705"/>
      <c r="B44" s="705"/>
      <c r="C44" s="705"/>
      <c r="D44" s="705"/>
      <c r="E44" s="705"/>
      <c r="F44" s="705"/>
      <c r="G44" s="705"/>
      <c r="H44" s="705"/>
      <c r="I44" s="705"/>
      <c r="J44" s="705"/>
      <c r="K44" s="705"/>
      <c r="L44" s="705"/>
      <c r="M44" s="705"/>
      <c r="N44" s="705"/>
      <c r="O44" s="705"/>
      <c r="P44" s="705"/>
      <c r="Q44" s="705"/>
      <c r="R44" s="705"/>
      <c r="S44" s="705"/>
      <c r="T44" s="705"/>
      <c r="U44" s="705"/>
      <c r="V44" s="705"/>
      <c r="W44" s="705"/>
      <c r="X44" s="705"/>
      <c r="Y44" s="705"/>
      <c r="Z44" s="705"/>
      <c r="AA44" s="705"/>
      <c r="AB44" s="705"/>
      <c r="AC44" s="705"/>
      <c r="AD44" s="705"/>
      <c r="AE44" s="705"/>
      <c r="AF44" s="705"/>
      <c r="AG44" s="705"/>
      <c r="AH44" s="705"/>
    </row>
    <row r="45" spans="1:34">
      <c r="A45" s="705"/>
      <c r="B45" s="705"/>
      <c r="C45" s="705"/>
      <c r="D45" s="705"/>
      <c r="E45" s="705"/>
      <c r="F45" s="705"/>
      <c r="G45" s="705"/>
      <c r="H45" s="705"/>
      <c r="I45" s="705"/>
      <c r="J45" s="705"/>
      <c r="K45" s="705"/>
      <c r="L45" s="705"/>
      <c r="M45" s="705"/>
      <c r="N45" s="705"/>
      <c r="O45" s="705"/>
      <c r="P45" s="705"/>
      <c r="Q45" s="705"/>
      <c r="R45" s="705"/>
      <c r="S45" s="705"/>
      <c r="T45" s="705"/>
      <c r="U45" s="705"/>
      <c r="V45" s="705"/>
      <c r="W45" s="705"/>
      <c r="X45" s="705"/>
      <c r="Y45" s="705"/>
      <c r="Z45" s="705"/>
      <c r="AA45" s="705"/>
      <c r="AB45" s="705"/>
      <c r="AC45" s="705"/>
      <c r="AD45" s="705"/>
      <c r="AE45" s="705"/>
      <c r="AF45" s="705"/>
      <c r="AG45" s="705"/>
      <c r="AH45" s="705"/>
    </row>
    <row r="46" spans="1:34">
      <c r="A46" s="705"/>
      <c r="B46" s="705"/>
      <c r="C46" s="705"/>
      <c r="D46" s="705"/>
      <c r="E46" s="705"/>
      <c r="F46" s="705"/>
      <c r="G46" s="705"/>
      <c r="H46" s="705"/>
      <c r="I46" s="705"/>
      <c r="J46" s="705"/>
      <c r="K46" s="705"/>
      <c r="L46" s="705"/>
      <c r="M46" s="705"/>
      <c r="N46" s="705"/>
      <c r="O46" s="705"/>
      <c r="P46" s="705"/>
      <c r="Q46" s="705"/>
      <c r="R46" s="705"/>
      <c r="S46" s="705"/>
      <c r="T46" s="705"/>
      <c r="U46" s="705"/>
      <c r="V46" s="705"/>
      <c r="W46" s="705"/>
      <c r="X46" s="705"/>
      <c r="Y46" s="705"/>
      <c r="Z46" s="705"/>
      <c r="AA46" s="705"/>
      <c r="AB46" s="705"/>
      <c r="AC46" s="705"/>
      <c r="AD46" s="705"/>
      <c r="AE46" s="705"/>
      <c r="AF46" s="705"/>
      <c r="AG46" s="705"/>
      <c r="AH46" s="705"/>
    </row>
    <row r="47" spans="1:34">
      <c r="A47" s="705"/>
      <c r="B47" s="705"/>
      <c r="C47" s="705"/>
      <c r="D47" s="705"/>
      <c r="E47" s="705"/>
      <c r="F47" s="705"/>
      <c r="G47" s="705"/>
      <c r="H47" s="705"/>
      <c r="I47" s="705"/>
      <c r="J47" s="705"/>
      <c r="K47" s="705"/>
      <c r="L47" s="705"/>
      <c r="M47" s="705"/>
      <c r="N47" s="705"/>
      <c r="O47" s="705"/>
      <c r="P47" s="705"/>
      <c r="Q47" s="705"/>
      <c r="R47" s="705"/>
      <c r="S47" s="705"/>
      <c r="T47" s="705"/>
      <c r="U47" s="705"/>
      <c r="V47" s="705"/>
      <c r="W47" s="705"/>
      <c r="X47" s="705"/>
      <c r="Y47" s="705"/>
      <c r="Z47" s="705"/>
      <c r="AA47" s="705"/>
      <c r="AB47" s="705"/>
      <c r="AC47" s="705"/>
      <c r="AD47" s="705"/>
      <c r="AE47" s="705"/>
      <c r="AF47" s="705"/>
      <c r="AG47" s="705"/>
      <c r="AH47" s="705"/>
    </row>
    <row r="48" spans="1:34">
      <c r="A48" s="705"/>
      <c r="B48" s="705"/>
      <c r="C48" s="705"/>
      <c r="D48" s="705"/>
      <c r="E48" s="705"/>
      <c r="F48" s="705"/>
      <c r="G48" s="705"/>
      <c r="H48" s="705"/>
      <c r="I48" s="705"/>
      <c r="J48" s="705"/>
      <c r="K48" s="705"/>
      <c r="L48" s="705"/>
      <c r="M48" s="705"/>
      <c r="N48" s="705"/>
      <c r="O48" s="705"/>
      <c r="P48" s="705"/>
      <c r="Q48" s="705"/>
      <c r="R48" s="705"/>
      <c r="S48" s="705"/>
      <c r="T48" s="705"/>
      <c r="U48" s="705"/>
      <c r="V48" s="705"/>
      <c r="W48" s="705"/>
      <c r="X48" s="705"/>
      <c r="Y48" s="705"/>
      <c r="Z48" s="705"/>
      <c r="AA48" s="705"/>
      <c r="AB48" s="705"/>
      <c r="AC48" s="705"/>
      <c r="AD48" s="705"/>
      <c r="AE48" s="705"/>
      <c r="AF48" s="705"/>
      <c r="AG48" s="705"/>
      <c r="AH48" s="705"/>
    </row>
    <row r="49" s="705" customFormat="1"/>
    <row r="50" s="705" customFormat="1"/>
    <row r="51" s="705" customFormat="1"/>
    <row r="52" s="705" customFormat="1"/>
    <row r="53" s="705" customFormat="1"/>
    <row r="54" s="705" customFormat="1"/>
    <row r="55" s="705" customFormat="1"/>
    <row r="56" s="705" customFormat="1"/>
    <row r="57" s="705" customFormat="1"/>
    <row r="58" s="705" customFormat="1"/>
    <row r="59" s="705" customFormat="1"/>
    <row r="60" s="705" customFormat="1"/>
    <row r="61" s="705" customFormat="1"/>
    <row r="62" s="705" customFormat="1"/>
    <row r="63" s="705" customFormat="1"/>
    <row r="64" s="705" customFormat="1"/>
    <row r="65" s="705" customFormat="1"/>
    <row r="66" s="705" customFormat="1"/>
    <row r="67" s="705" customFormat="1"/>
    <row r="68" s="705" customFormat="1"/>
    <row r="69" s="705" customFormat="1"/>
    <row r="70" s="705" customFormat="1"/>
    <row r="71" s="705" customFormat="1"/>
    <row r="72" s="705" customFormat="1"/>
    <row r="73" s="705" customFormat="1"/>
    <row r="74" s="705" customFormat="1"/>
    <row r="75" s="705" customFormat="1"/>
    <row r="76" s="705" customFormat="1"/>
    <row r="77" s="705" customFormat="1"/>
    <row r="78" s="705" customFormat="1"/>
    <row r="79" s="705" customFormat="1"/>
    <row r="80" s="705" customFormat="1"/>
    <row r="81" s="705" customFormat="1"/>
    <row r="82" s="705" customFormat="1"/>
    <row r="83" s="705" customFormat="1"/>
    <row r="84" s="705" customFormat="1"/>
    <row r="85" s="705" customFormat="1"/>
    <row r="86" s="705" customFormat="1"/>
    <row r="87" s="705" customFormat="1"/>
    <row r="88" s="705" customFormat="1"/>
    <row r="89" s="705" customFormat="1"/>
    <row r="90" s="705" customFormat="1"/>
    <row r="91" s="705" customFormat="1"/>
    <row r="92" s="705" customFormat="1"/>
    <row r="93" s="705" customFormat="1"/>
    <row r="94" s="705" customFormat="1"/>
    <row r="95" s="705" customFormat="1"/>
    <row r="96" s="705" customFormat="1"/>
    <row r="97" s="705" customFormat="1"/>
    <row r="98" s="705" customFormat="1"/>
    <row r="99" s="705" customFormat="1"/>
    <row r="100" s="705" customFormat="1"/>
    <row r="101" s="705" customFormat="1"/>
    <row r="102" s="705" customFormat="1"/>
    <row r="103" s="705" customFormat="1"/>
    <row r="104" s="705" customFormat="1"/>
    <row r="105" s="705" customFormat="1"/>
    <row r="106" s="705" customFormat="1"/>
    <row r="107" s="705" customFormat="1"/>
    <row r="108" s="705" customFormat="1"/>
    <row r="109" s="705" customFormat="1"/>
    <row r="110" s="705" customFormat="1"/>
    <row r="111" s="705" customFormat="1"/>
    <row r="112" s="705" customFormat="1"/>
    <row r="113" s="705" customFormat="1"/>
    <row r="114" s="705" customFormat="1"/>
    <row r="115" s="705" customFormat="1"/>
    <row r="116" s="705" customFormat="1"/>
    <row r="117" s="705" customFormat="1"/>
    <row r="118" s="705" customFormat="1"/>
    <row r="119" s="705" customFormat="1"/>
    <row r="120" s="705" customFormat="1"/>
    <row r="121" s="705" customFormat="1"/>
    <row r="122" s="705" customFormat="1"/>
    <row r="123" s="705" customFormat="1"/>
    <row r="124" s="705" customFormat="1"/>
    <row r="125" s="705" customFormat="1"/>
    <row r="126" s="705" customFormat="1"/>
    <row r="127" s="705" customFormat="1"/>
    <row r="128" s="705" customFormat="1"/>
    <row r="129" s="705" customFormat="1"/>
    <row r="130" s="705" customFormat="1"/>
    <row r="131" s="705" customFormat="1"/>
    <row r="132" s="705" customFormat="1"/>
    <row r="133" s="705" customFormat="1"/>
    <row r="134" s="705" customFormat="1"/>
    <row r="135" s="705" customFormat="1"/>
    <row r="136" s="705" customFormat="1"/>
    <row r="137" s="705" customFormat="1"/>
    <row r="138" s="705" customFormat="1"/>
    <row r="139" s="705" customFormat="1"/>
    <row r="140" s="705" customFormat="1"/>
    <row r="141" s="705" customFormat="1"/>
    <row r="142" s="705" customFormat="1"/>
    <row r="143" s="705" customFormat="1"/>
    <row r="144" s="705" customFormat="1"/>
    <row r="145" s="705" customFormat="1"/>
    <row r="146" s="705" customFormat="1"/>
    <row r="147" s="705" customFormat="1"/>
    <row r="148" s="705" customFormat="1"/>
    <row r="149" s="705" customFormat="1"/>
    <row r="150" s="705" customFormat="1"/>
    <row r="151" s="705" customFormat="1"/>
    <row r="152" s="705" customFormat="1"/>
    <row r="153" s="705" customFormat="1"/>
    <row r="154" s="705" customFormat="1"/>
    <row r="155" s="705" customFormat="1"/>
    <row r="156" s="705" customFormat="1"/>
    <row r="157" s="705" customFormat="1"/>
    <row r="158" s="705" customFormat="1"/>
    <row r="159" s="705" customFormat="1"/>
    <row r="160" s="705" customFormat="1"/>
    <row r="161" s="705" customFormat="1"/>
    <row r="162" s="705" customFormat="1"/>
    <row r="163" s="705" customFormat="1"/>
    <row r="164" s="705" customFormat="1"/>
  </sheetData>
  <sheetProtection selectLockedCells="1" selectUnlockedCells="1"/>
  <mergeCells count="127">
    <mergeCell ref="J22:J23"/>
    <mergeCell ref="B36:C36"/>
    <mergeCell ref="D36:E36"/>
    <mergeCell ref="F36:G36"/>
    <mergeCell ref="H36:I36"/>
    <mergeCell ref="B34:C34"/>
    <mergeCell ref="D34:E34"/>
    <mergeCell ref="F34:G34"/>
    <mergeCell ref="H34:I34"/>
    <mergeCell ref="B35:C35"/>
    <mergeCell ref="D35:E35"/>
    <mergeCell ref="F35:G35"/>
    <mergeCell ref="H35:I35"/>
    <mergeCell ref="B32:C32"/>
    <mergeCell ref="D32:E32"/>
    <mergeCell ref="F32:G32"/>
    <mergeCell ref="H32:I32"/>
    <mergeCell ref="B33:C33"/>
    <mergeCell ref="D33:E33"/>
    <mergeCell ref="F33:G33"/>
    <mergeCell ref="H33:I33"/>
    <mergeCell ref="B30:C30"/>
    <mergeCell ref="D30:E30"/>
    <mergeCell ref="F30:G30"/>
    <mergeCell ref="H30:I30"/>
    <mergeCell ref="B31:C31"/>
    <mergeCell ref="D31:E31"/>
    <mergeCell ref="F31:G31"/>
    <mergeCell ref="H31:I31"/>
    <mergeCell ref="B28:C28"/>
    <mergeCell ref="D28:E28"/>
    <mergeCell ref="F28:G28"/>
    <mergeCell ref="H28:I28"/>
    <mergeCell ref="B29:C29"/>
    <mergeCell ref="D29:E29"/>
    <mergeCell ref="F29:G29"/>
    <mergeCell ref="H29:I29"/>
    <mergeCell ref="B26:C26"/>
    <mergeCell ref="D26:E26"/>
    <mergeCell ref="F26:G26"/>
    <mergeCell ref="H26:I26"/>
    <mergeCell ref="B27:C27"/>
    <mergeCell ref="D27:E27"/>
    <mergeCell ref="F27:G27"/>
    <mergeCell ref="H27:I27"/>
    <mergeCell ref="B24:C24"/>
    <mergeCell ref="D24:E24"/>
    <mergeCell ref="F24:G24"/>
    <mergeCell ref="H24:I24"/>
    <mergeCell ref="B25:C25"/>
    <mergeCell ref="D25:E25"/>
    <mergeCell ref="F25:G25"/>
    <mergeCell ref="H25:I25"/>
    <mergeCell ref="A22:A23"/>
    <mergeCell ref="B22:E22"/>
    <mergeCell ref="F22:I22"/>
    <mergeCell ref="B23:C23"/>
    <mergeCell ref="D23:E23"/>
    <mergeCell ref="F23:G23"/>
    <mergeCell ref="H23:I23"/>
    <mergeCell ref="B20:C20"/>
    <mergeCell ref="D20:E20"/>
    <mergeCell ref="F20:G20"/>
    <mergeCell ref="H20:I20"/>
    <mergeCell ref="B21:C21"/>
    <mergeCell ref="D21:E21"/>
    <mergeCell ref="F21:G21"/>
    <mergeCell ref="H21:I21"/>
    <mergeCell ref="B18:C18"/>
    <mergeCell ref="D18:E18"/>
    <mergeCell ref="F18:G18"/>
    <mergeCell ref="H18:I18"/>
    <mergeCell ref="B19:C19"/>
    <mergeCell ref="D19:E19"/>
    <mergeCell ref="F19:G19"/>
    <mergeCell ref="H19:I19"/>
    <mergeCell ref="B16:C16"/>
    <mergeCell ref="D16:E16"/>
    <mergeCell ref="F16:G16"/>
    <mergeCell ref="H16:I16"/>
    <mergeCell ref="B17:C17"/>
    <mergeCell ref="D17:E17"/>
    <mergeCell ref="F17:G17"/>
    <mergeCell ref="H17:I17"/>
    <mergeCell ref="B14:C14"/>
    <mergeCell ref="D14:E14"/>
    <mergeCell ref="F14:G14"/>
    <mergeCell ref="H14:I14"/>
    <mergeCell ref="B15:C15"/>
    <mergeCell ref="D15:E15"/>
    <mergeCell ref="F15:G15"/>
    <mergeCell ref="H15:I15"/>
    <mergeCell ref="B12:C12"/>
    <mergeCell ref="D12:E12"/>
    <mergeCell ref="F12:G12"/>
    <mergeCell ref="H12:I12"/>
    <mergeCell ref="B13:C13"/>
    <mergeCell ref="D13:E13"/>
    <mergeCell ref="F13:G13"/>
    <mergeCell ref="H13:I13"/>
    <mergeCell ref="A1:J2"/>
    <mergeCell ref="A3:E4"/>
    <mergeCell ref="G3:H3"/>
    <mergeCell ref="G4:H4"/>
    <mergeCell ref="J4:J5"/>
    <mergeCell ref="G5:H5"/>
    <mergeCell ref="A6:J6"/>
    <mergeCell ref="A7:A8"/>
    <mergeCell ref="B7:E7"/>
    <mergeCell ref="A5:E5"/>
    <mergeCell ref="D8:E8"/>
    <mergeCell ref="F8:G8"/>
    <mergeCell ref="H8:I8"/>
    <mergeCell ref="F9:G9"/>
    <mergeCell ref="F7:I7"/>
    <mergeCell ref="B8:C8"/>
    <mergeCell ref="H9:I9"/>
    <mergeCell ref="B10:C10"/>
    <mergeCell ref="D10:E10"/>
    <mergeCell ref="F10:G10"/>
    <mergeCell ref="H10:I10"/>
    <mergeCell ref="B11:C11"/>
    <mergeCell ref="D11:E11"/>
    <mergeCell ref="F11:G11"/>
    <mergeCell ref="H11:I11"/>
    <mergeCell ref="B9:C9"/>
    <mergeCell ref="D9:E9"/>
  </mergeCells>
  <phoneticPr fontId="51" type="noConversion"/>
  <dataValidations count="1">
    <dataValidation allowBlank="1" showErrorMessage="1" sqref="G4:H4">
      <formula1>0</formula1>
      <formula2>0</formula2>
    </dataValidation>
  </dataValidations>
  <hyperlinks>
    <hyperlink ref="K9" location="社保!A1" display="社保"/>
    <hyperlink ref="K11" location="工资福利!A1" display="工资福利"/>
    <hyperlink ref="K13" location="税收优惠明细表!C49" display="税收优惠明细表"/>
    <hyperlink ref="K15" location="纳税调整明细表!A1" display="纳税调整明细表!A1"/>
    <hyperlink ref="K17" location="凭证检查!A1" display="凭证检查"/>
  </hyperlinks>
  <pageMargins left="0.78740157480314998" right="0.35433070866141703" top="0.511811023622047" bottom="0.11811023622047198" header="0.511811023622047" footer="0.511811023622047"/>
  <pageSetup paperSize="9" firstPageNumber="0" orientation="portrait" blackAndWhite="1" r:id="rId1"/>
  <headerFooter alignWithMargins="0"/>
</worksheet>
</file>

<file path=xl/worksheets/sheet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33"/>
  <dimension ref="A1:T43"/>
  <sheetViews>
    <sheetView workbookViewId="0">
      <selection activeCell="P11" sqref="P11"/>
    </sheetView>
  </sheetViews>
  <sheetFormatPr defaultColWidth="9" defaultRowHeight="15.6"/>
  <cols>
    <col min="1" max="1" width="5.59765625" style="168" customWidth="1"/>
    <col min="2" max="2" width="3.09765625" style="168" customWidth="1"/>
    <col min="3" max="3" width="11" style="168" customWidth="1"/>
    <col min="4" max="4" width="14.59765625" style="168" customWidth="1"/>
    <col min="5" max="6" width="7" style="168" customWidth="1"/>
    <col min="7" max="7" width="3.5" style="168" customWidth="1"/>
    <col min="8" max="8" width="2.8984375" style="168" customWidth="1"/>
    <col min="9" max="9" width="8" style="168" customWidth="1"/>
    <col min="10" max="10" width="13.8984375" style="168" customWidth="1"/>
    <col min="11" max="11" width="7.8984375" style="168" customWidth="1"/>
    <col min="12" max="16384" width="9" style="168"/>
  </cols>
  <sheetData>
    <row r="1" spans="1:20" ht="22.2">
      <c r="A1" s="2684" t="s">
        <v>360</v>
      </c>
      <c r="B1" s="2684"/>
      <c r="C1" s="2684"/>
      <c r="D1" s="2684"/>
      <c r="E1" s="2684"/>
      <c r="F1" s="2684"/>
      <c r="G1" s="2684"/>
      <c r="H1" s="2684"/>
      <c r="I1" s="2684"/>
      <c r="J1" s="2684"/>
      <c r="K1" s="2684"/>
      <c r="L1" s="169"/>
      <c r="M1" s="169"/>
      <c r="N1" s="169"/>
      <c r="O1" s="169"/>
      <c r="P1" s="169"/>
      <c r="Q1" s="169"/>
      <c r="R1" s="169"/>
      <c r="S1" s="169"/>
    </row>
    <row r="2" spans="1:20" ht="7.5" customHeight="1">
      <c r="A2" s="170"/>
      <c r="B2" s="170"/>
      <c r="C2" s="170"/>
      <c r="D2" s="170"/>
      <c r="E2" s="170"/>
      <c r="F2" s="170"/>
      <c r="G2" s="170"/>
      <c r="H2" s="170"/>
      <c r="I2" s="170"/>
      <c r="J2" s="170"/>
      <c r="K2" s="170"/>
      <c r="L2" s="169"/>
      <c r="M2" s="169"/>
      <c r="N2" s="169"/>
      <c r="O2" s="169"/>
      <c r="P2" s="169"/>
      <c r="Q2" s="169"/>
      <c r="R2" s="169"/>
      <c r="S2" s="169"/>
    </row>
    <row r="3" spans="1:20" ht="18" customHeight="1">
      <c r="A3" s="3024" t="s">
        <v>448</v>
      </c>
      <c r="B3" s="3024"/>
      <c r="C3" s="2897">
        <f>基本情况!B2</f>
        <v>0</v>
      </c>
      <c r="D3" s="2897"/>
      <c r="E3" s="369" t="s">
        <v>451</v>
      </c>
      <c r="F3" s="3026">
        <f>基本情况!B12</f>
        <v>0</v>
      </c>
      <c r="G3" s="3026"/>
      <c r="H3" s="3026"/>
      <c r="I3" s="710" t="s">
        <v>450</v>
      </c>
      <c r="J3" s="711" t="str">
        <f>TEXT(基本情况!B21,"yyyy-mm-dd")</f>
        <v>2017-03-16</v>
      </c>
      <c r="K3" s="712" t="s">
        <v>283</v>
      </c>
      <c r="L3" s="169"/>
      <c r="M3" s="169"/>
      <c r="N3" s="169"/>
      <c r="O3" s="169"/>
      <c r="P3" s="169"/>
      <c r="Q3" s="169"/>
      <c r="R3" s="169"/>
      <c r="S3" s="169"/>
    </row>
    <row r="4" spans="1:20" ht="18" customHeight="1">
      <c r="A4" s="2904" t="s">
        <v>452</v>
      </c>
      <c r="B4" s="2904"/>
      <c r="C4" s="2899" t="str">
        <f>基本情况!B7</f>
        <v>2016年01月01日至2016年12月31日</v>
      </c>
      <c r="D4" s="2899"/>
      <c r="E4" s="373" t="s">
        <v>453</v>
      </c>
      <c r="F4" s="3030">
        <f>基本情况!B11</f>
        <v>0</v>
      </c>
      <c r="G4" s="3030"/>
      <c r="H4" s="3030"/>
      <c r="I4" s="713" t="s">
        <v>450</v>
      </c>
      <c r="J4" s="374" t="str">
        <f>TEXT(基本情况!B22,"yyyy-mm-dd")</f>
        <v>2017-05-04</v>
      </c>
      <c r="K4" s="541" t="str">
        <f>档案索引!A40</f>
        <v>2A-20</v>
      </c>
      <c r="L4" s="169"/>
      <c r="M4" s="169"/>
      <c r="N4" s="169"/>
      <c r="O4" s="169"/>
      <c r="P4" s="169"/>
      <c r="Q4" s="169"/>
      <c r="R4" s="169"/>
      <c r="S4" s="169"/>
    </row>
    <row r="5" spans="1:20" ht="7.5" customHeight="1">
      <c r="A5" s="2894"/>
      <c r="B5" s="2894"/>
      <c r="C5" s="2894"/>
      <c r="D5" s="2894"/>
      <c r="E5" s="2894"/>
      <c r="F5" s="2894"/>
      <c r="G5" s="2894"/>
      <c r="H5" s="2894"/>
      <c r="I5" s="2894"/>
      <c r="J5" s="2894"/>
      <c r="K5" s="2894"/>
      <c r="L5" s="169"/>
      <c r="M5" s="169"/>
      <c r="N5" s="169"/>
      <c r="O5" s="169"/>
      <c r="P5" s="169"/>
      <c r="Q5" s="169"/>
      <c r="R5" s="169"/>
      <c r="S5" s="169"/>
    </row>
    <row r="6" spans="1:20" ht="19.5" customHeight="1">
      <c r="A6" s="3128" t="s">
        <v>666</v>
      </c>
      <c r="B6" s="3128"/>
      <c r="C6" s="3023" t="s">
        <v>1490</v>
      </c>
      <c r="D6" s="3023"/>
      <c r="E6" s="3023" t="s">
        <v>1491</v>
      </c>
      <c r="F6" s="3023"/>
      <c r="G6" s="3023" t="s">
        <v>1492</v>
      </c>
      <c r="H6" s="3023"/>
      <c r="I6" s="3023"/>
      <c r="J6" s="376" t="s">
        <v>1493</v>
      </c>
      <c r="K6" s="544" t="s">
        <v>456</v>
      </c>
      <c r="L6" s="84" t="s">
        <v>396</v>
      </c>
      <c r="M6" s="169"/>
      <c r="N6" s="169"/>
      <c r="O6" s="169"/>
      <c r="P6" s="169"/>
      <c r="Q6" s="169"/>
      <c r="R6" s="169"/>
      <c r="S6" s="169"/>
    </row>
    <row r="7" spans="1:20" ht="18" customHeight="1">
      <c r="A7" s="3024" t="s">
        <v>1494</v>
      </c>
      <c r="B7" s="3024"/>
      <c r="C7" s="3209"/>
      <c r="D7" s="3209"/>
      <c r="E7" s="3210">
        <f>SUM(E8:F14)</f>
        <v>0</v>
      </c>
      <c r="F7" s="3210"/>
      <c r="G7" s="3210">
        <f>E7-J7</f>
        <v>0</v>
      </c>
      <c r="H7" s="3210"/>
      <c r="I7" s="3210"/>
      <c r="J7" s="714">
        <f>SUM(J8:J14)</f>
        <v>0</v>
      </c>
      <c r="K7" s="383"/>
      <c r="L7" s="169"/>
      <c r="M7" s="169"/>
      <c r="N7" s="169"/>
      <c r="O7" s="169"/>
      <c r="P7" s="169"/>
      <c r="Q7" s="169"/>
      <c r="R7" s="169"/>
      <c r="S7" s="169"/>
    </row>
    <row r="8" spans="1:20" ht="18" customHeight="1">
      <c r="A8" s="3211"/>
      <c r="B8" s="3211"/>
      <c r="C8" s="3212"/>
      <c r="D8" s="3212"/>
      <c r="E8" s="3123"/>
      <c r="F8" s="3123"/>
      <c r="G8" s="3124">
        <f t="shared" ref="G8:G14" si="0">E8-J8</f>
        <v>0</v>
      </c>
      <c r="H8" s="3124"/>
      <c r="I8" s="3124"/>
      <c r="J8" s="1095">
        <f t="shared" ref="J8:J14" si="1">E8</f>
        <v>0</v>
      </c>
      <c r="K8" s="388"/>
      <c r="L8" s="3121" t="s">
        <v>1495</v>
      </c>
      <c r="M8" s="3121"/>
      <c r="N8" s="3121"/>
      <c r="O8" s="169"/>
      <c r="P8" s="169"/>
      <c r="Q8" s="169"/>
      <c r="R8" s="169"/>
      <c r="S8" s="169"/>
    </row>
    <row r="9" spans="1:20" ht="18" customHeight="1">
      <c r="A9" s="3211"/>
      <c r="B9" s="3211"/>
      <c r="C9" s="3212"/>
      <c r="D9" s="3212"/>
      <c r="E9" s="3123"/>
      <c r="F9" s="3123"/>
      <c r="G9" s="3124">
        <f t="shared" si="0"/>
        <v>0</v>
      </c>
      <c r="H9" s="3124"/>
      <c r="I9" s="3124"/>
      <c r="J9" s="1095">
        <f t="shared" si="1"/>
        <v>0</v>
      </c>
      <c r="K9" s="388"/>
      <c r="L9" s="169"/>
      <c r="M9" s="169"/>
      <c r="N9" s="169"/>
      <c r="O9" s="169"/>
      <c r="P9" s="169"/>
      <c r="Q9" s="169"/>
      <c r="R9" s="169"/>
      <c r="S9" s="169"/>
    </row>
    <row r="10" spans="1:20" ht="18" customHeight="1">
      <c r="A10" s="3211"/>
      <c r="B10" s="3211"/>
      <c r="C10" s="3212"/>
      <c r="D10" s="3212"/>
      <c r="E10" s="3213"/>
      <c r="F10" s="3213"/>
      <c r="G10" s="3124">
        <f t="shared" si="0"/>
        <v>0</v>
      </c>
      <c r="H10" s="3124"/>
      <c r="I10" s="3124"/>
      <c r="J10" s="1315">
        <f t="shared" si="1"/>
        <v>0</v>
      </c>
      <c r="K10" s="388"/>
      <c r="L10" s="3121" t="s">
        <v>1487</v>
      </c>
      <c r="M10" s="3121"/>
      <c r="N10" s="3121"/>
      <c r="O10" s="169"/>
      <c r="P10" s="169"/>
      <c r="Q10" s="169"/>
      <c r="R10" s="169"/>
      <c r="S10" s="169"/>
    </row>
    <row r="11" spans="1:20" ht="18" customHeight="1">
      <c r="A11" s="3211"/>
      <c r="B11" s="3211"/>
      <c r="C11" s="3212"/>
      <c r="D11" s="3212"/>
      <c r="E11" s="3123"/>
      <c r="F11" s="3123"/>
      <c r="G11" s="3124">
        <f t="shared" si="0"/>
        <v>0</v>
      </c>
      <c r="H11" s="3124"/>
      <c r="I11" s="3124"/>
      <c r="J11" s="1315">
        <f t="shared" si="1"/>
        <v>0</v>
      </c>
      <c r="K11" s="388"/>
      <c r="L11" s="169"/>
      <c r="M11" s="169"/>
      <c r="N11" s="169"/>
      <c r="O11" s="169"/>
      <c r="P11" s="169"/>
      <c r="Q11" s="169"/>
      <c r="R11" s="169"/>
      <c r="S11" s="169"/>
    </row>
    <row r="12" spans="1:20" ht="18" customHeight="1">
      <c r="A12" s="3211"/>
      <c r="B12" s="3211"/>
      <c r="C12" s="3212"/>
      <c r="D12" s="3212"/>
      <c r="E12" s="3123"/>
      <c r="F12" s="3123"/>
      <c r="G12" s="3124">
        <f t="shared" si="0"/>
        <v>0</v>
      </c>
      <c r="H12" s="3124"/>
      <c r="I12" s="3124"/>
      <c r="J12" s="1315">
        <f t="shared" si="1"/>
        <v>0</v>
      </c>
      <c r="K12" s="388"/>
      <c r="L12" s="3121" t="s">
        <v>324</v>
      </c>
      <c r="M12" s="3121"/>
      <c r="N12" s="3121"/>
      <c r="O12" s="169"/>
      <c r="P12" s="169"/>
      <c r="Q12" s="169"/>
      <c r="R12" s="169"/>
      <c r="S12" s="169"/>
    </row>
    <row r="13" spans="1:20" ht="18" customHeight="1">
      <c r="A13" s="3211"/>
      <c r="B13" s="3211"/>
      <c r="C13" s="3212"/>
      <c r="D13" s="3212"/>
      <c r="E13" s="3123"/>
      <c r="F13" s="3123"/>
      <c r="G13" s="3124">
        <f t="shared" si="0"/>
        <v>0</v>
      </c>
      <c r="H13" s="3124"/>
      <c r="I13" s="3124"/>
      <c r="J13" s="1315">
        <f t="shared" si="1"/>
        <v>0</v>
      </c>
      <c r="K13" s="388"/>
      <c r="L13" s="169"/>
      <c r="M13" s="169"/>
      <c r="N13" s="169"/>
      <c r="O13" s="169"/>
      <c r="P13" s="169"/>
      <c r="Q13" s="169"/>
      <c r="R13" s="169"/>
      <c r="S13" s="169"/>
    </row>
    <row r="14" spans="1:20" ht="18" customHeight="1">
      <c r="A14" s="3215"/>
      <c r="B14" s="3215"/>
      <c r="C14" s="3214"/>
      <c r="D14" s="3214"/>
      <c r="E14" s="3216"/>
      <c r="F14" s="3216"/>
      <c r="G14" s="3217">
        <f t="shared" si="0"/>
        <v>0</v>
      </c>
      <c r="H14" s="3217"/>
      <c r="I14" s="3217"/>
      <c r="J14" s="1137">
        <f t="shared" si="1"/>
        <v>0</v>
      </c>
      <c r="K14" s="398"/>
      <c r="L14" s="3121" t="s">
        <v>320</v>
      </c>
      <c r="M14" s="3121"/>
      <c r="N14" s="3121"/>
      <c r="O14" s="169"/>
      <c r="P14" s="169"/>
      <c r="Q14" s="169"/>
      <c r="R14" s="169"/>
      <c r="S14" s="169"/>
      <c r="T14" s="717"/>
    </row>
    <row r="15" spans="1:20" ht="18" customHeight="1">
      <c r="A15" s="3024" t="s">
        <v>1496</v>
      </c>
      <c r="B15" s="3024"/>
      <c r="C15" s="3209"/>
      <c r="D15" s="3209"/>
      <c r="E15" s="3210">
        <f>SUM(E16:F19)</f>
        <v>0</v>
      </c>
      <c r="F15" s="3210"/>
      <c r="G15" s="3210">
        <f>SUM(G16:I19)</f>
        <v>0</v>
      </c>
      <c r="H15" s="3210"/>
      <c r="I15" s="3210"/>
      <c r="J15" s="714">
        <f>SUM(J16:J19)</f>
        <v>0</v>
      </c>
      <c r="K15" s="383"/>
      <c r="L15" s="169"/>
      <c r="M15" s="169"/>
      <c r="N15" s="169"/>
      <c r="O15" s="169"/>
      <c r="P15" s="169"/>
      <c r="Q15" s="169"/>
      <c r="R15" s="169"/>
      <c r="S15" s="169"/>
      <c r="T15" s="717"/>
    </row>
    <row r="16" spans="1:20" ht="18" customHeight="1">
      <c r="A16" s="3211"/>
      <c r="B16" s="3211"/>
      <c r="C16" s="3212"/>
      <c r="D16" s="3212"/>
      <c r="E16" s="3123"/>
      <c r="F16" s="3123"/>
      <c r="G16" s="3124">
        <f>E16-J16</f>
        <v>0</v>
      </c>
      <c r="H16" s="3124"/>
      <c r="I16" s="3124"/>
      <c r="J16" s="1136">
        <f>E16</f>
        <v>0</v>
      </c>
      <c r="K16" s="388"/>
      <c r="L16" s="232" t="s">
        <v>1299</v>
      </c>
      <c r="M16" s="169"/>
      <c r="N16" s="169"/>
      <c r="O16" s="169"/>
      <c r="P16" s="169"/>
      <c r="Q16" s="169"/>
      <c r="R16" s="169"/>
      <c r="S16" s="169"/>
      <c r="T16" s="717"/>
    </row>
    <row r="17" spans="1:20" ht="18" customHeight="1">
      <c r="A17" s="3211"/>
      <c r="B17" s="3211"/>
      <c r="C17" s="3212"/>
      <c r="D17" s="3212"/>
      <c r="E17" s="3218"/>
      <c r="F17" s="3218"/>
      <c r="G17" s="3124">
        <f>E17-J17</f>
        <v>0</v>
      </c>
      <c r="H17" s="3124"/>
      <c r="I17" s="3124"/>
      <c r="J17" s="1095">
        <f>E17</f>
        <v>0</v>
      </c>
      <c r="K17" s="388"/>
      <c r="L17" s="169"/>
      <c r="M17" s="169"/>
      <c r="N17" s="169"/>
      <c r="O17" s="169"/>
      <c r="P17" s="169"/>
      <c r="Q17" s="169"/>
      <c r="R17" s="169"/>
      <c r="S17" s="169"/>
      <c r="T17" s="717"/>
    </row>
    <row r="18" spans="1:20" ht="18" customHeight="1">
      <c r="A18" s="3211"/>
      <c r="B18" s="3211"/>
      <c r="C18" s="3212"/>
      <c r="D18" s="3212"/>
      <c r="E18" s="3218"/>
      <c r="F18" s="3218"/>
      <c r="G18" s="3124">
        <f>E18-J18</f>
        <v>0</v>
      </c>
      <c r="H18" s="3124"/>
      <c r="I18" s="3124"/>
      <c r="J18" s="1095">
        <f>E18</f>
        <v>0</v>
      </c>
      <c r="K18" s="388"/>
      <c r="L18" s="232" t="s">
        <v>1497</v>
      </c>
      <c r="M18" s="169"/>
      <c r="N18" s="169"/>
      <c r="O18" s="169"/>
      <c r="P18" s="169"/>
      <c r="Q18" s="169"/>
      <c r="R18" s="169"/>
      <c r="S18" s="169"/>
      <c r="T18" s="717"/>
    </row>
    <row r="19" spans="1:20" ht="18" customHeight="1">
      <c r="A19" s="3215"/>
      <c r="B19" s="3215"/>
      <c r="C19" s="3214"/>
      <c r="D19" s="3214"/>
      <c r="E19" s="3219"/>
      <c r="F19" s="3219"/>
      <c r="G19" s="3217">
        <f>E19-J19</f>
        <v>0</v>
      </c>
      <c r="H19" s="3217"/>
      <c r="I19" s="3217"/>
      <c r="J19" s="1137">
        <f>E19</f>
        <v>0</v>
      </c>
      <c r="K19" s="398"/>
      <c r="L19" s="3224" t="s">
        <v>1498</v>
      </c>
      <c r="M19" s="3224"/>
      <c r="N19" s="3224"/>
      <c r="O19" s="3224"/>
      <c r="P19" s="3224"/>
      <c r="Q19" s="3224"/>
      <c r="R19" s="3224"/>
      <c r="S19" s="3224"/>
      <c r="T19" s="717"/>
    </row>
    <row r="20" spans="1:20" ht="18" customHeight="1">
      <c r="A20" s="3024" t="s">
        <v>1296</v>
      </c>
      <c r="B20" s="3024"/>
      <c r="C20" s="3209"/>
      <c r="D20" s="3209"/>
      <c r="E20" s="3210">
        <f>E21</f>
        <v>0</v>
      </c>
      <c r="F20" s="3210"/>
      <c r="G20" s="3210">
        <f>E20-J20</f>
        <v>0</v>
      </c>
      <c r="H20" s="3210"/>
      <c r="I20" s="3210"/>
      <c r="J20" s="714">
        <f>J21</f>
        <v>0</v>
      </c>
      <c r="K20" s="383"/>
      <c r="L20" s="3224"/>
      <c r="M20" s="3224"/>
      <c r="N20" s="3224"/>
      <c r="O20" s="3224"/>
      <c r="P20" s="3224"/>
      <c r="Q20" s="3224"/>
      <c r="R20" s="3224"/>
      <c r="S20" s="3224"/>
      <c r="T20" s="717"/>
    </row>
    <row r="21" spans="1:20" ht="18" customHeight="1">
      <c r="A21" s="3220"/>
      <c r="B21" s="3220"/>
      <c r="C21" s="3214"/>
      <c r="D21" s="3214"/>
      <c r="E21" s="3219"/>
      <c r="F21" s="3219"/>
      <c r="G21" s="3216"/>
      <c r="H21" s="3216"/>
      <c r="I21" s="3216"/>
      <c r="J21" s="1137"/>
      <c r="K21" s="398"/>
      <c r="L21" s="3224"/>
      <c r="M21" s="3224"/>
      <c r="N21" s="3224"/>
      <c r="O21" s="3224"/>
      <c r="P21" s="3224"/>
      <c r="Q21" s="3224"/>
      <c r="R21" s="3224"/>
      <c r="S21" s="3224"/>
      <c r="T21" s="717"/>
    </row>
    <row r="22" spans="1:20" ht="18" customHeight="1">
      <c r="A22" s="3227" t="s">
        <v>6106</v>
      </c>
      <c r="B22" s="3227"/>
      <c r="C22" s="3227"/>
      <c r="D22" s="3227"/>
      <c r="E22" s="3210">
        <f>E7+E15+E20</f>
        <v>0</v>
      </c>
      <c r="F22" s="3210"/>
      <c r="G22" s="3210">
        <f>G7+G15+G20</f>
        <v>0</v>
      </c>
      <c r="H22" s="3210"/>
      <c r="I22" s="3210"/>
      <c r="J22" s="714">
        <f>J7+J15+J20</f>
        <v>0</v>
      </c>
      <c r="K22" s="383"/>
      <c r="L22" s="3224"/>
      <c r="M22" s="3224"/>
      <c r="N22" s="3224"/>
      <c r="O22" s="3224"/>
      <c r="P22" s="3224"/>
      <c r="Q22" s="3224"/>
      <c r="R22" s="3224"/>
      <c r="S22" s="3224"/>
      <c r="T22" s="717"/>
    </row>
    <row r="23" spans="1:20" ht="18" customHeight="1">
      <c r="A23" s="3226" t="s">
        <v>6105</v>
      </c>
      <c r="B23" s="3226"/>
      <c r="C23" s="3226"/>
      <c r="D23" s="3226"/>
      <c r="E23" s="3218"/>
      <c r="F23" s="3218"/>
      <c r="G23" s="3124">
        <f>E23-J23</f>
        <v>0</v>
      </c>
      <c r="H23" s="3124"/>
      <c r="I23" s="3124"/>
      <c r="J23" s="1136"/>
      <c r="K23" s="388"/>
      <c r="L23" s="3224"/>
      <c r="M23" s="3224"/>
      <c r="N23" s="3224"/>
      <c r="O23" s="3224"/>
      <c r="P23" s="3224"/>
      <c r="Q23" s="3224"/>
      <c r="R23" s="3224"/>
      <c r="S23" s="3224"/>
      <c r="T23" s="717"/>
    </row>
    <row r="24" spans="1:20" ht="18" customHeight="1">
      <c r="A24" s="3225" t="s">
        <v>6107</v>
      </c>
      <c r="B24" s="3225"/>
      <c r="C24" s="3225"/>
      <c r="D24" s="3225"/>
      <c r="E24" s="3217">
        <f>E22-E23</f>
        <v>0</v>
      </c>
      <c r="F24" s="3217"/>
      <c r="G24" s="3217">
        <f>G22+G23</f>
        <v>0</v>
      </c>
      <c r="H24" s="3217"/>
      <c r="I24" s="3217"/>
      <c r="J24" s="718">
        <f>J22-J23</f>
        <v>0</v>
      </c>
      <c r="K24" s="398"/>
      <c r="L24" s="3224"/>
      <c r="M24" s="3224"/>
      <c r="N24" s="3224"/>
      <c r="O24" s="3224"/>
      <c r="P24" s="3224"/>
      <c r="Q24" s="3224"/>
      <c r="R24" s="3224"/>
      <c r="S24" s="3224"/>
    </row>
    <row r="25" spans="1:20" s="558" customFormat="1" ht="19.5" customHeight="1">
      <c r="A25" s="3228" t="s">
        <v>1499</v>
      </c>
      <c r="B25" s="3228"/>
      <c r="C25" s="3228"/>
      <c r="D25" s="3228"/>
      <c r="E25" s="3228"/>
      <c r="F25" s="3228"/>
      <c r="G25" s="3228"/>
      <c r="H25" s="3228"/>
      <c r="I25" s="3228"/>
      <c r="J25" s="3228"/>
      <c r="K25" s="719"/>
      <c r="L25" s="3224"/>
      <c r="M25" s="3224"/>
      <c r="N25" s="3224"/>
      <c r="O25" s="3224"/>
      <c r="P25" s="3224"/>
      <c r="Q25" s="3224"/>
      <c r="R25" s="3224"/>
      <c r="S25" s="3224"/>
    </row>
    <row r="26" spans="1:20" s="558" customFormat="1" ht="18" customHeight="1">
      <c r="A26" s="3132" t="s">
        <v>854</v>
      </c>
      <c r="B26" s="3132"/>
      <c r="C26" s="158" t="s">
        <v>855</v>
      </c>
      <c r="D26" s="158" t="s">
        <v>856</v>
      </c>
      <c r="E26" s="2906" t="s">
        <v>1293</v>
      </c>
      <c r="F26" s="2906"/>
      <c r="G26" s="2906" t="s">
        <v>857</v>
      </c>
      <c r="H26" s="2906"/>
      <c r="I26" s="2906"/>
      <c r="J26" s="158" t="s">
        <v>703</v>
      </c>
      <c r="K26" s="720"/>
      <c r="L26" s="3224"/>
      <c r="M26" s="3224"/>
      <c r="N26" s="3224"/>
      <c r="O26" s="3224"/>
      <c r="P26" s="3224"/>
      <c r="Q26" s="3224"/>
      <c r="R26" s="3224"/>
      <c r="S26" s="3224"/>
    </row>
    <row r="27" spans="1:20" s="558" customFormat="1" ht="18" customHeight="1">
      <c r="A27" s="3144" t="s">
        <v>558</v>
      </c>
      <c r="B27" s="3144"/>
      <c r="C27" s="1113"/>
      <c r="D27" s="701">
        <f>营业费用!H11</f>
        <v>0</v>
      </c>
      <c r="E27" s="3233">
        <f>管理费用!H11</f>
        <v>0</v>
      </c>
      <c r="F27" s="3233"/>
      <c r="G27" s="3216"/>
      <c r="H27" s="3216"/>
      <c r="I27" s="3216"/>
      <c r="J27" s="721">
        <f>SUM(C27:I27)</f>
        <v>0</v>
      </c>
      <c r="K27" s="722"/>
      <c r="L27" s="3229" t="s">
        <v>1500</v>
      </c>
      <c r="M27" s="3229"/>
      <c r="N27" s="3229"/>
      <c r="O27" s="3229"/>
      <c r="P27" s="3229"/>
      <c r="Q27" s="3229"/>
      <c r="R27" s="3229"/>
      <c r="S27" s="3229"/>
    </row>
    <row r="28" spans="1:20" s="558" customFormat="1" ht="20.25" customHeight="1">
      <c r="A28" s="3021" t="s">
        <v>642</v>
      </c>
      <c r="B28" s="3021"/>
      <c r="C28" s="3021"/>
      <c r="D28" s="3234" t="str">
        <f>IF(J27&lt;&gt;E22,"原始凭证检查金额与账载数不符，请检查！","原始凭证检查金额与账载数相符！")</f>
        <v>原始凭证检查金额与账载数相符！</v>
      </c>
      <c r="E28" s="3234"/>
      <c r="F28" s="3234"/>
      <c r="G28" s="3234"/>
      <c r="H28" s="3234"/>
      <c r="I28" s="3234"/>
      <c r="J28" s="3234"/>
      <c r="K28" s="723"/>
      <c r="L28" s="3229"/>
      <c r="M28" s="3229"/>
      <c r="N28" s="3229"/>
      <c r="O28" s="3229"/>
      <c r="P28" s="3229"/>
      <c r="Q28" s="3229"/>
      <c r="R28" s="3229"/>
      <c r="S28" s="3229"/>
    </row>
    <row r="29" spans="1:20" ht="18" customHeight="1">
      <c r="A29" s="3231" t="s">
        <v>1501</v>
      </c>
      <c r="B29" s="3231"/>
      <c r="C29" s="3231"/>
      <c r="D29" s="3231"/>
      <c r="E29" s="3231"/>
      <c r="F29" s="3231"/>
      <c r="G29" s="3231"/>
      <c r="H29" s="3231"/>
      <c r="I29" s="3231"/>
      <c r="J29" s="724">
        <f>招待!J20</f>
        <v>0</v>
      </c>
      <c r="K29" s="383"/>
      <c r="L29" s="3224" t="s">
        <v>1502</v>
      </c>
      <c r="M29" s="3224"/>
      <c r="N29" s="3224"/>
      <c r="O29" s="3224"/>
      <c r="P29" s="3224"/>
      <c r="Q29" s="3224"/>
      <c r="R29" s="3224"/>
      <c r="S29" s="3224"/>
    </row>
    <row r="30" spans="1:20" ht="18" customHeight="1">
      <c r="A30" s="3235" t="s">
        <v>1503</v>
      </c>
      <c r="B30" s="3236"/>
      <c r="C30" s="3237"/>
      <c r="D30" s="725" t="s">
        <v>1504</v>
      </c>
      <c r="E30" s="726">
        <v>0.15</v>
      </c>
      <c r="F30" s="3230" t="s">
        <v>1505</v>
      </c>
      <c r="G30" s="3230"/>
      <c r="H30" s="3230"/>
      <c r="I30" s="3230"/>
      <c r="J30" s="727">
        <f>ROUND(J29*E30,2)</f>
        <v>0</v>
      </c>
      <c r="K30" s="388"/>
      <c r="L30" s="3224"/>
      <c r="M30" s="3224"/>
      <c r="N30" s="3224"/>
      <c r="O30" s="3224"/>
      <c r="P30" s="3224"/>
      <c r="Q30" s="3224"/>
      <c r="R30" s="3224"/>
      <c r="S30" s="3224"/>
    </row>
    <row r="31" spans="1:20" ht="18" customHeight="1">
      <c r="A31" s="3238"/>
      <c r="B31" s="3239"/>
      <c r="C31" s="3240"/>
      <c r="D31" s="3230" t="s">
        <v>1246</v>
      </c>
      <c r="E31" s="3230"/>
      <c r="F31" s="3230"/>
      <c r="G31" s="3230"/>
      <c r="H31" s="3230"/>
      <c r="I31" s="3230"/>
      <c r="J31" s="727">
        <f>IF(J24&gt;J30,J22-J30,J23)</f>
        <v>0</v>
      </c>
      <c r="K31" s="728"/>
      <c r="L31" s="3090" t="s">
        <v>1506</v>
      </c>
      <c r="M31" s="3090"/>
      <c r="N31" s="3090"/>
      <c r="O31" s="3090"/>
      <c r="P31" s="3090"/>
      <c r="Q31" s="3090"/>
      <c r="R31" s="3090"/>
      <c r="S31" s="169"/>
    </row>
    <row r="32" spans="1:20" ht="18" customHeight="1">
      <c r="A32" s="3238"/>
      <c r="B32" s="3239"/>
      <c r="C32" s="3240"/>
      <c r="D32" s="3232" t="s">
        <v>1248</v>
      </c>
      <c r="E32" s="3232"/>
      <c r="F32" s="3232"/>
      <c r="G32" s="3232"/>
      <c r="H32" s="3232"/>
      <c r="I32" s="3232"/>
      <c r="J32" s="727">
        <f>IF(J24&gt;ROUND((J29+招待!J24)*E30,2),J22-ROUND((J29+招待!J24)*E30,2),J23)-J31</f>
        <v>0</v>
      </c>
      <c r="K32" s="728"/>
      <c r="L32" s="3090"/>
      <c r="M32" s="3090"/>
      <c r="N32" s="3090"/>
      <c r="O32" s="3090"/>
      <c r="P32" s="3090"/>
      <c r="Q32" s="3090"/>
      <c r="R32" s="3090"/>
      <c r="S32" s="169"/>
    </row>
    <row r="33" spans="1:19" ht="18" customHeight="1">
      <c r="A33" s="3238"/>
      <c r="B33" s="3239"/>
      <c r="C33" s="3240"/>
      <c r="D33" s="3230" t="s">
        <v>1507</v>
      </c>
      <c r="E33" s="3230"/>
      <c r="F33" s="3230"/>
      <c r="G33" s="3230"/>
      <c r="H33" s="3230"/>
      <c r="I33" s="3230"/>
      <c r="J33" s="1136"/>
      <c r="K33" s="388"/>
      <c r="L33" s="3090"/>
      <c r="M33" s="3090"/>
      <c r="N33" s="3090"/>
      <c r="O33" s="3090"/>
      <c r="P33" s="3090"/>
      <c r="Q33" s="3090"/>
      <c r="R33" s="3090"/>
      <c r="S33" s="169"/>
    </row>
    <row r="34" spans="1:19" ht="18" customHeight="1">
      <c r="A34" s="3238"/>
      <c r="B34" s="3239"/>
      <c r="C34" s="3240"/>
      <c r="D34" s="3230" t="s">
        <v>1508</v>
      </c>
      <c r="E34" s="3230"/>
      <c r="F34" s="3230"/>
      <c r="G34" s="3230"/>
      <c r="H34" s="3230"/>
      <c r="I34" s="3230"/>
      <c r="J34" s="727">
        <f>IF(J33&gt;0,IF(J24&lt;ROUND((J29+招待!J24)*E30,2),MIN(J33,ROUND((J29+招待!J24)*E30,2)-J24),0),0)</f>
        <v>0</v>
      </c>
      <c r="K34" s="728"/>
      <c r="L34" s="3090"/>
      <c r="M34" s="3090"/>
      <c r="N34" s="3090"/>
      <c r="O34" s="3090"/>
      <c r="P34" s="3090"/>
      <c r="Q34" s="3090"/>
      <c r="R34" s="3090"/>
      <c r="S34" s="169"/>
    </row>
    <row r="35" spans="1:19" ht="18" customHeight="1">
      <c r="A35" s="3238"/>
      <c r="B35" s="3239"/>
      <c r="C35" s="3240"/>
      <c r="D35" s="3230" t="s">
        <v>1509</v>
      </c>
      <c r="E35" s="3230"/>
      <c r="F35" s="3230"/>
      <c r="G35" s="3230"/>
      <c r="H35" s="3230"/>
      <c r="I35" s="3230"/>
      <c r="J35" s="727">
        <f>J31+J32+J33-J34</f>
        <v>0</v>
      </c>
      <c r="K35" s="728"/>
      <c r="L35" s="3090"/>
      <c r="M35" s="3090"/>
      <c r="N35" s="3090"/>
      <c r="O35" s="3090"/>
      <c r="P35" s="3090"/>
      <c r="Q35" s="3090"/>
      <c r="R35" s="3090"/>
      <c r="S35" s="169"/>
    </row>
    <row r="36" spans="1:19" ht="18" customHeight="1">
      <c r="A36" s="3238"/>
      <c r="B36" s="3239"/>
      <c r="C36" s="3240"/>
      <c r="D36" s="3230" t="s">
        <v>6094</v>
      </c>
      <c r="E36" s="3230"/>
      <c r="F36" s="3230"/>
      <c r="G36" s="3230"/>
      <c r="H36" s="3230"/>
      <c r="I36" s="3230"/>
      <c r="J36" s="1679"/>
      <c r="K36" s="728"/>
      <c r="L36" s="3090"/>
      <c r="M36" s="3090"/>
      <c r="N36" s="3090"/>
      <c r="O36" s="3090"/>
      <c r="P36" s="3090"/>
      <c r="Q36" s="3090"/>
      <c r="R36" s="3090"/>
      <c r="S36" s="169"/>
    </row>
    <row r="37" spans="1:19" ht="18" customHeight="1">
      <c r="A37" s="3241"/>
      <c r="B37" s="3242"/>
      <c r="C37" s="3243"/>
      <c r="D37" s="3244" t="s">
        <v>6095</v>
      </c>
      <c r="E37" s="3245"/>
      <c r="F37" s="3245"/>
      <c r="G37" s="3245"/>
      <c r="H37" s="3245"/>
      <c r="I37" s="3246"/>
      <c r="J37" s="1679"/>
      <c r="K37" s="728"/>
      <c r="L37" s="3090"/>
      <c r="M37" s="3090"/>
      <c r="N37" s="3090"/>
      <c r="O37" s="3090"/>
      <c r="P37" s="3090"/>
      <c r="Q37" s="3090"/>
      <c r="R37" s="3090"/>
      <c r="S37" s="169"/>
    </row>
    <row r="38" spans="1:19" ht="15" customHeight="1">
      <c r="A38" s="3141" t="s">
        <v>1324</v>
      </c>
      <c r="B38" s="3141"/>
      <c r="C38" s="3141"/>
      <c r="D38" s="3142" t="s">
        <v>1510</v>
      </c>
      <c r="E38" s="3142"/>
      <c r="F38" s="3109" t="str">
        <f>IF(OR(J31+J32&gt;0,J34&gt;0),"、E","")</f>
        <v/>
      </c>
      <c r="G38" s="3109"/>
      <c r="H38" s="3109"/>
      <c r="I38" s="3109"/>
      <c r="J38" s="3109"/>
      <c r="K38" s="3109"/>
      <c r="L38" s="3090"/>
      <c r="M38" s="3090"/>
      <c r="N38" s="3090"/>
      <c r="O38" s="3090"/>
      <c r="P38" s="3090"/>
      <c r="Q38" s="3090"/>
      <c r="R38" s="3090"/>
      <c r="S38" s="169"/>
    </row>
    <row r="39" spans="1:19" ht="39.75" customHeight="1">
      <c r="A39" s="3141"/>
      <c r="B39" s="3141"/>
      <c r="C39" s="3141"/>
      <c r="D39" s="3201"/>
      <c r="E39" s="3201"/>
      <c r="F39" s="3201"/>
      <c r="G39" s="3201"/>
      <c r="H39" s="3201"/>
      <c r="I39" s="3201"/>
      <c r="J39" s="3201"/>
      <c r="K39" s="3201"/>
      <c r="L39" s="169"/>
      <c r="M39" s="729"/>
      <c r="N39" s="169"/>
      <c r="O39" s="169"/>
      <c r="P39" s="169"/>
      <c r="Q39" s="730"/>
      <c r="R39" s="729"/>
      <c r="S39" s="169"/>
    </row>
    <row r="40" spans="1:19" ht="18.75" customHeight="1">
      <c r="A40" s="3134" t="s">
        <v>575</v>
      </c>
      <c r="B40" s="3134"/>
      <c r="C40" s="3134"/>
      <c r="D40" s="3221" t="str">
        <f>IF(J31&lt;&gt;0,"实际列支广告费及业务宣传费大于税法允许列支的限额,应予纳税调整增加"&amp;DOLLAR(J31,2)&amp;"元！","不存在广告费及业务宣传费调增事项，认可！")</f>
        <v>不存在广告费及业务宣传费调增事项，认可！</v>
      </c>
      <c r="E40" s="3221"/>
      <c r="F40" s="3221"/>
      <c r="G40" s="3221"/>
      <c r="H40" s="3221"/>
      <c r="I40" s="3221"/>
      <c r="J40" s="3221"/>
      <c r="K40" s="3221"/>
      <c r="L40" s="169"/>
      <c r="M40" s="169"/>
      <c r="N40" s="169"/>
      <c r="O40" s="169"/>
      <c r="P40" s="169"/>
      <c r="Q40" s="169"/>
      <c r="R40" s="169"/>
      <c r="S40" s="169"/>
    </row>
    <row r="41" spans="1:19" ht="18.75" customHeight="1">
      <c r="A41" s="3134"/>
      <c r="B41" s="3134"/>
      <c r="C41" s="3134"/>
      <c r="D41" s="3222" t="str">
        <f>IF(J34&lt;&gt;0,"本年度扣除以前年度结转广告费及业务宣传费"&amp;DOLLAR(J34,2)&amp;"元！","")</f>
        <v/>
      </c>
      <c r="E41" s="3222"/>
      <c r="F41" s="3222"/>
      <c r="G41" s="3222"/>
      <c r="H41" s="3222"/>
      <c r="I41" s="3222"/>
      <c r="J41" s="3222"/>
      <c r="K41" s="3222"/>
      <c r="L41" s="169"/>
      <c r="M41" s="169"/>
      <c r="N41" s="169"/>
      <c r="O41" s="169"/>
      <c r="P41" s="169"/>
      <c r="Q41" s="169"/>
      <c r="R41" s="169"/>
      <c r="S41" s="169"/>
    </row>
    <row r="42" spans="1:19" ht="18.75" customHeight="1">
      <c r="A42" s="3134"/>
      <c r="B42" s="3134"/>
      <c r="C42" s="3134"/>
      <c r="D42" s="3223" t="str">
        <f>IF(J35&lt;&gt;0,"本年度可结转以后年度扣除的广告费及业务宣传费共计"&amp;DOLLAR(J35,2)&amp;"元！","")</f>
        <v/>
      </c>
      <c r="E42" s="3223"/>
      <c r="F42" s="3223"/>
      <c r="G42" s="3223"/>
      <c r="H42" s="3223"/>
      <c r="I42" s="3223"/>
      <c r="J42" s="3223"/>
      <c r="K42" s="3223"/>
      <c r="L42" s="169"/>
      <c r="M42" s="169"/>
      <c r="N42" s="169"/>
      <c r="O42" s="169"/>
      <c r="P42" s="169"/>
      <c r="Q42" s="169"/>
      <c r="R42" s="169"/>
      <c r="S42" s="169"/>
    </row>
    <row r="43" spans="1:19" ht="13.5" customHeight="1">
      <c r="A43" s="731"/>
      <c r="B43" s="731"/>
      <c r="C43" s="731"/>
      <c r="D43" s="731"/>
      <c r="E43" s="731"/>
      <c r="F43" s="731"/>
      <c r="G43" s="731"/>
      <c r="H43" s="731"/>
      <c r="I43" s="731"/>
      <c r="J43" s="731"/>
      <c r="K43" s="731"/>
    </row>
  </sheetData>
  <sheetProtection selectLockedCells="1" selectUnlockedCells="1"/>
  <mergeCells count="116">
    <mergeCell ref="L27:S28"/>
    <mergeCell ref="F38:K38"/>
    <mergeCell ref="L31:R38"/>
    <mergeCell ref="D33:I33"/>
    <mergeCell ref="D34:I34"/>
    <mergeCell ref="D35:I35"/>
    <mergeCell ref="L29:S30"/>
    <mergeCell ref="A29:I29"/>
    <mergeCell ref="A38:C39"/>
    <mergeCell ref="F30:I30"/>
    <mergeCell ref="D31:I31"/>
    <mergeCell ref="D32:I32"/>
    <mergeCell ref="A27:B27"/>
    <mergeCell ref="E27:F27"/>
    <mergeCell ref="A28:C28"/>
    <mergeCell ref="D28:J28"/>
    <mergeCell ref="G27:I27"/>
    <mergeCell ref="D38:E38"/>
    <mergeCell ref="A30:C37"/>
    <mergeCell ref="D36:I36"/>
    <mergeCell ref="D37:I37"/>
    <mergeCell ref="A40:C42"/>
    <mergeCell ref="D40:K40"/>
    <mergeCell ref="D41:K41"/>
    <mergeCell ref="D42:K42"/>
    <mergeCell ref="D39:K39"/>
    <mergeCell ref="L19:S26"/>
    <mergeCell ref="A20:B20"/>
    <mergeCell ref="C20:D20"/>
    <mergeCell ref="E20:F20"/>
    <mergeCell ref="G20:I20"/>
    <mergeCell ref="A24:D24"/>
    <mergeCell ref="E24:F24"/>
    <mergeCell ref="G24:I24"/>
    <mergeCell ref="E22:F22"/>
    <mergeCell ref="G22:I22"/>
    <mergeCell ref="A23:D23"/>
    <mergeCell ref="E23:F23"/>
    <mergeCell ref="G23:I23"/>
    <mergeCell ref="A22:D22"/>
    <mergeCell ref="A25:J25"/>
    <mergeCell ref="A26:B26"/>
    <mergeCell ref="E26:F26"/>
    <mergeCell ref="G26:I26"/>
    <mergeCell ref="C21:D21"/>
    <mergeCell ref="E21:F21"/>
    <mergeCell ref="G21:I21"/>
    <mergeCell ref="A21:B21"/>
    <mergeCell ref="G19:I19"/>
    <mergeCell ref="C19:D19"/>
    <mergeCell ref="E19:F19"/>
    <mergeCell ref="A19:B19"/>
    <mergeCell ref="A18:B18"/>
    <mergeCell ref="C18:D18"/>
    <mergeCell ref="A15:B15"/>
    <mergeCell ref="C15:D15"/>
    <mergeCell ref="C14:D14"/>
    <mergeCell ref="A17:B17"/>
    <mergeCell ref="C17:D17"/>
    <mergeCell ref="A14:B14"/>
    <mergeCell ref="G18:I18"/>
    <mergeCell ref="E14:F14"/>
    <mergeCell ref="G14:I14"/>
    <mergeCell ref="G16:I16"/>
    <mergeCell ref="E17:F17"/>
    <mergeCell ref="G17:I17"/>
    <mergeCell ref="E18:F18"/>
    <mergeCell ref="E16:F16"/>
    <mergeCell ref="E15:F15"/>
    <mergeCell ref="G15:I15"/>
    <mergeCell ref="A16:B16"/>
    <mergeCell ref="C16:D16"/>
    <mergeCell ref="A12:B12"/>
    <mergeCell ref="C12:D12"/>
    <mergeCell ref="L12:N12"/>
    <mergeCell ref="E12:F12"/>
    <mergeCell ref="G12:I12"/>
    <mergeCell ref="L14:N14"/>
    <mergeCell ref="E13:F13"/>
    <mergeCell ref="G13:I13"/>
    <mergeCell ref="L10:N10"/>
    <mergeCell ref="A11:B11"/>
    <mergeCell ref="C11:D11"/>
    <mergeCell ref="E11:F11"/>
    <mergeCell ref="G11:I11"/>
    <mergeCell ref="A10:B10"/>
    <mergeCell ref="C10:D10"/>
    <mergeCell ref="E10:F10"/>
    <mergeCell ref="G10:I10"/>
    <mergeCell ref="A13:B13"/>
    <mergeCell ref="C13:D13"/>
    <mergeCell ref="L8:N8"/>
    <mergeCell ref="A9:B9"/>
    <mergeCell ref="C9:D9"/>
    <mergeCell ref="E9:F9"/>
    <mergeCell ref="G9:I9"/>
    <mergeCell ref="A8:B8"/>
    <mergeCell ref="C8:D8"/>
    <mergeCell ref="E8:F8"/>
    <mergeCell ref="G8:I8"/>
    <mergeCell ref="A7:B7"/>
    <mergeCell ref="C7:D7"/>
    <mergeCell ref="E7:F7"/>
    <mergeCell ref="G7:I7"/>
    <mergeCell ref="A1:K1"/>
    <mergeCell ref="A3:B3"/>
    <mergeCell ref="C3:D3"/>
    <mergeCell ref="F3:H3"/>
    <mergeCell ref="C4:D4"/>
    <mergeCell ref="F4:H4"/>
    <mergeCell ref="A6:B6"/>
    <mergeCell ref="C6:D6"/>
    <mergeCell ref="E6:F6"/>
    <mergeCell ref="G6:I6"/>
    <mergeCell ref="A5:K5"/>
    <mergeCell ref="A4:B4"/>
  </mergeCells>
  <phoneticPr fontId="51" type="noConversion"/>
  <dataValidations count="3">
    <dataValidation allowBlank="1" showErrorMessage="1" sqref="F3:H3 D40">
      <formula1>0</formula1>
      <formula2>0</formula2>
    </dataValidation>
    <dataValidation allowBlank="1" showErrorMessage="1" promptTitle="存在调整事项时" prompt="_x000a_选择 “E”" sqref="F38:K38">
      <formula1>0</formula1>
      <formula2>0</formula2>
    </dataValidation>
    <dataValidation type="list" allowBlank="1" showErrorMessage="1" sqref="E30">
      <formula1>"15%,30%"</formula1>
      <formula2>0</formula2>
    </dataValidation>
  </dataValidations>
  <hyperlinks>
    <hyperlink ref="L8" location="广告费纳税调整表!A1" display="广告费纳税调整表!A1"/>
    <hyperlink ref="L10" location="纳税调整明细表!A1" display="纳税调整明细表!A1"/>
    <hyperlink ref="L12" location="管理费用!A1" display="管理费用审核表"/>
    <hyperlink ref="L14" location="营业费用!A1" display="营业费用审核表"/>
    <hyperlink ref="L16" location="凭证检查!A1" display="凭证检查!A1"/>
    <hyperlink ref="L18" location="招待!J20" display="招待!J20"/>
  </hyperlinks>
  <pageMargins left="0.78740157480314998" right="0.35433070866141703" top="0.511811023622047" bottom="0.11811023622047198" header="0.511811023622047" footer="0.511811023622047"/>
  <pageSetup paperSize="9" firstPageNumber="0" orientation="portrait" blackAndWhite="1" r:id="rId1"/>
  <headerFooter alignWithMargins="0"/>
</worksheet>
</file>

<file path=xl/worksheets/sheet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34"/>
  <dimension ref="A1:N146"/>
  <sheetViews>
    <sheetView workbookViewId="0">
      <selection activeCell="G10" sqref="G10"/>
    </sheetView>
  </sheetViews>
  <sheetFormatPr defaultColWidth="9" defaultRowHeight="21.9" customHeight="1"/>
  <cols>
    <col min="1" max="1" width="5.5" style="649" customWidth="1"/>
    <col min="2" max="2" width="23.5" style="649" customWidth="1"/>
    <col min="3" max="4" width="12.5" style="649" customWidth="1"/>
    <col min="5" max="5" width="8" style="649" customWidth="1"/>
    <col min="6" max="8" width="12.8984375" style="649" customWidth="1"/>
    <col min="9" max="10" width="12.5" style="649" customWidth="1"/>
    <col min="11" max="11" width="52.5" style="607" customWidth="1"/>
    <col min="12" max="16384" width="9" style="607"/>
  </cols>
  <sheetData>
    <row r="1" spans="1:14" ht="33.75" customHeight="1">
      <c r="A1" s="2707" t="s">
        <v>364</v>
      </c>
      <c r="B1" s="2707"/>
      <c r="C1" s="2707"/>
      <c r="D1" s="2707"/>
      <c r="E1" s="2707"/>
      <c r="F1" s="2707"/>
      <c r="G1" s="2707"/>
      <c r="H1" s="2707"/>
      <c r="I1" s="2707"/>
      <c r="J1" s="2707"/>
      <c r="K1" s="606"/>
      <c r="L1" s="606"/>
      <c r="M1" s="606"/>
      <c r="N1" s="606"/>
    </row>
    <row r="2" spans="1:14" s="649" customFormat="1" ht="17.25" customHeight="1">
      <c r="A2" s="3080" t="str">
        <f>"委托单位："&amp;基本情况!B2</f>
        <v>委托单位：0</v>
      </c>
      <c r="B2" s="3080"/>
      <c r="C2" s="3080"/>
      <c r="D2" s="3080"/>
      <c r="E2" s="3080"/>
      <c r="F2" s="3080"/>
      <c r="G2" s="136"/>
      <c r="H2" s="136" t="s">
        <v>1283</v>
      </c>
      <c r="I2" s="136" t="s">
        <v>1054</v>
      </c>
      <c r="J2" s="485" t="s">
        <v>283</v>
      </c>
      <c r="K2" s="648"/>
      <c r="L2" s="648"/>
      <c r="M2" s="648"/>
      <c r="N2" s="648"/>
    </row>
    <row r="3" spans="1:14" s="649" customFormat="1" ht="17.25" customHeight="1">
      <c r="A3" s="3080"/>
      <c r="B3" s="3080"/>
      <c r="C3" s="3080"/>
      <c r="D3" s="3080"/>
      <c r="E3" s="3080"/>
      <c r="F3" s="3080"/>
      <c r="G3" s="158" t="s">
        <v>451</v>
      </c>
      <c r="H3" s="510">
        <f>基本情况!B12</f>
        <v>0</v>
      </c>
      <c r="I3" s="559" t="str">
        <f>TEXT(基本情况!B21,"yyyy-mm-dd")</f>
        <v>2017-03-16</v>
      </c>
      <c r="J3" s="3081" t="str">
        <f>档案索引!A41</f>
        <v>2A-21</v>
      </c>
      <c r="K3" s="648"/>
      <c r="L3" s="648"/>
      <c r="M3" s="648"/>
      <c r="N3" s="648"/>
    </row>
    <row r="4" spans="1:14" s="649" customFormat="1" ht="17.25" customHeight="1">
      <c r="A4" s="3082" t="str">
        <f>"会计期间:"&amp;基本情况!B7</f>
        <v>会计期间:2016年01月01日至2016年12月31日</v>
      </c>
      <c r="B4" s="3082"/>
      <c r="C4" s="3082"/>
      <c r="D4" s="3082"/>
      <c r="E4" s="3082"/>
      <c r="F4" s="3082"/>
      <c r="G4" s="140" t="s">
        <v>453</v>
      </c>
      <c r="H4" s="513">
        <f>基本情况!B11</f>
        <v>0</v>
      </c>
      <c r="I4" s="513" t="str">
        <f>TEXT(基本情况!B22,"yyyy-mm-dd")</f>
        <v>2017-05-04</v>
      </c>
      <c r="J4" s="3081"/>
      <c r="K4" s="648"/>
      <c r="L4" s="648"/>
      <c r="M4" s="648"/>
      <c r="N4" s="648"/>
    </row>
    <row r="5" spans="1:14" s="649" customFormat="1" ht="7.5" customHeight="1">
      <c r="A5" s="2894"/>
      <c r="B5" s="2894"/>
      <c r="C5" s="2894"/>
      <c r="D5" s="2894"/>
      <c r="E5" s="2894"/>
      <c r="F5" s="2894"/>
      <c r="G5" s="2894"/>
      <c r="H5" s="2894"/>
      <c r="I5" s="2894"/>
      <c r="J5" s="2894"/>
      <c r="K5" s="648"/>
      <c r="L5" s="648"/>
      <c r="M5" s="648"/>
      <c r="N5" s="648"/>
    </row>
    <row r="6" spans="1:14" s="649" customFormat="1" ht="57" customHeight="1">
      <c r="A6" s="597" t="s">
        <v>1511</v>
      </c>
      <c r="B6" s="504" t="s">
        <v>1512</v>
      </c>
      <c r="C6" s="504" t="s">
        <v>1513</v>
      </c>
      <c r="D6" s="504" t="s">
        <v>1514</v>
      </c>
      <c r="E6" s="504" t="s">
        <v>1515</v>
      </c>
      <c r="F6" s="504" t="s">
        <v>1516</v>
      </c>
      <c r="G6" s="504" t="s">
        <v>1517</v>
      </c>
      <c r="H6" s="504" t="s">
        <v>1518</v>
      </c>
      <c r="I6" s="504" t="s">
        <v>1519</v>
      </c>
      <c r="J6" s="505" t="s">
        <v>1520</v>
      </c>
      <c r="K6" s="84" t="s">
        <v>396</v>
      </c>
      <c r="L6" s="648"/>
      <c r="M6" s="648"/>
      <c r="N6" s="648"/>
    </row>
    <row r="7" spans="1:14" s="649" customFormat="1" ht="17.25" customHeight="1">
      <c r="A7" s="732"/>
      <c r="B7" s="733"/>
      <c r="C7" s="1139"/>
      <c r="D7" s="1139"/>
      <c r="E7" s="735"/>
      <c r="F7" s="735"/>
      <c r="G7" s="734"/>
      <c r="H7" s="735"/>
      <c r="I7" s="1139"/>
      <c r="J7" s="736">
        <f>IF(AND(E7="是",F7="是",H7="是"),I7,0)</f>
        <v>0</v>
      </c>
      <c r="K7" s="493" t="s">
        <v>1521</v>
      </c>
      <c r="L7" s="606"/>
      <c r="M7" s="648"/>
      <c r="N7" s="648"/>
    </row>
    <row r="8" spans="1:14" s="649" customFormat="1" ht="17.25" customHeight="1">
      <c r="A8" s="732"/>
      <c r="B8" s="733"/>
      <c r="C8" s="1139"/>
      <c r="D8" s="1139"/>
      <c r="E8" s="735"/>
      <c r="F8" s="735"/>
      <c r="G8" s="734"/>
      <c r="H8" s="735"/>
      <c r="I8" s="1139"/>
      <c r="J8" s="736">
        <f t="shared" ref="J8:J14" si="0">IF(AND(E8="是",F8="是",H8="是"),I8,0)</f>
        <v>0</v>
      </c>
      <c r="K8" s="232" t="s">
        <v>324</v>
      </c>
      <c r="L8" s="606"/>
      <c r="M8" s="648"/>
      <c r="N8" s="648"/>
    </row>
    <row r="9" spans="1:14" s="649" customFormat="1" ht="17.25" customHeight="1">
      <c r="A9" s="732"/>
      <c r="B9" s="733"/>
      <c r="C9" s="1139"/>
      <c r="D9" s="1139"/>
      <c r="E9" s="735"/>
      <c r="F9" s="735"/>
      <c r="G9" s="734"/>
      <c r="H9" s="735"/>
      <c r="I9" s="1139"/>
      <c r="J9" s="736">
        <f t="shared" si="0"/>
        <v>0</v>
      </c>
      <c r="K9" s="493" t="s">
        <v>1522</v>
      </c>
      <c r="L9" s="606"/>
      <c r="M9" s="648"/>
      <c r="N9" s="648"/>
    </row>
    <row r="10" spans="1:14" s="649" customFormat="1" ht="17.25" customHeight="1">
      <c r="A10" s="732"/>
      <c r="B10" s="733"/>
      <c r="C10" s="1139"/>
      <c r="D10" s="1139"/>
      <c r="E10" s="735"/>
      <c r="F10" s="735"/>
      <c r="G10" s="734"/>
      <c r="H10" s="735"/>
      <c r="I10" s="1139"/>
      <c r="J10" s="736">
        <f t="shared" si="0"/>
        <v>0</v>
      </c>
      <c r="K10" s="232" t="s">
        <v>320</v>
      </c>
      <c r="L10" s="606"/>
      <c r="M10" s="648"/>
      <c r="N10" s="648"/>
    </row>
    <row r="11" spans="1:14" s="649" customFormat="1" ht="17.25" customHeight="1">
      <c r="A11" s="732"/>
      <c r="B11" s="733"/>
      <c r="C11" s="1139"/>
      <c r="D11" s="1139"/>
      <c r="E11" s="735"/>
      <c r="F11" s="735"/>
      <c r="G11" s="734"/>
      <c r="H11" s="735"/>
      <c r="I11" s="1139"/>
      <c r="J11" s="736">
        <f t="shared" si="0"/>
        <v>0</v>
      </c>
      <c r="K11" s="232" t="s">
        <v>1299</v>
      </c>
      <c r="L11" s="648"/>
      <c r="M11" s="648"/>
      <c r="N11" s="648"/>
    </row>
    <row r="12" spans="1:14" s="649" customFormat="1" ht="17.25" customHeight="1">
      <c r="A12" s="732"/>
      <c r="B12" s="733"/>
      <c r="C12" s="1139"/>
      <c r="D12" s="1139"/>
      <c r="E12" s="735"/>
      <c r="F12" s="735"/>
      <c r="G12" s="734"/>
      <c r="H12" s="735"/>
      <c r="I12" s="1139"/>
      <c r="J12" s="736">
        <f t="shared" si="0"/>
        <v>0</v>
      </c>
      <c r="K12" s="648"/>
      <c r="L12" s="648"/>
      <c r="M12" s="648"/>
      <c r="N12" s="648"/>
    </row>
    <row r="13" spans="1:14" s="649" customFormat="1" ht="17.25" customHeight="1">
      <c r="A13" s="732"/>
      <c r="B13" s="733"/>
      <c r="C13" s="1139"/>
      <c r="D13" s="1139"/>
      <c r="E13" s="735"/>
      <c r="F13" s="735"/>
      <c r="G13" s="734"/>
      <c r="H13" s="735"/>
      <c r="I13" s="1139"/>
      <c r="J13" s="736">
        <f t="shared" si="0"/>
        <v>0</v>
      </c>
      <c r="K13" s="648"/>
      <c r="L13" s="648"/>
      <c r="M13" s="648"/>
      <c r="N13" s="648"/>
    </row>
    <row r="14" spans="1:14" s="649" customFormat="1" ht="17.25" customHeight="1">
      <c r="A14" s="737"/>
      <c r="B14" s="738"/>
      <c r="C14" s="1140"/>
      <c r="D14" s="1140"/>
      <c r="E14" s="740"/>
      <c r="F14" s="740"/>
      <c r="G14" s="739"/>
      <c r="H14" s="740"/>
      <c r="I14" s="1140"/>
      <c r="J14" s="741">
        <f t="shared" si="0"/>
        <v>0</v>
      </c>
      <c r="K14" s="3090" t="s">
        <v>493</v>
      </c>
      <c r="L14" s="3090"/>
      <c r="M14" s="3090"/>
      <c r="N14" s="648"/>
    </row>
    <row r="15" spans="1:14" s="649" customFormat="1" ht="20.25" customHeight="1">
      <c r="A15" s="3021" t="s">
        <v>703</v>
      </c>
      <c r="B15" s="3021"/>
      <c r="C15" s="590">
        <f>SUM(C7:C14)</f>
        <v>0</v>
      </c>
      <c r="D15" s="590">
        <f>SUM(D7:D14)</f>
        <v>0</v>
      </c>
      <c r="E15" s="742"/>
      <c r="F15" s="742"/>
      <c r="G15" s="742"/>
      <c r="H15" s="742"/>
      <c r="I15" s="590">
        <f>SUM(I7:I14)</f>
        <v>0</v>
      </c>
      <c r="J15" s="533">
        <f>SUM(J7:J14)</f>
        <v>0</v>
      </c>
      <c r="K15" s="3090"/>
      <c r="L15" s="3090"/>
      <c r="M15" s="3090"/>
      <c r="N15" s="648"/>
    </row>
    <row r="16" spans="1:14" s="649" customFormat="1" ht="20.25" customHeight="1">
      <c r="A16" s="3249" t="s">
        <v>494</v>
      </c>
      <c r="B16" s="3249"/>
      <c r="C16" s="3249"/>
      <c r="D16" s="3184" t="s">
        <v>1293</v>
      </c>
      <c r="E16" s="3184"/>
      <c r="F16" s="136" t="s">
        <v>856</v>
      </c>
      <c r="G16" s="136" t="s">
        <v>855</v>
      </c>
      <c r="H16" s="136" t="s">
        <v>495</v>
      </c>
      <c r="I16" s="136" t="s">
        <v>857</v>
      </c>
      <c r="J16" s="485" t="s">
        <v>703</v>
      </c>
      <c r="K16" s="3090"/>
      <c r="L16" s="3090"/>
      <c r="M16" s="3090"/>
      <c r="N16" s="648"/>
    </row>
    <row r="17" spans="1:14" s="649" customFormat="1" ht="20.25" customHeight="1">
      <c r="A17" s="3249"/>
      <c r="B17" s="3249"/>
      <c r="C17" s="3249"/>
      <c r="D17" s="3247">
        <f>管理费用!H12+管理费用!H16</f>
        <v>0</v>
      </c>
      <c r="E17" s="3247"/>
      <c r="F17" s="701">
        <f>营业费用!H12+营业费用!H16</f>
        <v>0</v>
      </c>
      <c r="G17" s="1113"/>
      <c r="H17" s="701">
        <f>营外收支!E26+营外收支!E27</f>
        <v>0</v>
      </c>
      <c r="I17" s="1140"/>
      <c r="J17" s="702">
        <f>SUM(D17:I17)</f>
        <v>0</v>
      </c>
      <c r="K17" s="3090"/>
      <c r="L17" s="3090"/>
      <c r="M17" s="3090"/>
      <c r="N17" s="648"/>
    </row>
    <row r="18" spans="1:14" s="744" customFormat="1" ht="20.25" customHeight="1">
      <c r="A18" s="3021" t="s">
        <v>642</v>
      </c>
      <c r="B18" s="3021"/>
      <c r="C18" s="3021"/>
      <c r="D18" s="3250" t="str">
        <f>IF(J17&lt;&gt;C15+D15+I15,"原始凭证检查金额与账载数不符，请检查！","原始凭证检查金额与账载数相符！")</f>
        <v>原始凭证检查金额与账载数相符！</v>
      </c>
      <c r="E18" s="3250"/>
      <c r="F18" s="3250"/>
      <c r="G18" s="3250"/>
      <c r="H18" s="3250"/>
      <c r="I18" s="3250"/>
      <c r="J18" s="3250"/>
      <c r="K18" s="3090"/>
      <c r="L18" s="3090"/>
      <c r="M18" s="3090"/>
      <c r="N18" s="743"/>
    </row>
    <row r="19" spans="1:14" s="744" customFormat="1" ht="20.25" customHeight="1">
      <c r="A19" s="3134" t="s">
        <v>496</v>
      </c>
      <c r="B19" s="3134"/>
      <c r="C19" s="3134"/>
      <c r="D19" s="3248">
        <f>'A100000中华人民共和国企业所得税年度纳税申报表（A类）'!D16</f>
        <v>0</v>
      </c>
      <c r="E19" s="3248"/>
      <c r="F19" s="3248"/>
      <c r="G19" s="582" t="s">
        <v>1505</v>
      </c>
      <c r="H19" s="590">
        <f>IF(D19&lt;=0,0,IF(J15-D15&lt;0,0,MIN(J15-D15,ROUND(D19*0.12,2))))</f>
        <v>0</v>
      </c>
      <c r="I19" s="745" t="s">
        <v>497</v>
      </c>
      <c r="J19" s="746">
        <f>MAX(J15-D15-H19,0)</f>
        <v>0</v>
      </c>
      <c r="K19" s="3090"/>
      <c r="L19" s="3090"/>
      <c r="M19" s="3090"/>
      <c r="N19" s="743"/>
    </row>
    <row r="20" spans="1:14" s="744" customFormat="1" ht="15" customHeight="1">
      <c r="A20" s="3024" t="s">
        <v>1324</v>
      </c>
      <c r="B20" s="3024"/>
      <c r="C20" s="3024"/>
      <c r="D20" s="3251" t="s">
        <v>498</v>
      </c>
      <c r="E20" s="3251"/>
      <c r="F20" s="3251"/>
      <c r="G20" s="3253" t="str">
        <f>IF(OR(C15&gt;0,J19&gt;0),"、E","")</f>
        <v/>
      </c>
      <c r="H20" s="3253"/>
      <c r="I20" s="3253"/>
      <c r="J20" s="3253"/>
      <c r="K20" s="3090"/>
      <c r="L20" s="3090"/>
      <c r="M20" s="3090"/>
      <c r="N20" s="743"/>
    </row>
    <row r="21" spans="1:14" s="744" customFormat="1" ht="48" customHeight="1">
      <c r="A21" s="3024"/>
      <c r="B21" s="3024"/>
      <c r="C21" s="3024"/>
      <c r="D21" s="3252"/>
      <c r="E21" s="3252"/>
      <c r="F21" s="3252"/>
      <c r="G21" s="3252"/>
      <c r="H21" s="3252"/>
      <c r="I21" s="3252"/>
      <c r="J21" s="3252"/>
      <c r="K21" s="3090"/>
      <c r="L21" s="3090"/>
      <c r="M21" s="3090"/>
      <c r="N21" s="743"/>
    </row>
    <row r="22" spans="1:14" s="744" customFormat="1" ht="18.75" customHeight="1">
      <c r="A22" s="3156" t="s">
        <v>575</v>
      </c>
      <c r="B22" s="3156"/>
      <c r="C22" s="3156"/>
      <c r="D22" s="3155" t="str">
        <f>IF(C15&lt;&gt;0,"非公益性捐赠、非广告性赞助支出应予纳税调整增加"&amp;DOLLAR(C15,2)&amp;"元！","不存在非公益性捐赠、非广告性赞助支出，认可！")</f>
        <v>不存在非公益性捐赠、非广告性赞助支出，认可！</v>
      </c>
      <c r="E22" s="3155"/>
      <c r="F22" s="3155"/>
      <c r="G22" s="3155"/>
      <c r="H22" s="3155"/>
      <c r="I22" s="3155"/>
      <c r="J22" s="3155"/>
      <c r="K22" s="3090"/>
      <c r="L22" s="3090"/>
      <c r="M22" s="3090"/>
      <c r="N22" s="743"/>
    </row>
    <row r="23" spans="1:14" s="744" customFormat="1" ht="18.75" customHeight="1">
      <c r="A23" s="3156"/>
      <c r="B23" s="3156"/>
      <c r="C23" s="3156"/>
      <c r="D23" s="3135" t="str">
        <f>IF(J19&gt;0,"实际列支公益性捐赠、赞助支出大于税法允许列支的限额,应予纳税调整增加"&amp;DOLLAR(J19,2)&amp;"元！","不存在公益性捐赠、赞助支出调整事项，认可！")</f>
        <v>不存在公益性捐赠、赞助支出调整事项，认可！</v>
      </c>
      <c r="E23" s="3135"/>
      <c r="F23" s="3135"/>
      <c r="G23" s="3135"/>
      <c r="H23" s="3135"/>
      <c r="I23" s="3135"/>
      <c r="J23" s="3135"/>
      <c r="K23" s="3090"/>
      <c r="L23" s="3090"/>
      <c r="M23" s="3090"/>
      <c r="N23" s="743"/>
    </row>
    <row r="24" spans="1:14" s="744" customFormat="1" ht="20.100000000000001" customHeight="1">
      <c r="A24" s="747"/>
      <c r="B24" s="747"/>
      <c r="C24" s="747"/>
      <c r="D24" s="747"/>
      <c r="E24" s="747"/>
      <c r="F24" s="747"/>
      <c r="G24" s="747"/>
      <c r="H24" s="747"/>
      <c r="I24" s="747"/>
      <c r="J24" s="747"/>
      <c r="K24" s="606" t="s">
        <v>499</v>
      </c>
      <c r="L24" s="743"/>
      <c r="M24" s="743"/>
      <c r="N24" s="743"/>
    </row>
    <row r="25" spans="1:14" s="749" customFormat="1" ht="20.100000000000001" customHeight="1">
      <c r="A25" s="750"/>
      <c r="B25" s="750"/>
      <c r="C25" s="750"/>
      <c r="D25" s="750"/>
      <c r="E25" s="750"/>
      <c r="F25" s="750"/>
      <c r="G25" s="750"/>
      <c r="H25" s="750"/>
      <c r="I25" s="750"/>
      <c r="J25" s="750"/>
      <c r="K25" s="3136" t="s">
        <v>500</v>
      </c>
      <c r="L25" s="3136"/>
      <c r="M25" s="3136"/>
      <c r="N25" s="3136"/>
    </row>
    <row r="26" spans="1:14" s="744" customFormat="1" ht="20.100000000000001" customHeight="1">
      <c r="A26" s="750"/>
      <c r="B26" s="750"/>
      <c r="C26" s="750"/>
      <c r="D26" s="750"/>
      <c r="E26" s="750"/>
      <c r="F26" s="750"/>
      <c r="G26" s="750"/>
      <c r="H26" s="750"/>
      <c r="I26" s="750"/>
      <c r="J26" s="750"/>
      <c r="K26" s="3136"/>
      <c r="L26" s="3136"/>
      <c r="M26" s="3136"/>
      <c r="N26" s="3136"/>
    </row>
    <row r="27" spans="1:14" s="744" customFormat="1" ht="20.100000000000001" customHeight="1">
      <c r="A27" s="750"/>
      <c r="B27" s="750"/>
      <c r="C27" s="750"/>
      <c r="D27" s="750"/>
      <c r="E27" s="750"/>
      <c r="F27" s="750"/>
      <c r="G27" s="750"/>
      <c r="H27" s="750"/>
      <c r="I27" s="750"/>
      <c r="J27" s="750"/>
      <c r="K27" s="606"/>
      <c r="L27" s="743"/>
      <c r="M27" s="743"/>
      <c r="N27" s="743"/>
    </row>
    <row r="28" spans="1:14" s="744" customFormat="1" ht="20.100000000000001" customHeight="1">
      <c r="A28" s="750"/>
      <c r="B28" s="750"/>
      <c r="C28" s="750"/>
      <c r="D28" s="750"/>
      <c r="E28" s="750"/>
      <c r="F28" s="750"/>
      <c r="G28" s="750"/>
      <c r="H28" s="750"/>
      <c r="I28" s="750"/>
      <c r="J28" s="750"/>
      <c r="K28" s="743"/>
      <c r="L28" s="743"/>
      <c r="M28" s="743"/>
      <c r="N28" s="743"/>
    </row>
    <row r="29" spans="1:14" s="744" customFormat="1" ht="42.75" customHeight="1">
      <c r="A29" s="750"/>
      <c r="B29" s="750"/>
      <c r="C29" s="750"/>
      <c r="D29" s="750"/>
      <c r="E29" s="750"/>
      <c r="F29" s="750"/>
      <c r="G29" s="750"/>
      <c r="H29" s="750"/>
      <c r="I29" s="750"/>
      <c r="J29" s="750"/>
      <c r="K29" s="743"/>
      <c r="L29" s="743"/>
      <c r="M29" s="743"/>
      <c r="N29" s="743"/>
    </row>
    <row r="30" spans="1:14" s="744" customFormat="1" ht="29.25" customHeight="1">
      <c r="A30" s="750"/>
      <c r="B30" s="750"/>
      <c r="C30" s="750"/>
      <c r="D30" s="750"/>
      <c r="E30" s="750"/>
      <c r="F30" s="750"/>
      <c r="G30" s="750"/>
      <c r="H30" s="750"/>
      <c r="I30" s="750"/>
      <c r="J30" s="750"/>
      <c r="K30" s="743"/>
      <c r="L30" s="743"/>
      <c r="M30" s="743"/>
      <c r="N30" s="743"/>
    </row>
    <row r="31" spans="1:14" s="744" customFormat="1" ht="31.5" customHeight="1">
      <c r="A31" s="750"/>
      <c r="B31" s="750"/>
      <c r="C31" s="750"/>
      <c r="D31" s="750"/>
      <c r="E31" s="750"/>
      <c r="F31" s="750"/>
      <c r="G31" s="750"/>
      <c r="H31" s="750"/>
      <c r="I31" s="750"/>
      <c r="J31" s="750"/>
      <c r="K31" s="743"/>
      <c r="L31" s="743"/>
      <c r="M31" s="743"/>
      <c r="N31" s="743"/>
    </row>
    <row r="32" spans="1:14" s="744" customFormat="1" ht="20.100000000000001" customHeight="1">
      <c r="A32" s="750"/>
      <c r="B32" s="750"/>
      <c r="C32" s="750"/>
      <c r="D32" s="750"/>
      <c r="E32" s="750"/>
      <c r="F32" s="750"/>
      <c r="G32" s="750"/>
      <c r="H32" s="750"/>
      <c r="I32" s="750"/>
      <c r="J32" s="750"/>
      <c r="K32" s="743"/>
      <c r="L32" s="743"/>
      <c r="M32" s="743"/>
      <c r="N32" s="743"/>
    </row>
    <row r="33" spans="1:14" s="744" customFormat="1" ht="20.100000000000001" customHeight="1">
      <c r="A33" s="750"/>
      <c r="B33" s="750"/>
      <c r="C33" s="750"/>
      <c r="D33" s="750"/>
      <c r="E33" s="750"/>
      <c r="F33" s="750"/>
      <c r="G33" s="750"/>
      <c r="H33" s="750"/>
      <c r="I33" s="750"/>
      <c r="J33" s="750"/>
      <c r="K33" s="743"/>
      <c r="L33" s="743"/>
      <c r="M33" s="743"/>
      <c r="N33" s="743"/>
    </row>
    <row r="34" spans="1:14" s="744" customFormat="1" ht="68.25" customHeight="1">
      <c r="A34" s="750"/>
      <c r="B34" s="750"/>
      <c r="C34" s="750"/>
      <c r="D34" s="750"/>
      <c r="E34" s="750"/>
      <c r="F34" s="750"/>
      <c r="G34" s="750"/>
      <c r="H34" s="750"/>
      <c r="I34" s="750"/>
      <c r="J34" s="750"/>
      <c r="K34" s="743"/>
      <c r="L34" s="743"/>
      <c r="M34" s="743"/>
      <c r="N34" s="743"/>
    </row>
    <row r="35" spans="1:14" s="744" customFormat="1" ht="20.100000000000001" customHeight="1">
      <c r="A35" s="750"/>
      <c r="B35" s="750"/>
      <c r="C35" s="750"/>
      <c r="D35" s="750"/>
      <c r="E35" s="750"/>
      <c r="F35" s="750"/>
      <c r="G35" s="750"/>
      <c r="H35" s="750"/>
      <c r="I35" s="750"/>
      <c r="J35" s="750"/>
    </row>
    <row r="36" spans="1:14" s="744" customFormat="1" ht="20.100000000000001" customHeight="1">
      <c r="A36" s="750"/>
      <c r="B36" s="750"/>
      <c r="C36" s="750"/>
      <c r="D36" s="750"/>
      <c r="E36" s="750"/>
      <c r="F36" s="750"/>
      <c r="G36" s="750"/>
      <c r="H36" s="750"/>
      <c r="I36" s="750"/>
      <c r="J36" s="750"/>
    </row>
    <row r="37" spans="1:14" s="744" customFormat="1" ht="20.100000000000001" customHeight="1">
      <c r="A37" s="751"/>
      <c r="B37" s="751"/>
      <c r="C37" s="751"/>
      <c r="D37" s="751"/>
      <c r="E37" s="751"/>
      <c r="F37" s="751"/>
      <c r="G37" s="751"/>
      <c r="H37" s="751"/>
      <c r="I37" s="751"/>
      <c r="J37" s="751"/>
    </row>
    <row r="38" spans="1:14" s="744" customFormat="1" ht="20.100000000000001" customHeight="1">
      <c r="A38" s="751"/>
      <c r="B38" s="751"/>
      <c r="C38" s="751"/>
      <c r="D38" s="751"/>
      <c r="E38" s="751"/>
      <c r="F38" s="751"/>
      <c r="G38" s="751"/>
      <c r="H38" s="751"/>
      <c r="I38" s="751"/>
      <c r="J38" s="751"/>
    </row>
    <row r="39" spans="1:14" s="744" customFormat="1" ht="20.100000000000001" customHeight="1">
      <c r="A39" s="751"/>
      <c r="B39" s="751"/>
      <c r="C39" s="751"/>
      <c r="D39" s="751"/>
      <c r="E39" s="751"/>
      <c r="F39" s="751"/>
      <c r="G39" s="751"/>
      <c r="H39" s="751"/>
      <c r="I39" s="751"/>
      <c r="J39" s="751"/>
    </row>
    <row r="40" spans="1:14" s="744" customFormat="1" ht="20.100000000000001" customHeight="1">
      <c r="A40" s="751"/>
      <c r="B40" s="751"/>
      <c r="C40" s="751"/>
      <c r="D40" s="751"/>
      <c r="E40" s="751"/>
      <c r="F40" s="751"/>
      <c r="G40" s="751"/>
      <c r="H40" s="751"/>
      <c r="I40" s="751"/>
      <c r="J40" s="751"/>
    </row>
    <row r="41" spans="1:14" s="744" customFormat="1" ht="20.100000000000001" customHeight="1">
      <c r="A41" s="751"/>
      <c r="B41" s="751"/>
      <c r="C41" s="751"/>
      <c r="D41" s="751"/>
      <c r="E41" s="751"/>
      <c r="F41" s="751"/>
      <c r="G41" s="751"/>
      <c r="H41" s="751"/>
      <c r="I41" s="751"/>
      <c r="J41" s="751"/>
    </row>
    <row r="42" spans="1:14" s="744" customFormat="1" ht="20.100000000000001" customHeight="1">
      <c r="A42" s="751"/>
      <c r="B42" s="751"/>
      <c r="C42" s="751"/>
      <c r="D42" s="751"/>
      <c r="E42" s="751"/>
      <c r="F42" s="751"/>
      <c r="G42" s="751"/>
      <c r="H42" s="751"/>
      <c r="I42" s="751"/>
      <c r="J42" s="751"/>
    </row>
    <row r="43" spans="1:14" s="744" customFormat="1" ht="20.100000000000001" customHeight="1">
      <c r="A43" s="751"/>
      <c r="B43" s="751"/>
      <c r="C43" s="751"/>
      <c r="D43" s="751"/>
      <c r="E43" s="751"/>
      <c r="F43" s="751"/>
      <c r="G43" s="751"/>
      <c r="H43" s="751"/>
      <c r="I43" s="751"/>
      <c r="J43" s="751"/>
    </row>
    <row r="44" spans="1:14" s="744" customFormat="1" ht="20.100000000000001" customHeight="1">
      <c r="A44" s="751"/>
      <c r="B44" s="751"/>
      <c r="C44" s="751"/>
      <c r="D44" s="751"/>
      <c r="E44" s="751"/>
      <c r="F44" s="751"/>
      <c r="G44" s="751"/>
      <c r="H44" s="751"/>
      <c r="I44" s="751"/>
      <c r="J44" s="751"/>
    </row>
    <row r="45" spans="1:14" s="744" customFormat="1" ht="20.100000000000001" customHeight="1">
      <c r="A45" s="751"/>
      <c r="B45" s="751"/>
      <c r="C45" s="751"/>
      <c r="D45" s="751"/>
      <c r="E45" s="751"/>
      <c r="F45" s="751"/>
      <c r="G45" s="751"/>
      <c r="H45" s="751"/>
      <c r="I45" s="751"/>
      <c r="J45" s="751"/>
    </row>
    <row r="46" spans="1:14" s="744" customFormat="1" ht="20.100000000000001" customHeight="1">
      <c r="A46" s="751"/>
      <c r="B46" s="751"/>
      <c r="C46" s="751"/>
      <c r="D46" s="751"/>
      <c r="E46" s="751"/>
      <c r="F46" s="751"/>
      <c r="G46" s="751"/>
      <c r="H46" s="751"/>
      <c r="I46" s="751"/>
      <c r="J46" s="751"/>
    </row>
    <row r="47" spans="1:14" s="744" customFormat="1" ht="20.100000000000001" customHeight="1">
      <c r="A47" s="751"/>
      <c r="B47" s="751"/>
      <c r="C47" s="751"/>
      <c r="D47" s="751"/>
      <c r="E47" s="751"/>
      <c r="F47" s="751"/>
      <c r="G47" s="751"/>
      <c r="H47" s="751"/>
      <c r="I47" s="751"/>
      <c r="J47" s="751"/>
    </row>
    <row r="48" spans="1:14" s="744" customFormat="1" ht="20.100000000000001" customHeight="1">
      <c r="A48" s="751"/>
      <c r="B48" s="751"/>
      <c r="C48" s="751"/>
      <c r="D48" s="751"/>
      <c r="E48" s="751"/>
      <c r="F48" s="751"/>
      <c r="G48" s="751"/>
      <c r="H48" s="751"/>
      <c r="I48" s="751"/>
      <c r="J48" s="751"/>
    </row>
    <row r="49" spans="1:10" s="744" customFormat="1" ht="20.100000000000001" customHeight="1">
      <c r="A49" s="751"/>
      <c r="B49" s="751"/>
      <c r="C49" s="751"/>
      <c r="D49" s="751"/>
      <c r="E49" s="751"/>
      <c r="F49" s="751"/>
      <c r="G49" s="751"/>
      <c r="H49" s="751"/>
      <c r="I49" s="751"/>
      <c r="J49" s="751"/>
    </row>
    <row r="50" spans="1:10" s="744" customFormat="1" ht="20.100000000000001" customHeight="1">
      <c r="A50" s="751"/>
      <c r="B50" s="751"/>
      <c r="C50" s="751"/>
      <c r="D50" s="751"/>
      <c r="E50" s="751"/>
      <c r="F50" s="751"/>
      <c r="G50" s="751"/>
      <c r="H50" s="751"/>
      <c r="I50" s="751"/>
      <c r="J50" s="751"/>
    </row>
    <row r="51" spans="1:10" s="744" customFormat="1" ht="20.100000000000001" customHeight="1">
      <c r="A51" s="751"/>
      <c r="B51" s="751"/>
      <c r="C51" s="751"/>
      <c r="D51" s="751"/>
      <c r="E51" s="751"/>
      <c r="F51" s="751"/>
      <c r="G51" s="751"/>
      <c r="H51" s="751"/>
      <c r="I51" s="751"/>
      <c r="J51" s="751"/>
    </row>
    <row r="52" spans="1:10" s="744" customFormat="1" ht="20.100000000000001" customHeight="1">
      <c r="A52" s="751"/>
      <c r="B52" s="751"/>
      <c r="C52" s="751"/>
      <c r="D52" s="751"/>
      <c r="E52" s="751"/>
      <c r="F52" s="751"/>
      <c r="G52" s="751"/>
      <c r="H52" s="751"/>
      <c r="I52" s="751"/>
      <c r="J52" s="751"/>
    </row>
    <row r="53" spans="1:10" s="744" customFormat="1" ht="20.100000000000001" customHeight="1">
      <c r="A53" s="751"/>
      <c r="B53" s="751"/>
      <c r="C53" s="751"/>
      <c r="D53" s="751"/>
      <c r="E53" s="751"/>
      <c r="F53" s="751"/>
      <c r="G53" s="751"/>
      <c r="H53" s="751"/>
      <c r="I53" s="751"/>
      <c r="J53" s="751"/>
    </row>
    <row r="54" spans="1:10" s="744" customFormat="1" ht="20.100000000000001" customHeight="1">
      <c r="A54" s="751"/>
      <c r="B54" s="751"/>
      <c r="C54" s="751"/>
      <c r="D54" s="751"/>
      <c r="E54" s="751"/>
      <c r="F54" s="751"/>
      <c r="G54" s="751"/>
      <c r="H54" s="751"/>
      <c r="I54" s="751"/>
      <c r="J54" s="751"/>
    </row>
    <row r="55" spans="1:10" s="744" customFormat="1" ht="20.100000000000001" customHeight="1">
      <c r="A55" s="751"/>
      <c r="B55" s="751"/>
      <c r="C55" s="751"/>
      <c r="D55" s="751"/>
      <c r="E55" s="751"/>
      <c r="F55" s="751"/>
      <c r="G55" s="751"/>
      <c r="H55" s="751"/>
      <c r="I55" s="751"/>
      <c r="J55" s="751"/>
    </row>
    <row r="56" spans="1:10" s="744" customFormat="1" ht="20.100000000000001" customHeight="1">
      <c r="A56" s="751"/>
      <c r="B56" s="751"/>
      <c r="C56" s="751"/>
      <c r="D56" s="751"/>
      <c r="E56" s="751"/>
      <c r="F56" s="751"/>
      <c r="G56" s="751"/>
      <c r="H56" s="751"/>
      <c r="I56" s="751"/>
      <c r="J56" s="751"/>
    </row>
    <row r="57" spans="1:10" s="744" customFormat="1" ht="20.100000000000001" customHeight="1">
      <c r="A57" s="751"/>
      <c r="B57" s="751"/>
      <c r="C57" s="751"/>
      <c r="D57" s="751"/>
      <c r="E57" s="751"/>
      <c r="F57" s="751"/>
      <c r="G57" s="751"/>
      <c r="H57" s="751"/>
      <c r="I57" s="751"/>
      <c r="J57" s="751"/>
    </row>
    <row r="58" spans="1:10" s="744" customFormat="1" ht="20.100000000000001" customHeight="1">
      <c r="A58" s="751"/>
      <c r="B58" s="751"/>
      <c r="C58" s="751"/>
      <c r="D58" s="751"/>
      <c r="E58" s="751"/>
      <c r="F58" s="751"/>
      <c r="G58" s="751"/>
      <c r="H58" s="751"/>
      <c r="I58" s="751"/>
      <c r="J58" s="751"/>
    </row>
    <row r="59" spans="1:10" s="744" customFormat="1" ht="20.100000000000001" customHeight="1">
      <c r="A59" s="751"/>
      <c r="B59" s="751"/>
      <c r="C59" s="751"/>
      <c r="D59" s="751"/>
      <c r="E59" s="751"/>
      <c r="F59" s="751"/>
      <c r="G59" s="751"/>
      <c r="H59" s="751"/>
      <c r="I59" s="751"/>
      <c r="J59" s="751"/>
    </row>
    <row r="60" spans="1:10" s="744" customFormat="1" ht="20.100000000000001" customHeight="1">
      <c r="A60" s="751"/>
      <c r="B60" s="751"/>
      <c r="C60" s="751"/>
      <c r="D60" s="751"/>
      <c r="E60" s="751"/>
      <c r="F60" s="751"/>
      <c r="G60" s="751"/>
      <c r="H60" s="751"/>
      <c r="I60" s="751"/>
      <c r="J60" s="751"/>
    </row>
    <row r="61" spans="1:10" s="744" customFormat="1" ht="20.100000000000001" customHeight="1">
      <c r="A61" s="751"/>
      <c r="B61" s="751"/>
      <c r="C61" s="751"/>
      <c r="D61" s="751"/>
      <c r="E61" s="751"/>
      <c r="F61" s="751"/>
      <c r="G61" s="751"/>
      <c r="H61" s="751"/>
      <c r="I61" s="751"/>
      <c r="J61" s="751"/>
    </row>
    <row r="62" spans="1:10" s="744" customFormat="1" ht="20.100000000000001" customHeight="1">
      <c r="A62" s="751"/>
      <c r="B62" s="751"/>
      <c r="C62" s="751"/>
      <c r="D62" s="751"/>
      <c r="E62" s="751"/>
      <c r="F62" s="751"/>
      <c r="G62" s="751"/>
      <c r="H62" s="752"/>
      <c r="I62" s="752"/>
      <c r="J62" s="752"/>
    </row>
    <row r="63" spans="1:10" s="744" customFormat="1" ht="20.100000000000001" customHeight="1">
      <c r="A63" s="752"/>
      <c r="B63" s="752"/>
      <c r="C63" s="752"/>
      <c r="D63" s="752"/>
      <c r="E63" s="752"/>
      <c r="F63" s="752"/>
      <c r="G63" s="752"/>
      <c r="H63" s="752"/>
      <c r="I63" s="752"/>
      <c r="J63" s="752"/>
    </row>
    <row r="64" spans="1:10" s="744" customFormat="1" ht="20.100000000000001" customHeight="1">
      <c r="A64" s="752"/>
      <c r="B64" s="752"/>
      <c r="C64" s="752"/>
      <c r="D64" s="752"/>
      <c r="E64" s="752"/>
      <c r="F64" s="752"/>
      <c r="G64" s="752"/>
      <c r="H64" s="752"/>
      <c r="I64" s="752"/>
      <c r="J64" s="752"/>
    </row>
    <row r="65" spans="1:10" s="744" customFormat="1" ht="20.100000000000001" customHeight="1">
      <c r="A65" s="752"/>
      <c r="B65" s="752"/>
      <c r="C65" s="752"/>
      <c r="D65" s="752"/>
      <c r="E65" s="752"/>
      <c r="F65" s="752"/>
      <c r="G65" s="752"/>
      <c r="H65" s="752"/>
      <c r="I65" s="752"/>
      <c r="J65" s="752"/>
    </row>
    <row r="66" spans="1:10" s="744" customFormat="1" ht="20.100000000000001" customHeight="1">
      <c r="A66" s="752"/>
      <c r="B66" s="752"/>
      <c r="C66" s="752"/>
      <c r="D66" s="752"/>
      <c r="E66" s="752"/>
      <c r="F66" s="752"/>
      <c r="G66" s="752"/>
      <c r="H66" s="752"/>
      <c r="I66" s="752"/>
      <c r="J66" s="752"/>
    </row>
    <row r="67" spans="1:10" s="744" customFormat="1" ht="20.100000000000001" customHeight="1">
      <c r="A67" s="752"/>
      <c r="B67" s="752"/>
      <c r="C67" s="752"/>
      <c r="D67" s="752"/>
      <c r="E67" s="752"/>
      <c r="F67" s="752"/>
      <c r="G67" s="752"/>
      <c r="H67" s="752"/>
      <c r="I67" s="752"/>
      <c r="J67" s="752"/>
    </row>
    <row r="68" spans="1:10" s="744" customFormat="1" ht="20.100000000000001" customHeight="1">
      <c r="A68" s="752"/>
      <c r="B68" s="752"/>
      <c r="C68" s="752"/>
      <c r="D68" s="752"/>
      <c r="E68" s="752"/>
      <c r="F68" s="752"/>
      <c r="G68" s="752"/>
      <c r="H68" s="752"/>
      <c r="I68" s="752"/>
      <c r="J68" s="752"/>
    </row>
    <row r="69" spans="1:10" s="744" customFormat="1" ht="20.100000000000001" customHeight="1">
      <c r="A69" s="752"/>
      <c r="B69" s="752"/>
      <c r="C69" s="752"/>
      <c r="D69" s="752"/>
      <c r="E69" s="752"/>
      <c r="F69" s="752"/>
      <c r="G69" s="752"/>
      <c r="H69" s="752"/>
      <c r="I69" s="752"/>
      <c r="J69" s="752"/>
    </row>
    <row r="70" spans="1:10" s="744" customFormat="1" ht="20.100000000000001" customHeight="1">
      <c r="A70" s="752"/>
      <c r="B70" s="752"/>
      <c r="C70" s="752"/>
      <c r="D70" s="752"/>
      <c r="E70" s="752"/>
      <c r="F70" s="752"/>
      <c r="G70" s="752"/>
      <c r="H70" s="752"/>
      <c r="I70" s="752"/>
      <c r="J70" s="752"/>
    </row>
    <row r="71" spans="1:10" s="744" customFormat="1" ht="20.100000000000001" customHeight="1">
      <c r="A71" s="752"/>
      <c r="B71" s="752"/>
      <c r="C71" s="752"/>
      <c r="D71" s="752"/>
      <c r="E71" s="752"/>
      <c r="F71" s="752"/>
      <c r="G71" s="752"/>
      <c r="H71" s="752"/>
      <c r="I71" s="752"/>
      <c r="J71" s="752"/>
    </row>
    <row r="72" spans="1:10" s="744" customFormat="1" ht="20.100000000000001" customHeight="1">
      <c r="A72" s="752"/>
      <c r="B72" s="752"/>
      <c r="C72" s="752"/>
      <c r="D72" s="752"/>
      <c r="E72" s="752"/>
      <c r="F72" s="752"/>
      <c r="G72" s="752"/>
      <c r="H72" s="752"/>
      <c r="I72" s="752"/>
      <c r="J72" s="752"/>
    </row>
    <row r="73" spans="1:10" s="744" customFormat="1" ht="20.100000000000001" customHeight="1">
      <c r="A73" s="752"/>
      <c r="B73" s="752"/>
      <c r="C73" s="752"/>
      <c r="D73" s="752"/>
      <c r="E73" s="752"/>
      <c r="F73" s="752"/>
      <c r="G73" s="752"/>
      <c r="H73" s="752"/>
      <c r="I73" s="752"/>
      <c r="J73" s="752"/>
    </row>
    <row r="74" spans="1:10" s="744" customFormat="1" ht="20.100000000000001" customHeight="1">
      <c r="A74" s="752"/>
      <c r="B74" s="752"/>
      <c r="C74" s="752"/>
      <c r="D74" s="752"/>
      <c r="E74" s="752"/>
      <c r="F74" s="752"/>
      <c r="G74" s="752"/>
      <c r="H74" s="752"/>
      <c r="I74" s="752"/>
      <c r="J74" s="752"/>
    </row>
    <row r="75" spans="1:10" s="744" customFormat="1" ht="20.100000000000001" customHeight="1">
      <c r="A75" s="752"/>
      <c r="B75" s="752"/>
      <c r="C75" s="752"/>
      <c r="D75" s="752"/>
      <c r="E75" s="752"/>
      <c r="F75" s="752"/>
      <c r="G75" s="752"/>
      <c r="H75" s="752"/>
      <c r="I75" s="752"/>
      <c r="J75" s="752"/>
    </row>
    <row r="76" spans="1:10" s="744" customFormat="1" ht="20.100000000000001" customHeight="1">
      <c r="A76" s="752"/>
      <c r="B76" s="752"/>
      <c r="C76" s="752"/>
      <c r="D76" s="752"/>
      <c r="E76" s="752"/>
      <c r="F76" s="752"/>
      <c r="G76" s="752"/>
      <c r="H76" s="752"/>
      <c r="I76" s="752"/>
      <c r="J76" s="752"/>
    </row>
    <row r="77" spans="1:10" s="744" customFormat="1" ht="20.100000000000001" customHeight="1">
      <c r="A77" s="752"/>
      <c r="B77" s="752"/>
      <c r="C77" s="752"/>
      <c r="D77" s="752"/>
      <c r="E77" s="752"/>
      <c r="F77" s="752"/>
      <c r="G77" s="752"/>
      <c r="H77" s="752"/>
      <c r="I77" s="752"/>
      <c r="J77" s="752"/>
    </row>
    <row r="78" spans="1:10" ht="21.9" customHeight="1">
      <c r="A78" s="752"/>
      <c r="B78" s="752"/>
      <c r="C78" s="752"/>
      <c r="D78" s="752"/>
      <c r="E78" s="752"/>
      <c r="F78" s="752"/>
      <c r="G78" s="752"/>
      <c r="H78" s="752"/>
      <c r="I78" s="752"/>
      <c r="J78" s="752"/>
    </row>
    <row r="79" spans="1:10" ht="21.9" customHeight="1">
      <c r="A79" s="752"/>
      <c r="B79" s="752"/>
      <c r="C79" s="752"/>
      <c r="D79" s="752"/>
      <c r="E79" s="752"/>
      <c r="F79" s="752"/>
      <c r="G79" s="752"/>
      <c r="H79" s="752"/>
      <c r="I79" s="752"/>
      <c r="J79" s="752"/>
    </row>
    <row r="80" spans="1:10" ht="21.9" customHeight="1">
      <c r="A80" s="752"/>
      <c r="B80" s="752"/>
      <c r="C80" s="752"/>
      <c r="D80" s="752"/>
      <c r="E80" s="752"/>
      <c r="F80" s="752"/>
      <c r="G80" s="752"/>
      <c r="H80" s="752"/>
      <c r="I80" s="752"/>
      <c r="J80" s="752"/>
    </row>
    <row r="81" spans="1:10" ht="21.9" customHeight="1">
      <c r="A81" s="752"/>
      <c r="B81" s="752"/>
      <c r="C81" s="752"/>
      <c r="D81" s="752"/>
      <c r="E81" s="752"/>
      <c r="F81" s="752"/>
      <c r="G81" s="752"/>
      <c r="H81" s="752"/>
      <c r="I81" s="752"/>
      <c r="J81" s="752"/>
    </row>
    <row r="82" spans="1:10" ht="21.9" customHeight="1">
      <c r="A82" s="752"/>
      <c r="B82" s="752"/>
      <c r="C82" s="752"/>
      <c r="D82" s="752"/>
      <c r="E82" s="752"/>
      <c r="F82" s="752"/>
      <c r="G82" s="752"/>
      <c r="H82" s="752"/>
      <c r="I82" s="752"/>
      <c r="J82" s="752"/>
    </row>
    <row r="83" spans="1:10" ht="21.9" customHeight="1">
      <c r="A83" s="752"/>
      <c r="B83" s="752"/>
      <c r="C83" s="752"/>
      <c r="D83" s="752"/>
      <c r="E83" s="752"/>
      <c r="F83" s="752"/>
      <c r="G83" s="752"/>
      <c r="H83" s="752"/>
      <c r="I83" s="752"/>
      <c r="J83" s="752"/>
    </row>
    <row r="84" spans="1:10" ht="21.9" customHeight="1">
      <c r="A84" s="752"/>
      <c r="B84" s="752"/>
      <c r="C84" s="752"/>
      <c r="D84" s="752"/>
      <c r="E84" s="752"/>
      <c r="F84" s="752"/>
      <c r="G84" s="752"/>
      <c r="H84" s="752"/>
      <c r="I84" s="752"/>
      <c r="J84" s="752"/>
    </row>
    <row r="85" spans="1:10" ht="21.9" customHeight="1">
      <c r="A85" s="752"/>
      <c r="B85" s="752"/>
      <c r="C85" s="752"/>
      <c r="D85" s="752"/>
      <c r="E85" s="752"/>
      <c r="F85" s="752"/>
      <c r="G85" s="752"/>
      <c r="H85" s="752"/>
      <c r="I85" s="752"/>
      <c r="J85" s="752"/>
    </row>
    <row r="86" spans="1:10" ht="21.9" customHeight="1">
      <c r="A86" s="752"/>
      <c r="B86" s="752"/>
      <c r="C86" s="752"/>
      <c r="D86" s="752"/>
      <c r="E86" s="752"/>
      <c r="F86" s="752"/>
      <c r="G86" s="752"/>
      <c r="H86" s="752"/>
      <c r="I86" s="752"/>
      <c r="J86" s="752"/>
    </row>
    <row r="87" spans="1:10" ht="21.9" customHeight="1">
      <c r="A87" s="752"/>
      <c r="B87" s="752"/>
      <c r="C87" s="752"/>
      <c r="D87" s="752"/>
      <c r="E87" s="752"/>
      <c r="F87" s="752"/>
      <c r="G87" s="752"/>
      <c r="H87" s="752"/>
      <c r="I87" s="752"/>
      <c r="J87" s="752"/>
    </row>
    <row r="88" spans="1:10" ht="21.9" customHeight="1">
      <c r="A88" s="752"/>
      <c r="B88" s="752"/>
      <c r="C88" s="752"/>
      <c r="D88" s="752"/>
      <c r="E88" s="752"/>
      <c r="F88" s="752"/>
      <c r="G88" s="752"/>
      <c r="H88" s="752"/>
      <c r="I88" s="752"/>
      <c r="J88" s="752"/>
    </row>
    <row r="89" spans="1:10" ht="21.9" customHeight="1">
      <c r="A89" s="752"/>
      <c r="B89" s="752"/>
      <c r="C89" s="752"/>
      <c r="D89" s="752"/>
      <c r="E89" s="752"/>
      <c r="F89" s="752"/>
      <c r="G89" s="752"/>
      <c r="H89" s="752"/>
      <c r="I89" s="752"/>
      <c r="J89" s="752"/>
    </row>
    <row r="90" spans="1:10" ht="21.9" customHeight="1">
      <c r="A90" s="752"/>
      <c r="B90" s="752"/>
      <c r="C90" s="752"/>
      <c r="D90" s="752"/>
      <c r="E90" s="752"/>
      <c r="F90" s="752"/>
      <c r="G90" s="752"/>
      <c r="H90" s="752"/>
      <c r="I90" s="752"/>
      <c r="J90" s="752"/>
    </row>
    <row r="91" spans="1:10" ht="21.9" customHeight="1">
      <c r="A91" s="752"/>
      <c r="B91" s="752"/>
      <c r="C91" s="752"/>
      <c r="D91" s="752"/>
      <c r="E91" s="752"/>
      <c r="F91" s="752"/>
      <c r="G91" s="752"/>
      <c r="H91" s="752"/>
      <c r="I91" s="752"/>
      <c r="J91" s="752"/>
    </row>
    <row r="92" spans="1:10" ht="21.9" customHeight="1">
      <c r="A92" s="752"/>
      <c r="B92" s="752"/>
      <c r="C92" s="752"/>
      <c r="D92" s="752"/>
      <c r="E92" s="752"/>
      <c r="F92" s="752"/>
      <c r="G92" s="752"/>
      <c r="H92" s="752"/>
      <c r="I92" s="752"/>
      <c r="J92" s="752"/>
    </row>
    <row r="93" spans="1:10" ht="21.9" customHeight="1">
      <c r="A93" s="752"/>
      <c r="B93" s="752"/>
      <c r="C93" s="752"/>
      <c r="D93" s="752"/>
      <c r="E93" s="752"/>
      <c r="F93" s="752"/>
      <c r="G93" s="752"/>
      <c r="H93" s="752"/>
      <c r="I93" s="752"/>
      <c r="J93" s="752"/>
    </row>
    <row r="94" spans="1:10" ht="21.9" customHeight="1">
      <c r="A94" s="752"/>
      <c r="B94" s="752"/>
      <c r="C94" s="752"/>
      <c r="D94" s="752"/>
      <c r="E94" s="752"/>
      <c r="F94" s="752"/>
      <c r="G94" s="752"/>
      <c r="H94" s="752"/>
      <c r="I94" s="752"/>
      <c r="J94" s="752"/>
    </row>
    <row r="95" spans="1:10" ht="21.9" customHeight="1">
      <c r="A95" s="752"/>
      <c r="B95" s="752"/>
      <c r="C95" s="752"/>
      <c r="D95" s="752"/>
      <c r="E95" s="752"/>
      <c r="F95" s="752"/>
      <c r="G95" s="752"/>
      <c r="H95" s="752"/>
      <c r="I95" s="752"/>
      <c r="J95" s="752"/>
    </row>
    <row r="96" spans="1:10" ht="21.9" customHeight="1">
      <c r="A96" s="752"/>
      <c r="B96" s="752"/>
      <c r="C96" s="752"/>
      <c r="D96" s="752"/>
      <c r="E96" s="752"/>
      <c r="F96" s="752"/>
      <c r="G96" s="752"/>
      <c r="H96" s="752"/>
      <c r="I96" s="752"/>
      <c r="J96" s="752"/>
    </row>
    <row r="97" spans="1:10" ht="21.9" customHeight="1">
      <c r="A97" s="752"/>
      <c r="B97" s="752"/>
      <c r="C97" s="752"/>
      <c r="D97" s="752"/>
      <c r="E97" s="752"/>
      <c r="F97" s="752"/>
      <c r="G97" s="752"/>
      <c r="H97" s="752"/>
      <c r="I97" s="752"/>
      <c r="J97" s="752"/>
    </row>
    <row r="98" spans="1:10" ht="21.9" customHeight="1">
      <c r="A98" s="752"/>
      <c r="B98" s="752"/>
      <c r="C98" s="752"/>
      <c r="D98" s="752"/>
      <c r="E98" s="752"/>
      <c r="F98" s="752"/>
      <c r="G98" s="752"/>
      <c r="H98" s="752"/>
      <c r="I98" s="752"/>
      <c r="J98" s="752"/>
    </row>
    <row r="99" spans="1:10" ht="21.9" customHeight="1">
      <c r="A99" s="752"/>
      <c r="B99" s="752"/>
      <c r="C99" s="752"/>
      <c r="D99" s="752"/>
      <c r="E99" s="752"/>
      <c r="F99" s="752"/>
      <c r="G99" s="752"/>
      <c r="H99" s="752"/>
      <c r="I99" s="752"/>
      <c r="J99" s="752"/>
    </row>
    <row r="100" spans="1:10" ht="21.9" customHeight="1">
      <c r="A100" s="752"/>
      <c r="B100" s="752"/>
      <c r="C100" s="752"/>
      <c r="D100" s="752"/>
      <c r="E100" s="752"/>
      <c r="F100" s="752"/>
      <c r="G100" s="752"/>
      <c r="H100" s="752"/>
      <c r="I100" s="752"/>
      <c r="J100" s="752"/>
    </row>
    <row r="101" spans="1:10" ht="21.9" customHeight="1">
      <c r="A101" s="752"/>
      <c r="B101" s="752"/>
      <c r="C101" s="752"/>
      <c r="D101" s="752"/>
      <c r="E101" s="752"/>
      <c r="F101" s="752"/>
      <c r="G101" s="752"/>
      <c r="H101" s="752"/>
      <c r="I101" s="752"/>
      <c r="J101" s="752"/>
    </row>
    <row r="102" spans="1:10" ht="21.9" customHeight="1">
      <c r="A102" s="752"/>
      <c r="B102" s="752"/>
      <c r="C102" s="752"/>
      <c r="D102" s="752"/>
      <c r="E102" s="752"/>
      <c r="F102" s="752"/>
      <c r="G102" s="752"/>
      <c r="H102" s="752"/>
      <c r="I102" s="752"/>
      <c r="J102" s="752"/>
    </row>
    <row r="103" spans="1:10" ht="21.9" customHeight="1">
      <c r="A103" s="752"/>
      <c r="B103" s="752"/>
      <c r="C103" s="752"/>
      <c r="D103" s="752"/>
      <c r="E103" s="752"/>
      <c r="F103" s="752"/>
      <c r="G103" s="752"/>
      <c r="H103" s="752"/>
      <c r="I103" s="752"/>
      <c r="J103" s="752"/>
    </row>
    <row r="104" spans="1:10" ht="21.9" customHeight="1">
      <c r="A104" s="752"/>
      <c r="B104" s="752"/>
      <c r="C104" s="752"/>
      <c r="D104" s="752"/>
      <c r="E104" s="752"/>
      <c r="F104" s="752"/>
      <c r="G104" s="752"/>
      <c r="H104" s="752"/>
      <c r="I104" s="752"/>
      <c r="J104" s="752"/>
    </row>
    <row r="105" spans="1:10" ht="21.9" customHeight="1">
      <c r="A105" s="752"/>
      <c r="B105" s="752"/>
      <c r="C105" s="752"/>
      <c r="D105" s="752"/>
      <c r="E105" s="752"/>
      <c r="F105" s="752"/>
      <c r="G105" s="752"/>
      <c r="H105" s="752"/>
      <c r="I105" s="752"/>
      <c r="J105" s="752"/>
    </row>
    <row r="106" spans="1:10" ht="21.9" customHeight="1">
      <c r="A106" s="752"/>
      <c r="B106" s="752"/>
      <c r="C106" s="752"/>
      <c r="D106" s="752"/>
      <c r="E106" s="752"/>
      <c r="F106" s="752"/>
      <c r="G106" s="752"/>
      <c r="H106" s="752"/>
      <c r="I106" s="752"/>
      <c r="J106" s="752"/>
    </row>
    <row r="107" spans="1:10" ht="21.9" customHeight="1">
      <c r="A107" s="752"/>
      <c r="B107" s="752"/>
      <c r="C107" s="752"/>
      <c r="D107" s="752"/>
      <c r="E107" s="752"/>
      <c r="F107" s="752"/>
      <c r="G107" s="752"/>
      <c r="H107" s="752"/>
      <c r="I107" s="752"/>
      <c r="J107" s="752"/>
    </row>
    <row r="108" spans="1:10" ht="21.9" customHeight="1">
      <c r="A108" s="752"/>
      <c r="B108" s="752"/>
      <c r="C108" s="752"/>
      <c r="D108" s="752"/>
      <c r="E108" s="752"/>
      <c r="F108" s="752"/>
      <c r="G108" s="752"/>
      <c r="H108" s="752"/>
      <c r="I108" s="752"/>
      <c r="J108" s="752"/>
    </row>
    <row r="109" spans="1:10" ht="21.9" customHeight="1">
      <c r="A109" s="752"/>
      <c r="B109" s="752"/>
      <c r="C109" s="752"/>
      <c r="D109" s="752"/>
      <c r="E109" s="752"/>
      <c r="F109" s="752"/>
      <c r="G109" s="752"/>
      <c r="H109" s="752"/>
      <c r="I109" s="752"/>
      <c r="J109" s="752"/>
    </row>
    <row r="110" spans="1:10" ht="21.9" customHeight="1">
      <c r="A110" s="752"/>
      <c r="B110" s="752"/>
      <c r="C110" s="752"/>
      <c r="D110" s="752"/>
      <c r="E110" s="752"/>
      <c r="F110" s="752"/>
      <c r="G110" s="752"/>
      <c r="H110" s="752"/>
      <c r="I110" s="752"/>
      <c r="J110" s="752"/>
    </row>
    <row r="111" spans="1:10" ht="21.9" customHeight="1">
      <c r="A111" s="752"/>
      <c r="B111" s="752"/>
      <c r="C111" s="752"/>
      <c r="D111" s="752"/>
      <c r="E111" s="752"/>
      <c r="F111" s="752"/>
      <c r="G111" s="752"/>
      <c r="H111" s="752"/>
      <c r="I111" s="752"/>
      <c r="J111" s="752"/>
    </row>
    <row r="112" spans="1:10" ht="21.9" customHeight="1">
      <c r="A112" s="752"/>
      <c r="B112" s="752"/>
      <c r="C112" s="752"/>
      <c r="D112" s="752"/>
      <c r="E112" s="752"/>
      <c r="F112" s="752"/>
      <c r="G112" s="752"/>
      <c r="H112" s="752"/>
      <c r="I112" s="752"/>
      <c r="J112" s="752"/>
    </row>
    <row r="113" spans="1:10" ht="21.9" customHeight="1">
      <c r="A113" s="752"/>
      <c r="B113" s="752"/>
      <c r="C113" s="752"/>
      <c r="D113" s="752"/>
      <c r="E113" s="752"/>
      <c r="F113" s="752"/>
      <c r="G113" s="752"/>
      <c r="H113" s="752"/>
      <c r="I113" s="752"/>
      <c r="J113" s="752"/>
    </row>
    <row r="114" spans="1:10" ht="21.9" customHeight="1">
      <c r="A114" s="752"/>
      <c r="B114" s="752"/>
      <c r="C114" s="752"/>
      <c r="D114" s="752"/>
      <c r="E114" s="752"/>
      <c r="F114" s="752"/>
      <c r="G114" s="752"/>
      <c r="H114" s="752"/>
      <c r="I114" s="752"/>
      <c r="J114" s="752"/>
    </row>
    <row r="115" spans="1:10" ht="21.9" customHeight="1">
      <c r="A115" s="752"/>
      <c r="B115" s="752"/>
      <c r="C115" s="752"/>
      <c r="D115" s="752"/>
      <c r="E115" s="752"/>
      <c r="F115" s="752"/>
      <c r="G115" s="752"/>
      <c r="H115" s="752"/>
      <c r="I115" s="752"/>
      <c r="J115" s="752"/>
    </row>
    <row r="116" spans="1:10" ht="21.9" customHeight="1">
      <c r="A116" s="752"/>
      <c r="B116" s="752"/>
      <c r="C116" s="752"/>
      <c r="D116" s="752"/>
      <c r="E116" s="752"/>
      <c r="F116" s="752"/>
      <c r="G116" s="752"/>
      <c r="H116" s="752"/>
      <c r="I116" s="752"/>
      <c r="J116" s="752"/>
    </row>
    <row r="117" spans="1:10" ht="21.9" customHeight="1">
      <c r="A117" s="752"/>
      <c r="B117" s="752"/>
      <c r="C117" s="752"/>
      <c r="D117" s="752"/>
      <c r="E117" s="752"/>
      <c r="F117" s="752"/>
      <c r="G117" s="752"/>
      <c r="H117" s="752"/>
      <c r="I117" s="752"/>
      <c r="J117" s="752"/>
    </row>
    <row r="118" spans="1:10" ht="21.9" customHeight="1">
      <c r="A118" s="752"/>
      <c r="B118" s="752"/>
      <c r="C118" s="752"/>
      <c r="D118" s="752"/>
      <c r="E118" s="752"/>
      <c r="F118" s="752"/>
      <c r="G118" s="752"/>
      <c r="H118" s="752"/>
      <c r="I118" s="752"/>
      <c r="J118" s="752"/>
    </row>
    <row r="119" spans="1:10" ht="21.9" customHeight="1">
      <c r="A119" s="752"/>
      <c r="B119" s="752"/>
      <c r="C119" s="752"/>
      <c r="D119" s="752"/>
      <c r="E119" s="752"/>
      <c r="F119" s="752"/>
      <c r="G119" s="752"/>
      <c r="H119" s="752"/>
      <c r="I119" s="752"/>
      <c r="J119" s="752"/>
    </row>
    <row r="120" spans="1:10" ht="21.9" customHeight="1">
      <c r="A120" s="752"/>
      <c r="B120" s="752"/>
      <c r="C120" s="752"/>
      <c r="D120" s="752"/>
      <c r="E120" s="752"/>
      <c r="F120" s="752"/>
      <c r="G120" s="752"/>
      <c r="H120" s="752"/>
      <c r="I120" s="752"/>
      <c r="J120" s="752"/>
    </row>
    <row r="121" spans="1:10" ht="21.9" customHeight="1">
      <c r="A121" s="752"/>
      <c r="B121" s="752"/>
      <c r="C121" s="752"/>
      <c r="D121" s="752"/>
      <c r="E121" s="752"/>
      <c r="F121" s="752"/>
      <c r="G121" s="752"/>
      <c r="H121" s="752"/>
      <c r="I121" s="752"/>
      <c r="J121" s="752"/>
    </row>
    <row r="122" spans="1:10" ht="21.9" customHeight="1">
      <c r="A122" s="752"/>
      <c r="B122" s="752"/>
      <c r="C122" s="752"/>
      <c r="D122" s="752"/>
      <c r="E122" s="752"/>
      <c r="F122" s="752"/>
      <c r="G122" s="752"/>
      <c r="H122" s="752"/>
      <c r="I122" s="752"/>
      <c r="J122" s="752"/>
    </row>
    <row r="123" spans="1:10" ht="21.9" customHeight="1">
      <c r="A123" s="752"/>
      <c r="B123" s="752"/>
      <c r="C123" s="752"/>
      <c r="D123" s="752"/>
      <c r="E123" s="752"/>
      <c r="F123" s="752"/>
      <c r="G123" s="752"/>
      <c r="H123" s="752"/>
      <c r="I123" s="752"/>
      <c r="J123" s="752"/>
    </row>
    <row r="124" spans="1:10" ht="21.9" customHeight="1">
      <c r="A124" s="752"/>
      <c r="B124" s="752"/>
      <c r="C124" s="752"/>
      <c r="D124" s="752"/>
      <c r="E124" s="752"/>
      <c r="F124" s="752"/>
      <c r="G124" s="752"/>
      <c r="H124" s="752"/>
      <c r="I124" s="752"/>
      <c r="J124" s="752"/>
    </row>
    <row r="125" spans="1:10" ht="21.9" customHeight="1">
      <c r="A125" s="752"/>
      <c r="B125" s="752"/>
      <c r="C125" s="752"/>
      <c r="D125" s="752"/>
      <c r="E125" s="752"/>
      <c r="F125" s="752"/>
      <c r="G125" s="752"/>
      <c r="H125" s="752"/>
      <c r="I125" s="752"/>
      <c r="J125" s="752"/>
    </row>
    <row r="126" spans="1:10" ht="21.9" customHeight="1">
      <c r="A126" s="752"/>
      <c r="B126" s="752"/>
      <c r="C126" s="752"/>
      <c r="D126" s="752"/>
      <c r="E126" s="752"/>
      <c r="F126" s="752"/>
      <c r="G126" s="752"/>
      <c r="H126" s="752"/>
      <c r="I126" s="752"/>
      <c r="J126" s="752"/>
    </row>
    <row r="127" spans="1:10" ht="21.9" customHeight="1">
      <c r="A127" s="752"/>
      <c r="B127" s="752"/>
      <c r="C127" s="752"/>
      <c r="D127" s="752"/>
      <c r="E127" s="752"/>
      <c r="F127" s="752"/>
      <c r="G127" s="752"/>
      <c r="H127" s="752"/>
      <c r="I127" s="752"/>
      <c r="J127" s="752"/>
    </row>
    <row r="128" spans="1:10" ht="21.9" customHeight="1">
      <c r="A128" s="752"/>
      <c r="B128" s="752"/>
      <c r="C128" s="752"/>
      <c r="D128" s="752"/>
      <c r="E128" s="752"/>
      <c r="F128" s="752"/>
      <c r="G128" s="752"/>
      <c r="H128" s="752"/>
      <c r="I128" s="752"/>
      <c r="J128" s="752"/>
    </row>
    <row r="129" spans="1:10" ht="21.9" customHeight="1">
      <c r="A129" s="752"/>
      <c r="B129" s="752"/>
      <c r="C129" s="752"/>
      <c r="D129" s="752"/>
      <c r="E129" s="752"/>
      <c r="F129" s="752"/>
      <c r="G129" s="752"/>
      <c r="H129" s="752"/>
      <c r="I129" s="752"/>
      <c r="J129" s="752"/>
    </row>
    <row r="130" spans="1:10" ht="21.9" customHeight="1">
      <c r="A130" s="752"/>
      <c r="B130" s="752"/>
      <c r="C130" s="752"/>
      <c r="D130" s="752"/>
      <c r="E130" s="752"/>
      <c r="F130" s="752"/>
      <c r="G130" s="752"/>
      <c r="H130" s="752"/>
      <c r="I130" s="752"/>
      <c r="J130" s="752"/>
    </row>
    <row r="131" spans="1:10" ht="21.9" customHeight="1">
      <c r="A131" s="752"/>
      <c r="B131" s="752"/>
      <c r="C131" s="752"/>
      <c r="D131" s="752"/>
      <c r="E131" s="752"/>
      <c r="F131" s="752"/>
      <c r="G131" s="752"/>
      <c r="H131" s="752"/>
      <c r="I131" s="752"/>
      <c r="J131" s="752"/>
    </row>
    <row r="132" spans="1:10" ht="21.9" customHeight="1">
      <c r="A132" s="752"/>
      <c r="B132" s="752"/>
      <c r="C132" s="752"/>
      <c r="D132" s="752"/>
      <c r="E132" s="752"/>
      <c r="F132" s="752"/>
      <c r="G132" s="752"/>
      <c r="H132" s="752"/>
      <c r="I132" s="752"/>
      <c r="J132" s="752"/>
    </row>
    <row r="133" spans="1:10" ht="21.9" customHeight="1">
      <c r="A133" s="752"/>
      <c r="B133" s="752"/>
      <c r="C133" s="752"/>
      <c r="D133" s="752"/>
      <c r="E133" s="752"/>
      <c r="F133" s="752"/>
      <c r="G133" s="752"/>
      <c r="H133" s="752"/>
      <c r="I133" s="752"/>
      <c r="J133" s="752"/>
    </row>
    <row r="134" spans="1:10" ht="21.9" customHeight="1">
      <c r="A134" s="752"/>
      <c r="B134" s="752"/>
      <c r="C134" s="752"/>
      <c r="D134" s="752"/>
      <c r="E134" s="752"/>
      <c r="F134" s="752"/>
      <c r="G134" s="752"/>
      <c r="H134" s="752"/>
      <c r="I134" s="752"/>
      <c r="J134" s="752"/>
    </row>
    <row r="135" spans="1:10" ht="21.9" customHeight="1">
      <c r="A135" s="752"/>
      <c r="B135" s="752"/>
      <c r="C135" s="752"/>
      <c r="D135" s="752"/>
      <c r="E135" s="752"/>
      <c r="F135" s="752"/>
      <c r="G135" s="752"/>
      <c r="H135" s="752"/>
      <c r="I135" s="752"/>
      <c r="J135" s="752"/>
    </row>
    <row r="136" spans="1:10" ht="21.9" customHeight="1">
      <c r="A136" s="752"/>
      <c r="B136" s="752"/>
      <c r="C136" s="752"/>
      <c r="D136" s="752"/>
      <c r="E136" s="752"/>
      <c r="F136" s="752"/>
      <c r="G136" s="752"/>
      <c r="H136" s="752"/>
      <c r="I136" s="752"/>
      <c r="J136" s="752"/>
    </row>
    <row r="137" spans="1:10" ht="21.9" customHeight="1">
      <c r="A137" s="752"/>
      <c r="B137" s="752"/>
      <c r="C137" s="752"/>
      <c r="D137" s="752"/>
      <c r="E137" s="752"/>
      <c r="F137" s="752"/>
      <c r="G137" s="752"/>
      <c r="H137" s="752"/>
      <c r="I137" s="752"/>
      <c r="J137" s="752"/>
    </row>
    <row r="138" spans="1:10" ht="21.9" customHeight="1">
      <c r="A138" s="752"/>
      <c r="B138" s="752"/>
      <c r="C138" s="752"/>
      <c r="D138" s="752"/>
      <c r="E138" s="752"/>
      <c r="F138" s="752"/>
      <c r="G138" s="752"/>
      <c r="H138" s="752"/>
      <c r="I138" s="752"/>
      <c r="J138" s="752"/>
    </row>
    <row r="139" spans="1:10" ht="21.9" customHeight="1">
      <c r="A139" s="752"/>
      <c r="B139" s="752"/>
      <c r="C139" s="752"/>
      <c r="D139" s="752"/>
      <c r="E139" s="752"/>
      <c r="F139" s="752"/>
      <c r="G139" s="752"/>
      <c r="H139" s="752"/>
      <c r="I139" s="752"/>
      <c r="J139" s="752"/>
    </row>
    <row r="140" spans="1:10" ht="21.9" customHeight="1">
      <c r="A140" s="752"/>
      <c r="B140" s="752"/>
      <c r="C140" s="752"/>
      <c r="D140" s="752"/>
      <c r="E140" s="752"/>
      <c r="F140" s="752"/>
      <c r="G140" s="752"/>
      <c r="H140" s="752"/>
      <c r="I140" s="752"/>
      <c r="J140" s="752"/>
    </row>
    <row r="141" spans="1:10" ht="21.9" customHeight="1">
      <c r="A141" s="752"/>
      <c r="B141" s="752"/>
      <c r="C141" s="752"/>
      <c r="D141" s="752"/>
      <c r="E141" s="752"/>
      <c r="F141" s="752"/>
      <c r="G141" s="752"/>
      <c r="H141" s="752"/>
      <c r="I141" s="752"/>
      <c r="J141" s="752"/>
    </row>
    <row r="142" spans="1:10" ht="21.9" customHeight="1">
      <c r="A142" s="752"/>
      <c r="B142" s="752"/>
      <c r="C142" s="752"/>
      <c r="D142" s="752"/>
      <c r="E142" s="752"/>
      <c r="F142" s="752"/>
      <c r="G142" s="752"/>
      <c r="H142" s="752"/>
      <c r="I142" s="752"/>
      <c r="J142" s="752"/>
    </row>
    <row r="143" spans="1:10" ht="21.9" customHeight="1">
      <c r="A143" s="752"/>
      <c r="B143" s="752"/>
      <c r="C143" s="752"/>
      <c r="D143" s="752"/>
      <c r="E143" s="752"/>
      <c r="F143" s="752"/>
      <c r="G143" s="752"/>
      <c r="H143" s="752"/>
      <c r="I143" s="752"/>
      <c r="J143" s="752"/>
    </row>
    <row r="144" spans="1:10" ht="21.9" customHeight="1">
      <c r="A144" s="752"/>
      <c r="B144" s="752"/>
      <c r="C144" s="752"/>
      <c r="D144" s="752"/>
      <c r="E144" s="752"/>
      <c r="F144" s="752"/>
      <c r="G144" s="752"/>
      <c r="H144" s="752"/>
      <c r="I144" s="752"/>
      <c r="J144" s="752"/>
    </row>
    <row r="145" spans="1:10" ht="21.9" customHeight="1">
      <c r="A145" s="752"/>
      <c r="B145" s="752"/>
      <c r="C145" s="752"/>
      <c r="D145" s="752"/>
      <c r="E145" s="752"/>
      <c r="F145" s="752"/>
      <c r="G145" s="752"/>
      <c r="H145" s="752"/>
      <c r="I145" s="752"/>
      <c r="J145" s="752"/>
    </row>
    <row r="146" spans="1:10" ht="21.9" customHeight="1">
      <c r="A146" s="752"/>
      <c r="B146" s="752"/>
      <c r="C146" s="752"/>
      <c r="D146" s="752"/>
      <c r="E146" s="752"/>
      <c r="F146" s="752"/>
      <c r="G146" s="752"/>
      <c r="H146" s="752"/>
      <c r="I146" s="752"/>
      <c r="J146" s="752"/>
    </row>
  </sheetData>
  <sheetProtection selectLockedCells="1" selectUnlockedCells="1"/>
  <mergeCells count="22">
    <mergeCell ref="K25:N26"/>
    <mergeCell ref="K14:M23"/>
    <mergeCell ref="A15:B15"/>
    <mergeCell ref="A16:C17"/>
    <mergeCell ref="D16:E16"/>
    <mergeCell ref="A18:C18"/>
    <mergeCell ref="D18:J18"/>
    <mergeCell ref="A22:C23"/>
    <mergeCell ref="D20:F20"/>
    <mergeCell ref="A20:C21"/>
    <mergeCell ref="D21:J21"/>
    <mergeCell ref="D23:J23"/>
    <mergeCell ref="D22:J22"/>
    <mergeCell ref="G20:J20"/>
    <mergeCell ref="A5:J5"/>
    <mergeCell ref="D17:E17"/>
    <mergeCell ref="A19:C19"/>
    <mergeCell ref="D19:F19"/>
    <mergeCell ref="A1:J1"/>
    <mergeCell ref="A2:F3"/>
    <mergeCell ref="J3:J4"/>
    <mergeCell ref="A4:F4"/>
  </mergeCells>
  <phoneticPr fontId="51" type="noConversion"/>
  <dataValidations count="3">
    <dataValidation allowBlank="1" showErrorMessage="1" sqref="H3">
      <formula1>0</formula1>
      <formula2>0</formula2>
    </dataValidation>
    <dataValidation allowBlank="1" showErrorMessage="1" promptTitle="存在调整事项时" prompt="_x000a_选择 “E”" sqref="G20:J20">
      <formula1>0</formula1>
      <formula2>0</formula2>
    </dataValidation>
    <dataValidation type="list" allowBlank="1" showErrorMessage="1" sqref="E7:F14 H7:H14">
      <formula1>"是,否"</formula1>
      <formula2>0</formula2>
    </dataValidation>
  </dataValidations>
  <hyperlinks>
    <hyperlink ref="K7" location="纳税调整明细表!C33" display="纳税调整明细表!C33"/>
    <hyperlink ref="K8" location="管理费用!A1" display="管理费用审核表"/>
    <hyperlink ref="K9" location="营外收支!A1" display="营外收支审核表"/>
    <hyperlink ref="K10" location="营业费用!A1" display="营业费用审核表"/>
    <hyperlink ref="K11" location="凭证检查!A1" display="凭证检查!A1"/>
  </hyperlinks>
  <pageMargins left="0.78740157480314998" right="0.35433070866141703" top="0.511811023622047" bottom="0.11811023622047198" header="0.511811023622047" footer="0.511811023622047"/>
  <pageSetup paperSize="9" firstPageNumber="0" orientation="landscape" blackAndWhite="1" r:id="rId1"/>
  <headerFooter alignWithMargins="0"/>
</worksheet>
</file>

<file path=xl/worksheets/sheet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35"/>
  <dimension ref="A1:T156"/>
  <sheetViews>
    <sheetView workbookViewId="0">
      <selection sqref="A1:L1"/>
    </sheetView>
  </sheetViews>
  <sheetFormatPr defaultColWidth="9" defaultRowHeight="15.6"/>
  <cols>
    <col min="1" max="1" width="4.59765625" style="168" customWidth="1"/>
    <col min="2" max="2" width="7" style="168" customWidth="1"/>
    <col min="3" max="3" width="23.69921875" style="168" customWidth="1"/>
    <col min="4" max="4" width="18.09765625" style="168" customWidth="1"/>
    <col min="5" max="5" width="10.59765625" style="168" customWidth="1"/>
    <col min="6" max="7" width="6.59765625" style="168" customWidth="1"/>
    <col min="8" max="9" width="10.59765625" style="168" customWidth="1"/>
    <col min="10" max="10" width="12.8984375" style="168" customWidth="1"/>
    <col min="11" max="11" width="5.19921875" style="168" customWidth="1"/>
    <col min="12" max="12" width="5.59765625" style="168" customWidth="1"/>
    <col min="13" max="16384" width="9" style="168"/>
  </cols>
  <sheetData>
    <row r="1" spans="1:20" ht="22.2">
      <c r="A1" s="3255" t="s">
        <v>368</v>
      </c>
      <c r="B1" s="3255"/>
      <c r="C1" s="3255"/>
      <c r="D1" s="3255"/>
      <c r="E1" s="3255"/>
      <c r="F1" s="3255"/>
      <c r="G1" s="3255"/>
      <c r="H1" s="3255"/>
      <c r="I1" s="3255"/>
      <c r="J1" s="3255"/>
      <c r="K1" s="3255"/>
      <c r="L1" s="3255"/>
    </row>
    <row r="2" spans="1:20" ht="7.5" customHeight="1">
      <c r="A2" s="753"/>
      <c r="B2" s="753"/>
      <c r="C2" s="753"/>
      <c r="D2" s="753"/>
      <c r="E2" s="753"/>
      <c r="F2" s="753"/>
      <c r="G2" s="753"/>
      <c r="H2" s="753"/>
      <c r="I2" s="753"/>
      <c r="J2" s="753"/>
      <c r="K2" s="753"/>
      <c r="L2" s="753"/>
    </row>
    <row r="3" spans="1:20" ht="19.5" customHeight="1">
      <c r="A3" s="3256" t="s">
        <v>448</v>
      </c>
      <c r="B3" s="3256"/>
      <c r="C3" s="3257">
        <f>基本情况!B2</f>
        <v>0</v>
      </c>
      <c r="D3" s="3257"/>
      <c r="E3" s="3257"/>
      <c r="F3" s="3257"/>
      <c r="G3" s="755" t="s">
        <v>451</v>
      </c>
      <c r="H3" s="756">
        <f>基本情况!B12</f>
        <v>0</v>
      </c>
      <c r="I3" s="755" t="s">
        <v>450</v>
      </c>
      <c r="J3" s="757" t="str">
        <f>TEXT(基本情况!B21,"yyyy-mm-dd")</f>
        <v>2017-03-16</v>
      </c>
      <c r="K3" s="3258" t="s">
        <v>283</v>
      </c>
      <c r="L3" s="3258"/>
    </row>
    <row r="4" spans="1:20" ht="19.5" customHeight="1">
      <c r="A4" s="3259" t="s">
        <v>452</v>
      </c>
      <c r="B4" s="3259"/>
      <c r="C4" s="3260" t="str">
        <f>基本情况!B7</f>
        <v>2016年01月01日至2016年12月31日</v>
      </c>
      <c r="D4" s="3260"/>
      <c r="E4" s="3260"/>
      <c r="F4" s="3260"/>
      <c r="G4" s="759" t="s">
        <v>453</v>
      </c>
      <c r="H4" s="760">
        <f>基本情况!B11</f>
        <v>0</v>
      </c>
      <c r="I4" s="759" t="s">
        <v>450</v>
      </c>
      <c r="J4" s="760" t="str">
        <f>TEXT(基本情况!B22,"yyyy-mm-dd")</f>
        <v>2017-05-04</v>
      </c>
      <c r="K4" s="3261" t="str">
        <f>档案索引!A42</f>
        <v>2A-22</v>
      </c>
      <c r="L4" s="3261"/>
    </row>
    <row r="5" spans="1:20" ht="7.5" customHeight="1">
      <c r="A5" s="3254"/>
      <c r="B5" s="3254"/>
      <c r="C5" s="3254"/>
      <c r="D5" s="3254"/>
      <c r="E5" s="3254"/>
      <c r="F5" s="3254"/>
      <c r="G5" s="3254"/>
      <c r="H5" s="3254"/>
      <c r="I5" s="3254"/>
      <c r="J5" s="3254"/>
      <c r="K5" s="3254"/>
      <c r="L5" s="3254"/>
    </row>
    <row r="6" spans="1:20" ht="9" customHeight="1">
      <c r="A6" s="3265" t="s">
        <v>454</v>
      </c>
      <c r="B6" s="3266" t="s">
        <v>1511</v>
      </c>
      <c r="C6" s="3264" t="s">
        <v>923</v>
      </c>
      <c r="D6" s="3264" t="s">
        <v>924</v>
      </c>
      <c r="E6" s="3264" t="s">
        <v>925</v>
      </c>
      <c r="F6" s="3264" t="s">
        <v>926</v>
      </c>
      <c r="G6" s="3264" t="s">
        <v>927</v>
      </c>
      <c r="H6" s="3264" t="s">
        <v>928</v>
      </c>
      <c r="I6" s="3264" t="s">
        <v>929</v>
      </c>
      <c r="J6" s="3264" t="s">
        <v>930</v>
      </c>
      <c r="K6" s="3267" t="s">
        <v>456</v>
      </c>
      <c r="L6" s="3267"/>
    </row>
    <row r="7" spans="1:20" ht="20.25" customHeight="1">
      <c r="A7" s="3265"/>
      <c r="B7" s="3266"/>
      <c r="C7" s="3264"/>
      <c r="D7" s="3264"/>
      <c r="E7" s="3264"/>
      <c r="F7" s="3264"/>
      <c r="G7" s="3264"/>
      <c r="H7" s="3264"/>
      <c r="I7" s="3264"/>
      <c r="J7" s="3264"/>
      <c r="K7" s="3267"/>
      <c r="L7" s="3267"/>
      <c r="M7" t="s">
        <v>396</v>
      </c>
    </row>
    <row r="8" spans="1:20" ht="17.25" customHeight="1">
      <c r="A8" s="754">
        <v>1</v>
      </c>
      <c r="B8" s="1236"/>
      <c r="C8" s="1236"/>
      <c r="D8" s="1141"/>
      <c r="E8" s="1237"/>
      <c r="F8" s="1141"/>
      <c r="G8" s="1238"/>
      <c r="H8" s="1145"/>
      <c r="I8" s="1145"/>
      <c r="J8" s="715">
        <f t="shared" ref="J8:J17" si="0">H8-I8</f>
        <v>0</v>
      </c>
      <c r="K8" s="3268"/>
      <c r="L8" s="3268"/>
      <c r="M8" s="3262" t="s">
        <v>931</v>
      </c>
      <c r="N8" s="3262"/>
      <c r="O8" s="3262"/>
    </row>
    <row r="9" spans="1:20" ht="17.25" customHeight="1">
      <c r="A9" s="761">
        <v>2</v>
      </c>
      <c r="B9" s="1239"/>
      <c r="C9" s="1239"/>
      <c r="D9" s="1142"/>
      <c r="E9" s="1240"/>
      <c r="F9" s="1142"/>
      <c r="G9" s="1241"/>
      <c r="H9" s="1146"/>
      <c r="I9" s="1146"/>
      <c r="J9" s="545">
        <f t="shared" si="0"/>
        <v>0</v>
      </c>
      <c r="K9" s="3263"/>
      <c r="L9" s="3263"/>
    </row>
    <row r="10" spans="1:20" ht="17.25" customHeight="1">
      <c r="A10" s="761">
        <v>3</v>
      </c>
      <c r="B10" s="1239"/>
      <c r="C10" s="1239"/>
      <c r="D10" s="1142"/>
      <c r="E10" s="1240"/>
      <c r="F10" s="1142"/>
      <c r="G10" s="1241"/>
      <c r="H10" s="1146"/>
      <c r="I10" s="1146"/>
      <c r="J10" s="545">
        <f t="shared" si="0"/>
        <v>0</v>
      </c>
      <c r="K10" s="3263"/>
      <c r="L10" s="3263"/>
      <c r="M10" s="3262" t="s">
        <v>328</v>
      </c>
      <c r="N10" s="3262"/>
      <c r="O10" s="3262"/>
    </row>
    <row r="11" spans="1:20" ht="17.25" customHeight="1">
      <c r="A11" s="761">
        <v>4</v>
      </c>
      <c r="B11" s="1239"/>
      <c r="C11" s="1239"/>
      <c r="D11" s="1142"/>
      <c r="E11" s="1240"/>
      <c r="F11" s="1142"/>
      <c r="G11" s="1241"/>
      <c r="H11" s="1146"/>
      <c r="I11" s="1146"/>
      <c r="J11" s="545">
        <f t="shared" si="0"/>
        <v>0</v>
      </c>
      <c r="K11" s="3263"/>
      <c r="L11" s="3263"/>
    </row>
    <row r="12" spans="1:20" ht="17.25" customHeight="1">
      <c r="A12" s="761">
        <v>5</v>
      </c>
      <c r="B12" s="1239"/>
      <c r="C12" s="1239"/>
      <c r="D12" s="1142"/>
      <c r="E12" s="1240"/>
      <c r="F12" s="1142"/>
      <c r="G12" s="1241"/>
      <c r="H12" s="1146"/>
      <c r="I12" s="1146"/>
      <c r="J12" s="545">
        <f t="shared" si="0"/>
        <v>0</v>
      </c>
      <c r="K12" s="3263"/>
      <c r="L12" s="3263"/>
      <c r="M12" s="3262" t="s">
        <v>932</v>
      </c>
      <c r="N12" s="3262"/>
      <c r="O12" s="3262"/>
    </row>
    <row r="13" spans="1:20" ht="17.25" customHeight="1">
      <c r="A13" s="761">
        <v>6</v>
      </c>
      <c r="B13" s="1239"/>
      <c r="C13" s="1239"/>
      <c r="D13" s="1142"/>
      <c r="E13" s="1240"/>
      <c r="F13" s="1142"/>
      <c r="G13" s="1241"/>
      <c r="H13" s="1146"/>
      <c r="I13" s="1146"/>
      <c r="J13" s="545">
        <f t="shared" si="0"/>
        <v>0</v>
      </c>
      <c r="K13" s="3263"/>
      <c r="L13" s="3263"/>
      <c r="M13" s="3278" t="s">
        <v>964</v>
      </c>
      <c r="N13" s="3278"/>
      <c r="O13" s="3278"/>
      <c r="P13" s="3278"/>
      <c r="Q13" s="3278"/>
      <c r="R13" s="3278"/>
      <c r="S13" s="3278"/>
      <c r="T13" s="3278"/>
    </row>
    <row r="14" spans="1:20" ht="17.25" customHeight="1">
      <c r="A14" s="761">
        <v>7</v>
      </c>
      <c r="B14" s="1239"/>
      <c r="C14" s="1239"/>
      <c r="D14" s="1142"/>
      <c r="E14" s="1240"/>
      <c r="F14" s="1142"/>
      <c r="G14" s="1241"/>
      <c r="H14" s="1146"/>
      <c r="I14" s="1146"/>
      <c r="J14" s="545">
        <f t="shared" si="0"/>
        <v>0</v>
      </c>
      <c r="K14" s="3263"/>
      <c r="L14" s="3263"/>
      <c r="M14" s="3278"/>
      <c r="N14" s="3278"/>
      <c r="O14" s="3278"/>
      <c r="P14" s="3278"/>
      <c r="Q14" s="3278"/>
      <c r="R14" s="3278"/>
      <c r="S14" s="3278"/>
      <c r="T14" s="3278"/>
    </row>
    <row r="15" spans="1:20" ht="17.25" customHeight="1">
      <c r="A15" s="761">
        <v>8</v>
      </c>
      <c r="B15" s="1239"/>
      <c r="C15" s="1239"/>
      <c r="D15" s="1142"/>
      <c r="E15" s="1240"/>
      <c r="F15" s="1142"/>
      <c r="G15" s="1241"/>
      <c r="H15" s="1146"/>
      <c r="I15" s="1146"/>
      <c r="J15" s="545">
        <f t="shared" si="0"/>
        <v>0</v>
      </c>
      <c r="K15" s="3263"/>
      <c r="L15" s="3263"/>
      <c r="M15" s="3278"/>
      <c r="N15" s="3278"/>
      <c r="O15" s="3278"/>
      <c r="P15" s="3278"/>
      <c r="Q15" s="3278"/>
      <c r="R15" s="3278"/>
      <c r="S15" s="3278"/>
      <c r="T15" s="3278"/>
    </row>
    <row r="16" spans="1:20" ht="17.25" customHeight="1">
      <c r="A16" s="761">
        <v>9</v>
      </c>
      <c r="B16" s="1239"/>
      <c r="C16" s="1239"/>
      <c r="D16" s="1142"/>
      <c r="E16" s="1240"/>
      <c r="F16" s="1142"/>
      <c r="G16" s="1241"/>
      <c r="H16" s="1146"/>
      <c r="I16" s="1146"/>
      <c r="J16" s="545">
        <f t="shared" si="0"/>
        <v>0</v>
      </c>
      <c r="K16" s="3263"/>
      <c r="L16" s="3263"/>
      <c r="M16" s="3278"/>
      <c r="N16" s="3278"/>
      <c r="O16" s="3278"/>
      <c r="P16" s="3278"/>
      <c r="Q16" s="3278"/>
      <c r="R16" s="3278"/>
      <c r="S16" s="3278"/>
      <c r="T16" s="3278"/>
    </row>
    <row r="17" spans="1:20" ht="17.25" customHeight="1">
      <c r="A17" s="758">
        <v>10</v>
      </c>
      <c r="B17" s="1242"/>
      <c r="C17" s="1242"/>
      <c r="D17" s="1143"/>
      <c r="E17" s="1243"/>
      <c r="F17" s="1143"/>
      <c r="G17" s="1244"/>
      <c r="H17" s="1147"/>
      <c r="I17" s="1147"/>
      <c r="J17" s="716">
        <f t="shared" si="0"/>
        <v>0</v>
      </c>
      <c r="K17" s="3285"/>
      <c r="L17" s="3285"/>
      <c r="M17" s="3278"/>
      <c r="N17" s="3278"/>
      <c r="O17" s="3278"/>
      <c r="P17" s="3278"/>
      <c r="Q17" s="3278"/>
      <c r="R17" s="3278"/>
      <c r="S17" s="3278"/>
      <c r="T17" s="3278"/>
    </row>
    <row r="18" spans="1:20" ht="19.5" customHeight="1">
      <c r="A18" s="3271" t="s">
        <v>965</v>
      </c>
      <c r="B18" s="3271"/>
      <c r="C18" s="3271"/>
      <c r="D18" s="1144">
        <f>SUM(D8:D17)</f>
        <v>0</v>
      </c>
      <c r="E18" s="762"/>
      <c r="F18" s="1148"/>
      <c r="G18" s="1149"/>
      <c r="H18" s="1144">
        <f>SUM(H8:H17)</f>
        <v>0</v>
      </c>
      <c r="I18" s="1144">
        <f>SUM(I8:I17)</f>
        <v>0</v>
      </c>
      <c r="J18" s="1144">
        <f>SUM(J8:J17)</f>
        <v>0</v>
      </c>
      <c r="K18" s="3272"/>
      <c r="L18" s="3272"/>
      <c r="M18" s="3278"/>
      <c r="N18" s="3278"/>
      <c r="O18" s="3278"/>
      <c r="P18" s="3278"/>
      <c r="Q18" s="3278"/>
      <c r="R18" s="3278"/>
      <c r="S18" s="3278"/>
      <c r="T18" s="3278"/>
    </row>
    <row r="19" spans="1:20" ht="19.5" customHeight="1">
      <c r="A19" s="3273" t="s">
        <v>966</v>
      </c>
      <c r="B19" s="3273"/>
      <c r="C19" s="3273"/>
      <c r="D19" s="3273"/>
      <c r="E19" s="3273"/>
      <c r="F19" s="3273"/>
      <c r="G19" s="3273"/>
      <c r="H19" s="3273"/>
      <c r="I19" s="3273"/>
      <c r="J19" s="3273"/>
      <c r="K19" s="3274"/>
      <c r="L19" s="3274"/>
      <c r="M19" s="3278"/>
      <c r="N19" s="3278"/>
      <c r="O19" s="3278"/>
      <c r="P19" s="3278"/>
      <c r="Q19" s="3278"/>
      <c r="R19" s="3278"/>
      <c r="S19" s="3278"/>
      <c r="T19" s="3278"/>
    </row>
    <row r="20" spans="1:20" ht="19.5" customHeight="1">
      <c r="A20" s="3275" t="s">
        <v>854</v>
      </c>
      <c r="B20" s="3275"/>
      <c r="C20" s="763" t="s">
        <v>967</v>
      </c>
      <c r="D20" s="3276" t="s">
        <v>855</v>
      </c>
      <c r="E20" s="3276"/>
      <c r="F20" s="3276"/>
      <c r="G20" s="3276" t="s">
        <v>857</v>
      </c>
      <c r="H20" s="3276"/>
      <c r="I20" s="3276"/>
      <c r="J20" s="763" t="s">
        <v>703</v>
      </c>
      <c r="K20" s="3279"/>
      <c r="L20" s="3279"/>
      <c r="M20" s="3278"/>
      <c r="N20" s="3278"/>
      <c r="O20" s="3278"/>
      <c r="P20" s="3278"/>
      <c r="Q20" s="3278"/>
      <c r="R20" s="3278"/>
      <c r="S20" s="3278"/>
      <c r="T20" s="3278"/>
    </row>
    <row r="21" spans="1:20" ht="19.5" customHeight="1">
      <c r="A21" s="3282" t="s">
        <v>558</v>
      </c>
      <c r="B21" s="3282"/>
      <c r="C21" s="1150">
        <f>财务费用!H7</f>
        <v>0</v>
      </c>
      <c r="D21" s="3277"/>
      <c r="E21" s="3277"/>
      <c r="F21" s="3277"/>
      <c r="G21" s="3277"/>
      <c r="H21" s="3277"/>
      <c r="I21" s="3277"/>
      <c r="J21" s="1151">
        <f>SUM(C21:I21)</f>
        <v>0</v>
      </c>
      <c r="K21" s="3287"/>
      <c r="L21" s="3287"/>
      <c r="M21" s="3278"/>
      <c r="N21" s="3278"/>
      <c r="O21" s="3278"/>
      <c r="P21" s="3278"/>
      <c r="Q21" s="3278"/>
      <c r="R21" s="3278"/>
      <c r="S21" s="3278"/>
      <c r="T21" s="3278"/>
    </row>
    <row r="22" spans="1:20" ht="19.5" customHeight="1">
      <c r="A22" s="3271" t="s">
        <v>642</v>
      </c>
      <c r="B22" s="3271"/>
      <c r="C22" s="3271"/>
      <c r="D22" s="3283" t="str">
        <f>IF(H18&lt;&gt;J21,"原始凭证检查金额与账载不符，请检查！","原始凭证检查金额与账载相符！")</f>
        <v>原始凭证检查金额与账载相符！</v>
      </c>
      <c r="E22" s="3283"/>
      <c r="F22" s="3283"/>
      <c r="G22" s="3283"/>
      <c r="H22" s="3283"/>
      <c r="I22" s="3283"/>
      <c r="J22" s="3283"/>
      <c r="K22" s="3284"/>
      <c r="L22" s="3284"/>
      <c r="M22" s="3278"/>
      <c r="N22" s="3278"/>
      <c r="O22" s="3278"/>
      <c r="P22" s="3278"/>
      <c r="Q22" s="3278"/>
      <c r="R22" s="3278"/>
      <c r="S22" s="3278"/>
      <c r="T22" s="3278"/>
    </row>
    <row r="23" spans="1:20" ht="15" customHeight="1">
      <c r="A23" s="3280" t="s">
        <v>1324</v>
      </c>
      <c r="B23" s="3280"/>
      <c r="C23" s="3280"/>
      <c r="D23" s="764" t="s">
        <v>498</v>
      </c>
      <c r="E23" s="3286" t="str">
        <f>IF(J18&gt;0,"、E","")</f>
        <v/>
      </c>
      <c r="F23" s="3286"/>
      <c r="G23" s="3286"/>
      <c r="H23" s="3286"/>
      <c r="I23" s="3286"/>
      <c r="J23" s="3286"/>
      <c r="K23" s="3286"/>
      <c r="L23" s="3286"/>
      <c r="M23" s="3278"/>
      <c r="N23" s="3278"/>
      <c r="O23" s="3278"/>
      <c r="P23" s="3278"/>
      <c r="Q23" s="3278"/>
      <c r="R23" s="3278"/>
      <c r="S23" s="3278"/>
      <c r="T23" s="3278"/>
    </row>
    <row r="24" spans="1:20" ht="31.5" customHeight="1">
      <c r="A24" s="3280"/>
      <c r="B24" s="3280"/>
      <c r="C24" s="3280"/>
      <c r="D24" s="3281"/>
      <c r="E24" s="3281"/>
      <c r="F24" s="3281"/>
      <c r="G24" s="3281"/>
      <c r="H24" s="3281"/>
      <c r="I24" s="3281"/>
      <c r="J24" s="3281"/>
      <c r="K24" s="3281"/>
      <c r="L24" s="3281"/>
      <c r="M24" s="3278" t="s">
        <v>968</v>
      </c>
      <c r="N24" s="3278"/>
      <c r="O24" s="3278"/>
      <c r="P24" s="3278"/>
      <c r="Q24" s="3278"/>
      <c r="R24" s="3278"/>
      <c r="S24" s="3278"/>
      <c r="T24" s="3278"/>
    </row>
    <row r="25" spans="1:20" ht="30.75" customHeight="1">
      <c r="A25" s="3280"/>
      <c r="B25" s="3280"/>
      <c r="C25" s="3280"/>
      <c r="D25" s="3281"/>
      <c r="E25" s="3281"/>
      <c r="F25" s="3281"/>
      <c r="G25" s="3281"/>
      <c r="H25" s="3281"/>
      <c r="I25" s="3281"/>
      <c r="J25" s="3281"/>
      <c r="K25" s="3281"/>
      <c r="L25" s="3281"/>
      <c r="M25" s="3278"/>
      <c r="N25" s="3278"/>
      <c r="O25" s="3278"/>
      <c r="P25" s="3278"/>
      <c r="Q25" s="3278"/>
      <c r="R25" s="3278"/>
      <c r="S25" s="3278"/>
      <c r="T25" s="3278"/>
    </row>
    <row r="26" spans="1:20" ht="8.25" customHeight="1">
      <c r="A26" s="3259" t="s">
        <v>575</v>
      </c>
      <c r="B26" s="3259"/>
      <c r="C26" s="3259"/>
      <c r="D26" s="3269" t="str">
        <f>IF(J18&lt;&gt;0,"实际列支利息支出大于税法允许列支的限额,应予纳税调整增加"&amp;DOLLAR(J18,2)&amp;"元！","不存在利息支出调整事项，认可！")</f>
        <v>不存在利息支出调整事项，认可！</v>
      </c>
      <c r="E26" s="3269"/>
      <c r="F26" s="3269"/>
      <c r="G26" s="3269"/>
      <c r="H26" s="3269"/>
      <c r="I26" s="3269"/>
      <c r="J26" s="3269"/>
      <c r="K26" s="3269"/>
      <c r="L26" s="3269"/>
      <c r="M26" s="3270" t="s">
        <v>969</v>
      </c>
      <c r="N26" s="3270"/>
      <c r="O26" s="3270"/>
      <c r="P26" s="3270"/>
      <c r="Q26" s="3270"/>
      <c r="R26" s="3270"/>
      <c r="S26" s="3270"/>
      <c r="T26" s="3270"/>
    </row>
    <row r="27" spans="1:20" ht="8.25" customHeight="1">
      <c r="A27" s="3259"/>
      <c r="B27" s="3259"/>
      <c r="C27" s="3259"/>
      <c r="D27" s="3269"/>
      <c r="E27" s="3269"/>
      <c r="F27" s="3269"/>
      <c r="G27" s="3269"/>
      <c r="H27" s="3269"/>
      <c r="I27" s="3269"/>
      <c r="J27" s="3269"/>
      <c r="K27" s="3269"/>
      <c r="L27" s="3269"/>
      <c r="M27" s="3270"/>
      <c r="N27" s="3270"/>
      <c r="O27" s="3270"/>
      <c r="P27" s="3270"/>
      <c r="Q27" s="3270"/>
      <c r="R27" s="3270"/>
      <c r="S27" s="3270"/>
      <c r="T27" s="3270"/>
    </row>
    <row r="28" spans="1:20" ht="8.25" customHeight="1">
      <c r="A28" s="3259"/>
      <c r="B28" s="3259"/>
      <c r="C28" s="3259"/>
      <c r="D28" s="3269"/>
      <c r="E28" s="3269"/>
      <c r="F28" s="3269"/>
      <c r="G28" s="3269"/>
      <c r="H28" s="3269"/>
      <c r="I28" s="3269"/>
      <c r="J28" s="3269"/>
      <c r="K28" s="3269"/>
      <c r="L28" s="3269"/>
      <c r="M28" s="3270"/>
      <c r="N28" s="3270"/>
      <c r="O28" s="3270"/>
      <c r="P28" s="3270"/>
      <c r="Q28" s="3270"/>
      <c r="R28" s="3270"/>
      <c r="S28" s="3270"/>
      <c r="T28" s="3270"/>
    </row>
    <row r="29" spans="1:20">
      <c r="A29" s="731"/>
      <c r="B29" s="731"/>
      <c r="C29" s="731"/>
      <c r="D29" s="731"/>
      <c r="E29" s="731"/>
      <c r="F29" s="731"/>
      <c r="G29" s="731"/>
      <c r="H29" s="731"/>
      <c r="I29" s="731"/>
      <c r="J29" s="731"/>
      <c r="K29" s="731"/>
      <c r="L29" s="731"/>
      <c r="M29" s="3270"/>
      <c r="N29" s="3270"/>
      <c r="O29" s="3270"/>
      <c r="P29" s="3270"/>
      <c r="Q29" s="3270"/>
      <c r="R29" s="3270"/>
      <c r="S29" s="3270"/>
      <c r="T29" s="3270"/>
    </row>
    <row r="30" spans="1:20">
      <c r="A30" s="731"/>
      <c r="B30" s="731"/>
      <c r="C30" s="731"/>
      <c r="D30" s="731"/>
      <c r="E30" s="731"/>
      <c r="F30" s="731"/>
      <c r="G30" s="731"/>
      <c r="H30" s="731"/>
      <c r="I30" s="731"/>
      <c r="J30" s="731"/>
      <c r="K30" s="731"/>
      <c r="L30" s="731"/>
      <c r="M30" s="3270"/>
      <c r="N30" s="3270"/>
      <c r="O30" s="3270"/>
      <c r="P30" s="3270"/>
      <c r="Q30" s="3270"/>
      <c r="R30" s="3270"/>
      <c r="S30" s="3270"/>
      <c r="T30" s="3270"/>
    </row>
    <row r="31" spans="1:20">
      <c r="A31" s="731"/>
      <c r="B31" s="731"/>
      <c r="C31" s="731"/>
      <c r="D31" s="731"/>
      <c r="E31" s="731"/>
      <c r="F31" s="731"/>
      <c r="G31" s="731"/>
      <c r="H31" s="731"/>
      <c r="I31" s="731"/>
      <c r="J31" s="731"/>
      <c r="K31" s="731"/>
      <c r="L31" s="731"/>
    </row>
    <row r="32" spans="1:20">
      <c r="A32" s="731"/>
      <c r="B32" s="731"/>
      <c r="C32" s="731"/>
      <c r="D32" s="731"/>
      <c r="E32" s="731"/>
      <c r="F32" s="731"/>
      <c r="G32" s="731"/>
      <c r="H32" s="731"/>
      <c r="I32" s="731"/>
      <c r="J32" s="731"/>
      <c r="K32" s="731"/>
      <c r="L32" s="731"/>
    </row>
    <row r="33" spans="1:12">
      <c r="A33" s="731"/>
      <c r="B33" s="731"/>
      <c r="C33" s="731"/>
      <c r="D33" s="731"/>
      <c r="E33" s="731"/>
      <c r="F33" s="731"/>
      <c r="G33" s="731"/>
      <c r="H33" s="731"/>
      <c r="I33" s="731"/>
      <c r="J33" s="731"/>
      <c r="K33" s="731"/>
      <c r="L33" s="731"/>
    </row>
    <row r="34" spans="1:12">
      <c r="A34" s="731"/>
      <c r="B34" s="731"/>
      <c r="C34" s="731"/>
      <c r="D34" s="731"/>
      <c r="E34" s="731"/>
      <c r="F34" s="731"/>
      <c r="G34" s="731"/>
      <c r="H34" s="731"/>
      <c r="I34" s="731"/>
      <c r="J34" s="731"/>
      <c r="K34" s="731"/>
      <c r="L34" s="731"/>
    </row>
    <row r="35" spans="1:12">
      <c r="A35" s="731"/>
      <c r="B35" s="731"/>
      <c r="C35" s="731"/>
      <c r="D35" s="731"/>
      <c r="E35" s="731"/>
      <c r="F35" s="731"/>
      <c r="G35" s="731"/>
      <c r="H35" s="731"/>
      <c r="I35" s="731"/>
      <c r="J35" s="731"/>
      <c r="K35" s="731"/>
      <c r="L35" s="731"/>
    </row>
    <row r="36" spans="1:12">
      <c r="A36" s="731"/>
      <c r="B36" s="731"/>
      <c r="C36" s="731"/>
      <c r="D36" s="731"/>
      <c r="E36" s="731"/>
      <c r="F36" s="731"/>
      <c r="G36" s="731"/>
      <c r="H36" s="731"/>
      <c r="I36" s="731"/>
      <c r="J36" s="731"/>
      <c r="K36" s="731"/>
      <c r="L36" s="731"/>
    </row>
    <row r="37" spans="1:12">
      <c r="A37" s="731"/>
      <c r="B37" s="731"/>
      <c r="C37" s="731"/>
      <c r="D37" s="731"/>
      <c r="E37" s="731"/>
      <c r="F37" s="731"/>
      <c r="G37" s="731"/>
      <c r="H37" s="731"/>
      <c r="I37" s="731"/>
      <c r="J37" s="731"/>
      <c r="K37" s="731"/>
      <c r="L37" s="731"/>
    </row>
    <row r="38" spans="1:12">
      <c r="A38" s="731"/>
      <c r="B38" s="731"/>
      <c r="C38" s="731"/>
      <c r="D38" s="731"/>
      <c r="E38" s="731"/>
      <c r="F38" s="731"/>
      <c r="G38" s="731"/>
      <c r="H38" s="731"/>
      <c r="I38" s="731"/>
      <c r="J38" s="731"/>
      <c r="K38" s="731"/>
      <c r="L38" s="731"/>
    </row>
    <row r="39" spans="1:12">
      <c r="A39" s="731"/>
      <c r="B39" s="731"/>
      <c r="C39" s="731"/>
      <c r="D39" s="731"/>
      <c r="E39" s="731"/>
      <c r="F39" s="731"/>
      <c r="G39" s="731"/>
      <c r="H39" s="731"/>
      <c r="I39" s="731"/>
      <c r="J39" s="731"/>
      <c r="K39" s="731"/>
      <c r="L39" s="731"/>
    </row>
    <row r="40" spans="1:12">
      <c r="A40" s="731"/>
      <c r="B40" s="731"/>
      <c r="C40" s="731"/>
      <c r="D40" s="731"/>
      <c r="E40" s="731"/>
      <c r="F40" s="731"/>
      <c r="G40" s="731"/>
      <c r="H40" s="731"/>
      <c r="I40" s="731"/>
      <c r="J40" s="731"/>
      <c r="K40" s="731"/>
      <c r="L40" s="731"/>
    </row>
    <row r="41" spans="1:12">
      <c r="A41" s="731"/>
      <c r="B41" s="731"/>
      <c r="C41" s="731"/>
      <c r="D41" s="731"/>
      <c r="E41" s="731"/>
      <c r="F41" s="731"/>
      <c r="G41" s="731"/>
      <c r="H41" s="731"/>
      <c r="I41" s="731"/>
      <c r="J41" s="731"/>
      <c r="K41" s="731"/>
      <c r="L41" s="731"/>
    </row>
    <row r="42" spans="1:12">
      <c r="A42" s="731"/>
      <c r="B42" s="731"/>
      <c r="C42" s="731"/>
      <c r="D42" s="731"/>
      <c r="E42" s="731"/>
      <c r="F42" s="731"/>
      <c r="G42" s="731"/>
      <c r="H42" s="731"/>
      <c r="I42" s="731"/>
      <c r="J42" s="731"/>
      <c r="K42" s="731"/>
      <c r="L42" s="731"/>
    </row>
    <row r="43" spans="1:12">
      <c r="A43" s="731"/>
      <c r="B43" s="731"/>
      <c r="C43" s="731"/>
      <c r="D43" s="731"/>
      <c r="E43" s="731"/>
      <c r="F43" s="731"/>
      <c r="G43" s="731"/>
      <c r="H43" s="731"/>
      <c r="I43" s="731"/>
      <c r="J43" s="731"/>
      <c r="K43" s="731"/>
      <c r="L43" s="731"/>
    </row>
    <row r="44" spans="1:12">
      <c r="A44" s="731"/>
      <c r="B44" s="731"/>
      <c r="C44" s="731"/>
      <c r="D44" s="731"/>
      <c r="E44" s="731"/>
      <c r="F44" s="731"/>
      <c r="G44" s="731"/>
      <c r="H44" s="731"/>
      <c r="I44" s="731"/>
      <c r="J44" s="731"/>
      <c r="K44" s="731"/>
      <c r="L44" s="731"/>
    </row>
    <row r="45" spans="1:12">
      <c r="A45" s="731"/>
      <c r="B45" s="731"/>
      <c r="C45" s="731"/>
      <c r="D45" s="731"/>
      <c r="E45" s="731"/>
      <c r="F45" s="731"/>
      <c r="G45" s="731"/>
      <c r="H45" s="731"/>
      <c r="I45" s="731"/>
      <c r="J45" s="731"/>
      <c r="K45" s="731"/>
      <c r="L45" s="731"/>
    </row>
    <row r="46" spans="1:12">
      <c r="A46" s="731"/>
      <c r="B46" s="731"/>
      <c r="C46" s="731"/>
      <c r="D46" s="731"/>
      <c r="E46" s="731"/>
      <c r="F46" s="731"/>
      <c r="G46" s="731"/>
      <c r="H46" s="731"/>
      <c r="I46" s="731"/>
      <c r="J46" s="731"/>
      <c r="K46" s="731"/>
      <c r="L46" s="731"/>
    </row>
    <row r="47" spans="1:12">
      <c r="A47" s="731"/>
      <c r="B47" s="731"/>
      <c r="C47" s="731"/>
      <c r="D47" s="731"/>
      <c r="E47" s="731"/>
      <c r="F47" s="731"/>
      <c r="G47" s="731"/>
      <c r="H47" s="731"/>
      <c r="I47" s="731"/>
      <c r="J47" s="731"/>
      <c r="K47" s="731"/>
      <c r="L47" s="731"/>
    </row>
    <row r="48" spans="1:12">
      <c r="A48" s="731"/>
      <c r="B48" s="731"/>
      <c r="C48" s="731"/>
      <c r="D48" s="731"/>
      <c r="E48" s="731"/>
      <c r="F48" s="731"/>
      <c r="G48" s="731"/>
      <c r="H48" s="731"/>
      <c r="I48" s="731"/>
      <c r="J48" s="731"/>
      <c r="K48" s="731"/>
      <c r="L48" s="731"/>
    </row>
    <row r="49" spans="1:12">
      <c r="A49" s="731"/>
      <c r="B49" s="731"/>
      <c r="C49" s="731"/>
      <c r="D49" s="731"/>
      <c r="E49" s="731"/>
      <c r="F49" s="731"/>
      <c r="G49" s="731"/>
      <c r="H49" s="731"/>
      <c r="I49" s="731"/>
      <c r="J49" s="731"/>
      <c r="K49" s="731"/>
      <c r="L49" s="731"/>
    </row>
    <row r="50" spans="1:12">
      <c r="A50" s="731"/>
      <c r="B50" s="731"/>
      <c r="C50" s="731"/>
      <c r="D50" s="731"/>
      <c r="E50" s="731"/>
      <c r="F50" s="731"/>
      <c r="G50" s="731"/>
      <c r="H50" s="731"/>
      <c r="I50" s="731"/>
      <c r="J50" s="731"/>
      <c r="K50" s="731"/>
      <c r="L50" s="731"/>
    </row>
    <row r="51" spans="1:12">
      <c r="A51" s="731"/>
      <c r="B51" s="731"/>
      <c r="C51" s="731"/>
      <c r="D51" s="731"/>
      <c r="E51" s="731"/>
      <c r="F51" s="731"/>
      <c r="G51" s="731"/>
      <c r="H51" s="731"/>
      <c r="I51" s="731"/>
      <c r="J51" s="731"/>
      <c r="K51" s="731"/>
      <c r="L51" s="731"/>
    </row>
    <row r="52" spans="1:12">
      <c r="A52" s="731"/>
      <c r="B52" s="731"/>
      <c r="C52" s="731"/>
      <c r="D52" s="731"/>
      <c r="E52" s="731"/>
      <c r="F52" s="731"/>
      <c r="G52" s="731"/>
      <c r="H52" s="731"/>
      <c r="I52" s="731"/>
      <c r="J52" s="731"/>
      <c r="K52" s="731"/>
      <c r="L52" s="731"/>
    </row>
    <row r="53" spans="1:12">
      <c r="A53" s="731"/>
      <c r="B53" s="731"/>
      <c r="C53" s="731"/>
      <c r="D53" s="731"/>
      <c r="E53" s="731"/>
      <c r="F53" s="731"/>
      <c r="G53" s="731"/>
      <c r="H53" s="731"/>
      <c r="I53" s="731"/>
      <c r="J53" s="731"/>
      <c r="K53" s="731"/>
      <c r="L53" s="731"/>
    </row>
    <row r="54" spans="1:12">
      <c r="A54" s="731"/>
      <c r="B54" s="731"/>
      <c r="C54" s="731"/>
      <c r="D54" s="731"/>
      <c r="E54" s="731"/>
      <c r="F54" s="731"/>
      <c r="G54" s="731"/>
      <c r="H54" s="731"/>
      <c r="I54" s="731"/>
      <c r="J54" s="731"/>
      <c r="K54" s="731"/>
      <c r="L54" s="731"/>
    </row>
    <row r="55" spans="1:12">
      <c r="A55" s="731"/>
      <c r="B55" s="731"/>
      <c r="C55" s="731"/>
      <c r="D55" s="731"/>
      <c r="E55" s="731"/>
      <c r="F55" s="731"/>
      <c r="G55" s="731"/>
      <c r="H55" s="731"/>
      <c r="I55" s="731"/>
      <c r="J55" s="731"/>
      <c r="K55" s="731"/>
      <c r="L55" s="731"/>
    </row>
    <row r="56" spans="1:12">
      <c r="A56" s="731"/>
      <c r="B56" s="731"/>
      <c r="C56" s="731"/>
      <c r="D56" s="731"/>
      <c r="E56" s="731"/>
      <c r="F56" s="731"/>
      <c r="G56" s="731"/>
      <c r="H56" s="731"/>
      <c r="I56" s="731"/>
      <c r="J56" s="731"/>
      <c r="K56" s="731"/>
      <c r="L56" s="731"/>
    </row>
    <row r="57" spans="1:12">
      <c r="A57" s="731"/>
      <c r="B57" s="731"/>
      <c r="C57" s="731"/>
      <c r="D57" s="731"/>
      <c r="E57" s="731"/>
      <c r="F57" s="731"/>
      <c r="G57" s="731"/>
      <c r="H57" s="731"/>
      <c r="I57" s="731"/>
      <c r="J57" s="731"/>
      <c r="K57" s="731"/>
      <c r="L57" s="731"/>
    </row>
    <row r="58" spans="1:12">
      <c r="A58" s="731"/>
      <c r="B58" s="731"/>
      <c r="C58" s="731"/>
      <c r="D58" s="731"/>
      <c r="E58" s="731"/>
      <c r="F58" s="731"/>
      <c r="G58" s="731"/>
      <c r="H58" s="731"/>
      <c r="I58" s="731"/>
      <c r="J58" s="731"/>
      <c r="K58" s="731"/>
      <c r="L58" s="731"/>
    </row>
    <row r="59" spans="1:12">
      <c r="A59" s="731"/>
      <c r="B59" s="731"/>
      <c r="C59" s="731"/>
      <c r="D59" s="731"/>
      <c r="E59" s="731"/>
      <c r="F59" s="731"/>
      <c r="G59" s="731"/>
      <c r="H59" s="731"/>
      <c r="I59" s="731"/>
      <c r="J59" s="731"/>
      <c r="K59" s="731"/>
      <c r="L59" s="731"/>
    </row>
    <row r="60" spans="1:12">
      <c r="A60" s="731"/>
      <c r="B60" s="731"/>
      <c r="C60" s="731"/>
      <c r="D60" s="731"/>
      <c r="E60" s="731"/>
      <c r="F60" s="731"/>
      <c r="G60" s="731"/>
      <c r="H60" s="731"/>
      <c r="I60" s="731"/>
      <c r="J60" s="731"/>
      <c r="K60" s="731"/>
      <c r="L60" s="731"/>
    </row>
    <row r="61" spans="1:12">
      <c r="A61" s="731"/>
      <c r="B61" s="731"/>
      <c r="C61" s="731"/>
      <c r="D61" s="731"/>
      <c r="E61" s="731"/>
      <c r="F61" s="731"/>
      <c r="G61" s="731"/>
      <c r="H61" s="731"/>
      <c r="I61" s="731"/>
      <c r="J61" s="731"/>
      <c r="K61" s="731"/>
      <c r="L61" s="731"/>
    </row>
    <row r="62" spans="1:12">
      <c r="A62" s="731"/>
      <c r="B62" s="731"/>
      <c r="C62" s="731"/>
      <c r="D62" s="731"/>
      <c r="E62" s="731"/>
      <c r="F62" s="731"/>
      <c r="G62" s="731"/>
      <c r="H62" s="731"/>
      <c r="I62" s="731"/>
      <c r="J62" s="731"/>
      <c r="K62" s="731"/>
      <c r="L62" s="731"/>
    </row>
    <row r="63" spans="1:12">
      <c r="A63" s="731"/>
      <c r="B63" s="731"/>
      <c r="C63" s="731"/>
      <c r="D63" s="731"/>
      <c r="E63" s="731"/>
      <c r="F63" s="731"/>
      <c r="G63" s="731"/>
      <c r="H63" s="731"/>
      <c r="I63" s="731"/>
      <c r="J63" s="731"/>
      <c r="K63" s="731"/>
      <c r="L63" s="731"/>
    </row>
    <row r="64" spans="1:12">
      <c r="A64" s="731"/>
      <c r="B64" s="731"/>
      <c r="C64" s="731"/>
      <c r="D64" s="731"/>
      <c r="E64" s="731"/>
      <c r="F64" s="731"/>
      <c r="G64" s="731"/>
      <c r="H64" s="731"/>
      <c r="I64" s="731"/>
      <c r="J64" s="731"/>
      <c r="K64" s="731"/>
      <c r="L64" s="731"/>
    </row>
    <row r="65" spans="1:12">
      <c r="A65" s="731"/>
      <c r="B65" s="731"/>
      <c r="C65" s="731"/>
      <c r="D65" s="731"/>
      <c r="E65" s="731"/>
      <c r="F65" s="731"/>
      <c r="G65" s="731"/>
      <c r="H65" s="731"/>
      <c r="I65" s="731"/>
      <c r="J65" s="731"/>
      <c r="K65" s="731"/>
      <c r="L65" s="731"/>
    </row>
    <row r="66" spans="1:12">
      <c r="A66" s="731"/>
      <c r="B66" s="731"/>
      <c r="C66" s="731"/>
      <c r="D66" s="731"/>
      <c r="E66" s="731"/>
      <c r="F66" s="731"/>
      <c r="G66" s="731"/>
      <c r="H66" s="731"/>
      <c r="I66" s="731"/>
      <c r="J66" s="731"/>
      <c r="K66" s="731"/>
      <c r="L66" s="731"/>
    </row>
    <row r="67" spans="1:12">
      <c r="A67" s="731"/>
      <c r="B67" s="731"/>
      <c r="C67" s="731"/>
      <c r="D67" s="731"/>
      <c r="E67" s="731"/>
      <c r="F67" s="731"/>
      <c r="G67" s="731"/>
      <c r="H67" s="731"/>
      <c r="I67" s="731"/>
      <c r="J67" s="731"/>
      <c r="K67" s="731"/>
      <c r="L67" s="731"/>
    </row>
    <row r="68" spans="1:12">
      <c r="A68" s="731"/>
      <c r="B68" s="731"/>
      <c r="C68" s="731"/>
      <c r="D68" s="731"/>
      <c r="E68" s="731"/>
      <c r="F68" s="731"/>
      <c r="G68" s="731"/>
      <c r="H68" s="731"/>
      <c r="I68" s="731"/>
      <c r="J68" s="731"/>
      <c r="K68" s="731"/>
      <c r="L68" s="731"/>
    </row>
    <row r="69" spans="1:12">
      <c r="A69" s="731"/>
      <c r="B69" s="731"/>
      <c r="C69" s="731"/>
      <c r="D69" s="731"/>
      <c r="E69" s="731"/>
      <c r="F69" s="731"/>
      <c r="G69" s="731"/>
      <c r="H69" s="731"/>
      <c r="I69" s="731"/>
      <c r="J69" s="731"/>
      <c r="K69" s="731"/>
      <c r="L69" s="731"/>
    </row>
    <row r="70" spans="1:12">
      <c r="A70" s="731"/>
      <c r="B70" s="731"/>
      <c r="C70" s="731"/>
      <c r="D70" s="731"/>
      <c r="E70" s="731"/>
      <c r="F70" s="731"/>
      <c r="G70" s="731"/>
      <c r="H70" s="731"/>
      <c r="I70" s="731"/>
      <c r="J70" s="731"/>
      <c r="K70" s="731"/>
      <c r="L70" s="731"/>
    </row>
    <row r="71" spans="1:12">
      <c r="A71" s="731"/>
      <c r="B71" s="731"/>
      <c r="C71" s="731"/>
      <c r="D71" s="731"/>
      <c r="E71" s="731"/>
      <c r="F71" s="731"/>
      <c r="G71" s="731"/>
      <c r="H71" s="731"/>
      <c r="I71" s="731"/>
      <c r="J71" s="731"/>
      <c r="K71" s="731"/>
      <c r="L71" s="731"/>
    </row>
    <row r="72" spans="1:12">
      <c r="A72" s="731"/>
      <c r="B72" s="731"/>
      <c r="C72" s="731"/>
      <c r="D72" s="731"/>
      <c r="E72" s="731"/>
      <c r="F72" s="731"/>
      <c r="G72" s="731"/>
      <c r="H72" s="731"/>
      <c r="I72" s="731"/>
      <c r="J72" s="731"/>
      <c r="K72" s="731"/>
      <c r="L72" s="731"/>
    </row>
    <row r="73" spans="1:12">
      <c r="A73" s="731"/>
      <c r="B73" s="731"/>
      <c r="C73" s="731"/>
      <c r="D73" s="731"/>
      <c r="E73" s="731"/>
      <c r="F73" s="731"/>
      <c r="G73" s="731"/>
      <c r="H73" s="731"/>
      <c r="I73" s="731"/>
      <c r="J73" s="731"/>
      <c r="K73" s="731"/>
      <c r="L73" s="731"/>
    </row>
    <row r="74" spans="1:12">
      <c r="A74" s="731"/>
      <c r="B74" s="731"/>
      <c r="C74" s="731"/>
      <c r="D74" s="731"/>
      <c r="E74" s="731"/>
      <c r="F74" s="731"/>
      <c r="G74" s="731"/>
      <c r="H74" s="731"/>
      <c r="I74" s="731"/>
      <c r="J74" s="731"/>
      <c r="K74" s="731"/>
      <c r="L74" s="731"/>
    </row>
    <row r="75" spans="1:12">
      <c r="A75" s="731"/>
      <c r="B75" s="731"/>
      <c r="C75" s="731"/>
      <c r="D75" s="731"/>
      <c r="E75" s="731"/>
      <c r="F75" s="731"/>
      <c r="G75" s="731"/>
      <c r="H75" s="731"/>
      <c r="I75" s="731"/>
      <c r="J75" s="731"/>
      <c r="K75" s="731"/>
      <c r="L75" s="731"/>
    </row>
    <row r="76" spans="1:12">
      <c r="A76" s="731"/>
      <c r="B76" s="731"/>
      <c r="C76" s="731"/>
      <c r="D76" s="731"/>
      <c r="E76" s="731"/>
      <c r="F76" s="731"/>
      <c r="G76" s="731"/>
      <c r="H76" s="731"/>
      <c r="I76" s="731"/>
      <c r="J76" s="731"/>
      <c r="K76" s="731"/>
      <c r="L76" s="731"/>
    </row>
    <row r="77" spans="1:12">
      <c r="A77" s="731"/>
      <c r="B77" s="731"/>
      <c r="C77" s="731"/>
      <c r="D77" s="731"/>
      <c r="E77" s="731"/>
      <c r="F77" s="731"/>
      <c r="G77" s="731"/>
      <c r="H77" s="731"/>
      <c r="I77" s="731"/>
      <c r="J77" s="731"/>
      <c r="K77" s="731"/>
      <c r="L77" s="731"/>
    </row>
    <row r="78" spans="1:12">
      <c r="A78" s="731"/>
      <c r="B78" s="731"/>
      <c r="C78" s="731"/>
      <c r="D78" s="731"/>
      <c r="E78" s="731"/>
      <c r="F78" s="731"/>
      <c r="G78" s="731"/>
      <c r="H78" s="731"/>
      <c r="I78" s="731"/>
      <c r="J78" s="731"/>
      <c r="K78" s="731"/>
      <c r="L78" s="731"/>
    </row>
    <row r="79" spans="1:12">
      <c r="A79" s="731"/>
      <c r="B79" s="731"/>
      <c r="C79" s="731"/>
      <c r="D79" s="731"/>
      <c r="E79" s="731"/>
      <c r="F79" s="731"/>
      <c r="G79" s="731"/>
      <c r="H79" s="731"/>
      <c r="I79" s="731"/>
      <c r="J79" s="731"/>
      <c r="K79" s="731"/>
      <c r="L79" s="731"/>
    </row>
    <row r="80" spans="1:12">
      <c r="A80" s="731"/>
      <c r="B80" s="731"/>
      <c r="C80" s="731"/>
      <c r="D80" s="731"/>
      <c r="E80" s="731"/>
      <c r="F80" s="731"/>
      <c r="G80" s="731"/>
      <c r="H80" s="731"/>
      <c r="I80" s="731"/>
      <c r="J80" s="731"/>
      <c r="K80" s="731"/>
      <c r="L80" s="731"/>
    </row>
    <row r="81" spans="1:12">
      <c r="A81" s="731"/>
      <c r="B81" s="731"/>
      <c r="C81" s="731"/>
      <c r="D81" s="731"/>
      <c r="E81" s="731"/>
      <c r="F81" s="731"/>
      <c r="G81" s="731"/>
      <c r="H81" s="731"/>
      <c r="I81" s="731"/>
      <c r="J81" s="731"/>
      <c r="K81" s="731"/>
      <c r="L81" s="731"/>
    </row>
    <row r="82" spans="1:12">
      <c r="A82" s="731"/>
      <c r="B82" s="731"/>
      <c r="C82" s="731"/>
      <c r="D82" s="731"/>
      <c r="E82" s="731"/>
      <c r="F82" s="731"/>
      <c r="G82" s="731"/>
      <c r="H82" s="731"/>
      <c r="I82" s="731"/>
      <c r="J82" s="731"/>
      <c r="K82" s="731"/>
      <c r="L82" s="731"/>
    </row>
    <row r="83" spans="1:12">
      <c r="A83" s="731"/>
      <c r="B83" s="731"/>
      <c r="C83" s="731"/>
      <c r="D83" s="731"/>
      <c r="E83" s="731"/>
      <c r="F83" s="731"/>
      <c r="G83" s="731"/>
      <c r="H83" s="731"/>
      <c r="I83" s="731"/>
      <c r="J83" s="731"/>
      <c r="K83" s="731"/>
      <c r="L83" s="731"/>
    </row>
    <row r="84" spans="1:12">
      <c r="A84" s="731"/>
      <c r="B84" s="731"/>
      <c r="C84" s="731"/>
      <c r="D84" s="731"/>
      <c r="E84" s="731"/>
      <c r="F84" s="731"/>
      <c r="G84" s="731"/>
      <c r="H84" s="731"/>
      <c r="I84" s="731"/>
      <c r="J84" s="731"/>
      <c r="K84" s="731"/>
      <c r="L84" s="731"/>
    </row>
    <row r="85" spans="1:12">
      <c r="A85" s="731"/>
      <c r="B85" s="731"/>
      <c r="C85" s="731"/>
      <c r="D85" s="731"/>
      <c r="E85" s="731"/>
      <c r="F85" s="731"/>
      <c r="G85" s="731"/>
      <c r="H85" s="731"/>
      <c r="I85" s="731"/>
      <c r="J85" s="731"/>
      <c r="K85" s="731"/>
      <c r="L85" s="731"/>
    </row>
    <row r="86" spans="1:12">
      <c r="A86" s="731"/>
      <c r="B86" s="731"/>
      <c r="C86" s="731"/>
      <c r="D86" s="731"/>
      <c r="E86" s="731"/>
      <c r="F86" s="731"/>
      <c r="G86" s="731"/>
      <c r="H86" s="731"/>
      <c r="I86" s="731"/>
      <c r="J86" s="731"/>
      <c r="K86" s="731"/>
      <c r="L86" s="731"/>
    </row>
    <row r="87" spans="1:12">
      <c r="A87" s="731"/>
      <c r="B87" s="731"/>
      <c r="C87" s="731"/>
      <c r="D87" s="731"/>
      <c r="E87" s="731"/>
      <c r="F87" s="731"/>
      <c r="G87" s="731"/>
      <c r="H87" s="731"/>
      <c r="I87" s="731"/>
      <c r="J87" s="731"/>
      <c r="K87" s="731"/>
      <c r="L87" s="731"/>
    </row>
    <row r="88" spans="1:12">
      <c r="A88" s="731"/>
      <c r="B88" s="731"/>
      <c r="C88" s="731"/>
      <c r="D88" s="731"/>
      <c r="E88" s="731"/>
      <c r="F88" s="731"/>
      <c r="G88" s="731"/>
      <c r="H88" s="731"/>
      <c r="I88" s="731"/>
      <c r="J88" s="731"/>
      <c r="K88" s="731"/>
      <c r="L88" s="731"/>
    </row>
    <row r="89" spans="1:12">
      <c r="A89" s="731"/>
      <c r="B89" s="731"/>
      <c r="C89" s="731"/>
      <c r="D89" s="731"/>
      <c r="E89" s="731"/>
      <c r="F89" s="731"/>
      <c r="G89" s="731"/>
      <c r="H89" s="731"/>
      <c r="I89" s="731"/>
      <c r="J89" s="731"/>
      <c r="K89" s="731"/>
      <c r="L89" s="731"/>
    </row>
    <row r="90" spans="1:12">
      <c r="A90" s="731"/>
      <c r="B90" s="731"/>
      <c r="C90" s="731"/>
      <c r="D90" s="731"/>
      <c r="E90" s="731"/>
      <c r="F90" s="731"/>
      <c r="G90" s="731"/>
      <c r="H90" s="731"/>
      <c r="I90" s="731"/>
      <c r="J90" s="731"/>
      <c r="K90" s="731"/>
      <c r="L90" s="731"/>
    </row>
    <row r="91" spans="1:12">
      <c r="A91" s="731"/>
      <c r="B91" s="731"/>
      <c r="C91" s="731"/>
      <c r="D91" s="731"/>
      <c r="E91" s="731"/>
      <c r="F91" s="731"/>
      <c r="G91" s="731"/>
      <c r="H91" s="731"/>
      <c r="I91" s="731"/>
      <c r="J91" s="731"/>
      <c r="K91" s="731"/>
      <c r="L91" s="731"/>
    </row>
    <row r="92" spans="1:12">
      <c r="A92" s="731"/>
      <c r="B92" s="731"/>
      <c r="C92" s="731"/>
      <c r="D92" s="731"/>
      <c r="E92" s="731"/>
      <c r="F92" s="731"/>
      <c r="G92" s="731"/>
      <c r="H92" s="731"/>
      <c r="I92" s="731"/>
      <c r="J92" s="731"/>
      <c r="K92" s="731"/>
      <c r="L92" s="731"/>
    </row>
    <row r="93" spans="1:12">
      <c r="A93" s="731"/>
      <c r="B93" s="731"/>
      <c r="C93" s="731"/>
      <c r="D93" s="731"/>
      <c r="E93" s="731"/>
      <c r="F93" s="731"/>
      <c r="G93" s="731"/>
      <c r="H93" s="731"/>
      <c r="I93" s="731"/>
      <c r="J93" s="731"/>
      <c r="K93" s="731"/>
      <c r="L93" s="731"/>
    </row>
    <row r="94" spans="1:12">
      <c r="A94" s="731"/>
      <c r="B94" s="731"/>
      <c r="C94" s="731"/>
      <c r="D94" s="731"/>
      <c r="E94" s="731"/>
      <c r="F94" s="731"/>
      <c r="G94" s="731"/>
      <c r="H94" s="731"/>
      <c r="I94" s="731"/>
      <c r="J94" s="731"/>
      <c r="K94" s="731"/>
      <c r="L94" s="731"/>
    </row>
    <row r="95" spans="1:12">
      <c r="A95" s="731"/>
      <c r="B95" s="731"/>
      <c r="C95" s="731"/>
      <c r="D95" s="731"/>
      <c r="E95" s="731"/>
      <c r="F95" s="731"/>
      <c r="G95" s="731"/>
      <c r="H95" s="731"/>
      <c r="I95" s="731"/>
      <c r="J95" s="731"/>
      <c r="K95" s="731"/>
      <c r="L95" s="731"/>
    </row>
    <row r="96" spans="1:12">
      <c r="A96" s="731"/>
      <c r="B96" s="731"/>
      <c r="C96" s="731"/>
      <c r="D96" s="731"/>
      <c r="E96" s="731"/>
      <c r="F96" s="731"/>
      <c r="G96" s="731"/>
      <c r="H96" s="731"/>
      <c r="I96" s="731"/>
      <c r="J96" s="731"/>
      <c r="K96" s="731"/>
      <c r="L96" s="731"/>
    </row>
    <row r="97" spans="1:12">
      <c r="A97" s="731"/>
      <c r="B97" s="731"/>
      <c r="C97" s="731"/>
      <c r="D97" s="731"/>
      <c r="E97" s="731"/>
      <c r="F97" s="731"/>
      <c r="G97" s="731"/>
      <c r="H97" s="731"/>
      <c r="I97" s="731"/>
      <c r="J97" s="731"/>
      <c r="K97" s="731"/>
      <c r="L97" s="731"/>
    </row>
    <row r="98" spans="1:12">
      <c r="A98" s="731"/>
      <c r="B98" s="731"/>
      <c r="C98" s="731"/>
      <c r="D98" s="731"/>
      <c r="E98" s="731"/>
      <c r="F98" s="731"/>
      <c r="G98" s="731"/>
      <c r="H98" s="731"/>
      <c r="I98" s="731"/>
      <c r="J98" s="731"/>
      <c r="K98" s="731"/>
      <c r="L98" s="731"/>
    </row>
    <row r="99" spans="1:12">
      <c r="A99" s="731"/>
      <c r="B99" s="731"/>
      <c r="C99" s="731"/>
      <c r="D99" s="731"/>
      <c r="E99" s="731"/>
      <c r="F99" s="731"/>
      <c r="G99" s="731"/>
      <c r="H99" s="731"/>
      <c r="I99" s="731"/>
      <c r="J99" s="731"/>
      <c r="K99" s="731"/>
      <c r="L99" s="731"/>
    </row>
    <row r="100" spans="1:12">
      <c r="A100" s="731"/>
      <c r="B100" s="731"/>
      <c r="C100" s="731"/>
      <c r="D100" s="731"/>
      <c r="E100" s="731"/>
      <c r="F100" s="731"/>
      <c r="G100" s="731"/>
      <c r="H100" s="731"/>
      <c r="I100" s="731"/>
      <c r="J100" s="731"/>
      <c r="K100" s="731"/>
      <c r="L100" s="731"/>
    </row>
    <row r="101" spans="1:12">
      <c r="A101" s="731"/>
      <c r="B101" s="731"/>
      <c r="C101" s="731"/>
      <c r="D101" s="731"/>
      <c r="E101" s="731"/>
      <c r="F101" s="731"/>
      <c r="G101" s="731"/>
      <c r="H101" s="731"/>
      <c r="I101" s="731"/>
      <c r="J101" s="731"/>
      <c r="K101" s="731"/>
      <c r="L101" s="731"/>
    </row>
    <row r="102" spans="1:12">
      <c r="A102" s="731"/>
      <c r="B102" s="731"/>
      <c r="C102" s="731"/>
      <c r="D102" s="731"/>
      <c r="E102" s="731"/>
      <c r="F102" s="731"/>
      <c r="G102" s="731"/>
      <c r="H102" s="731"/>
      <c r="I102" s="731"/>
      <c r="J102" s="731"/>
      <c r="K102" s="731"/>
      <c r="L102" s="731"/>
    </row>
    <row r="103" spans="1:12">
      <c r="A103" s="731"/>
      <c r="B103" s="731"/>
      <c r="C103" s="731"/>
      <c r="D103" s="731"/>
      <c r="E103" s="731"/>
      <c r="F103" s="731"/>
      <c r="G103" s="731"/>
      <c r="H103" s="731"/>
      <c r="I103" s="731"/>
      <c r="J103" s="731"/>
      <c r="K103" s="731"/>
      <c r="L103" s="731"/>
    </row>
    <row r="104" spans="1:12">
      <c r="A104" s="731"/>
      <c r="B104" s="731"/>
      <c r="C104" s="731"/>
      <c r="D104" s="731"/>
      <c r="E104" s="731"/>
      <c r="F104" s="731"/>
      <c r="G104" s="731"/>
      <c r="H104" s="731"/>
      <c r="I104" s="731"/>
      <c r="J104" s="731"/>
      <c r="K104" s="731"/>
      <c r="L104" s="731"/>
    </row>
    <row r="105" spans="1:12">
      <c r="A105" s="731"/>
      <c r="B105" s="731"/>
      <c r="C105" s="731"/>
      <c r="D105" s="731"/>
      <c r="E105" s="731"/>
      <c r="F105" s="731"/>
      <c r="G105" s="731"/>
      <c r="H105" s="731"/>
      <c r="I105" s="731"/>
      <c r="J105" s="731"/>
      <c r="K105" s="731"/>
      <c r="L105" s="731"/>
    </row>
    <row r="106" spans="1:12">
      <c r="A106" s="731"/>
      <c r="B106" s="731"/>
      <c r="C106" s="731"/>
      <c r="D106" s="731"/>
      <c r="E106" s="731"/>
      <c r="F106" s="731"/>
      <c r="G106" s="731"/>
      <c r="H106" s="731"/>
      <c r="I106" s="731"/>
      <c r="J106" s="731"/>
      <c r="K106" s="731"/>
      <c r="L106" s="731"/>
    </row>
    <row r="107" spans="1:12">
      <c r="A107" s="731"/>
      <c r="B107" s="731"/>
      <c r="C107" s="731"/>
      <c r="D107" s="731"/>
      <c r="E107" s="731"/>
      <c r="F107" s="731"/>
      <c r="G107" s="731"/>
      <c r="H107" s="731"/>
      <c r="I107" s="731"/>
      <c r="J107" s="731"/>
      <c r="K107" s="731"/>
      <c r="L107" s="731"/>
    </row>
    <row r="108" spans="1:12">
      <c r="A108" s="731"/>
      <c r="B108" s="731"/>
      <c r="C108" s="731"/>
      <c r="D108" s="731"/>
      <c r="E108" s="731"/>
      <c r="F108" s="731"/>
      <c r="G108" s="731"/>
      <c r="H108" s="731"/>
      <c r="I108" s="731"/>
      <c r="J108" s="731"/>
      <c r="K108" s="731"/>
      <c r="L108" s="731"/>
    </row>
    <row r="109" spans="1:12">
      <c r="A109" s="731"/>
      <c r="B109" s="731"/>
      <c r="C109" s="731"/>
      <c r="D109" s="731"/>
      <c r="E109" s="731"/>
      <c r="F109" s="731"/>
      <c r="G109" s="731"/>
      <c r="H109" s="731"/>
      <c r="I109" s="731"/>
      <c r="J109" s="731"/>
      <c r="K109" s="731"/>
      <c r="L109" s="731"/>
    </row>
    <row r="110" spans="1:12">
      <c r="A110" s="731"/>
      <c r="B110" s="731"/>
      <c r="C110" s="731"/>
      <c r="D110" s="731"/>
      <c r="E110" s="731"/>
      <c r="F110" s="731"/>
      <c r="G110" s="731"/>
      <c r="H110" s="731"/>
      <c r="I110" s="731"/>
      <c r="J110" s="731"/>
      <c r="K110" s="731"/>
      <c r="L110" s="731"/>
    </row>
    <row r="111" spans="1:12">
      <c r="A111" s="731"/>
      <c r="B111" s="731"/>
      <c r="C111" s="731"/>
      <c r="D111" s="731"/>
      <c r="E111" s="731"/>
      <c r="F111" s="731"/>
      <c r="G111" s="731"/>
      <c r="H111" s="731"/>
      <c r="I111" s="731"/>
      <c r="J111" s="731"/>
      <c r="K111" s="731"/>
      <c r="L111" s="731"/>
    </row>
    <row r="112" spans="1:12">
      <c r="A112" s="731"/>
      <c r="B112" s="731"/>
      <c r="C112" s="731"/>
      <c r="D112" s="731"/>
      <c r="E112" s="731"/>
      <c r="F112" s="731"/>
      <c r="G112" s="731"/>
      <c r="H112" s="731"/>
      <c r="I112" s="731"/>
      <c r="J112" s="731"/>
      <c r="K112" s="731"/>
      <c r="L112" s="731"/>
    </row>
    <row r="113" spans="1:12">
      <c r="A113" s="731"/>
      <c r="B113" s="731"/>
      <c r="C113" s="731"/>
      <c r="D113" s="731"/>
      <c r="E113" s="731"/>
      <c r="F113" s="731"/>
      <c r="G113" s="731"/>
      <c r="H113" s="731"/>
      <c r="I113" s="731"/>
      <c r="J113" s="731"/>
      <c r="K113" s="731"/>
      <c r="L113" s="731"/>
    </row>
    <row r="114" spans="1:12">
      <c r="A114" s="731"/>
      <c r="B114" s="731"/>
      <c r="C114" s="731"/>
      <c r="D114" s="731"/>
      <c r="E114" s="731"/>
      <c r="F114" s="731"/>
      <c r="G114" s="731"/>
      <c r="H114" s="731"/>
      <c r="I114" s="731"/>
      <c r="J114" s="731"/>
      <c r="K114" s="731"/>
      <c r="L114" s="731"/>
    </row>
    <row r="115" spans="1:12">
      <c r="A115" s="731"/>
      <c r="B115" s="731"/>
      <c r="C115" s="731"/>
      <c r="D115" s="731"/>
      <c r="E115" s="731"/>
      <c r="F115" s="731"/>
      <c r="G115" s="731"/>
      <c r="H115" s="731"/>
      <c r="I115" s="731"/>
      <c r="J115" s="731"/>
      <c r="K115" s="731"/>
      <c r="L115" s="731"/>
    </row>
    <row r="116" spans="1:12">
      <c r="A116" s="731"/>
      <c r="B116" s="731"/>
      <c r="C116" s="731"/>
      <c r="D116" s="731"/>
      <c r="E116" s="731"/>
      <c r="F116" s="731"/>
      <c r="G116" s="731"/>
      <c r="H116" s="731"/>
      <c r="I116" s="731"/>
      <c r="J116" s="731"/>
      <c r="K116" s="731"/>
      <c r="L116" s="731"/>
    </row>
    <row r="117" spans="1:12">
      <c r="A117" s="731"/>
      <c r="B117" s="731"/>
      <c r="C117" s="731"/>
      <c r="D117" s="731"/>
      <c r="E117" s="731"/>
      <c r="F117" s="731"/>
      <c r="G117" s="731"/>
      <c r="H117" s="731"/>
      <c r="I117" s="731"/>
      <c r="J117" s="731"/>
      <c r="K117" s="731"/>
      <c r="L117" s="731"/>
    </row>
    <row r="118" spans="1:12">
      <c r="A118" s="731"/>
      <c r="B118" s="731"/>
      <c r="C118" s="731"/>
      <c r="D118" s="731"/>
      <c r="E118" s="731"/>
      <c r="F118" s="731"/>
      <c r="G118" s="731"/>
      <c r="H118" s="731"/>
      <c r="I118" s="731"/>
      <c r="J118" s="731"/>
      <c r="K118" s="731"/>
      <c r="L118" s="731"/>
    </row>
    <row r="119" spans="1:12">
      <c r="A119" s="731"/>
      <c r="B119" s="731"/>
      <c r="C119" s="731"/>
      <c r="D119" s="731"/>
      <c r="E119" s="731"/>
      <c r="F119" s="731"/>
      <c r="G119" s="731"/>
      <c r="H119" s="731"/>
      <c r="I119" s="731"/>
      <c r="J119" s="731"/>
      <c r="K119" s="731"/>
      <c r="L119" s="731"/>
    </row>
    <row r="120" spans="1:12">
      <c r="A120" s="731"/>
      <c r="B120" s="731"/>
      <c r="C120" s="731"/>
      <c r="D120" s="731"/>
      <c r="E120" s="731"/>
      <c r="F120" s="731"/>
      <c r="G120" s="731"/>
      <c r="H120" s="731"/>
      <c r="I120" s="731"/>
      <c r="J120" s="731"/>
      <c r="K120" s="731"/>
      <c r="L120" s="731"/>
    </row>
    <row r="121" spans="1:12">
      <c r="A121" s="731"/>
      <c r="B121" s="731"/>
      <c r="C121" s="731"/>
      <c r="D121" s="731"/>
      <c r="E121" s="731"/>
      <c r="F121" s="731"/>
      <c r="G121" s="731"/>
      <c r="H121" s="731"/>
      <c r="I121" s="731"/>
      <c r="J121" s="731"/>
      <c r="K121" s="731"/>
      <c r="L121" s="731"/>
    </row>
    <row r="122" spans="1:12">
      <c r="A122" s="731"/>
      <c r="B122" s="731"/>
      <c r="C122" s="731"/>
      <c r="D122" s="731"/>
      <c r="E122" s="731"/>
      <c r="F122" s="731"/>
      <c r="G122" s="731"/>
      <c r="H122" s="731"/>
      <c r="I122" s="731"/>
      <c r="J122" s="731"/>
      <c r="K122" s="731"/>
      <c r="L122" s="731"/>
    </row>
    <row r="123" spans="1:12">
      <c r="A123" s="731"/>
      <c r="B123" s="731"/>
      <c r="C123" s="731"/>
      <c r="D123" s="731"/>
      <c r="E123" s="731"/>
      <c r="F123" s="731"/>
      <c r="G123" s="731"/>
      <c r="H123" s="731"/>
      <c r="I123" s="731"/>
      <c r="J123" s="731"/>
      <c r="K123" s="731"/>
      <c r="L123" s="731"/>
    </row>
    <row r="124" spans="1:12">
      <c r="A124" s="731"/>
      <c r="B124" s="731"/>
      <c r="C124" s="731"/>
      <c r="D124" s="731"/>
      <c r="E124" s="731"/>
      <c r="F124" s="731"/>
      <c r="G124" s="731"/>
      <c r="H124" s="731"/>
      <c r="I124" s="731"/>
      <c r="J124" s="731"/>
      <c r="K124" s="731"/>
      <c r="L124" s="731"/>
    </row>
    <row r="125" spans="1:12">
      <c r="A125" s="731"/>
      <c r="B125" s="731"/>
      <c r="C125" s="731"/>
      <c r="D125" s="731"/>
      <c r="E125" s="731"/>
      <c r="F125" s="731"/>
      <c r="G125" s="731"/>
      <c r="H125" s="731"/>
      <c r="I125" s="731"/>
      <c r="J125" s="731"/>
      <c r="K125" s="731"/>
      <c r="L125" s="731"/>
    </row>
    <row r="126" spans="1:12">
      <c r="A126" s="731"/>
      <c r="B126" s="731"/>
      <c r="C126" s="731"/>
      <c r="D126" s="731"/>
      <c r="E126" s="731"/>
      <c r="F126" s="731"/>
      <c r="G126" s="731"/>
      <c r="H126" s="731"/>
      <c r="I126" s="731"/>
      <c r="J126" s="731"/>
      <c r="K126" s="731"/>
      <c r="L126" s="731"/>
    </row>
    <row r="127" spans="1:12">
      <c r="A127" s="731"/>
      <c r="B127" s="731"/>
      <c r="C127" s="731"/>
      <c r="D127" s="731"/>
      <c r="E127" s="731"/>
      <c r="F127" s="731"/>
      <c r="G127" s="731"/>
      <c r="H127" s="731"/>
      <c r="I127" s="731"/>
      <c r="J127" s="731"/>
      <c r="K127" s="731"/>
      <c r="L127" s="731"/>
    </row>
    <row r="128" spans="1:12">
      <c r="A128" s="731"/>
      <c r="B128" s="731"/>
      <c r="C128" s="731"/>
      <c r="D128" s="731"/>
      <c r="E128" s="731"/>
      <c r="F128" s="731"/>
      <c r="G128" s="731"/>
      <c r="H128" s="731"/>
      <c r="I128" s="731"/>
      <c r="J128" s="731"/>
      <c r="K128" s="731"/>
      <c r="L128" s="731"/>
    </row>
    <row r="129" spans="1:12">
      <c r="A129" s="731"/>
      <c r="B129" s="731"/>
      <c r="C129" s="731"/>
      <c r="D129" s="731"/>
      <c r="E129" s="731"/>
      <c r="F129" s="731"/>
      <c r="G129" s="731"/>
      <c r="H129" s="731"/>
      <c r="I129" s="731"/>
      <c r="J129" s="731"/>
      <c r="K129" s="731"/>
      <c r="L129" s="731"/>
    </row>
    <row r="130" spans="1:12">
      <c r="A130" s="731"/>
      <c r="B130" s="731"/>
      <c r="C130" s="731"/>
      <c r="D130" s="731"/>
      <c r="E130" s="731"/>
      <c r="F130" s="731"/>
      <c r="G130" s="731"/>
      <c r="H130" s="731"/>
      <c r="I130" s="731"/>
      <c r="J130" s="731"/>
      <c r="K130" s="731"/>
      <c r="L130" s="731"/>
    </row>
    <row r="131" spans="1:12">
      <c r="A131" s="731"/>
      <c r="B131" s="731"/>
      <c r="C131" s="731"/>
      <c r="D131" s="731"/>
      <c r="E131" s="731"/>
      <c r="F131" s="731"/>
      <c r="G131" s="731"/>
      <c r="H131" s="731"/>
      <c r="I131" s="731"/>
      <c r="J131" s="731"/>
      <c r="K131" s="731"/>
      <c r="L131" s="731"/>
    </row>
    <row r="132" spans="1:12">
      <c r="A132" s="731"/>
      <c r="B132" s="731"/>
      <c r="C132" s="731"/>
      <c r="D132" s="731"/>
      <c r="E132" s="731"/>
      <c r="F132" s="731"/>
      <c r="G132" s="731"/>
      <c r="H132" s="731"/>
      <c r="I132" s="731"/>
      <c r="J132" s="731"/>
      <c r="K132" s="731"/>
      <c r="L132" s="731"/>
    </row>
    <row r="133" spans="1:12">
      <c r="A133" s="731"/>
      <c r="B133" s="731"/>
      <c r="C133" s="731"/>
      <c r="D133" s="731"/>
      <c r="E133" s="731"/>
      <c r="F133" s="731"/>
      <c r="G133" s="731"/>
      <c r="H133" s="731"/>
      <c r="I133" s="731"/>
      <c r="J133" s="731"/>
      <c r="K133" s="731"/>
      <c r="L133" s="731"/>
    </row>
    <row r="134" spans="1:12">
      <c r="A134" s="731"/>
      <c r="B134" s="731"/>
      <c r="C134" s="731"/>
      <c r="D134" s="731"/>
      <c r="E134" s="731"/>
      <c r="F134" s="731"/>
      <c r="G134" s="731"/>
      <c r="H134" s="731"/>
      <c r="I134" s="731"/>
      <c r="J134" s="731"/>
      <c r="K134" s="731"/>
      <c r="L134" s="731"/>
    </row>
    <row r="135" spans="1:12">
      <c r="A135" s="731"/>
      <c r="B135" s="731"/>
      <c r="C135" s="731"/>
      <c r="D135" s="731"/>
      <c r="E135" s="731"/>
      <c r="F135" s="731"/>
      <c r="G135" s="731"/>
      <c r="H135" s="731"/>
      <c r="I135" s="731"/>
      <c r="J135" s="731"/>
      <c r="K135" s="731"/>
      <c r="L135" s="731"/>
    </row>
    <row r="136" spans="1:12">
      <c r="A136" s="731"/>
      <c r="B136" s="731"/>
      <c r="C136" s="731"/>
      <c r="D136" s="731"/>
      <c r="E136" s="731"/>
      <c r="F136" s="731"/>
      <c r="G136" s="731"/>
      <c r="H136" s="731"/>
      <c r="I136" s="731"/>
      <c r="J136" s="731"/>
      <c r="K136" s="731"/>
      <c r="L136" s="731"/>
    </row>
    <row r="137" spans="1:12">
      <c r="A137" s="731"/>
      <c r="B137" s="731"/>
      <c r="C137" s="731"/>
      <c r="D137" s="731"/>
      <c r="E137" s="731"/>
      <c r="F137" s="731"/>
      <c r="G137" s="731"/>
      <c r="H137" s="731"/>
      <c r="I137" s="731"/>
      <c r="J137" s="731"/>
      <c r="K137" s="731"/>
      <c r="L137" s="731"/>
    </row>
    <row r="138" spans="1:12">
      <c r="A138" s="731"/>
      <c r="B138" s="731"/>
      <c r="C138" s="731"/>
      <c r="D138" s="731"/>
      <c r="E138" s="731"/>
      <c r="F138" s="731"/>
      <c r="G138" s="731"/>
      <c r="H138" s="731"/>
      <c r="I138" s="731"/>
      <c r="J138" s="731"/>
      <c r="K138" s="731"/>
      <c r="L138" s="731"/>
    </row>
    <row r="139" spans="1:12">
      <c r="A139" s="731"/>
      <c r="B139" s="731"/>
      <c r="C139" s="731"/>
      <c r="D139" s="731"/>
      <c r="E139" s="731"/>
      <c r="F139" s="731"/>
      <c r="G139" s="731"/>
      <c r="H139" s="731"/>
      <c r="I139" s="731"/>
      <c r="J139" s="731"/>
      <c r="K139" s="731"/>
      <c r="L139" s="731"/>
    </row>
    <row r="140" spans="1:12">
      <c r="A140" s="731"/>
      <c r="B140" s="731"/>
      <c r="C140" s="731"/>
      <c r="D140" s="731"/>
      <c r="E140" s="731"/>
      <c r="F140" s="731"/>
      <c r="G140" s="731"/>
      <c r="H140" s="731"/>
      <c r="I140" s="731"/>
      <c r="J140" s="731"/>
      <c r="K140" s="731"/>
      <c r="L140" s="731"/>
    </row>
    <row r="141" spans="1:12">
      <c r="A141" s="731"/>
      <c r="B141" s="731"/>
      <c r="C141" s="731"/>
      <c r="D141" s="731"/>
      <c r="E141" s="731"/>
      <c r="F141" s="731"/>
      <c r="G141" s="731"/>
      <c r="H141" s="731"/>
      <c r="I141" s="731"/>
      <c r="J141" s="731"/>
      <c r="K141" s="731"/>
      <c r="L141" s="731"/>
    </row>
    <row r="142" spans="1:12">
      <c r="A142" s="731"/>
      <c r="B142" s="731"/>
      <c r="C142" s="731"/>
      <c r="D142" s="731"/>
      <c r="E142" s="731"/>
      <c r="F142" s="731"/>
      <c r="G142" s="731"/>
      <c r="H142" s="731"/>
      <c r="I142" s="731"/>
      <c r="J142" s="731"/>
      <c r="K142" s="731"/>
      <c r="L142" s="731"/>
    </row>
    <row r="143" spans="1:12">
      <c r="A143" s="731"/>
      <c r="B143" s="731"/>
      <c r="C143" s="731"/>
      <c r="D143" s="731"/>
      <c r="E143" s="731"/>
      <c r="F143" s="731"/>
      <c r="G143" s="731"/>
      <c r="H143" s="731"/>
      <c r="I143" s="731"/>
      <c r="J143" s="731"/>
      <c r="K143" s="731"/>
      <c r="L143" s="731"/>
    </row>
    <row r="144" spans="1:12">
      <c r="A144" s="731"/>
      <c r="B144" s="731"/>
      <c r="C144" s="731"/>
      <c r="D144" s="731"/>
      <c r="E144" s="731"/>
      <c r="F144" s="731"/>
      <c r="G144" s="731"/>
      <c r="H144" s="731"/>
      <c r="I144" s="731"/>
      <c r="J144" s="731"/>
      <c r="K144" s="731"/>
      <c r="L144" s="731"/>
    </row>
    <row r="145" spans="1:12">
      <c r="A145" s="731"/>
      <c r="B145" s="731"/>
      <c r="C145" s="731"/>
      <c r="D145" s="731"/>
      <c r="E145" s="731"/>
      <c r="F145" s="731"/>
      <c r="G145" s="731"/>
      <c r="H145" s="731"/>
      <c r="I145" s="731"/>
      <c r="J145" s="731"/>
      <c r="K145" s="731"/>
      <c r="L145" s="731"/>
    </row>
    <row r="146" spans="1:12">
      <c r="A146" s="731"/>
      <c r="B146" s="731"/>
      <c r="C146" s="731"/>
      <c r="D146" s="731"/>
      <c r="E146" s="731"/>
      <c r="F146" s="731"/>
      <c r="G146" s="731"/>
      <c r="H146" s="731"/>
      <c r="I146" s="731"/>
      <c r="J146" s="731"/>
      <c r="K146" s="731"/>
      <c r="L146" s="731"/>
    </row>
    <row r="147" spans="1:12">
      <c r="A147" s="731"/>
      <c r="B147" s="731"/>
      <c r="C147" s="731"/>
      <c r="D147" s="731"/>
      <c r="E147" s="731"/>
      <c r="F147" s="731"/>
      <c r="G147" s="731"/>
      <c r="H147" s="731"/>
      <c r="I147" s="731"/>
      <c r="J147" s="731"/>
      <c r="K147" s="731"/>
      <c r="L147" s="731"/>
    </row>
    <row r="148" spans="1:12">
      <c r="A148" s="731"/>
      <c r="B148" s="731"/>
      <c r="C148" s="731"/>
      <c r="D148" s="731"/>
      <c r="E148" s="731"/>
      <c r="F148" s="731"/>
      <c r="G148" s="731"/>
      <c r="H148" s="731"/>
      <c r="I148" s="731"/>
      <c r="J148" s="731"/>
      <c r="K148" s="731"/>
      <c r="L148" s="731"/>
    </row>
    <row r="149" spans="1:12">
      <c r="A149" s="731"/>
      <c r="B149" s="731"/>
      <c r="C149" s="731"/>
      <c r="D149" s="731"/>
      <c r="E149" s="731"/>
      <c r="F149" s="731"/>
      <c r="G149" s="731"/>
      <c r="H149" s="731"/>
      <c r="I149" s="731"/>
      <c r="J149" s="731"/>
      <c r="K149" s="731"/>
      <c r="L149" s="731"/>
    </row>
    <row r="150" spans="1:12">
      <c r="A150" s="731"/>
      <c r="B150" s="731"/>
      <c r="C150" s="731"/>
      <c r="D150" s="731"/>
      <c r="E150" s="731"/>
      <c r="F150" s="731"/>
      <c r="G150" s="731"/>
      <c r="H150" s="731"/>
      <c r="I150" s="731"/>
      <c r="J150" s="731"/>
      <c r="K150" s="731"/>
      <c r="L150" s="731"/>
    </row>
    <row r="151" spans="1:12">
      <c r="A151" s="731"/>
      <c r="B151" s="731"/>
      <c r="C151" s="731"/>
      <c r="D151" s="731"/>
      <c r="E151" s="731"/>
      <c r="F151" s="731"/>
      <c r="G151" s="731"/>
      <c r="H151" s="731"/>
      <c r="I151" s="731"/>
      <c r="J151" s="731"/>
      <c r="K151" s="731"/>
      <c r="L151" s="731"/>
    </row>
    <row r="152" spans="1:12">
      <c r="A152" s="731"/>
      <c r="B152" s="731"/>
      <c r="C152" s="731"/>
      <c r="D152" s="731"/>
      <c r="E152" s="731"/>
      <c r="F152" s="731"/>
      <c r="G152" s="731"/>
      <c r="H152" s="731"/>
      <c r="I152" s="731"/>
      <c r="J152" s="731"/>
      <c r="K152" s="731"/>
      <c r="L152" s="731"/>
    </row>
    <row r="153" spans="1:12">
      <c r="A153" s="731"/>
      <c r="B153" s="731"/>
      <c r="C153" s="731"/>
      <c r="D153" s="731"/>
      <c r="E153" s="731"/>
      <c r="F153" s="731"/>
      <c r="G153" s="731"/>
      <c r="H153" s="731"/>
      <c r="I153" s="731"/>
      <c r="J153" s="731"/>
      <c r="K153" s="731"/>
      <c r="L153" s="731"/>
    </row>
    <row r="154" spans="1:12">
      <c r="A154" s="731"/>
      <c r="B154" s="731"/>
      <c r="C154" s="731"/>
      <c r="D154" s="731"/>
      <c r="E154" s="731"/>
      <c r="F154" s="731"/>
      <c r="G154" s="731"/>
      <c r="H154" s="731"/>
      <c r="I154" s="731"/>
      <c r="J154" s="731"/>
      <c r="K154" s="731"/>
      <c r="L154" s="731"/>
    </row>
    <row r="155" spans="1:12">
      <c r="A155" s="731"/>
      <c r="B155" s="731"/>
      <c r="C155" s="731"/>
      <c r="D155" s="731"/>
      <c r="E155" s="731"/>
      <c r="F155" s="731"/>
      <c r="G155" s="731"/>
      <c r="H155" s="731"/>
      <c r="I155" s="731"/>
      <c r="J155" s="731"/>
      <c r="K155" s="731"/>
      <c r="L155" s="731"/>
    </row>
    <row r="156" spans="1:12">
      <c r="A156" s="731"/>
      <c r="B156" s="731"/>
      <c r="C156" s="731"/>
      <c r="D156" s="731"/>
      <c r="E156" s="731"/>
      <c r="F156" s="731"/>
      <c r="G156" s="731"/>
      <c r="H156" s="731"/>
      <c r="I156" s="731"/>
      <c r="J156" s="731"/>
      <c r="K156" s="731"/>
      <c r="L156" s="731"/>
    </row>
  </sheetData>
  <sheetProtection selectLockedCells="1" selectUnlockedCells="1"/>
  <mergeCells count="55">
    <mergeCell ref="A22:C22"/>
    <mergeCell ref="D22:J22"/>
    <mergeCell ref="K22:L22"/>
    <mergeCell ref="M12:O12"/>
    <mergeCell ref="K13:L13"/>
    <mergeCell ref="M13:T23"/>
    <mergeCell ref="K14:L14"/>
    <mergeCell ref="K15:L15"/>
    <mergeCell ref="K16:L16"/>
    <mergeCell ref="K17:L17"/>
    <mergeCell ref="E23:L23"/>
    <mergeCell ref="G21:I21"/>
    <mergeCell ref="K21:L21"/>
    <mergeCell ref="A26:C28"/>
    <mergeCell ref="D26:L28"/>
    <mergeCell ref="M26:T30"/>
    <mergeCell ref="A18:C18"/>
    <mergeCell ref="K18:L18"/>
    <mergeCell ref="A19:J19"/>
    <mergeCell ref="K19:L19"/>
    <mergeCell ref="A20:B20"/>
    <mergeCell ref="D20:F20"/>
    <mergeCell ref="D21:F21"/>
    <mergeCell ref="M24:T25"/>
    <mergeCell ref="K20:L20"/>
    <mergeCell ref="G20:I20"/>
    <mergeCell ref="A23:C25"/>
    <mergeCell ref="D24:L25"/>
    <mergeCell ref="A21:B21"/>
    <mergeCell ref="A6:A7"/>
    <mergeCell ref="B6:B7"/>
    <mergeCell ref="C6:C7"/>
    <mergeCell ref="D6:D7"/>
    <mergeCell ref="K12:L12"/>
    <mergeCell ref="K6:L7"/>
    <mergeCell ref="K8:L8"/>
    <mergeCell ref="K10:L10"/>
    <mergeCell ref="K11:L11"/>
    <mergeCell ref="M10:O10"/>
    <mergeCell ref="M8:O8"/>
    <mergeCell ref="K9:L9"/>
    <mergeCell ref="E6:E7"/>
    <mergeCell ref="F6:F7"/>
    <mergeCell ref="I6:I7"/>
    <mergeCell ref="J6:J7"/>
    <mergeCell ref="G6:G7"/>
    <mergeCell ref="H6:H7"/>
    <mergeCell ref="A5:L5"/>
    <mergeCell ref="A1:L1"/>
    <mergeCell ref="A3:B3"/>
    <mergeCell ref="C3:F3"/>
    <mergeCell ref="K3:L3"/>
    <mergeCell ref="A4:B4"/>
    <mergeCell ref="C4:F4"/>
    <mergeCell ref="K4:L4"/>
  </mergeCells>
  <phoneticPr fontId="51" type="noConversion"/>
  <dataValidations count="2">
    <dataValidation allowBlank="1" showErrorMessage="1" sqref="D26:L28">
      <formula1>0</formula1>
      <formula2>0</formula2>
    </dataValidation>
    <dataValidation allowBlank="1" showErrorMessage="1" promptTitle="存在调整事项时" prompt="_x000a_选择 “E”" sqref="E23:L23">
      <formula1>0</formula1>
      <formula2>0</formula2>
    </dataValidation>
  </dataValidations>
  <hyperlinks>
    <hyperlink ref="M8" location="纳税调整明细表!C34" display="纳税调整明细表!C34"/>
    <hyperlink ref="M10" location="财务费用!A1" display="财务费用审核表"/>
    <hyperlink ref="M12" location="实收公积!A1" display="实收公积审核表"/>
  </hyperlinks>
  <pageMargins left="0.78740157480314998" right="0.35433070866141703" top="0.511811023622047" bottom="0.11811023622047198" header="0.511811023622047" footer="0.511811023622047"/>
  <pageSetup paperSize="9" firstPageNumber="0" orientation="landscape" blackAndWhite="1" r:id="rId1"/>
  <headerFooter alignWithMargins="0"/>
</worksheet>
</file>

<file path=xl/worksheets/sheet3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36"/>
  <dimension ref="A1:Q29"/>
  <sheetViews>
    <sheetView workbookViewId="0">
      <selection activeCell="B9" sqref="B9:C9"/>
    </sheetView>
  </sheetViews>
  <sheetFormatPr defaultColWidth="9" defaultRowHeight="15.6"/>
  <cols>
    <col min="1" max="1" width="10.59765625" style="168" customWidth="1"/>
    <col min="2" max="2" width="9.59765625" style="168" customWidth="1"/>
    <col min="3" max="3" width="11.3984375" style="168" customWidth="1"/>
    <col min="4" max="6" width="12.59765625" style="168" customWidth="1"/>
    <col min="7" max="8" width="12.19921875" style="168" customWidth="1"/>
    <col min="9" max="10" width="12.59765625" style="168" customWidth="1"/>
    <col min="11" max="16384" width="9" style="168"/>
  </cols>
  <sheetData>
    <row r="1" spans="1:17" ht="22.2">
      <c r="A1" s="2684" t="s">
        <v>372</v>
      </c>
      <c r="B1" s="2684"/>
      <c r="C1" s="2684"/>
      <c r="D1" s="2684"/>
      <c r="E1" s="2684"/>
      <c r="F1" s="2684"/>
      <c r="G1" s="2684"/>
      <c r="H1" s="2684"/>
      <c r="I1" s="2684"/>
      <c r="J1" s="2684"/>
      <c r="K1" s="169"/>
      <c r="L1" s="169"/>
      <c r="M1" s="169"/>
      <c r="N1" s="169"/>
      <c r="O1" s="169"/>
      <c r="P1" s="169"/>
      <c r="Q1" s="169"/>
    </row>
    <row r="2" spans="1:17" ht="7.5" customHeight="1">
      <c r="A2" s="170"/>
      <c r="B2" s="170"/>
      <c r="C2" s="170"/>
      <c r="D2" s="170"/>
      <c r="E2" s="170"/>
      <c r="F2" s="170"/>
      <c r="G2" s="170"/>
      <c r="H2" s="170"/>
      <c r="I2" s="170"/>
      <c r="J2" s="170"/>
      <c r="K2" s="169"/>
      <c r="L2" s="169"/>
      <c r="M2" s="169"/>
      <c r="N2" s="169"/>
      <c r="O2" s="169"/>
      <c r="P2" s="169"/>
      <c r="Q2" s="169"/>
    </row>
    <row r="3" spans="1:17" s="172" customFormat="1" ht="24" customHeight="1">
      <c r="A3" s="368" t="s">
        <v>448</v>
      </c>
      <c r="B3" s="2897">
        <f>基本情况!B2</f>
        <v>0</v>
      </c>
      <c r="C3" s="2897"/>
      <c r="D3" s="2897"/>
      <c r="E3" s="369" t="s">
        <v>451</v>
      </c>
      <c r="F3" s="370">
        <f>基本情况!B12</f>
        <v>0</v>
      </c>
      <c r="G3" s="369" t="s">
        <v>450</v>
      </c>
      <c r="H3" s="711" t="str">
        <f>TEXT(基本情况!B21,"yyyy-mm-dd")</f>
        <v>2017-03-16</v>
      </c>
      <c r="I3" s="3022" t="s">
        <v>283</v>
      </c>
      <c r="J3" s="3028" t="str">
        <f>档案索引!A43</f>
        <v>2A-23</v>
      </c>
      <c r="K3" s="171"/>
      <c r="L3" s="171"/>
      <c r="M3" s="171"/>
      <c r="N3" s="171"/>
      <c r="O3" s="171"/>
      <c r="P3" s="171"/>
      <c r="Q3" s="171"/>
    </row>
    <row r="4" spans="1:17" s="172" customFormat="1" ht="24" customHeight="1">
      <c r="A4" s="372" t="s">
        <v>452</v>
      </c>
      <c r="B4" s="2899" t="str">
        <f>基本情况!B7</f>
        <v>2016年01月01日至2016年12月31日</v>
      </c>
      <c r="C4" s="2899"/>
      <c r="D4" s="2899"/>
      <c r="E4" s="373" t="s">
        <v>453</v>
      </c>
      <c r="F4" s="374">
        <f>基本情况!B11</f>
        <v>0</v>
      </c>
      <c r="G4" s="373" t="s">
        <v>450</v>
      </c>
      <c r="H4" s="374" t="str">
        <f>TEXT(基本情况!B22,"yyyy-mm-dd")</f>
        <v>2017-05-04</v>
      </c>
      <c r="I4" s="3022"/>
      <c r="J4" s="3028"/>
      <c r="K4" s="171"/>
      <c r="L4" s="171"/>
      <c r="M4" s="171"/>
      <c r="N4" s="171"/>
      <c r="O4" s="171"/>
      <c r="P4" s="171"/>
      <c r="Q4" s="171"/>
    </row>
    <row r="5" spans="1:17" s="172" customFormat="1" ht="7.5" customHeight="1">
      <c r="A5" s="2894"/>
      <c r="B5" s="2894"/>
      <c r="C5" s="2894"/>
      <c r="D5" s="2894"/>
      <c r="E5" s="2894"/>
      <c r="F5" s="2894"/>
      <c r="G5" s="2894"/>
      <c r="H5" s="2894"/>
      <c r="I5" s="2894"/>
      <c r="J5" s="2894"/>
      <c r="K5" s="171"/>
      <c r="L5" s="171"/>
      <c r="M5" s="171"/>
      <c r="N5" s="171"/>
      <c r="O5" s="171"/>
      <c r="P5" s="171"/>
      <c r="Q5" s="171"/>
    </row>
    <row r="6" spans="1:17" s="172" customFormat="1" ht="19.5" customHeight="1">
      <c r="A6" s="3021" t="s">
        <v>1075</v>
      </c>
      <c r="B6" s="3021"/>
      <c r="C6" s="3021"/>
      <c r="D6" s="3022" t="s">
        <v>703</v>
      </c>
      <c r="E6" s="3057" t="s">
        <v>1251</v>
      </c>
      <c r="F6" s="3057"/>
      <c r="G6" s="3057"/>
      <c r="H6" s="3057"/>
      <c r="I6" s="3057"/>
      <c r="J6" s="3057"/>
      <c r="K6" s="84" t="s">
        <v>396</v>
      </c>
      <c r="L6" s="171"/>
      <c r="M6" s="171"/>
      <c r="N6" s="171"/>
      <c r="O6" s="171"/>
      <c r="P6" s="171"/>
      <c r="Q6" s="171"/>
    </row>
    <row r="7" spans="1:17" s="172" customFormat="1" ht="19.5" customHeight="1">
      <c r="A7" s="3021"/>
      <c r="B7" s="3021"/>
      <c r="C7" s="3021"/>
      <c r="D7" s="3022"/>
      <c r="E7" s="373" t="s">
        <v>970</v>
      </c>
      <c r="F7" s="765"/>
      <c r="G7" s="765"/>
      <c r="H7" s="765"/>
      <c r="I7" s="766"/>
      <c r="J7" s="767"/>
      <c r="K7" s="171"/>
      <c r="L7" s="171"/>
      <c r="M7" s="171"/>
      <c r="N7" s="171"/>
      <c r="O7" s="171"/>
      <c r="P7" s="171"/>
      <c r="Q7" s="171"/>
    </row>
    <row r="8" spans="1:17" s="172" customFormat="1" ht="18" customHeight="1">
      <c r="A8" s="3128" t="s">
        <v>971</v>
      </c>
      <c r="B8" s="2898" t="s">
        <v>972</v>
      </c>
      <c r="C8" s="2898"/>
      <c r="D8" s="715">
        <f>SUM(E8:J8)</f>
        <v>0</v>
      </c>
      <c r="E8" s="1116"/>
      <c r="F8" s="1116"/>
      <c r="G8" s="1116"/>
      <c r="H8" s="1116"/>
      <c r="I8" s="1152"/>
      <c r="J8" s="1153"/>
      <c r="K8" s="3194" t="s">
        <v>973</v>
      </c>
      <c r="L8" s="3194"/>
      <c r="M8" s="3194"/>
      <c r="N8" s="171"/>
      <c r="O8" s="171"/>
      <c r="P8" s="171"/>
      <c r="Q8" s="171"/>
    </row>
    <row r="9" spans="1:17" s="172" customFormat="1" ht="18" customHeight="1">
      <c r="A9" s="3128"/>
      <c r="B9" s="2906" t="s">
        <v>10095</v>
      </c>
      <c r="C9" s="2906"/>
      <c r="D9" s="545">
        <f>SUM(E9:J9)</f>
        <v>0</v>
      </c>
      <c r="E9" s="1117"/>
      <c r="F9" s="1117"/>
      <c r="G9" s="1117"/>
      <c r="H9" s="1117"/>
      <c r="I9" s="1154"/>
      <c r="J9" s="1155"/>
      <c r="K9" s="3194" t="s">
        <v>324</v>
      </c>
      <c r="L9" s="3194"/>
      <c r="M9" s="3194"/>
      <c r="N9" s="171"/>
      <c r="O9" s="171"/>
      <c r="P9" s="171"/>
      <c r="Q9" s="171"/>
    </row>
    <row r="10" spans="1:17" s="172" customFormat="1" ht="18" customHeight="1">
      <c r="A10" s="3128"/>
      <c r="B10" s="2906" t="s">
        <v>974</v>
      </c>
      <c r="C10" s="2906"/>
      <c r="D10" s="768" t="s">
        <v>510</v>
      </c>
      <c r="E10" s="1156"/>
      <c r="F10" s="1156"/>
      <c r="G10" s="1156"/>
      <c r="H10" s="1156"/>
      <c r="I10" s="1157"/>
      <c r="J10" s="1158"/>
      <c r="K10" s="3194" t="s">
        <v>320</v>
      </c>
      <c r="L10" s="3194"/>
      <c r="M10" s="3194"/>
      <c r="N10" s="171"/>
      <c r="O10" s="171"/>
      <c r="P10" s="171"/>
      <c r="Q10" s="171"/>
    </row>
    <row r="11" spans="1:17" s="172" customFormat="1" ht="18" customHeight="1">
      <c r="A11" s="3128"/>
      <c r="B11" s="2906" t="s">
        <v>975</v>
      </c>
      <c r="C11" s="2906"/>
      <c r="D11" s="545">
        <f>SUM(E11:J11)</f>
        <v>0</v>
      </c>
      <c r="E11" s="1117"/>
      <c r="F11" s="1117"/>
      <c r="G11" s="1117"/>
      <c r="H11" s="1117"/>
      <c r="I11" s="1154"/>
      <c r="J11" s="1155"/>
      <c r="K11" s="3090" t="s">
        <v>0</v>
      </c>
      <c r="L11" s="3090"/>
      <c r="M11" s="3090"/>
      <c r="N11" s="3090"/>
      <c r="O11" s="3090"/>
      <c r="P11" s="3090"/>
      <c r="Q11" s="3090"/>
    </row>
    <row r="12" spans="1:17" s="172" customFormat="1" ht="18" customHeight="1">
      <c r="A12" s="3128"/>
      <c r="B12" s="2906" t="s">
        <v>1</v>
      </c>
      <c r="C12" s="2906"/>
      <c r="D12" s="545">
        <f t="shared" ref="D12:D18" si="0">SUM(E12:J12)</f>
        <v>0</v>
      </c>
      <c r="E12" s="1117"/>
      <c r="F12" s="1117"/>
      <c r="G12" s="1117"/>
      <c r="H12" s="1117"/>
      <c r="I12" s="1154"/>
      <c r="J12" s="1155"/>
      <c r="K12" s="3090"/>
      <c r="L12" s="3090"/>
      <c r="M12" s="3090"/>
      <c r="N12" s="3090"/>
      <c r="O12" s="3090"/>
      <c r="P12" s="3090"/>
      <c r="Q12" s="3090"/>
    </row>
    <row r="13" spans="1:17" s="172" customFormat="1" ht="18" customHeight="1">
      <c r="A13" s="3128"/>
      <c r="B13" s="2906" t="s">
        <v>2</v>
      </c>
      <c r="C13" s="2906"/>
      <c r="D13" s="545">
        <f t="shared" si="0"/>
        <v>0</v>
      </c>
      <c r="E13" s="1117"/>
      <c r="F13" s="1117"/>
      <c r="G13" s="1117"/>
      <c r="H13" s="1117"/>
      <c r="I13" s="1154"/>
      <c r="J13" s="1155"/>
      <c r="K13" s="3090"/>
      <c r="L13" s="3090"/>
      <c r="M13" s="3090"/>
      <c r="N13" s="3090"/>
      <c r="O13" s="3090"/>
      <c r="P13" s="3090"/>
      <c r="Q13" s="3090"/>
    </row>
    <row r="14" spans="1:17" s="172" customFormat="1" ht="18" customHeight="1">
      <c r="A14" s="3128"/>
      <c r="B14" s="2906" t="s">
        <v>3</v>
      </c>
      <c r="C14" s="2906"/>
      <c r="D14" s="545">
        <f t="shared" si="0"/>
        <v>0</v>
      </c>
      <c r="E14" s="1117"/>
      <c r="F14" s="1117"/>
      <c r="G14" s="1117"/>
      <c r="H14" s="1117"/>
      <c r="I14" s="1154"/>
      <c r="J14" s="1155"/>
      <c r="K14" s="3090"/>
      <c r="L14" s="3090"/>
      <c r="M14" s="3090"/>
      <c r="N14" s="3090"/>
      <c r="O14" s="3090"/>
      <c r="P14" s="3090"/>
      <c r="Q14" s="3090"/>
    </row>
    <row r="15" spans="1:17" s="172" customFormat="1" ht="18" customHeight="1">
      <c r="A15" s="3128"/>
      <c r="B15" s="2906" t="s">
        <v>854</v>
      </c>
      <c r="C15" s="2906"/>
      <c r="D15" s="768" t="s">
        <v>510</v>
      </c>
      <c r="E15" s="1156"/>
      <c r="F15" s="1156"/>
      <c r="G15" s="1156"/>
      <c r="H15" s="1156"/>
      <c r="I15" s="1157"/>
      <c r="J15" s="1158"/>
      <c r="K15" s="171"/>
      <c r="L15" s="171"/>
      <c r="M15" s="171"/>
      <c r="N15" s="171"/>
      <c r="O15" s="171"/>
      <c r="P15" s="171"/>
      <c r="Q15" s="171"/>
    </row>
    <row r="16" spans="1:17" s="172" customFormat="1" ht="18" customHeight="1">
      <c r="A16" s="3128"/>
      <c r="B16" s="2900" t="s">
        <v>4</v>
      </c>
      <c r="C16" s="2900"/>
      <c r="D16" s="716">
        <f t="shared" si="0"/>
        <v>0</v>
      </c>
      <c r="E16" s="1138"/>
      <c r="F16" s="1138"/>
      <c r="G16" s="1138"/>
      <c r="H16" s="1138"/>
      <c r="I16" s="1159"/>
      <c r="J16" s="1160"/>
      <c r="K16" s="171"/>
      <c r="L16" s="171"/>
      <c r="M16" s="171"/>
      <c r="N16" s="171"/>
      <c r="O16" s="171"/>
      <c r="P16" s="171"/>
      <c r="Q16" s="171"/>
    </row>
    <row r="17" spans="1:17" s="172" customFormat="1" ht="18" customHeight="1">
      <c r="A17" s="3292" t="s">
        <v>5</v>
      </c>
      <c r="B17" s="2898" t="s">
        <v>972</v>
      </c>
      <c r="C17" s="2898"/>
      <c r="D17" s="715">
        <f t="shared" si="0"/>
        <v>0</v>
      </c>
      <c r="E17" s="1116"/>
      <c r="F17" s="1116"/>
      <c r="G17" s="1116"/>
      <c r="H17" s="1116"/>
      <c r="I17" s="1152"/>
      <c r="J17" s="1153"/>
      <c r="K17" s="171"/>
      <c r="L17" s="171"/>
      <c r="M17" s="171"/>
      <c r="N17" s="171"/>
      <c r="O17" s="171"/>
      <c r="P17" s="171"/>
      <c r="Q17" s="171"/>
    </row>
    <row r="18" spans="1:17" s="172" customFormat="1" ht="18" customHeight="1">
      <c r="A18" s="3292"/>
      <c r="B18" s="2900" t="s">
        <v>6</v>
      </c>
      <c r="C18" s="2900"/>
      <c r="D18" s="716">
        <f t="shared" si="0"/>
        <v>0</v>
      </c>
      <c r="E18" s="1138"/>
      <c r="F18" s="1138"/>
      <c r="G18" s="1138"/>
      <c r="H18" s="1138"/>
      <c r="I18" s="1159"/>
      <c r="J18" s="1160"/>
      <c r="K18" s="171"/>
      <c r="L18" s="171"/>
      <c r="M18" s="171"/>
      <c r="N18" s="171"/>
      <c r="O18" s="171"/>
      <c r="P18" s="171"/>
      <c r="Q18" s="171"/>
    </row>
    <row r="19" spans="1:17" s="172" customFormat="1" ht="19.5" customHeight="1">
      <c r="A19" s="3192" t="s">
        <v>7</v>
      </c>
      <c r="B19" s="3192"/>
      <c r="C19" s="3192"/>
      <c r="D19" s="3192"/>
      <c r="E19" s="3192"/>
      <c r="F19" s="3192"/>
      <c r="G19" s="3192"/>
      <c r="H19" s="3192"/>
      <c r="I19" s="3192"/>
      <c r="J19" s="3192"/>
      <c r="K19" s="171"/>
      <c r="L19" s="171"/>
      <c r="M19" s="171"/>
      <c r="N19" s="171"/>
      <c r="O19" s="171"/>
      <c r="P19" s="171"/>
      <c r="Q19" s="171"/>
    </row>
    <row r="20" spans="1:17" s="172" customFormat="1" ht="18" customHeight="1">
      <c r="A20" s="143" t="s">
        <v>854</v>
      </c>
      <c r="B20" s="2906" t="s">
        <v>856</v>
      </c>
      <c r="C20" s="2906"/>
      <c r="D20" s="2906" t="s">
        <v>1293</v>
      </c>
      <c r="E20" s="2906"/>
      <c r="F20" s="2906" t="s">
        <v>855</v>
      </c>
      <c r="G20" s="2906"/>
      <c r="H20" s="158" t="s">
        <v>857</v>
      </c>
      <c r="I20" s="3291" t="s">
        <v>703</v>
      </c>
      <c r="J20" s="3291"/>
      <c r="K20" s="171"/>
      <c r="L20" s="171"/>
      <c r="M20" s="171"/>
      <c r="N20" s="171"/>
      <c r="O20" s="171"/>
      <c r="P20" s="171"/>
      <c r="Q20" s="171"/>
    </row>
    <row r="21" spans="1:17" s="172" customFormat="1" ht="18" customHeight="1">
      <c r="A21" s="695" t="s">
        <v>558</v>
      </c>
      <c r="B21" s="3288">
        <f>营业费用!H21</f>
        <v>0</v>
      </c>
      <c r="C21" s="3288"/>
      <c r="D21" s="3288">
        <f>管理费用!H21</f>
        <v>0</v>
      </c>
      <c r="E21" s="3288"/>
      <c r="F21" s="3289"/>
      <c r="G21" s="3289"/>
      <c r="H21" s="1113"/>
      <c r="I21" s="3290">
        <f>SUM(B21:H21)</f>
        <v>0</v>
      </c>
      <c r="J21" s="3290"/>
      <c r="K21" s="171"/>
      <c r="L21" s="171"/>
      <c r="M21" s="171"/>
      <c r="N21" s="171"/>
      <c r="O21" s="171"/>
      <c r="P21" s="171"/>
      <c r="Q21" s="171"/>
    </row>
    <row r="22" spans="1:17" s="172" customFormat="1" ht="19.5" customHeight="1">
      <c r="A22" s="3021" t="s">
        <v>642</v>
      </c>
      <c r="B22" s="3021"/>
      <c r="C22" s="3021"/>
      <c r="D22" s="3293" t="str">
        <f>IF(I21&lt;&gt;D8+D17,"原始凭证检查金额与账载数不符，请检查！","原始凭证检查金额与账载数相符！")</f>
        <v>原始凭证检查金额与账载数相符！</v>
      </c>
      <c r="E22" s="3293"/>
      <c r="F22" s="3293"/>
      <c r="G22" s="3293"/>
      <c r="H22" s="3293"/>
      <c r="I22" s="3293"/>
      <c r="J22" s="3293"/>
      <c r="K22" s="171"/>
      <c r="L22" s="171"/>
      <c r="M22" s="171"/>
      <c r="N22" s="171"/>
      <c r="O22" s="171"/>
      <c r="P22" s="171"/>
      <c r="Q22" s="171"/>
    </row>
    <row r="23" spans="1:17" s="172" customFormat="1" ht="15" customHeight="1">
      <c r="A23" s="3141" t="s">
        <v>1324</v>
      </c>
      <c r="B23" s="3141"/>
      <c r="C23" s="3141"/>
      <c r="D23" s="3142" t="s">
        <v>8</v>
      </c>
      <c r="E23" s="3142"/>
      <c r="F23" s="3109" t="str">
        <f>IF(OR(D14&lt;&gt;0,D18&lt;&gt;0),"、E","")</f>
        <v/>
      </c>
      <c r="G23" s="3109"/>
      <c r="H23" s="3109"/>
      <c r="I23" s="3109"/>
      <c r="J23" s="3109"/>
      <c r="K23" s="171"/>
      <c r="L23" s="171"/>
      <c r="M23" s="171"/>
      <c r="N23" s="171"/>
      <c r="O23" s="171"/>
      <c r="P23" s="171"/>
      <c r="Q23" s="171"/>
    </row>
    <row r="24" spans="1:17" s="172" customFormat="1" ht="22.5" customHeight="1">
      <c r="A24" s="3141"/>
      <c r="B24" s="3141"/>
      <c r="C24" s="3141"/>
      <c r="D24" s="3294"/>
      <c r="E24" s="3294"/>
      <c r="F24" s="3294"/>
      <c r="G24" s="3294"/>
      <c r="H24" s="3294"/>
      <c r="I24" s="3294"/>
      <c r="J24" s="3294"/>
      <c r="K24" s="171"/>
      <c r="L24" s="171"/>
      <c r="M24" s="171"/>
      <c r="N24" s="171"/>
      <c r="O24" s="171"/>
      <c r="P24" s="171"/>
      <c r="Q24" s="171"/>
    </row>
    <row r="25" spans="1:17" s="172" customFormat="1" ht="25.5" customHeight="1">
      <c r="A25" s="3141"/>
      <c r="B25" s="3141"/>
      <c r="C25" s="3141"/>
      <c r="D25" s="3294"/>
      <c r="E25" s="3294"/>
      <c r="F25" s="3294"/>
      <c r="G25" s="3294"/>
      <c r="H25" s="3294"/>
      <c r="I25" s="3294"/>
      <c r="J25" s="3294"/>
      <c r="K25" s="171"/>
      <c r="L25" s="171"/>
      <c r="M25" s="171"/>
      <c r="N25" s="171"/>
      <c r="O25" s="171"/>
      <c r="P25" s="171"/>
      <c r="Q25" s="171"/>
    </row>
    <row r="26" spans="1:17" s="172" customFormat="1" ht="18.75" customHeight="1">
      <c r="A26" s="2904" t="s">
        <v>575</v>
      </c>
      <c r="B26" s="2904"/>
      <c r="C26" s="2904"/>
      <c r="D26" s="3221" t="str">
        <f>IF(D14&lt;&gt;0,"实际列支经营租赁租金大于税法允许列支的金额,应予纳税调整增加"&amp;DOLLAR(D14,2)&amp;"元！","不存在经营租赁租金调整事项，认可！")</f>
        <v>不存在经营租赁租金调整事项，认可！</v>
      </c>
      <c r="E26" s="3221"/>
      <c r="F26" s="3221"/>
      <c r="G26" s="3221"/>
      <c r="H26" s="3221"/>
      <c r="I26" s="3221"/>
      <c r="J26" s="3221"/>
      <c r="K26" s="171"/>
      <c r="L26" s="171"/>
      <c r="M26" s="171"/>
      <c r="N26" s="171"/>
      <c r="O26" s="171"/>
      <c r="P26" s="171"/>
      <c r="Q26" s="171"/>
    </row>
    <row r="27" spans="1:17" s="172" customFormat="1" ht="12.75" hidden="1" customHeight="1">
      <c r="A27" s="2904"/>
      <c r="B27" s="2904"/>
      <c r="C27" s="2904"/>
      <c r="D27" s="769"/>
      <c r="E27" s="770"/>
      <c r="F27" s="770"/>
      <c r="G27" s="770"/>
      <c r="H27" s="770"/>
      <c r="I27" s="770"/>
      <c r="J27" s="401"/>
      <c r="K27" s="171"/>
      <c r="L27" s="171"/>
      <c r="M27" s="171"/>
      <c r="N27" s="171"/>
      <c r="O27" s="171"/>
      <c r="P27" s="171"/>
      <c r="Q27" s="171"/>
    </row>
    <row r="28" spans="1:17" s="172" customFormat="1" ht="18.75" customHeight="1">
      <c r="A28" s="2904"/>
      <c r="B28" s="2904"/>
      <c r="C28" s="2904"/>
      <c r="D28" s="3223" t="str">
        <f>IF(D18&lt;&gt;0,"实际列支融资租赁租金大于税法允许列支的限额,应予纳税调整增加"&amp;DOLLAR(D18,2)&amp;"元！","不存在融资租赁租金调整事项，认可！")</f>
        <v>不存在融资租赁租金调整事项，认可！</v>
      </c>
      <c r="E28" s="3223"/>
      <c r="F28" s="3223"/>
      <c r="G28" s="3223"/>
      <c r="H28" s="3223"/>
      <c r="I28" s="3223"/>
      <c r="J28" s="3223"/>
      <c r="K28" s="171"/>
      <c r="L28" s="171"/>
      <c r="M28" s="171"/>
      <c r="N28" s="171"/>
      <c r="O28" s="171"/>
      <c r="P28" s="171"/>
      <c r="Q28" s="171"/>
    </row>
    <row r="29" spans="1:17">
      <c r="A29" s="731"/>
      <c r="B29" s="731"/>
      <c r="C29" s="731"/>
      <c r="D29" s="731"/>
      <c r="E29" s="731"/>
      <c r="F29" s="731"/>
      <c r="G29" s="731"/>
      <c r="H29" s="731"/>
    </row>
  </sheetData>
  <sheetProtection selectLockedCells="1" selectUnlockedCells="1"/>
  <mergeCells count="44">
    <mergeCell ref="A26:C28"/>
    <mergeCell ref="D26:J26"/>
    <mergeCell ref="D28:J28"/>
    <mergeCell ref="A22:C22"/>
    <mergeCell ref="D22:J22"/>
    <mergeCell ref="A23:C25"/>
    <mergeCell ref="D23:E23"/>
    <mergeCell ref="F23:J23"/>
    <mergeCell ref="D24:J25"/>
    <mergeCell ref="B21:C21"/>
    <mergeCell ref="D21:E21"/>
    <mergeCell ref="F21:G21"/>
    <mergeCell ref="I21:J21"/>
    <mergeCell ref="B15:C15"/>
    <mergeCell ref="B16:C16"/>
    <mergeCell ref="A19:J19"/>
    <mergeCell ref="B20:C20"/>
    <mergeCell ref="D20:E20"/>
    <mergeCell ref="F20:G20"/>
    <mergeCell ref="I20:J20"/>
    <mergeCell ref="A17:A18"/>
    <mergeCell ref="B17:C17"/>
    <mergeCell ref="B18:C18"/>
    <mergeCell ref="A8:A16"/>
    <mergeCell ref="B8:C8"/>
    <mergeCell ref="K8:M8"/>
    <mergeCell ref="B9:C9"/>
    <mergeCell ref="K9:M9"/>
    <mergeCell ref="K11:Q14"/>
    <mergeCell ref="B12:C12"/>
    <mergeCell ref="B11:C11"/>
    <mergeCell ref="B10:C10"/>
    <mergeCell ref="K10:M10"/>
    <mergeCell ref="B13:C13"/>
    <mergeCell ref="B14:C14"/>
    <mergeCell ref="A6:C7"/>
    <mergeCell ref="D6:D7"/>
    <mergeCell ref="E6:J6"/>
    <mergeCell ref="A5:J5"/>
    <mergeCell ref="A1:J1"/>
    <mergeCell ref="B3:D3"/>
    <mergeCell ref="I3:I4"/>
    <mergeCell ref="J3:J4"/>
    <mergeCell ref="B4:D4"/>
  </mergeCells>
  <phoneticPr fontId="51" type="noConversion"/>
  <dataValidations count="2">
    <dataValidation allowBlank="1" showErrorMessage="1" sqref="F3 D26">
      <formula1>0</formula1>
      <formula2>0</formula2>
    </dataValidation>
    <dataValidation allowBlank="1" showErrorMessage="1" promptTitle="存在调整事项时" prompt="_x000a_选择 “E”" sqref="F23:J23">
      <formula1>0</formula1>
      <formula2>0</formula2>
    </dataValidation>
  </dataValidations>
  <hyperlinks>
    <hyperlink ref="K8" location="纳税调整明细表!G45" display="纳税调整明细表!G45"/>
    <hyperlink ref="K9" location="管理费用!A1" display="管理费用审核表"/>
    <hyperlink ref="K10" location="营业费用!A1" display="营业费用审核表"/>
  </hyperlinks>
  <pageMargins left="0.78740157480314998" right="0.35433070866141703" top="0.511811023622047" bottom="0.11811023622047198" header="0.511811023622047" footer="0.511811023622047"/>
  <pageSetup paperSize="9" firstPageNumber="0" orientation="landscape" blackAndWhite="1" r:id="rId1"/>
  <headerFooter alignWithMargins="0"/>
</worksheet>
</file>

<file path=xl/worksheets/sheet3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38"/>
  <dimension ref="A1:EE148"/>
  <sheetViews>
    <sheetView workbookViewId="0">
      <selection activeCell="L4" sqref="L4"/>
    </sheetView>
  </sheetViews>
  <sheetFormatPr defaultRowHeight="15.6"/>
  <cols>
    <col min="2" max="5" width="20.8984375" customWidth="1"/>
    <col min="6" max="6" width="10.8984375" customWidth="1"/>
    <col min="7" max="7" width="10" customWidth="1"/>
    <col min="8" max="8" width="8.3984375" customWidth="1"/>
    <col min="9" max="135" width="9" style="705"/>
  </cols>
  <sheetData>
    <row r="1" spans="1:9" ht="22.2">
      <c r="A1" s="2707" t="s">
        <v>376</v>
      </c>
      <c r="B1" s="2707"/>
      <c r="C1" s="2707"/>
      <c r="D1" s="2707"/>
      <c r="E1" s="2707"/>
      <c r="F1" s="2707"/>
      <c r="G1" s="2707"/>
      <c r="H1" s="2707"/>
    </row>
    <row r="2" spans="1:9" ht="14.25" customHeight="1">
      <c r="A2" s="3295" t="str">
        <f>"委托单位："&amp;基本情况!B2</f>
        <v>委托单位：0</v>
      </c>
      <c r="B2" s="3295"/>
      <c r="C2" s="3295"/>
      <c r="D2" s="509"/>
      <c r="E2" s="136" t="s">
        <v>1283</v>
      </c>
      <c r="F2" s="2898" t="s">
        <v>1054</v>
      </c>
      <c r="G2" s="2898"/>
      <c r="H2" s="485" t="s">
        <v>283</v>
      </c>
    </row>
    <row r="3" spans="1:9" ht="18" customHeight="1">
      <c r="A3" s="3295"/>
      <c r="B3" s="3295"/>
      <c r="C3" s="3295"/>
      <c r="D3" s="158" t="s">
        <v>451</v>
      </c>
      <c r="E3" s="777">
        <f>基本情况!B12</f>
        <v>0</v>
      </c>
      <c r="F3" s="3296" t="str">
        <f>TEXT(基本情况!B21,"yyyy-mm-dd")</f>
        <v>2017-03-16</v>
      </c>
      <c r="G3" s="3296"/>
      <c r="H3" s="3081" t="str">
        <f>档案索引!A44</f>
        <v>2A-24</v>
      </c>
    </row>
    <row r="4" spans="1:9" ht="24.75" customHeight="1">
      <c r="A4" s="3297" t="str">
        <f>"会计期间："&amp;基本情况!B7</f>
        <v>会计期间：2016年01月01日至2016年12月31日</v>
      </c>
      <c r="B4" s="3297"/>
      <c r="C4" s="3297"/>
      <c r="D4" s="140" t="s">
        <v>453</v>
      </c>
      <c r="E4" s="778">
        <f>基本情况!B11</f>
        <v>0</v>
      </c>
      <c r="F4" s="3030" t="str">
        <f>TEXT(基本情况!B22,"yyyy-mm-dd")</f>
        <v>2017-05-04</v>
      </c>
      <c r="G4" s="3030"/>
      <c r="H4" s="3081"/>
    </row>
    <row r="5" spans="1:9" ht="6.75" customHeight="1">
      <c r="A5" s="2894"/>
      <c r="B5" s="2894"/>
      <c r="C5" s="2894"/>
      <c r="D5" s="2894"/>
      <c r="E5" s="2894"/>
      <c r="F5" s="2894"/>
      <c r="G5" s="2894"/>
      <c r="H5" s="2894"/>
    </row>
    <row r="6" spans="1:9" ht="26.25" customHeight="1">
      <c r="A6" s="532" t="s">
        <v>16</v>
      </c>
      <c r="B6" s="779" t="s">
        <v>17</v>
      </c>
      <c r="C6" s="582" t="s">
        <v>18</v>
      </c>
      <c r="D6" s="1268" t="s">
        <v>222</v>
      </c>
      <c r="E6" s="780" t="s">
        <v>1013</v>
      </c>
      <c r="F6" s="3023" t="s">
        <v>19</v>
      </c>
      <c r="G6" s="3023"/>
      <c r="H6" s="647" t="s">
        <v>20</v>
      </c>
      <c r="I6" s="706" t="s">
        <v>396</v>
      </c>
    </row>
    <row r="7" spans="1:9" ht="22.5" customHeight="1">
      <c r="A7" s="781">
        <f>本年度-10</f>
        <v>2006</v>
      </c>
      <c r="B7" s="1261"/>
      <c r="C7" s="1261"/>
      <c r="D7" s="1261"/>
      <c r="E7" s="1261"/>
      <c r="F7" s="3298">
        <f>C7-D7+E7</f>
        <v>0</v>
      </c>
      <c r="G7" s="3298"/>
      <c r="H7" s="782" t="s">
        <v>1078</v>
      </c>
    </row>
    <row r="8" spans="1:9" ht="22.5" customHeight="1">
      <c r="A8" s="783">
        <f>本年度-9</f>
        <v>2007</v>
      </c>
      <c r="B8" s="1262"/>
      <c r="C8" s="1262"/>
      <c r="D8" s="1262"/>
      <c r="E8" s="1262"/>
      <c r="F8" s="3299">
        <f t="shared" ref="F8:F15" si="0">C8-D8+E8</f>
        <v>0</v>
      </c>
      <c r="G8" s="3299"/>
      <c r="H8" s="784" t="s">
        <v>1078</v>
      </c>
      <c r="I8" s="708" t="s">
        <v>21</v>
      </c>
    </row>
    <row r="9" spans="1:9" ht="22.5" customHeight="1">
      <c r="A9" s="783">
        <f>本年度-8</f>
        <v>2008</v>
      </c>
      <c r="B9" s="1262"/>
      <c r="C9" s="1262"/>
      <c r="D9" s="1262"/>
      <c r="E9" s="1262"/>
      <c r="F9" s="3299">
        <f t="shared" si="0"/>
        <v>0</v>
      </c>
      <c r="G9" s="3299"/>
      <c r="H9" s="784" t="s">
        <v>1078</v>
      </c>
    </row>
    <row r="10" spans="1:9" ht="22.5" customHeight="1">
      <c r="A10" s="783">
        <f>本年度-7</f>
        <v>2009</v>
      </c>
      <c r="B10" s="1262"/>
      <c r="C10" s="1262"/>
      <c r="D10" s="1262"/>
      <c r="E10" s="1262"/>
      <c r="F10" s="3299">
        <f t="shared" si="0"/>
        <v>0</v>
      </c>
      <c r="G10" s="3299"/>
      <c r="H10" s="784" t="s">
        <v>1078</v>
      </c>
      <c r="I10" s="708" t="s">
        <v>22</v>
      </c>
    </row>
    <row r="11" spans="1:9" ht="22.5" customHeight="1">
      <c r="A11" s="783">
        <f>本年度-6</f>
        <v>2010</v>
      </c>
      <c r="B11" s="1262"/>
      <c r="C11" s="1262"/>
      <c r="D11" s="1262"/>
      <c r="E11" s="1262"/>
      <c r="F11" s="3299">
        <f t="shared" si="0"/>
        <v>0</v>
      </c>
      <c r="G11" s="3299"/>
      <c r="H11" s="784" t="s">
        <v>1078</v>
      </c>
    </row>
    <row r="12" spans="1:9" ht="22.5" customHeight="1">
      <c r="A12" s="783">
        <f>本年度-5</f>
        <v>2011</v>
      </c>
      <c r="B12" s="1262"/>
      <c r="C12" s="1262"/>
      <c r="D12" s="1262"/>
      <c r="E12" s="1262"/>
      <c r="F12" s="3299">
        <f t="shared" si="0"/>
        <v>0</v>
      </c>
      <c r="G12" s="3299"/>
      <c r="H12" s="784" t="s">
        <v>1078</v>
      </c>
    </row>
    <row r="13" spans="1:9" ht="22.5" customHeight="1">
      <c r="A13" s="783">
        <f>本年度-4</f>
        <v>2012</v>
      </c>
      <c r="B13" s="1262"/>
      <c r="C13" s="1262"/>
      <c r="D13" s="1262"/>
      <c r="E13" s="1262"/>
      <c r="F13" s="3299">
        <f t="shared" si="0"/>
        <v>0</v>
      </c>
      <c r="G13" s="3299"/>
      <c r="H13" s="784" t="s">
        <v>1078</v>
      </c>
    </row>
    <row r="14" spans="1:9" ht="22.5" customHeight="1">
      <c r="A14" s="783">
        <f>本年度-3</f>
        <v>2013</v>
      </c>
      <c r="B14" s="1262"/>
      <c r="C14" s="1262"/>
      <c r="D14" s="1262"/>
      <c r="E14" s="1262"/>
      <c r="F14" s="3299">
        <f t="shared" si="0"/>
        <v>0</v>
      </c>
      <c r="G14" s="3299"/>
      <c r="H14" s="784" t="s">
        <v>1078</v>
      </c>
    </row>
    <row r="15" spans="1:9" ht="22.5" customHeight="1">
      <c r="A15" s="783">
        <f>本年度-2</f>
        <v>2014</v>
      </c>
      <c r="B15" s="1262"/>
      <c r="C15" s="1262"/>
      <c r="D15" s="1262"/>
      <c r="E15" s="1262"/>
      <c r="F15" s="3299">
        <f t="shared" si="0"/>
        <v>0</v>
      </c>
      <c r="G15" s="3299"/>
      <c r="H15" s="784" t="s">
        <v>1078</v>
      </c>
    </row>
    <row r="16" spans="1:9" ht="22.5" customHeight="1">
      <c r="A16" s="783">
        <f>本年度-1</f>
        <v>2015</v>
      </c>
      <c r="B16" s="1262"/>
      <c r="C16" s="1262"/>
      <c r="D16" s="1262"/>
      <c r="E16" s="1262"/>
      <c r="F16" s="3299">
        <f t="shared" ref="F16:F17" si="1">C16-D16+E16</f>
        <v>0</v>
      </c>
      <c r="G16" s="3299"/>
      <c r="H16" s="784" t="s">
        <v>1078</v>
      </c>
    </row>
    <row r="17" spans="1:8" ht="22.5" customHeight="1">
      <c r="A17" s="2062">
        <f>本年度</f>
        <v>2016</v>
      </c>
      <c r="B17" s="2065">
        <f>利润!C37</f>
        <v>0</v>
      </c>
      <c r="C17" s="2065">
        <f ca="1">'A100000中华人民共和国企业所得税年度纳税申报表（A类）'!D22</f>
        <v>0</v>
      </c>
      <c r="D17" s="1262"/>
      <c r="E17" s="2063"/>
      <c r="F17" s="3299">
        <f t="shared" ca="1" si="1"/>
        <v>0</v>
      </c>
      <c r="G17" s="3299"/>
      <c r="H17" s="2064"/>
    </row>
    <row r="18" spans="1:8" ht="20.25" customHeight="1">
      <c r="A18" s="3300" t="s">
        <v>1324</v>
      </c>
      <c r="B18" s="3142" t="s">
        <v>23</v>
      </c>
      <c r="C18" s="3142"/>
      <c r="D18" s="3142"/>
      <c r="E18" s="3142"/>
      <c r="F18" s="3109"/>
      <c r="G18" s="3109"/>
      <c r="H18" s="3109"/>
    </row>
    <row r="19" spans="1:8" ht="60" customHeight="1">
      <c r="A19" s="3300"/>
      <c r="B19" s="3301"/>
      <c r="C19" s="3301"/>
      <c r="D19" s="3301"/>
      <c r="E19" s="3301"/>
      <c r="F19" s="3301"/>
      <c r="G19" s="3301"/>
      <c r="H19" s="3301"/>
    </row>
    <row r="20" spans="1:8" ht="29.25" customHeight="1">
      <c r="A20" s="528" t="s">
        <v>575</v>
      </c>
      <c r="B20" s="3302" t="s">
        <v>24</v>
      </c>
      <c r="C20" s="3302"/>
      <c r="D20" s="3302"/>
      <c r="E20" s="3302"/>
      <c r="F20" s="3302"/>
      <c r="G20" s="3302"/>
      <c r="H20" s="3302"/>
    </row>
    <row r="21" spans="1:8">
      <c r="A21" s="705"/>
      <c r="B21" s="705"/>
      <c r="C21" s="705"/>
      <c r="D21" s="705"/>
      <c r="E21" s="705"/>
      <c r="F21" s="705"/>
      <c r="G21" s="705"/>
      <c r="H21" s="705"/>
    </row>
    <row r="22" spans="1:8">
      <c r="A22" s="705"/>
      <c r="B22" s="705"/>
      <c r="C22" s="705"/>
      <c r="D22" s="705"/>
      <c r="E22" s="705"/>
      <c r="F22" s="705"/>
      <c r="G22" s="705"/>
      <c r="H22" s="705"/>
    </row>
    <row r="23" spans="1:8">
      <c r="A23" s="705"/>
      <c r="B23" s="705"/>
      <c r="C23" s="705"/>
      <c r="D23" s="705"/>
      <c r="E23" s="705"/>
      <c r="F23" s="705"/>
      <c r="G23" s="705"/>
      <c r="H23" s="705"/>
    </row>
    <row r="24" spans="1:8">
      <c r="A24" s="705"/>
      <c r="B24" s="705"/>
      <c r="C24" s="705"/>
      <c r="D24" s="705"/>
      <c r="E24" s="705"/>
      <c r="F24" s="705"/>
      <c r="G24" s="705"/>
      <c r="H24" s="705"/>
    </row>
    <row r="25" spans="1:8">
      <c r="A25" s="705"/>
      <c r="B25" s="705"/>
      <c r="C25" s="705"/>
      <c r="D25" s="705"/>
      <c r="E25" s="705"/>
      <c r="F25" s="705"/>
      <c r="G25" s="705"/>
      <c r="H25" s="705"/>
    </row>
    <row r="26" spans="1:8">
      <c r="A26" s="705"/>
      <c r="B26" s="705"/>
      <c r="C26" s="705"/>
      <c r="D26" s="705"/>
      <c r="E26" s="705"/>
      <c r="F26" s="705"/>
      <c r="G26" s="705"/>
      <c r="H26" s="705"/>
    </row>
    <row r="27" spans="1:8">
      <c r="A27" s="705"/>
      <c r="B27" s="705"/>
      <c r="C27" s="705"/>
      <c r="D27" s="705"/>
      <c r="E27" s="705"/>
      <c r="F27" s="705"/>
      <c r="G27" s="705"/>
      <c r="H27" s="705"/>
    </row>
    <row r="28" spans="1:8">
      <c r="A28" s="705"/>
      <c r="B28" s="705"/>
      <c r="C28" s="705"/>
      <c r="D28" s="705"/>
      <c r="E28" s="705"/>
      <c r="F28" s="705"/>
      <c r="G28" s="705"/>
      <c r="H28" s="705"/>
    </row>
    <row r="29" spans="1:8">
      <c r="A29" s="705"/>
      <c r="B29" s="705"/>
      <c r="C29" s="705"/>
      <c r="D29" s="705"/>
      <c r="E29" s="705"/>
      <c r="F29" s="705"/>
      <c r="G29" s="705"/>
      <c r="H29" s="705"/>
    </row>
    <row r="30" spans="1:8">
      <c r="A30" s="705"/>
      <c r="B30" s="705"/>
      <c r="C30" s="705"/>
      <c r="D30" s="705"/>
      <c r="E30" s="705"/>
      <c r="F30" s="705"/>
      <c r="G30" s="705"/>
      <c r="H30" s="705"/>
    </row>
    <row r="31" spans="1:8">
      <c r="A31" s="705"/>
      <c r="B31" s="705"/>
      <c r="C31" s="705"/>
      <c r="D31" s="705"/>
      <c r="E31" s="705"/>
      <c r="F31" s="705"/>
      <c r="G31" s="705"/>
      <c r="H31" s="705"/>
    </row>
    <row r="32" spans="1:8">
      <c r="A32" s="705"/>
      <c r="B32" s="705"/>
      <c r="C32" s="705"/>
      <c r="D32" s="705"/>
      <c r="E32" s="705"/>
      <c r="F32" s="705"/>
      <c r="G32" s="705"/>
      <c r="H32" s="705"/>
    </row>
    <row r="33" spans="1:8">
      <c r="A33" s="705"/>
      <c r="B33" s="705"/>
      <c r="C33" s="705"/>
      <c r="D33" s="705"/>
      <c r="E33" s="705"/>
      <c r="F33" s="705"/>
      <c r="G33" s="705"/>
      <c r="H33" s="705"/>
    </row>
    <row r="34" spans="1:8" s="705" customFormat="1"/>
    <row r="35" spans="1:8" s="705" customFormat="1"/>
    <row r="36" spans="1:8" s="705" customFormat="1"/>
    <row r="37" spans="1:8" s="705" customFormat="1"/>
    <row r="38" spans="1:8" s="705" customFormat="1"/>
    <row r="39" spans="1:8" s="705" customFormat="1"/>
    <row r="40" spans="1:8" s="705" customFormat="1"/>
    <row r="41" spans="1:8" s="705" customFormat="1"/>
    <row r="42" spans="1:8" s="705" customFormat="1"/>
    <row r="43" spans="1:8" s="705" customFormat="1"/>
    <row r="44" spans="1:8" s="705" customFormat="1"/>
    <row r="45" spans="1:8" s="705" customFormat="1"/>
    <row r="46" spans="1:8" s="705" customFormat="1"/>
    <row r="47" spans="1:8" s="705" customFormat="1"/>
    <row r="48" spans="1:8" s="705" customFormat="1"/>
    <row r="49" s="705" customFormat="1"/>
    <row r="50" s="705" customFormat="1"/>
    <row r="51" s="705" customFormat="1"/>
    <row r="52" s="705" customFormat="1"/>
    <row r="53" s="705" customFormat="1"/>
    <row r="54" s="705" customFormat="1"/>
    <row r="55" s="705" customFormat="1"/>
    <row r="56" s="705" customFormat="1"/>
    <row r="57" s="705" customFormat="1"/>
    <row r="58" s="705" customFormat="1"/>
    <row r="59" s="705" customFormat="1"/>
    <row r="60" s="705" customFormat="1"/>
    <row r="61" s="705" customFormat="1"/>
    <row r="62" s="705" customFormat="1"/>
    <row r="63" s="705" customFormat="1"/>
    <row r="64" s="705" customFormat="1"/>
    <row r="65" s="705" customFormat="1"/>
    <row r="66" s="705" customFormat="1"/>
    <row r="67" s="705" customFormat="1"/>
    <row r="68" s="705" customFormat="1"/>
    <row r="69" s="705" customFormat="1"/>
    <row r="70" s="705" customFormat="1"/>
    <row r="71" s="705" customFormat="1"/>
    <row r="72" s="705" customFormat="1"/>
    <row r="73" s="705" customFormat="1"/>
    <row r="74" s="705" customFormat="1"/>
    <row r="75" s="705" customFormat="1"/>
    <row r="76" s="705" customFormat="1"/>
    <row r="77" s="705" customFormat="1"/>
    <row r="78" s="705" customFormat="1"/>
    <row r="79" s="705" customFormat="1"/>
    <row r="80" s="705" customFormat="1"/>
    <row r="81" s="705" customFormat="1"/>
    <row r="82" s="705" customFormat="1"/>
    <row r="83" s="705" customFormat="1"/>
    <row r="84" s="705" customFormat="1"/>
    <row r="85" s="705" customFormat="1"/>
    <row r="86" s="705" customFormat="1"/>
    <row r="87" s="705" customFormat="1"/>
    <row r="88" s="705" customFormat="1"/>
    <row r="89" s="705" customFormat="1"/>
    <row r="90" s="705" customFormat="1"/>
    <row r="91" s="705" customFormat="1"/>
    <row r="92" s="705" customFormat="1"/>
    <row r="93" s="705" customFormat="1"/>
    <row r="94" s="705" customFormat="1"/>
    <row r="95" s="705" customFormat="1"/>
    <row r="96" s="705" customFormat="1"/>
    <row r="97" s="705" customFormat="1"/>
    <row r="98" s="705" customFormat="1"/>
    <row r="99" s="705" customFormat="1"/>
    <row r="100" s="705" customFormat="1"/>
    <row r="101" s="705" customFormat="1"/>
    <row r="102" s="705" customFormat="1"/>
    <row r="103" s="705" customFormat="1"/>
    <row r="104" s="705" customFormat="1"/>
    <row r="105" s="705" customFormat="1"/>
    <row r="106" s="705" customFormat="1"/>
    <row r="107" s="705" customFormat="1"/>
    <row r="108" s="705" customFormat="1"/>
    <row r="109" s="705" customFormat="1"/>
    <row r="110" s="705" customFormat="1"/>
    <row r="111" s="705" customFormat="1"/>
    <row r="112" s="705" customFormat="1"/>
    <row r="113" s="705" customFormat="1"/>
    <row r="114" s="705" customFormat="1"/>
    <row r="115" s="705" customFormat="1"/>
    <row r="116" s="705" customFormat="1"/>
    <row r="117" s="705" customFormat="1"/>
    <row r="118" s="705" customFormat="1"/>
    <row r="119" s="705" customFormat="1"/>
    <row r="120" s="705" customFormat="1"/>
    <row r="121" s="705" customFormat="1"/>
    <row r="122" s="705" customFormat="1"/>
    <row r="123" s="705" customFormat="1"/>
    <row r="124" s="705" customFormat="1"/>
    <row r="125" s="705" customFormat="1"/>
    <row r="126" s="705" customFormat="1"/>
    <row r="127" s="705" customFormat="1"/>
    <row r="128" s="705" customFormat="1"/>
    <row r="129" s="705" customFormat="1"/>
    <row r="130" s="705" customFormat="1"/>
    <row r="131" s="705" customFormat="1"/>
    <row r="132" s="705" customFormat="1"/>
    <row r="133" s="705" customFormat="1"/>
    <row r="134" s="705" customFormat="1"/>
    <row r="135" s="705" customFormat="1"/>
    <row r="136" s="705" customFormat="1"/>
    <row r="137" s="705" customFormat="1"/>
    <row r="138" s="705" customFormat="1"/>
    <row r="139" s="705" customFormat="1"/>
    <row r="140" s="705" customFormat="1"/>
    <row r="141" s="705" customFormat="1"/>
    <row r="142" s="705" customFormat="1"/>
    <row r="143" s="705" customFormat="1"/>
    <row r="144" s="705" customFormat="1"/>
    <row r="145" s="705" customFormat="1"/>
    <row r="146" s="705" customFormat="1"/>
    <row r="147" s="705" customFormat="1"/>
    <row r="148" s="705" customFormat="1"/>
  </sheetData>
  <sheetProtection selectLockedCells="1" selectUnlockedCells="1"/>
  <mergeCells count="25">
    <mergeCell ref="B20:H20"/>
    <mergeCell ref="F11:G11"/>
    <mergeCell ref="F12:G12"/>
    <mergeCell ref="F13:G13"/>
    <mergeCell ref="F14:G14"/>
    <mergeCell ref="F15:G15"/>
    <mergeCell ref="F16:G16"/>
    <mergeCell ref="F17:G17"/>
    <mergeCell ref="F6:G6"/>
    <mergeCell ref="F7:G7"/>
    <mergeCell ref="F8:G8"/>
    <mergeCell ref="A18:A19"/>
    <mergeCell ref="B18:E18"/>
    <mergeCell ref="F18:H18"/>
    <mergeCell ref="B19:H19"/>
    <mergeCell ref="F9:G9"/>
    <mergeCell ref="F10:G10"/>
    <mergeCell ref="A5:H5"/>
    <mergeCell ref="A1:H1"/>
    <mergeCell ref="A2:C3"/>
    <mergeCell ref="F2:G2"/>
    <mergeCell ref="F3:G3"/>
    <mergeCell ref="H3:H4"/>
    <mergeCell ref="A4:C4"/>
    <mergeCell ref="F4:G4"/>
  </mergeCells>
  <phoneticPr fontId="51" type="noConversion"/>
  <conditionalFormatting sqref="D7:D17">
    <cfRule type="expression" dxfId="0" priority="1" stopIfTrue="1">
      <formula>C7&lt;0</formula>
    </cfRule>
  </conditionalFormatting>
  <dataValidations count="3">
    <dataValidation allowBlank="1" showErrorMessage="1" promptTitle="存在调整事项时" prompt="_x000a_选择 “E”" sqref="F18:H18">
      <formula1>0</formula1>
      <formula2>0</formula2>
    </dataValidation>
    <dataValidation type="list" allowBlank="1" showErrorMessage="1" sqref="H7:H17">
      <formula1>"是,否"</formula1>
      <formula2>0</formula2>
    </dataValidation>
    <dataValidation type="decimal" operator="greaterThan" allowBlank="1" showInputMessage="1" showErrorMessage="1" sqref="D7:D17">
      <formula1>0</formula1>
    </dataValidation>
  </dataValidations>
  <hyperlinks>
    <hyperlink ref="I8" location="利润!A1" display="利润表"/>
    <hyperlink ref="I10" location="弥补亏损明细表!A1" display="弥补亏损明细表"/>
  </hyperlinks>
  <pageMargins left="0.78740157480314998" right="0.35433070866141703" top="0.511811023622047" bottom="0.11811023622047198" header="0.511811023622047" footer="0.511811023622047"/>
  <pageSetup paperSize="9" firstPageNumber="0" orientation="landscape" blackAndWhite="1" cellComments="atEnd" r:id="rId1"/>
  <headerFooter alignWithMargins="0"/>
</worksheet>
</file>

<file path=xl/worksheets/sheet3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39"/>
  <dimension ref="A1:K45"/>
  <sheetViews>
    <sheetView topLeftCell="A10" workbookViewId="0">
      <selection sqref="A1:F1"/>
    </sheetView>
  </sheetViews>
  <sheetFormatPr defaultRowHeight="15.6"/>
  <cols>
    <col min="1" max="1" width="7.59765625" customWidth="1"/>
    <col min="2" max="2" width="27.19921875" customWidth="1"/>
    <col min="3" max="3" width="8.69921875" customWidth="1"/>
    <col min="4" max="6" width="12.5" customWidth="1"/>
    <col min="7" max="7" width="54.59765625" customWidth="1"/>
  </cols>
  <sheetData>
    <row r="1" spans="1:11" ht="32.25" customHeight="1">
      <c r="A1" s="2707" t="s">
        <v>380</v>
      </c>
      <c r="B1" s="2707"/>
      <c r="C1" s="2707"/>
      <c r="D1" s="2707"/>
      <c r="E1" s="2707"/>
      <c r="F1" s="2707"/>
      <c r="G1" s="3151"/>
      <c r="H1" s="84"/>
      <c r="I1" s="84"/>
      <c r="J1" s="84"/>
      <c r="K1" s="84"/>
    </row>
    <row r="2" spans="1:11" ht="20.25" customHeight="1">
      <c r="A2" s="3190" t="str">
        <f>"委托单位："&amp;基本情况!B2</f>
        <v>委托单位：0</v>
      </c>
      <c r="B2" s="3190"/>
      <c r="C2" s="509"/>
      <c r="D2" s="136" t="s">
        <v>1283</v>
      </c>
      <c r="E2" s="136" t="s">
        <v>1054</v>
      </c>
      <c r="F2" s="485" t="s">
        <v>283</v>
      </c>
      <c r="G2" s="3151"/>
      <c r="H2" s="84"/>
      <c r="I2" s="84"/>
      <c r="J2" s="84"/>
      <c r="K2" s="84"/>
    </row>
    <row r="3" spans="1:11" ht="20.25" customHeight="1">
      <c r="A3" s="3190"/>
      <c r="B3" s="3190"/>
      <c r="C3" s="158" t="s">
        <v>451</v>
      </c>
      <c r="D3" s="510">
        <f>基本情况!B12</f>
        <v>0</v>
      </c>
      <c r="E3" s="559" t="str">
        <f>TEXT(基本情况!B21,"yyyy-mm-dd")</f>
        <v>2017-03-16</v>
      </c>
      <c r="F3" s="3081" t="str">
        <f>档案索引!A45</f>
        <v>2A-25</v>
      </c>
      <c r="G3" s="3151"/>
      <c r="H3" s="84"/>
      <c r="I3" s="84"/>
      <c r="J3" s="84"/>
      <c r="K3" s="84"/>
    </row>
    <row r="4" spans="1:11" ht="20.25" customHeight="1">
      <c r="A4" s="3161" t="str">
        <f>"会计期间："&amp;基本情况!B7</f>
        <v>会计期间：2016年01月01日至2016年12月31日</v>
      </c>
      <c r="B4" s="3161"/>
      <c r="C4" s="140" t="s">
        <v>453</v>
      </c>
      <c r="D4" s="513">
        <f>基本情况!B11</f>
        <v>0</v>
      </c>
      <c r="E4" s="513" t="str">
        <f>TEXT(基本情况!B22,"yyyy-mm-dd")</f>
        <v>2017-05-04</v>
      </c>
      <c r="F4" s="3081"/>
      <c r="G4" s="3151"/>
      <c r="H4" s="84"/>
      <c r="I4" s="84"/>
      <c r="J4" s="84"/>
      <c r="K4" s="84"/>
    </row>
    <row r="5" spans="1:11" ht="7.5" customHeight="1">
      <c r="A5" s="2894"/>
      <c r="B5" s="2894"/>
      <c r="C5" s="2894"/>
      <c r="D5" s="2894"/>
      <c r="E5" s="2894"/>
      <c r="F5" s="2894"/>
      <c r="G5" s="543"/>
      <c r="H5" s="84"/>
      <c r="I5" s="84"/>
      <c r="J5" s="84"/>
      <c r="K5" s="84"/>
    </row>
    <row r="6" spans="1:11" ht="27.75" customHeight="1">
      <c r="A6" s="532" t="s">
        <v>25</v>
      </c>
      <c r="B6" s="3022" t="s">
        <v>666</v>
      </c>
      <c r="C6" s="3022"/>
      <c r="D6" s="582" t="s">
        <v>26</v>
      </c>
      <c r="E6" s="582" t="s">
        <v>1301</v>
      </c>
      <c r="F6" s="772" t="s">
        <v>27</v>
      </c>
      <c r="G6" s="84" t="s">
        <v>396</v>
      </c>
      <c r="H6" s="84"/>
      <c r="I6" s="84"/>
      <c r="J6" s="84"/>
      <c r="K6" s="84"/>
    </row>
    <row r="7" spans="1:11" ht="17.25" customHeight="1">
      <c r="A7" s="3021" t="s">
        <v>28</v>
      </c>
      <c r="B7" s="3305" t="s">
        <v>6492</v>
      </c>
      <c r="C7" s="3305"/>
      <c r="D7" s="1162"/>
      <c r="E7" s="1162"/>
      <c r="F7" s="774">
        <f>E7-D7</f>
        <v>0</v>
      </c>
      <c r="G7" s="493" t="s">
        <v>1289</v>
      </c>
      <c r="H7" s="84"/>
      <c r="I7" s="84"/>
      <c r="J7" s="84"/>
      <c r="K7" s="84"/>
    </row>
    <row r="8" spans="1:11" ht="17.25" customHeight="1">
      <c r="A8" s="3021"/>
      <c r="B8" s="3036" t="s">
        <v>6630</v>
      </c>
      <c r="C8" s="3036"/>
      <c r="D8" s="1696"/>
      <c r="E8" s="1696"/>
      <c r="F8" s="1697">
        <f>E8-D8</f>
        <v>0</v>
      </c>
      <c r="G8" s="232" t="s">
        <v>29</v>
      </c>
      <c r="H8" s="84"/>
      <c r="I8" s="84"/>
      <c r="J8" s="84"/>
      <c r="K8" s="84"/>
    </row>
    <row r="9" spans="1:11" ht="17.25" customHeight="1">
      <c r="A9" s="3021"/>
      <c r="B9" s="3036" t="s">
        <v>30</v>
      </c>
      <c r="C9" s="3036"/>
      <c r="D9" s="786" t="s">
        <v>510</v>
      </c>
      <c r="E9" s="1121"/>
      <c r="F9" s="699">
        <f>E9</f>
        <v>0</v>
      </c>
      <c r="G9" s="493" t="s">
        <v>31</v>
      </c>
      <c r="H9" s="84"/>
      <c r="I9" s="84"/>
      <c r="J9" s="84"/>
      <c r="K9" s="84"/>
    </row>
    <row r="10" spans="1:11" ht="17.25" customHeight="1">
      <c r="A10" s="3021"/>
      <c r="B10" s="3036" t="s">
        <v>6491</v>
      </c>
      <c r="C10" s="3036"/>
      <c r="D10" s="1774"/>
      <c r="E10" s="1774"/>
      <c r="F10" s="1697">
        <f>E10-D10</f>
        <v>0</v>
      </c>
      <c r="G10" s="84"/>
      <c r="H10" s="84"/>
      <c r="I10" s="84"/>
      <c r="J10" s="84"/>
      <c r="K10" s="84"/>
    </row>
    <row r="11" spans="1:11" ht="17.25" customHeight="1">
      <c r="A11" s="3021"/>
      <c r="B11" s="3306" t="s">
        <v>6100</v>
      </c>
      <c r="C11" s="3307"/>
      <c r="D11" s="1163"/>
      <c r="E11" s="786" t="s">
        <v>510</v>
      </c>
      <c r="F11" s="699">
        <f>-D11</f>
        <v>0</v>
      </c>
      <c r="G11" s="84"/>
      <c r="H11" s="84"/>
      <c r="I11" s="84"/>
      <c r="J11" s="84"/>
      <c r="K11" s="84"/>
    </row>
    <row r="12" spans="1:11" ht="17.25" customHeight="1">
      <c r="A12" s="3021"/>
      <c r="B12" s="3303" t="s">
        <v>6101</v>
      </c>
      <c r="C12" s="3304"/>
      <c r="D12" s="786" t="s">
        <v>510</v>
      </c>
      <c r="E12" s="1163"/>
      <c r="F12" s="699">
        <f>E12</f>
        <v>0</v>
      </c>
      <c r="G12" s="493" t="s">
        <v>32</v>
      </c>
      <c r="H12" s="84"/>
      <c r="I12" s="84"/>
      <c r="J12" s="84"/>
      <c r="K12" s="84"/>
    </row>
    <row r="13" spans="1:11" ht="17.25" customHeight="1">
      <c r="A13" s="3249" t="s">
        <v>33</v>
      </c>
      <c r="B13" s="3305" t="s">
        <v>34</v>
      </c>
      <c r="C13" s="3305"/>
      <c r="D13" s="1161"/>
      <c r="E13" s="1161"/>
      <c r="F13" s="774">
        <f>D13-E13</f>
        <v>0</v>
      </c>
      <c r="G13" s="84"/>
      <c r="H13" s="84"/>
      <c r="I13" s="84"/>
      <c r="J13" s="84"/>
      <c r="K13" s="84"/>
    </row>
    <row r="14" spans="1:11" ht="17.25" customHeight="1">
      <c r="A14" s="3309"/>
      <c r="B14" s="3036" t="s">
        <v>35</v>
      </c>
      <c r="C14" s="3036"/>
      <c r="D14" s="1120"/>
      <c r="E14" s="1120"/>
      <c r="F14" s="699">
        <f>D14-E14</f>
        <v>0</v>
      </c>
      <c r="G14" s="493" t="s">
        <v>563</v>
      </c>
      <c r="H14" s="84"/>
      <c r="I14" s="84"/>
      <c r="J14" s="84"/>
      <c r="K14" s="84"/>
    </row>
    <row r="15" spans="1:11" ht="17.25" customHeight="1">
      <c r="A15" s="3309"/>
      <c r="B15" s="3036" t="s">
        <v>6492</v>
      </c>
      <c r="C15" s="3036"/>
      <c r="D15" s="1779"/>
      <c r="E15" s="1783"/>
      <c r="F15" s="1697">
        <f>D15-E15</f>
        <v>0</v>
      </c>
      <c r="G15" s="3090" t="s">
        <v>37</v>
      </c>
      <c r="H15" s="3090"/>
      <c r="I15" s="3090"/>
      <c r="J15" s="3090"/>
      <c r="K15" s="3090"/>
    </row>
    <row r="16" spans="1:11" ht="17.25" customHeight="1">
      <c r="A16" s="3309"/>
      <c r="B16" s="3314"/>
      <c r="C16" s="3314"/>
      <c r="D16" s="1140"/>
      <c r="E16" s="1140"/>
      <c r="F16" s="1164"/>
      <c r="G16" s="3090"/>
      <c r="H16" s="3090"/>
      <c r="I16" s="3090"/>
      <c r="J16" s="3090"/>
      <c r="K16" s="3090"/>
    </row>
    <row r="17" spans="1:11" ht="17.25" customHeight="1">
      <c r="A17" s="1787" t="s">
        <v>6498</v>
      </c>
      <c r="B17" s="3310" t="s">
        <v>6492</v>
      </c>
      <c r="C17" s="3311"/>
      <c r="D17" s="2073"/>
      <c r="E17" s="2073"/>
      <c r="F17" s="1788"/>
      <c r="G17" s="3090"/>
      <c r="H17" s="3090"/>
      <c r="I17" s="3090"/>
      <c r="J17" s="3090"/>
      <c r="K17" s="3090"/>
    </row>
    <row r="18" spans="1:11" ht="17.25" customHeight="1">
      <c r="A18" s="1789" t="s">
        <v>6499</v>
      </c>
      <c r="B18" s="3312"/>
      <c r="C18" s="3313"/>
      <c r="D18" s="2073"/>
      <c r="E18" s="2073"/>
      <c r="F18" s="1788"/>
      <c r="G18" s="3090"/>
      <c r="H18" s="3090"/>
      <c r="I18" s="3090"/>
      <c r="J18" s="3090"/>
      <c r="K18" s="3090"/>
    </row>
    <row r="19" spans="1:11" ht="17.25" customHeight="1">
      <c r="A19" s="1785" t="s">
        <v>6500</v>
      </c>
      <c r="B19" s="3308"/>
      <c r="C19" s="3308"/>
      <c r="D19" s="2073"/>
      <c r="E19" s="2073"/>
      <c r="F19" s="1786"/>
      <c r="G19" s="3090"/>
      <c r="H19" s="3090"/>
      <c r="I19" s="3090"/>
      <c r="J19" s="3090"/>
      <c r="K19" s="3090"/>
    </row>
    <row r="20" spans="1:11" ht="17.25" customHeight="1">
      <c r="A20" s="3021" t="s">
        <v>38</v>
      </c>
      <c r="B20" s="3305" t="s">
        <v>6493</v>
      </c>
      <c r="C20" s="3305"/>
      <c r="D20" s="1777">
        <f>A104000期间费用明细表!C11+A104000期间费用明细表!E11</f>
        <v>0</v>
      </c>
      <c r="E20" s="1778"/>
      <c r="F20" s="774">
        <f>D20-E20</f>
        <v>0</v>
      </c>
      <c r="G20" s="232" t="s">
        <v>39</v>
      </c>
      <c r="H20" s="787"/>
      <c r="I20" s="84"/>
      <c r="J20" s="84"/>
      <c r="K20" s="84"/>
    </row>
    <row r="21" spans="1:11" ht="17.25" customHeight="1">
      <c r="A21" s="3021"/>
      <c r="B21" s="3315" t="s">
        <v>6494</v>
      </c>
      <c r="C21" s="3315"/>
      <c r="D21" s="1779"/>
      <c r="E21" s="786" t="s">
        <v>510</v>
      </c>
      <c r="F21" s="699">
        <f t="shared" ref="F21:F34" si="0">D21</f>
        <v>0</v>
      </c>
      <c r="G21" s="787"/>
      <c r="H21" s="787"/>
      <c r="I21" s="84"/>
      <c r="J21" s="84"/>
      <c r="K21" s="84"/>
    </row>
    <row r="22" spans="1:11" ht="17.25" customHeight="1">
      <c r="A22" s="3021"/>
      <c r="B22" s="3316" t="str">
        <f>凭证检查!S14</f>
        <v>未取得合法有效票据的支出</v>
      </c>
      <c r="C22" s="3316"/>
      <c r="D22" s="518">
        <f>SUMIF(凭证检查!M6:M205,凭证检查!R14,凭证检查!G6:G205)</f>
        <v>0</v>
      </c>
      <c r="E22" s="786" t="s">
        <v>510</v>
      </c>
      <c r="F22" s="699">
        <f t="shared" si="0"/>
        <v>0</v>
      </c>
      <c r="G22" s="232" t="s">
        <v>40</v>
      </c>
      <c r="H22" s="787"/>
      <c r="I22" s="84"/>
      <c r="J22" s="84"/>
      <c r="K22" s="84"/>
    </row>
    <row r="23" spans="1:11" ht="17.25" customHeight="1">
      <c r="A23" s="3021"/>
      <c r="B23" s="3316" t="str">
        <f>凭证检查!S17</f>
        <v>非本公司费用</v>
      </c>
      <c r="C23" s="3316"/>
      <c r="D23" s="518">
        <f>SUMIF(凭证检查!M6:M205,凭证检查!R17,凭证检查!G6:G205)</f>
        <v>0</v>
      </c>
      <c r="E23" s="788" t="s">
        <v>510</v>
      </c>
      <c r="F23" s="699">
        <f t="shared" si="0"/>
        <v>0</v>
      </c>
      <c r="G23" s="787"/>
      <c r="H23" s="787"/>
      <c r="I23" s="84"/>
      <c r="J23" s="84"/>
      <c r="K23" s="84"/>
    </row>
    <row r="24" spans="1:11" ht="17.25" customHeight="1">
      <c r="A24" s="3021"/>
      <c r="B24" s="3036" t="s">
        <v>567</v>
      </c>
      <c r="C24" s="3036"/>
      <c r="D24" s="518">
        <f>SUMIF(凭证检查!M6:M205,凭证检查!R16,凭证检查!G6:G205)</f>
        <v>0</v>
      </c>
      <c r="E24" s="786" t="s">
        <v>510</v>
      </c>
      <c r="F24" s="699">
        <f t="shared" si="0"/>
        <v>0</v>
      </c>
      <c r="G24" s="789" t="s">
        <v>41</v>
      </c>
      <c r="H24" s="787"/>
      <c r="I24" s="84"/>
      <c r="J24" s="84"/>
      <c r="K24" s="84"/>
    </row>
    <row r="25" spans="1:11" ht="17.25" customHeight="1">
      <c r="A25" s="3021"/>
      <c r="B25" s="3317" t="str">
        <f>IF(凭证检查!S25="","商业人身保险",凭证检查!S25)</f>
        <v>跨期费用</v>
      </c>
      <c r="C25" s="3317"/>
      <c r="D25" s="1120">
        <f>SUMIF(凭证检查!M6:M205,凭证检查!R25,凭证检查!G6:G205)</f>
        <v>0</v>
      </c>
      <c r="E25" s="786" t="s">
        <v>510</v>
      </c>
      <c r="F25" s="699">
        <f t="shared" si="0"/>
        <v>0</v>
      </c>
      <c r="G25" s="787"/>
      <c r="H25" s="787"/>
      <c r="I25" s="84"/>
      <c r="J25" s="84"/>
      <c r="K25" s="84"/>
    </row>
    <row r="26" spans="1:11" ht="17.25" customHeight="1">
      <c r="A26" s="3021"/>
      <c r="B26" s="3316" t="str">
        <f>凭证检查!S22</f>
        <v>大额购物未附清单</v>
      </c>
      <c r="C26" s="3316"/>
      <c r="D26" s="518">
        <f>SUMIF(凭证检查!M6:M205,凭证检查!R22,凭证检查!G6:G205)</f>
        <v>0</v>
      </c>
      <c r="E26" s="786" t="s">
        <v>510</v>
      </c>
      <c r="F26" s="699">
        <f t="shared" si="0"/>
        <v>0</v>
      </c>
      <c r="G26" s="787"/>
      <c r="H26" s="787"/>
      <c r="I26" s="84"/>
      <c r="J26" s="84"/>
      <c r="K26" s="84"/>
    </row>
    <row r="27" spans="1:11" ht="17.25" customHeight="1">
      <c r="A27" s="3021"/>
      <c r="B27" s="3317" t="s">
        <v>42</v>
      </c>
      <c r="C27" s="3317"/>
      <c r="D27" s="786" t="s">
        <v>510</v>
      </c>
      <c r="E27" s="1110"/>
      <c r="F27" s="791">
        <f>-E27</f>
        <v>0</v>
      </c>
      <c r="G27" s="789"/>
      <c r="H27" s="787"/>
      <c r="I27" s="84"/>
      <c r="J27" s="84"/>
      <c r="K27" s="84"/>
    </row>
    <row r="28" spans="1:11" ht="17.25" customHeight="1">
      <c r="A28" s="3021"/>
      <c r="B28" s="3317" t="str">
        <f>IF(凭证检查!S26="","按权责发生制原则应在以后年度确认的支出",凭证检查!S26)</f>
        <v>按权责发生制原则应在以后年度确认的支出</v>
      </c>
      <c r="C28" s="3317"/>
      <c r="D28" s="1120">
        <f>SUMIF(凭证检查!M6:M205,凭证检查!R26,凭证检查!G6:G205)</f>
        <v>0</v>
      </c>
      <c r="E28" s="786" t="s">
        <v>510</v>
      </c>
      <c r="F28" s="699">
        <f t="shared" si="0"/>
        <v>0</v>
      </c>
      <c r="G28" s="787"/>
      <c r="H28" s="787"/>
      <c r="I28" s="84"/>
      <c r="J28" s="84"/>
      <c r="K28" s="84"/>
    </row>
    <row r="29" spans="1:11" ht="17.25" customHeight="1">
      <c r="A29" s="3021"/>
      <c r="B29" s="3036" t="s">
        <v>572</v>
      </c>
      <c r="C29" s="3036"/>
      <c r="D29" s="518">
        <f>SUMIF(凭证检查!M6:M205,凭证检查!R21,凭证检查!G6:G205)</f>
        <v>0</v>
      </c>
      <c r="E29" s="786" t="s">
        <v>510</v>
      </c>
      <c r="F29" s="699">
        <f t="shared" si="0"/>
        <v>0</v>
      </c>
      <c r="G29" s="789" t="s">
        <v>41</v>
      </c>
      <c r="H29" s="787"/>
      <c r="I29" s="84"/>
      <c r="J29" s="84"/>
      <c r="K29" s="84"/>
    </row>
    <row r="30" spans="1:11" ht="17.25" customHeight="1">
      <c r="A30" s="3021"/>
      <c r="B30" s="3036" t="s">
        <v>6497</v>
      </c>
      <c r="C30" s="3036"/>
      <c r="D30" s="1782">
        <f>SUMIF(凭证检查!M6:M205,凭证检查!R23,凭证检查!G6:G205)</f>
        <v>0</v>
      </c>
      <c r="E30" s="786" t="s">
        <v>510</v>
      </c>
      <c r="F30" s="699">
        <f t="shared" si="0"/>
        <v>0</v>
      </c>
      <c r="G30" s="789" t="s">
        <v>41</v>
      </c>
      <c r="H30" s="787"/>
      <c r="I30" s="84"/>
      <c r="J30" s="84"/>
      <c r="K30" s="84"/>
    </row>
    <row r="31" spans="1:11" ht="17.25" customHeight="1">
      <c r="A31" s="3021"/>
      <c r="B31" s="3318" t="s">
        <v>6605</v>
      </c>
      <c r="C31" s="3318"/>
      <c r="D31" s="2058">
        <f>SUMIF(凭证检查!M6:M205,凭证检查!R18,凭证检查!G6:G205)</f>
        <v>0</v>
      </c>
      <c r="E31" s="1784">
        <f>IF((D31+招待!E15)*0.6&lt;=招待!J21,ROUND(D31*0.6,2),D31-(D31+招待!E15-招待!J21-招待!J23))</f>
        <v>0</v>
      </c>
      <c r="F31" s="1697">
        <f>D31-E31</f>
        <v>0</v>
      </c>
      <c r="G31" s="787"/>
      <c r="H31" s="84"/>
      <c r="I31" s="84"/>
      <c r="J31" s="84"/>
      <c r="K31" s="84"/>
    </row>
    <row r="32" spans="1:11" ht="17.25" customHeight="1">
      <c r="A32" s="3021"/>
      <c r="B32" s="3036" t="str">
        <f>IF(凭证检查!S27="","灾害事故损失获得赔偿部分",凭证检查!S27)</f>
        <v>灾害事故损失获得赔偿部分</v>
      </c>
      <c r="C32" s="3036"/>
      <c r="D32" s="1120">
        <f>SUMIF(凭证检查!M6:M205,凭证检查!R27,凭证检查!G6:G205)</f>
        <v>0</v>
      </c>
      <c r="E32" s="786" t="s">
        <v>510</v>
      </c>
      <c r="F32" s="699">
        <f t="shared" si="0"/>
        <v>0</v>
      </c>
      <c r="G32" s="2059" t="s">
        <v>6606</v>
      </c>
      <c r="H32" s="84"/>
      <c r="I32" s="84"/>
      <c r="J32" s="84"/>
      <c r="K32" s="84"/>
    </row>
    <row r="33" spans="1:11" ht="17.25" customHeight="1">
      <c r="A33" s="3021"/>
      <c r="B33" s="3319" t="s">
        <v>43</v>
      </c>
      <c r="C33" s="3319"/>
      <c r="D33" s="786" t="s">
        <v>510</v>
      </c>
      <c r="E33" s="516">
        <f>-(广宣!J32+招待!J25)</f>
        <v>0</v>
      </c>
      <c r="F33" s="791">
        <f>-E33</f>
        <v>0</v>
      </c>
      <c r="G33" s="787" t="s">
        <v>44</v>
      </c>
      <c r="H33" s="84"/>
      <c r="I33" s="84"/>
      <c r="J33" s="84"/>
      <c r="K33" s="84"/>
    </row>
    <row r="34" spans="1:11" ht="17.25" customHeight="1">
      <c r="A34" s="3021"/>
      <c r="B34" s="3036" t="str">
        <f>IF(凭证检查!S28="","为其他企业贷款担保的支出项目",凭证检查!S28)</f>
        <v>为其他企业贷款担保的支出项目</v>
      </c>
      <c r="C34" s="3036"/>
      <c r="D34" s="1120">
        <f>SUMIF(凭证检查!M6:M205,凭证检查!R28,凭证检查!G6:G205)</f>
        <v>0</v>
      </c>
      <c r="E34" s="786" t="s">
        <v>510</v>
      </c>
      <c r="F34" s="699">
        <f t="shared" si="0"/>
        <v>0</v>
      </c>
      <c r="G34" s="787" t="s">
        <v>45</v>
      </c>
      <c r="H34" s="84"/>
      <c r="I34" s="84"/>
      <c r="J34" s="84"/>
      <c r="K34" s="84"/>
    </row>
    <row r="35" spans="1:11" ht="17.25" customHeight="1">
      <c r="A35" s="3021"/>
      <c r="B35" s="3036" t="s">
        <v>46</v>
      </c>
      <c r="C35" s="3036"/>
      <c r="D35" s="1110"/>
      <c r="E35" s="525">
        <f>D35+D35</f>
        <v>0</v>
      </c>
      <c r="F35" s="791">
        <f>-D35</f>
        <v>0</v>
      </c>
      <c r="G35" s="232" t="s">
        <v>560</v>
      </c>
      <c r="H35" s="84"/>
      <c r="I35" s="84"/>
      <c r="J35" s="84"/>
      <c r="K35" s="84"/>
    </row>
    <row r="36" spans="1:11" ht="17.25" customHeight="1">
      <c r="A36" s="3021"/>
      <c r="B36" s="3319" t="s">
        <v>47</v>
      </c>
      <c r="C36" s="3319"/>
      <c r="D36" s="786" t="s">
        <v>510</v>
      </c>
      <c r="E36" s="1120"/>
      <c r="F36" s="791">
        <f>-E36</f>
        <v>0</v>
      </c>
      <c r="G36" s="84"/>
      <c r="H36" s="84"/>
      <c r="I36" s="84"/>
      <c r="J36" s="84"/>
      <c r="K36" s="84"/>
    </row>
    <row r="37" spans="1:11" ht="17.25" customHeight="1">
      <c r="A37" s="3021"/>
      <c r="B37" s="3320" t="str">
        <f>凭证检查!S20</f>
        <v>不属于应付福利费开支范围的支出</v>
      </c>
      <c r="C37" s="3320"/>
      <c r="D37" s="701">
        <f>SUMIF(凭证检查!M6:M205,凭证检查!R20,凭证检查!G6:G205)</f>
        <v>0</v>
      </c>
      <c r="E37" s="786" t="s">
        <v>510</v>
      </c>
      <c r="F37" s="699">
        <f>D37</f>
        <v>0</v>
      </c>
      <c r="G37" s="792">
        <f>COUNTIF(F7:F41,"&lt;&gt;""")-COUNTBLANK(F7:F41)</f>
        <v>31</v>
      </c>
      <c r="H37" s="84"/>
      <c r="I37" s="84"/>
      <c r="J37" s="84"/>
      <c r="K37" s="84"/>
    </row>
    <row r="38" spans="1:11" ht="17.25" customHeight="1">
      <c r="A38" s="3021"/>
      <c r="B38" s="3321" t="str">
        <f>凭证检查!S19</f>
        <v>产权不属于公司的汽车费用</v>
      </c>
      <c r="C38" s="3321"/>
      <c r="D38" s="701">
        <f>SUMIF(凭证检查!M6:M205,凭证检查!R19,凭证检查!G6:G205)</f>
        <v>0</v>
      </c>
      <c r="E38" s="786" t="s">
        <v>510</v>
      </c>
      <c r="F38" s="699">
        <f>D38</f>
        <v>0</v>
      </c>
      <c r="G38" s="1235" t="s">
        <v>328</v>
      </c>
      <c r="H38" s="84"/>
      <c r="I38" s="84"/>
      <c r="J38" s="84"/>
      <c r="K38" s="84"/>
    </row>
    <row r="39" spans="1:11" ht="17.25" customHeight="1">
      <c r="A39" s="3021"/>
      <c r="B39" s="3036" t="s">
        <v>6108</v>
      </c>
      <c r="C39" s="3036"/>
      <c r="D39" s="1698"/>
      <c r="E39" s="1699"/>
      <c r="F39" s="702">
        <f>D39-E39</f>
        <v>0</v>
      </c>
      <c r="G39" s="1676"/>
      <c r="H39" s="84"/>
      <c r="I39" s="84"/>
      <c r="J39" s="84"/>
      <c r="K39" s="84"/>
    </row>
    <row r="40" spans="1:11" ht="17.25" customHeight="1">
      <c r="A40" s="3021"/>
      <c r="B40" s="3323" t="s">
        <v>6109</v>
      </c>
      <c r="C40" s="3324"/>
      <c r="D40" s="1775">
        <f>SUMIF(凭证检查!M6:M205,凭证检查!R15,凭证检查!G6:G205)</f>
        <v>0</v>
      </c>
      <c r="E40" s="1699"/>
      <c r="F40" s="699">
        <f>D40-E40</f>
        <v>0</v>
      </c>
      <c r="G40" s="1676"/>
      <c r="H40" s="84"/>
      <c r="I40" s="84"/>
      <c r="J40" s="84"/>
      <c r="K40" s="84"/>
    </row>
    <row r="41" spans="1:11" ht="17.25" customHeight="1">
      <c r="A41" s="3021"/>
      <c r="B41" s="3322"/>
      <c r="C41" s="3322"/>
      <c r="D41" s="2231"/>
      <c r="E41" s="2230"/>
      <c r="F41" s="1776">
        <f>D41-E41</f>
        <v>0</v>
      </c>
      <c r="G41" s="793" t="s">
        <v>48</v>
      </c>
      <c r="H41" s="84"/>
      <c r="I41" s="84"/>
      <c r="J41" s="84"/>
      <c r="K41" s="84"/>
    </row>
    <row r="42" spans="1:11" ht="21.75" customHeight="1">
      <c r="A42" s="794"/>
      <c r="B42" s="2894" t="s">
        <v>703</v>
      </c>
      <c r="C42" s="2894"/>
      <c r="D42" s="795">
        <f>SUM(D20:D41)</f>
        <v>0</v>
      </c>
      <c r="E42" s="795">
        <f>SUM(E20:E41)</f>
        <v>0</v>
      </c>
      <c r="F42" s="795">
        <f>SUM(F20:F41)</f>
        <v>0</v>
      </c>
      <c r="G42" s="84"/>
      <c r="H42" s="84"/>
      <c r="I42" s="84"/>
      <c r="J42" s="84"/>
      <c r="K42" s="84"/>
    </row>
    <row r="43" spans="1:11" ht="15" customHeight="1">
      <c r="A43" s="3300" t="s">
        <v>1324</v>
      </c>
      <c r="B43" s="3142" t="s">
        <v>49</v>
      </c>
      <c r="C43" s="3142"/>
      <c r="D43" s="3109" t="str">
        <f>IF(COUNTIF(F7:F41,"&lt;&gt;0")&gt;COUNTBLANK(F7:F41),"、E","")</f>
        <v/>
      </c>
      <c r="E43" s="3109"/>
      <c r="F43" s="3109"/>
      <c r="G43" s="84"/>
      <c r="H43" s="84"/>
      <c r="I43" s="84"/>
      <c r="J43" s="84"/>
      <c r="K43" s="84"/>
    </row>
    <row r="44" spans="1:11" ht="42.75" customHeight="1">
      <c r="A44" s="3300"/>
      <c r="B44" s="3301"/>
      <c r="C44" s="3301"/>
      <c r="D44" s="3301"/>
      <c r="E44" s="3301"/>
      <c r="F44" s="3301"/>
      <c r="G44" s="84"/>
      <c r="H44" s="84"/>
      <c r="I44" s="84"/>
      <c r="J44" s="84"/>
      <c r="K44" s="84"/>
    </row>
    <row r="45" spans="1:11" ht="21.75" customHeight="1">
      <c r="A45" s="528" t="s">
        <v>575</v>
      </c>
      <c r="B45" s="3135" t="str">
        <f>IF(COUNTIF(F7:F41,"&lt;&gt;0")&gt;COUNTBLANK(F7:F41),"调整后认可！","不存在调整事项,认可！")</f>
        <v>不存在调整事项,认可！</v>
      </c>
      <c r="C45" s="3135"/>
      <c r="D45" s="3135"/>
      <c r="E45" s="3135"/>
      <c r="F45" s="3135"/>
      <c r="G45" s="84"/>
      <c r="H45" s="84"/>
      <c r="I45" s="84"/>
      <c r="J45" s="84"/>
      <c r="K45" s="84"/>
    </row>
  </sheetData>
  <sheetProtection selectLockedCells="1" selectUnlockedCells="1"/>
  <mergeCells count="52">
    <mergeCell ref="B33:C33"/>
    <mergeCell ref="B34:C34"/>
    <mergeCell ref="A43:A44"/>
    <mergeCell ref="B43:C43"/>
    <mergeCell ref="B45:F45"/>
    <mergeCell ref="B35:C35"/>
    <mergeCell ref="B36:C36"/>
    <mergeCell ref="B37:C37"/>
    <mergeCell ref="B38:C38"/>
    <mergeCell ref="B41:C41"/>
    <mergeCell ref="D43:F43"/>
    <mergeCell ref="B44:F44"/>
    <mergeCell ref="B42:C42"/>
    <mergeCell ref="B39:C39"/>
    <mergeCell ref="B40:C40"/>
    <mergeCell ref="B32:C32"/>
    <mergeCell ref="G15:K19"/>
    <mergeCell ref="B16:C16"/>
    <mergeCell ref="A20:A41"/>
    <mergeCell ref="B20:C20"/>
    <mergeCell ref="B21:C21"/>
    <mergeCell ref="B22:C22"/>
    <mergeCell ref="B23:C23"/>
    <mergeCell ref="B26:C26"/>
    <mergeCell ref="B24:C24"/>
    <mergeCell ref="B25:C25"/>
    <mergeCell ref="B29:C29"/>
    <mergeCell ref="B30:C30"/>
    <mergeCell ref="B31:C31"/>
    <mergeCell ref="B27:C27"/>
    <mergeCell ref="B28:C28"/>
    <mergeCell ref="B13:C13"/>
    <mergeCell ref="B14:C14"/>
    <mergeCell ref="B15:C15"/>
    <mergeCell ref="B19:C19"/>
    <mergeCell ref="A13:A16"/>
    <mergeCell ref="B17:C17"/>
    <mergeCell ref="B18:C18"/>
    <mergeCell ref="B10:C10"/>
    <mergeCell ref="B12:C12"/>
    <mergeCell ref="G1:G4"/>
    <mergeCell ref="A2:B3"/>
    <mergeCell ref="F3:F4"/>
    <mergeCell ref="A4:B4"/>
    <mergeCell ref="A5:F5"/>
    <mergeCell ref="B6:C6"/>
    <mergeCell ref="A7:A12"/>
    <mergeCell ref="A1:F1"/>
    <mergeCell ref="B7:C7"/>
    <mergeCell ref="B8:C8"/>
    <mergeCell ref="B9:C9"/>
    <mergeCell ref="B11:C11"/>
  </mergeCells>
  <phoneticPr fontId="51" type="noConversion"/>
  <dataValidations count="2">
    <dataValidation allowBlank="1" showErrorMessage="1" sqref="D3">
      <formula1>0</formula1>
      <formula2>0</formula2>
    </dataValidation>
    <dataValidation allowBlank="1" showErrorMessage="1" promptTitle="存在调整事项时" prompt="_x000a_选择 “E”" sqref="D43:F43">
      <formula1>0</formula1>
      <formula2>0</formula2>
    </dataValidation>
  </dataValidations>
  <hyperlinks>
    <hyperlink ref="G7" location="资产负债!A1" display="资产负债表"/>
    <hyperlink ref="G8" location="营外收支!A1" display="营外收支!A1"/>
    <hyperlink ref="G9" location="招待!D27" display="招待!D27"/>
    <hyperlink ref="G12" location="事项说明!A52" display="事项说明!A52"/>
    <hyperlink ref="G14" location="纳税调整明细表!E45" display="纳税调整明细表!E45"/>
    <hyperlink ref="G20" location="减值准备纳税调整表!A1" display="减值准备纳税调整表!A1"/>
    <hyperlink ref="G22" location="凭证检查!J7" display="凭证检查!J7"/>
    <hyperlink ref="G35" location="工资福利!A1" display="工资福利!A1"/>
    <hyperlink ref="G38" location="财务费用!A1" display="财务费用审核表"/>
    <hyperlink ref="G32" location="A105000纳税调整项目明细表!A1" display="A105000纳税调整项目明细表!A1"/>
  </hyperlinks>
  <pageMargins left="0.78740157480314998" right="0.35433070866141703" top="0.511811023622047" bottom="0.11811023622047198" header="0.511811023622047" footer="0.511811023622047"/>
  <pageSetup paperSize="9" firstPageNumber="0" orientation="portrait" blackAndWhite="1" r:id="rId1"/>
  <headerFooter alignWithMargins="0"/>
</worksheet>
</file>

<file path=xl/worksheets/sheet3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85"/>
  <dimension ref="A1:EE11"/>
  <sheetViews>
    <sheetView workbookViewId="0">
      <selection activeCell="I8" sqref="I8:K8"/>
    </sheetView>
  </sheetViews>
  <sheetFormatPr defaultRowHeight="15.6"/>
  <cols>
    <col min="1" max="1" width="10.8984375" customWidth="1"/>
    <col min="2" max="2" width="19" customWidth="1"/>
    <col min="3" max="3" width="10.5" customWidth="1"/>
    <col min="4" max="4" width="6.69921875" customWidth="1"/>
    <col min="5" max="5" width="10.5" customWidth="1"/>
    <col min="6" max="6" width="6" customWidth="1"/>
    <col min="7" max="7" width="12.09765625" customWidth="1"/>
    <col min="8" max="8" width="9.19921875" customWidth="1"/>
    <col min="9" max="9" width="6.69921875" customWidth="1"/>
    <col min="10" max="11" width="10.5" customWidth="1"/>
  </cols>
  <sheetData>
    <row r="1" spans="1:135" ht="22.2">
      <c r="A1" s="3325" t="s">
        <v>1426</v>
      </c>
      <c r="B1" s="3325"/>
      <c r="C1" s="3325"/>
      <c r="D1" s="3325"/>
      <c r="E1" s="3325"/>
      <c r="F1" s="3325"/>
      <c r="G1" s="3325"/>
      <c r="H1" s="3325"/>
      <c r="I1" s="3325"/>
      <c r="J1" s="3325"/>
      <c r="K1" s="3325"/>
      <c r="L1" s="3325"/>
    </row>
    <row r="2" spans="1:135">
      <c r="A2" s="1292" t="s">
        <v>1435</v>
      </c>
      <c r="B2" s="3334">
        <f>基本情况!B2</f>
        <v>0</v>
      </c>
      <c r="C2" s="3334"/>
      <c r="D2" s="1294" t="s">
        <v>1449</v>
      </c>
      <c r="E2" s="1293">
        <f>基本情况!B12</f>
        <v>0</v>
      </c>
      <c r="F2" s="1294" t="s">
        <v>1451</v>
      </c>
      <c r="G2" s="1295" t="str">
        <f>基本情况!B21</f>
        <v>2017年3月16日</v>
      </c>
      <c r="H2" s="1284" t="s">
        <v>1436</v>
      </c>
      <c r="I2" s="3326" t="str">
        <f>基本情况!B48</f>
        <v>0</v>
      </c>
      <c r="J2" s="3327"/>
      <c r="K2" s="3327"/>
      <c r="L2" s="3328"/>
    </row>
    <row r="3" spans="1:135">
      <c r="A3" s="1296" t="s">
        <v>1437</v>
      </c>
      <c r="B3" s="3335" t="str">
        <f>IF(OR(基本情况!B6&lt;&gt;"12月31日",基本情况!F5&lt;&gt;"01",基本情况!G5&lt;&gt;"01"),基本情况!B7,基本情况!B4&amp;"年度")</f>
        <v>2016年度</v>
      </c>
      <c r="C3" s="3335"/>
      <c r="D3" s="1297" t="s">
        <v>1450</v>
      </c>
      <c r="E3" s="1289">
        <f>基本情况!B11</f>
        <v>0</v>
      </c>
      <c r="F3" s="1297" t="s">
        <v>1451</v>
      </c>
      <c r="G3" s="1298" t="str">
        <f>基本情况!B22</f>
        <v>2017年5月4日</v>
      </c>
      <c r="H3" s="1299"/>
      <c r="I3" s="1299"/>
      <c r="J3" s="1290" t="s">
        <v>1448</v>
      </c>
      <c r="K3" s="3329" t="str">
        <f>档案索引!A33</f>
        <v>2A-13</v>
      </c>
      <c r="L3" s="3330"/>
    </row>
    <row r="4" spans="1:135" ht="6.75" customHeight="1">
      <c r="A4" s="3331"/>
      <c r="B4" s="3332"/>
      <c r="C4" s="3332"/>
      <c r="D4" s="3332"/>
      <c r="E4" s="3332"/>
      <c r="F4" s="3332"/>
      <c r="G4" s="3332"/>
      <c r="H4" s="3332"/>
      <c r="I4" s="3332"/>
      <c r="J4" s="3332"/>
      <c r="K4" s="3332"/>
      <c r="L4" s="3333"/>
      <c r="M4" s="705"/>
      <c r="N4" s="705"/>
      <c r="O4" s="705"/>
      <c r="P4" s="705"/>
      <c r="Q4" s="705"/>
      <c r="R4" s="705"/>
      <c r="S4" s="705"/>
      <c r="T4" s="705"/>
      <c r="U4" s="705"/>
      <c r="V4" s="705"/>
      <c r="W4" s="705"/>
      <c r="X4" s="705"/>
      <c r="Y4" s="705"/>
      <c r="Z4" s="705"/>
      <c r="AA4" s="705"/>
      <c r="AB4" s="705"/>
      <c r="AC4" s="705"/>
      <c r="AD4" s="705"/>
      <c r="AE4" s="705"/>
      <c r="AF4" s="705"/>
      <c r="AG4" s="705"/>
      <c r="AH4" s="705"/>
      <c r="AI4" s="705"/>
      <c r="AJ4" s="705"/>
      <c r="AK4" s="705"/>
      <c r="AL4" s="705"/>
      <c r="AM4" s="705"/>
      <c r="AN4" s="705"/>
      <c r="AO4" s="705"/>
      <c r="AP4" s="705"/>
      <c r="AQ4" s="705"/>
      <c r="AR4" s="705"/>
      <c r="AS4" s="705"/>
      <c r="AT4" s="705"/>
      <c r="AU4" s="705"/>
      <c r="AV4" s="705"/>
      <c r="AW4" s="705"/>
      <c r="AX4" s="705"/>
      <c r="AY4" s="705"/>
      <c r="AZ4" s="705"/>
      <c r="BA4" s="705"/>
      <c r="BB4" s="705"/>
      <c r="BC4" s="705"/>
      <c r="BD4" s="705"/>
      <c r="BE4" s="705"/>
      <c r="BF4" s="705"/>
      <c r="BG4" s="705"/>
      <c r="BH4" s="705"/>
      <c r="BI4" s="705"/>
      <c r="BJ4" s="705"/>
      <c r="BK4" s="705"/>
      <c r="BL4" s="705"/>
      <c r="BM4" s="705"/>
      <c r="BN4" s="705"/>
      <c r="BO4" s="705"/>
      <c r="BP4" s="705"/>
      <c r="BQ4" s="705"/>
      <c r="BR4" s="705"/>
      <c r="BS4" s="705"/>
      <c r="BT4" s="705"/>
      <c r="BU4" s="705"/>
      <c r="BV4" s="705"/>
      <c r="BW4" s="705"/>
      <c r="BX4" s="705"/>
      <c r="BY4" s="705"/>
      <c r="BZ4" s="705"/>
      <c r="CA4" s="705"/>
      <c r="CB4" s="705"/>
      <c r="CC4" s="705"/>
      <c r="CD4" s="705"/>
      <c r="CE4" s="705"/>
      <c r="CF4" s="705"/>
      <c r="CG4" s="705"/>
      <c r="CH4" s="705"/>
      <c r="CI4" s="705"/>
      <c r="CJ4" s="705"/>
      <c r="CK4" s="705"/>
      <c r="CL4" s="705"/>
      <c r="CM4" s="705"/>
      <c r="CN4" s="705"/>
      <c r="CO4" s="705"/>
      <c r="CP4" s="705"/>
      <c r="CQ4" s="705"/>
      <c r="CR4" s="705"/>
      <c r="CS4" s="705"/>
      <c r="CT4" s="705"/>
      <c r="CU4" s="705"/>
      <c r="CV4" s="705"/>
      <c r="CW4" s="705"/>
      <c r="CX4" s="705"/>
      <c r="CY4" s="705"/>
      <c r="CZ4" s="705"/>
      <c r="DA4" s="705"/>
      <c r="DB4" s="705"/>
      <c r="DC4" s="705"/>
      <c r="DD4" s="705"/>
      <c r="DE4" s="705"/>
      <c r="DF4" s="705"/>
      <c r="DG4" s="705"/>
      <c r="DH4" s="705"/>
      <c r="DI4" s="705"/>
      <c r="DJ4" s="705"/>
      <c r="DK4" s="705"/>
      <c r="DL4" s="705"/>
      <c r="DM4" s="705"/>
      <c r="DN4" s="705"/>
      <c r="DO4" s="705"/>
      <c r="DP4" s="705"/>
      <c r="DQ4" s="705"/>
      <c r="DR4" s="705"/>
      <c r="DS4" s="705"/>
      <c r="DT4" s="705"/>
      <c r="DU4" s="705"/>
      <c r="DV4" s="705"/>
      <c r="DW4" s="705"/>
      <c r="DX4" s="705"/>
      <c r="DY4" s="705"/>
      <c r="DZ4" s="705"/>
      <c r="EA4" s="705"/>
      <c r="EB4" s="705"/>
      <c r="EC4" s="705"/>
      <c r="ED4" s="705"/>
      <c r="EE4" s="705"/>
    </row>
    <row r="5" spans="1:135" ht="39.75" customHeight="1">
      <c r="A5" s="3336" t="s">
        <v>1427</v>
      </c>
      <c r="B5" s="3336"/>
      <c r="C5" s="3337" t="s">
        <v>1428</v>
      </c>
      <c r="D5" s="3337"/>
      <c r="E5" s="3337"/>
      <c r="F5" s="3337" t="s">
        <v>1429</v>
      </c>
      <c r="G5" s="3337"/>
      <c r="H5" s="3337"/>
      <c r="I5" s="3337" t="s">
        <v>1307</v>
      </c>
      <c r="J5" s="3337"/>
      <c r="K5" s="3337"/>
      <c r="L5" s="1301" t="s">
        <v>1453</v>
      </c>
      <c r="M5" s="706" t="s">
        <v>396</v>
      </c>
    </row>
    <row r="6" spans="1:135" ht="39.75" customHeight="1">
      <c r="A6" s="3352" t="s">
        <v>1286</v>
      </c>
      <c r="B6" s="3353"/>
      <c r="C6" s="3346">
        <f>工资福利!F19</f>
        <v>0</v>
      </c>
      <c r="D6" s="3338"/>
      <c r="E6" s="3338"/>
      <c r="F6" s="3338">
        <f>工资福利!F21</f>
        <v>0</v>
      </c>
      <c r="G6" s="3338"/>
      <c r="H6" s="3338"/>
      <c r="I6" s="3339">
        <f>工资福利!F23</f>
        <v>0</v>
      </c>
      <c r="J6" s="3339"/>
      <c r="K6" s="3339"/>
      <c r="L6" s="2136"/>
    </row>
    <row r="7" spans="1:135" ht="39.75" customHeight="1">
      <c r="A7" s="3340" t="s">
        <v>1430</v>
      </c>
      <c r="B7" s="3341"/>
      <c r="C7" s="3347"/>
      <c r="D7" s="3348"/>
      <c r="E7" s="3348"/>
      <c r="F7" s="3348"/>
      <c r="G7" s="3348"/>
      <c r="H7" s="3348"/>
      <c r="I7" s="3356"/>
      <c r="J7" s="3356"/>
      <c r="K7" s="3356"/>
      <c r="L7" s="2137"/>
    </row>
    <row r="8" spans="1:135" ht="39.75" customHeight="1">
      <c r="A8" s="3340" t="s">
        <v>1438</v>
      </c>
      <c r="B8" s="3341"/>
      <c r="C8" s="3349">
        <f>A105060广告费和业务宣传费跨年度纳税调整明细表!C10</f>
        <v>0</v>
      </c>
      <c r="D8" s="3350"/>
      <c r="E8" s="3350"/>
      <c r="F8" s="3350">
        <f>A105060广告费和业务宣传费跨年度纳税调整明细表!C12</f>
        <v>0</v>
      </c>
      <c r="G8" s="3350"/>
      <c r="H8" s="3350"/>
      <c r="I8" s="3357">
        <f>A105060广告费和业务宣传费跨年度纳税调整明细表!C16</f>
        <v>0</v>
      </c>
      <c r="J8" s="3357"/>
      <c r="K8" s="3357"/>
      <c r="L8" s="2137"/>
    </row>
    <row r="9" spans="1:135" ht="39.75" customHeight="1">
      <c r="A9" s="3342"/>
      <c r="B9" s="3343"/>
      <c r="C9" s="3354"/>
      <c r="D9" s="3355"/>
      <c r="E9" s="3355"/>
      <c r="F9" s="3355"/>
      <c r="G9" s="3355"/>
      <c r="H9" s="3355"/>
      <c r="I9" s="3358"/>
      <c r="J9" s="3358"/>
      <c r="K9" s="3358"/>
      <c r="L9" s="2139"/>
    </row>
    <row r="10" spans="1:135" ht="39.75" customHeight="1">
      <c r="A10" s="3344" t="s">
        <v>1452</v>
      </c>
      <c r="B10" s="3345"/>
      <c r="C10" s="3351">
        <f>SUM(C6:C9)</f>
        <v>0</v>
      </c>
      <c r="D10" s="3351"/>
      <c r="E10" s="3351"/>
      <c r="F10" s="3351">
        <f>SUM(F6:F9)</f>
        <v>0</v>
      </c>
      <c r="G10" s="3351"/>
      <c r="H10" s="3351"/>
      <c r="I10" s="3351">
        <f>SUM(I6:I9)</f>
        <v>0</v>
      </c>
      <c r="J10" s="3351"/>
      <c r="K10" s="3351"/>
      <c r="L10" s="1300"/>
    </row>
    <row r="11" spans="1:135">
      <c r="A11" s="1277"/>
    </row>
  </sheetData>
  <mergeCells count="30">
    <mergeCell ref="F7:H7"/>
    <mergeCell ref="I7:K7"/>
    <mergeCell ref="F10:H10"/>
    <mergeCell ref="I10:K10"/>
    <mergeCell ref="F8:H8"/>
    <mergeCell ref="I8:K8"/>
    <mergeCell ref="F9:H9"/>
    <mergeCell ref="I9:K9"/>
    <mergeCell ref="A8:B8"/>
    <mergeCell ref="A9:B9"/>
    <mergeCell ref="A10:B10"/>
    <mergeCell ref="C6:E6"/>
    <mergeCell ref="C7:E7"/>
    <mergeCell ref="C8:E8"/>
    <mergeCell ref="C10:E10"/>
    <mergeCell ref="A6:B6"/>
    <mergeCell ref="A7:B7"/>
    <mergeCell ref="C9:E9"/>
    <mergeCell ref="A5:B5"/>
    <mergeCell ref="C5:E5"/>
    <mergeCell ref="F5:H5"/>
    <mergeCell ref="I5:K5"/>
    <mergeCell ref="F6:H6"/>
    <mergeCell ref="I6:K6"/>
    <mergeCell ref="A1:L1"/>
    <mergeCell ref="I2:L2"/>
    <mergeCell ref="K3:L3"/>
    <mergeCell ref="A4:L4"/>
    <mergeCell ref="B2:C2"/>
    <mergeCell ref="B3:C3"/>
  </mergeCells>
  <phoneticPr fontId="51" type="noConversion"/>
  <pageMargins left="0.78740157480314998" right="0.35433070866141703" top="0.511811023622047" bottom="0.11811023622047198" header="0.511811023622047" footer="0.511811023622047"/>
  <pageSetup paperSize="9" orientation="landscape" blackAndWhite="1" r:id="rId1"/>
  <headerFooter alignWithMargins="0"/>
</worksheet>
</file>

<file path=xl/worksheets/sheet4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86"/>
  <dimension ref="A1:EE19"/>
  <sheetViews>
    <sheetView workbookViewId="0">
      <selection sqref="A1:G1"/>
    </sheetView>
  </sheetViews>
  <sheetFormatPr defaultRowHeight="15.6"/>
  <cols>
    <col min="1" max="1" width="10.69921875" customWidth="1"/>
    <col min="2" max="2" width="19.19921875" customWidth="1"/>
    <col min="4" max="4" width="13.8984375" customWidth="1"/>
    <col min="6" max="6" width="15" customWidth="1"/>
  </cols>
  <sheetData>
    <row r="1" spans="1:135" ht="22.2">
      <c r="A1" s="3325" t="s">
        <v>1431</v>
      </c>
      <c r="B1" s="3325"/>
      <c r="C1" s="3325"/>
      <c r="D1" s="3325"/>
      <c r="E1" s="3325"/>
      <c r="F1" s="3325"/>
      <c r="G1" s="3325"/>
    </row>
    <row r="2" spans="1:135" ht="22.2">
      <c r="A2" s="2093"/>
      <c r="B2" s="2094"/>
      <c r="C2" s="2095"/>
      <c r="D2" s="2096"/>
      <c r="E2" s="1284" t="s">
        <v>1448</v>
      </c>
      <c r="F2" s="3361" t="str">
        <f>档案索引!A34</f>
        <v>2A-14</v>
      </c>
      <c r="G2" s="3362"/>
    </row>
    <row r="3" spans="1:135" ht="24">
      <c r="A3" s="1285" t="s">
        <v>1435</v>
      </c>
      <c r="B3" s="3366">
        <f>基本情况!B2</f>
        <v>0</v>
      </c>
      <c r="C3" s="3366"/>
      <c r="D3" s="1286" t="s">
        <v>1449</v>
      </c>
      <c r="E3" s="1287">
        <f>基本情况!B12</f>
        <v>0</v>
      </c>
      <c r="F3" s="3363" t="str">
        <f>基本情况!B21</f>
        <v>2017年3月16日</v>
      </c>
      <c r="G3" s="3364"/>
      <c r="H3" s="1327"/>
    </row>
    <row r="4" spans="1:135">
      <c r="A4" s="1288" t="s">
        <v>1436</v>
      </c>
      <c r="B4" s="3367" t="str">
        <f>基本情况!B48</f>
        <v>0</v>
      </c>
      <c r="C4" s="3335"/>
      <c r="D4" s="1290" t="s">
        <v>1450</v>
      </c>
      <c r="E4" s="1291">
        <f>基本情况!B11</f>
        <v>0</v>
      </c>
      <c r="F4" s="3329" t="str">
        <f>基本情况!B22</f>
        <v>2017年5月4日</v>
      </c>
      <c r="G4" s="3365"/>
      <c r="H4" s="973"/>
    </row>
    <row r="5" spans="1:135" ht="6.75" customHeight="1">
      <c r="A5" s="3331"/>
      <c r="B5" s="3332"/>
      <c r="C5" s="3332"/>
      <c r="D5" s="3332"/>
      <c r="E5" s="3332"/>
      <c r="F5" s="3332"/>
      <c r="G5" s="3333"/>
      <c r="H5" s="1283"/>
      <c r="I5" s="705"/>
      <c r="J5" s="705"/>
      <c r="K5" s="705"/>
      <c r="L5" s="705"/>
      <c r="M5" s="705"/>
      <c r="N5" s="705"/>
      <c r="O5" s="705"/>
      <c r="P5" s="705"/>
      <c r="Q5" s="705"/>
      <c r="R5" s="705"/>
      <c r="S5" s="705"/>
      <c r="T5" s="705"/>
      <c r="U5" s="705"/>
      <c r="V5" s="705"/>
      <c r="W5" s="705"/>
      <c r="X5" s="705"/>
      <c r="Y5" s="705"/>
      <c r="Z5" s="705"/>
      <c r="AA5" s="705"/>
      <c r="AB5" s="705"/>
      <c r="AC5" s="705"/>
      <c r="AD5" s="705"/>
      <c r="AE5" s="705"/>
      <c r="AF5" s="705"/>
      <c r="AG5" s="705"/>
      <c r="AH5" s="705"/>
      <c r="AI5" s="705"/>
      <c r="AJ5" s="705"/>
      <c r="AK5" s="705"/>
      <c r="AL5" s="705"/>
      <c r="AM5" s="705"/>
      <c r="AN5" s="705"/>
      <c r="AO5" s="705"/>
      <c r="AP5" s="705"/>
      <c r="AQ5" s="705"/>
      <c r="AR5" s="705"/>
      <c r="AS5" s="705"/>
      <c r="AT5" s="705"/>
      <c r="AU5" s="705"/>
      <c r="AV5" s="705"/>
      <c r="AW5" s="705"/>
      <c r="AX5" s="705"/>
      <c r="AY5" s="705"/>
      <c r="AZ5" s="705"/>
      <c r="BA5" s="705"/>
      <c r="BB5" s="705"/>
      <c r="BC5" s="705"/>
      <c r="BD5" s="705"/>
      <c r="BE5" s="705"/>
      <c r="BF5" s="705"/>
      <c r="BG5" s="705"/>
      <c r="BH5" s="705"/>
      <c r="BI5" s="705"/>
      <c r="BJ5" s="705"/>
      <c r="BK5" s="705"/>
      <c r="BL5" s="705"/>
      <c r="BM5" s="705"/>
      <c r="BN5" s="705"/>
      <c r="BO5" s="705"/>
      <c r="BP5" s="705"/>
      <c r="BQ5" s="705"/>
      <c r="BR5" s="705"/>
      <c r="BS5" s="705"/>
      <c r="BT5" s="705"/>
      <c r="BU5" s="705"/>
      <c r="BV5" s="705"/>
      <c r="BW5" s="705"/>
      <c r="BX5" s="705"/>
      <c r="BY5" s="705"/>
      <c r="BZ5" s="705"/>
      <c r="CA5" s="705"/>
      <c r="CB5" s="705"/>
      <c r="CC5" s="705"/>
      <c r="CD5" s="705"/>
      <c r="CE5" s="705"/>
      <c r="CF5" s="705"/>
      <c r="CG5" s="705"/>
      <c r="CH5" s="705"/>
      <c r="CI5" s="705"/>
      <c r="CJ5" s="705"/>
      <c r="CK5" s="705"/>
      <c r="CL5" s="705"/>
      <c r="CM5" s="705"/>
      <c r="CN5" s="705"/>
      <c r="CO5" s="705"/>
      <c r="CP5" s="705"/>
      <c r="CQ5" s="705"/>
      <c r="CR5" s="705"/>
      <c r="CS5" s="705"/>
      <c r="CT5" s="705"/>
      <c r="CU5" s="705"/>
      <c r="CV5" s="705"/>
      <c r="CW5" s="705"/>
      <c r="CX5" s="705"/>
      <c r="CY5" s="705"/>
      <c r="CZ5" s="705"/>
      <c r="DA5" s="705"/>
      <c r="DB5" s="705"/>
      <c r="DC5" s="705"/>
      <c r="DD5" s="705"/>
      <c r="DE5" s="705"/>
      <c r="DF5" s="705"/>
      <c r="DG5" s="705"/>
      <c r="DH5" s="705"/>
      <c r="DI5" s="705"/>
      <c r="DJ5" s="705"/>
      <c r="DK5" s="705"/>
      <c r="DL5" s="705"/>
      <c r="DM5" s="705"/>
      <c r="DN5" s="705"/>
      <c r="DO5" s="705"/>
      <c r="DP5" s="705"/>
      <c r="DQ5" s="705"/>
      <c r="DR5" s="705"/>
      <c r="DS5" s="705"/>
      <c r="DT5" s="705"/>
      <c r="DU5" s="705"/>
      <c r="DV5" s="705"/>
      <c r="DW5" s="705"/>
      <c r="DX5" s="705"/>
      <c r="DY5" s="705"/>
      <c r="DZ5" s="705"/>
      <c r="EA5" s="705"/>
      <c r="EB5" s="705"/>
      <c r="EC5" s="705"/>
      <c r="ED5" s="705"/>
      <c r="EE5" s="705"/>
    </row>
    <row r="6" spans="1:135" ht="23.4" customHeight="1">
      <c r="A6" s="3337" t="s">
        <v>666</v>
      </c>
      <c r="B6" s="3337"/>
      <c r="C6" s="3337" t="s">
        <v>1432</v>
      </c>
      <c r="D6" s="3337" t="s">
        <v>1433</v>
      </c>
      <c r="E6" s="3337" t="s">
        <v>1434</v>
      </c>
      <c r="F6" s="3337"/>
      <c r="G6" s="3359" t="s">
        <v>1453</v>
      </c>
      <c r="H6" s="973"/>
    </row>
    <row r="7" spans="1:135" ht="23.4" customHeight="1">
      <c r="A7" s="3337"/>
      <c r="B7" s="3337"/>
      <c r="C7" s="3337"/>
      <c r="D7" s="3337"/>
      <c r="E7" s="1276" t="s">
        <v>16</v>
      </c>
      <c r="F7" s="1276" t="s">
        <v>558</v>
      </c>
      <c r="G7" s="3360"/>
      <c r="H7" s="706" t="s">
        <v>396</v>
      </c>
    </row>
    <row r="8" spans="1:135" ht="31.5" customHeight="1">
      <c r="A8" s="3372" t="s">
        <v>1440</v>
      </c>
      <c r="B8" s="3373"/>
      <c r="C8" s="2140"/>
      <c r="D8" s="2141"/>
      <c r="E8" s="2142"/>
      <c r="F8" s="2141"/>
      <c r="G8" s="2136"/>
    </row>
    <row r="9" spans="1:135" ht="31.5" customHeight="1">
      <c r="A9" s="3374" t="s">
        <v>1441</v>
      </c>
      <c r="B9" s="3375"/>
      <c r="C9" s="2143"/>
      <c r="D9" s="2144"/>
      <c r="E9" s="2145"/>
      <c r="F9" s="2144"/>
      <c r="G9" s="2137"/>
    </row>
    <row r="10" spans="1:135" ht="31.5" customHeight="1">
      <c r="A10" s="3374" t="s">
        <v>1442</v>
      </c>
      <c r="B10" s="3375"/>
      <c r="C10" s="2143"/>
      <c r="D10" s="2144"/>
      <c r="E10" s="2145"/>
      <c r="F10" s="2144"/>
      <c r="G10" s="2137"/>
    </row>
    <row r="11" spans="1:135" ht="31.5" customHeight="1">
      <c r="A11" s="3374" t="s">
        <v>1443</v>
      </c>
      <c r="B11" s="3375"/>
      <c r="C11" s="2143"/>
      <c r="D11" s="2144"/>
      <c r="E11" s="2145"/>
      <c r="F11" s="2144"/>
      <c r="G11" s="2137"/>
    </row>
    <row r="12" spans="1:135" ht="31.5" customHeight="1">
      <c r="A12" s="3370"/>
      <c r="B12" s="3371"/>
      <c r="C12" s="2146"/>
      <c r="D12" s="2147"/>
      <c r="E12" s="2148"/>
      <c r="F12" s="2147"/>
      <c r="G12" s="2137"/>
    </row>
    <row r="13" spans="1:135" ht="31.5" customHeight="1">
      <c r="A13" s="3370"/>
      <c r="B13" s="3371"/>
      <c r="C13" s="2143"/>
      <c r="D13" s="2144"/>
      <c r="E13" s="2145"/>
      <c r="F13" s="2144"/>
      <c r="G13" s="2137"/>
    </row>
    <row r="14" spans="1:135" ht="31.5" customHeight="1">
      <c r="A14" s="3370"/>
      <c r="B14" s="3371"/>
      <c r="C14" s="2143"/>
      <c r="D14" s="2144"/>
      <c r="E14" s="2145"/>
      <c r="F14" s="2144"/>
      <c r="G14" s="2137"/>
    </row>
    <row r="15" spans="1:135" ht="31.5" customHeight="1">
      <c r="A15" s="3370"/>
      <c r="B15" s="3371"/>
      <c r="C15" s="2146"/>
      <c r="D15" s="2147"/>
      <c r="E15" s="2148"/>
      <c r="F15" s="2147"/>
      <c r="G15" s="2137"/>
    </row>
    <row r="16" spans="1:135" ht="31.5" customHeight="1">
      <c r="A16" s="3368"/>
      <c r="B16" s="3369"/>
      <c r="C16" s="2149"/>
      <c r="D16" s="2150"/>
      <c r="E16" s="2151"/>
      <c r="F16" s="2150"/>
      <c r="G16" s="2138"/>
    </row>
    <row r="17" spans="1:7" ht="31.5" customHeight="1">
      <c r="A17" s="3337" t="s">
        <v>1439</v>
      </c>
      <c r="B17" s="3337"/>
      <c r="C17" s="1278"/>
      <c r="D17" s="1279">
        <f>SUM(D8:D16)</f>
        <v>0</v>
      </c>
      <c r="E17" s="1278"/>
      <c r="F17" s="1279">
        <f>SUM(F8:F16)</f>
        <v>0</v>
      </c>
      <c r="G17" s="1300"/>
    </row>
    <row r="18" spans="1:7">
      <c r="A18" s="2179"/>
      <c r="B18" s="2179"/>
      <c r="C18" s="2180"/>
      <c r="D18" s="2180"/>
      <c r="E18" s="2180"/>
      <c r="F18" s="2180"/>
      <c r="G18" s="2180"/>
    </row>
    <row r="19" spans="1:7">
      <c r="A19" s="1280"/>
      <c r="B19" s="1280"/>
    </row>
  </sheetData>
  <mergeCells count="22">
    <mergeCell ref="A16:B16"/>
    <mergeCell ref="C6:C7"/>
    <mergeCell ref="D6:D7"/>
    <mergeCell ref="A17:B17"/>
    <mergeCell ref="A13:B13"/>
    <mergeCell ref="A14:B14"/>
    <mergeCell ref="A15:B15"/>
    <mergeCell ref="A8:B8"/>
    <mergeCell ref="A9:B9"/>
    <mergeCell ref="A10:B10"/>
    <mergeCell ref="A11:B11"/>
    <mergeCell ref="A12:B12"/>
    <mergeCell ref="A5:G5"/>
    <mergeCell ref="G6:G7"/>
    <mergeCell ref="E6:F6"/>
    <mergeCell ref="A1:G1"/>
    <mergeCell ref="F2:G2"/>
    <mergeCell ref="F3:G3"/>
    <mergeCell ref="F4:G4"/>
    <mergeCell ref="B3:C3"/>
    <mergeCell ref="B4:C4"/>
    <mergeCell ref="A6:B7"/>
  </mergeCells>
  <phoneticPr fontId="51" type="noConversion"/>
  <pageMargins left="0.78740157480314998" right="0.35433070866141703" top="0.511811023622047" bottom="0.11811023622047198" header="0.511811023622047" footer="0.511811023622047"/>
  <pageSetup paperSize="9" orientation="portrait" blackAndWhite="1" r:id="rId1"/>
  <headerFooter alignWithMargins="0"/>
</worksheet>
</file>

<file path=xl/worksheets/sheet4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56">
    <tabColor rgb="FFFFFF00"/>
  </sheetPr>
  <dimension ref="A1:EE62"/>
  <sheetViews>
    <sheetView workbookViewId="0">
      <selection activeCell="H18" sqref="H18"/>
    </sheetView>
  </sheetViews>
  <sheetFormatPr defaultRowHeight="15.6"/>
  <cols>
    <col min="1" max="1" width="9.19921875" style="1555" customWidth="1"/>
    <col min="2" max="2" width="38" style="1651" customWidth="1"/>
    <col min="3" max="4" width="12.3984375" style="1555" customWidth="1"/>
    <col min="5" max="5" width="12.3984375" style="1651" customWidth="1"/>
    <col min="6" max="256" width="9" style="1651"/>
    <col min="257" max="257" width="5.19921875" style="1651" customWidth="1"/>
    <col min="258" max="258" width="54.19921875" style="1651" customWidth="1"/>
    <col min="259" max="260" width="10.5" style="1651" customWidth="1"/>
    <col min="261" max="261" width="26.8984375" style="1651" customWidth="1"/>
    <col min="262" max="512" width="9" style="1651"/>
    <col min="513" max="513" width="5.19921875" style="1651" customWidth="1"/>
    <col min="514" max="514" width="54.19921875" style="1651" customWidth="1"/>
    <col min="515" max="516" width="10.5" style="1651" customWidth="1"/>
    <col min="517" max="517" width="26.8984375" style="1651" customWidth="1"/>
    <col min="518" max="768" width="9" style="1651"/>
    <col min="769" max="769" width="5.19921875" style="1651" customWidth="1"/>
    <col min="770" max="770" width="54.19921875" style="1651" customWidth="1"/>
    <col min="771" max="772" width="10.5" style="1651" customWidth="1"/>
    <col min="773" max="773" width="26.8984375" style="1651" customWidth="1"/>
    <col min="774" max="1024" width="9" style="1651"/>
    <col min="1025" max="1025" width="5.19921875" style="1651" customWidth="1"/>
    <col min="1026" max="1026" width="54.19921875" style="1651" customWidth="1"/>
    <col min="1027" max="1028" width="10.5" style="1651" customWidth="1"/>
    <col min="1029" max="1029" width="26.8984375" style="1651" customWidth="1"/>
    <col min="1030" max="1280" width="9" style="1651"/>
    <col min="1281" max="1281" width="5.19921875" style="1651" customWidth="1"/>
    <col min="1282" max="1282" width="54.19921875" style="1651" customWidth="1"/>
    <col min="1283" max="1284" width="10.5" style="1651" customWidth="1"/>
    <col min="1285" max="1285" width="26.8984375" style="1651" customWidth="1"/>
    <col min="1286" max="1536" width="9" style="1651"/>
    <col min="1537" max="1537" width="5.19921875" style="1651" customWidth="1"/>
    <col min="1538" max="1538" width="54.19921875" style="1651" customWidth="1"/>
    <col min="1539" max="1540" width="10.5" style="1651" customWidth="1"/>
    <col min="1541" max="1541" width="26.8984375" style="1651" customWidth="1"/>
    <col min="1542" max="1792" width="9" style="1651"/>
    <col min="1793" max="1793" width="5.19921875" style="1651" customWidth="1"/>
    <col min="1794" max="1794" width="54.19921875" style="1651" customWidth="1"/>
    <col min="1795" max="1796" width="10.5" style="1651" customWidth="1"/>
    <col min="1797" max="1797" width="26.8984375" style="1651" customWidth="1"/>
    <col min="1798" max="2048" width="9" style="1651"/>
    <col min="2049" max="2049" width="5.19921875" style="1651" customWidth="1"/>
    <col min="2050" max="2050" width="54.19921875" style="1651" customWidth="1"/>
    <col min="2051" max="2052" width="10.5" style="1651" customWidth="1"/>
    <col min="2053" max="2053" width="26.8984375" style="1651" customWidth="1"/>
    <col min="2054" max="2304" width="9" style="1651"/>
    <col min="2305" max="2305" width="5.19921875" style="1651" customWidth="1"/>
    <col min="2306" max="2306" width="54.19921875" style="1651" customWidth="1"/>
    <col min="2307" max="2308" width="10.5" style="1651" customWidth="1"/>
    <col min="2309" max="2309" width="26.8984375" style="1651" customWidth="1"/>
    <col min="2310" max="2560" width="9" style="1651"/>
    <col min="2561" max="2561" width="5.19921875" style="1651" customWidth="1"/>
    <col min="2562" max="2562" width="54.19921875" style="1651" customWidth="1"/>
    <col min="2563" max="2564" width="10.5" style="1651" customWidth="1"/>
    <col min="2565" max="2565" width="26.8984375" style="1651" customWidth="1"/>
    <col min="2566" max="2816" width="9" style="1651"/>
    <col min="2817" max="2817" width="5.19921875" style="1651" customWidth="1"/>
    <col min="2818" max="2818" width="54.19921875" style="1651" customWidth="1"/>
    <col min="2819" max="2820" width="10.5" style="1651" customWidth="1"/>
    <col min="2821" max="2821" width="26.8984375" style="1651" customWidth="1"/>
    <col min="2822" max="3072" width="9" style="1651"/>
    <col min="3073" max="3073" width="5.19921875" style="1651" customWidth="1"/>
    <col min="3074" max="3074" width="54.19921875" style="1651" customWidth="1"/>
    <col min="3075" max="3076" width="10.5" style="1651" customWidth="1"/>
    <col min="3077" max="3077" width="26.8984375" style="1651" customWidth="1"/>
    <col min="3078" max="3328" width="9" style="1651"/>
    <col min="3329" max="3329" width="5.19921875" style="1651" customWidth="1"/>
    <col min="3330" max="3330" width="54.19921875" style="1651" customWidth="1"/>
    <col min="3331" max="3332" width="10.5" style="1651" customWidth="1"/>
    <col min="3333" max="3333" width="26.8984375" style="1651" customWidth="1"/>
    <col min="3334" max="3584" width="9" style="1651"/>
    <col min="3585" max="3585" width="5.19921875" style="1651" customWidth="1"/>
    <col min="3586" max="3586" width="54.19921875" style="1651" customWidth="1"/>
    <col min="3587" max="3588" width="10.5" style="1651" customWidth="1"/>
    <col min="3589" max="3589" width="26.8984375" style="1651" customWidth="1"/>
    <col min="3590" max="3840" width="9" style="1651"/>
    <col min="3841" max="3841" width="5.19921875" style="1651" customWidth="1"/>
    <col min="3842" max="3842" width="54.19921875" style="1651" customWidth="1"/>
    <col min="3843" max="3844" width="10.5" style="1651" customWidth="1"/>
    <col min="3845" max="3845" width="26.8984375" style="1651" customWidth="1"/>
    <col min="3846" max="4096" width="9" style="1651"/>
    <col min="4097" max="4097" width="5.19921875" style="1651" customWidth="1"/>
    <col min="4098" max="4098" width="54.19921875" style="1651" customWidth="1"/>
    <col min="4099" max="4100" width="10.5" style="1651" customWidth="1"/>
    <col min="4101" max="4101" width="26.8984375" style="1651" customWidth="1"/>
    <col min="4102" max="4352" width="9" style="1651"/>
    <col min="4353" max="4353" width="5.19921875" style="1651" customWidth="1"/>
    <col min="4354" max="4354" width="54.19921875" style="1651" customWidth="1"/>
    <col min="4355" max="4356" width="10.5" style="1651" customWidth="1"/>
    <col min="4357" max="4357" width="26.8984375" style="1651" customWidth="1"/>
    <col min="4358" max="4608" width="9" style="1651"/>
    <col min="4609" max="4609" width="5.19921875" style="1651" customWidth="1"/>
    <col min="4610" max="4610" width="54.19921875" style="1651" customWidth="1"/>
    <col min="4611" max="4612" width="10.5" style="1651" customWidth="1"/>
    <col min="4613" max="4613" width="26.8984375" style="1651" customWidth="1"/>
    <col min="4614" max="4864" width="9" style="1651"/>
    <col min="4865" max="4865" width="5.19921875" style="1651" customWidth="1"/>
    <col min="4866" max="4866" width="54.19921875" style="1651" customWidth="1"/>
    <col min="4867" max="4868" width="10.5" style="1651" customWidth="1"/>
    <col min="4869" max="4869" width="26.8984375" style="1651" customWidth="1"/>
    <col min="4870" max="5120" width="9" style="1651"/>
    <col min="5121" max="5121" width="5.19921875" style="1651" customWidth="1"/>
    <col min="5122" max="5122" width="54.19921875" style="1651" customWidth="1"/>
    <col min="5123" max="5124" width="10.5" style="1651" customWidth="1"/>
    <col min="5125" max="5125" width="26.8984375" style="1651" customWidth="1"/>
    <col min="5126" max="5376" width="9" style="1651"/>
    <col min="5377" max="5377" width="5.19921875" style="1651" customWidth="1"/>
    <col min="5378" max="5378" width="54.19921875" style="1651" customWidth="1"/>
    <col min="5379" max="5380" width="10.5" style="1651" customWidth="1"/>
    <col min="5381" max="5381" width="26.8984375" style="1651" customWidth="1"/>
    <col min="5382" max="5632" width="9" style="1651"/>
    <col min="5633" max="5633" width="5.19921875" style="1651" customWidth="1"/>
    <col min="5634" max="5634" width="54.19921875" style="1651" customWidth="1"/>
    <col min="5635" max="5636" width="10.5" style="1651" customWidth="1"/>
    <col min="5637" max="5637" width="26.8984375" style="1651" customWidth="1"/>
    <col min="5638" max="5888" width="9" style="1651"/>
    <col min="5889" max="5889" width="5.19921875" style="1651" customWidth="1"/>
    <col min="5890" max="5890" width="54.19921875" style="1651" customWidth="1"/>
    <col min="5891" max="5892" width="10.5" style="1651" customWidth="1"/>
    <col min="5893" max="5893" width="26.8984375" style="1651" customWidth="1"/>
    <col min="5894" max="6144" width="9" style="1651"/>
    <col min="6145" max="6145" width="5.19921875" style="1651" customWidth="1"/>
    <col min="6146" max="6146" width="54.19921875" style="1651" customWidth="1"/>
    <col min="6147" max="6148" width="10.5" style="1651" customWidth="1"/>
    <col min="6149" max="6149" width="26.8984375" style="1651" customWidth="1"/>
    <col min="6150" max="6400" width="9" style="1651"/>
    <col min="6401" max="6401" width="5.19921875" style="1651" customWidth="1"/>
    <col min="6402" max="6402" width="54.19921875" style="1651" customWidth="1"/>
    <col min="6403" max="6404" width="10.5" style="1651" customWidth="1"/>
    <col min="6405" max="6405" width="26.8984375" style="1651" customWidth="1"/>
    <col min="6406" max="6656" width="9" style="1651"/>
    <col min="6657" max="6657" width="5.19921875" style="1651" customWidth="1"/>
    <col min="6658" max="6658" width="54.19921875" style="1651" customWidth="1"/>
    <col min="6659" max="6660" width="10.5" style="1651" customWidth="1"/>
    <col min="6661" max="6661" width="26.8984375" style="1651" customWidth="1"/>
    <col min="6662" max="6912" width="9" style="1651"/>
    <col min="6913" max="6913" width="5.19921875" style="1651" customWidth="1"/>
    <col min="6914" max="6914" width="54.19921875" style="1651" customWidth="1"/>
    <col min="6915" max="6916" width="10.5" style="1651" customWidth="1"/>
    <col min="6917" max="6917" width="26.8984375" style="1651" customWidth="1"/>
    <col min="6918" max="7168" width="9" style="1651"/>
    <col min="7169" max="7169" width="5.19921875" style="1651" customWidth="1"/>
    <col min="7170" max="7170" width="54.19921875" style="1651" customWidth="1"/>
    <col min="7171" max="7172" width="10.5" style="1651" customWidth="1"/>
    <col min="7173" max="7173" width="26.8984375" style="1651" customWidth="1"/>
    <col min="7174" max="7424" width="9" style="1651"/>
    <col min="7425" max="7425" width="5.19921875" style="1651" customWidth="1"/>
    <col min="7426" max="7426" width="54.19921875" style="1651" customWidth="1"/>
    <col min="7427" max="7428" width="10.5" style="1651" customWidth="1"/>
    <col min="7429" max="7429" width="26.8984375" style="1651" customWidth="1"/>
    <col min="7430" max="7680" width="9" style="1651"/>
    <col min="7681" max="7681" width="5.19921875" style="1651" customWidth="1"/>
    <col min="7682" max="7682" width="54.19921875" style="1651" customWidth="1"/>
    <col min="7683" max="7684" width="10.5" style="1651" customWidth="1"/>
    <col min="7685" max="7685" width="26.8984375" style="1651" customWidth="1"/>
    <col min="7686" max="7936" width="9" style="1651"/>
    <col min="7937" max="7937" width="5.19921875" style="1651" customWidth="1"/>
    <col min="7938" max="7938" width="54.19921875" style="1651" customWidth="1"/>
    <col min="7939" max="7940" width="10.5" style="1651" customWidth="1"/>
    <col min="7941" max="7941" width="26.8984375" style="1651" customWidth="1"/>
    <col min="7942" max="8192" width="9" style="1651"/>
    <col min="8193" max="8193" width="5.19921875" style="1651" customWidth="1"/>
    <col min="8194" max="8194" width="54.19921875" style="1651" customWidth="1"/>
    <col min="8195" max="8196" width="10.5" style="1651" customWidth="1"/>
    <col min="8197" max="8197" width="26.8984375" style="1651" customWidth="1"/>
    <col min="8198" max="8448" width="9" style="1651"/>
    <col min="8449" max="8449" width="5.19921875" style="1651" customWidth="1"/>
    <col min="8450" max="8450" width="54.19921875" style="1651" customWidth="1"/>
    <col min="8451" max="8452" width="10.5" style="1651" customWidth="1"/>
    <col min="8453" max="8453" width="26.8984375" style="1651" customWidth="1"/>
    <col min="8454" max="8704" width="9" style="1651"/>
    <col min="8705" max="8705" width="5.19921875" style="1651" customWidth="1"/>
    <col min="8706" max="8706" width="54.19921875" style="1651" customWidth="1"/>
    <col min="8707" max="8708" width="10.5" style="1651" customWidth="1"/>
    <col min="8709" max="8709" width="26.8984375" style="1651" customWidth="1"/>
    <col min="8710" max="8960" width="9" style="1651"/>
    <col min="8961" max="8961" width="5.19921875" style="1651" customWidth="1"/>
    <col min="8962" max="8962" width="54.19921875" style="1651" customWidth="1"/>
    <col min="8963" max="8964" width="10.5" style="1651" customWidth="1"/>
    <col min="8965" max="8965" width="26.8984375" style="1651" customWidth="1"/>
    <col min="8966" max="9216" width="9" style="1651"/>
    <col min="9217" max="9217" width="5.19921875" style="1651" customWidth="1"/>
    <col min="9218" max="9218" width="54.19921875" style="1651" customWidth="1"/>
    <col min="9219" max="9220" width="10.5" style="1651" customWidth="1"/>
    <col min="9221" max="9221" width="26.8984375" style="1651" customWidth="1"/>
    <col min="9222" max="9472" width="9" style="1651"/>
    <col min="9473" max="9473" width="5.19921875" style="1651" customWidth="1"/>
    <col min="9474" max="9474" width="54.19921875" style="1651" customWidth="1"/>
    <col min="9475" max="9476" width="10.5" style="1651" customWidth="1"/>
    <col min="9477" max="9477" width="26.8984375" style="1651" customWidth="1"/>
    <col min="9478" max="9728" width="9" style="1651"/>
    <col min="9729" max="9729" width="5.19921875" style="1651" customWidth="1"/>
    <col min="9730" max="9730" width="54.19921875" style="1651" customWidth="1"/>
    <col min="9731" max="9732" width="10.5" style="1651" customWidth="1"/>
    <col min="9733" max="9733" width="26.8984375" style="1651" customWidth="1"/>
    <col min="9734" max="9984" width="9" style="1651"/>
    <col min="9985" max="9985" width="5.19921875" style="1651" customWidth="1"/>
    <col min="9986" max="9986" width="54.19921875" style="1651" customWidth="1"/>
    <col min="9987" max="9988" width="10.5" style="1651" customWidth="1"/>
    <col min="9989" max="9989" width="26.8984375" style="1651" customWidth="1"/>
    <col min="9990" max="10240" width="9" style="1651"/>
    <col min="10241" max="10241" width="5.19921875" style="1651" customWidth="1"/>
    <col min="10242" max="10242" width="54.19921875" style="1651" customWidth="1"/>
    <col min="10243" max="10244" width="10.5" style="1651" customWidth="1"/>
    <col min="10245" max="10245" width="26.8984375" style="1651" customWidth="1"/>
    <col min="10246" max="10496" width="9" style="1651"/>
    <col min="10497" max="10497" width="5.19921875" style="1651" customWidth="1"/>
    <col min="10498" max="10498" width="54.19921875" style="1651" customWidth="1"/>
    <col min="10499" max="10500" width="10.5" style="1651" customWidth="1"/>
    <col min="10501" max="10501" width="26.8984375" style="1651" customWidth="1"/>
    <col min="10502" max="10752" width="9" style="1651"/>
    <col min="10753" max="10753" width="5.19921875" style="1651" customWidth="1"/>
    <col min="10754" max="10754" width="54.19921875" style="1651" customWidth="1"/>
    <col min="10755" max="10756" width="10.5" style="1651" customWidth="1"/>
    <col min="10757" max="10757" width="26.8984375" style="1651" customWidth="1"/>
    <col min="10758" max="11008" width="9" style="1651"/>
    <col min="11009" max="11009" width="5.19921875" style="1651" customWidth="1"/>
    <col min="11010" max="11010" width="54.19921875" style="1651" customWidth="1"/>
    <col min="11011" max="11012" width="10.5" style="1651" customWidth="1"/>
    <col min="11013" max="11013" width="26.8984375" style="1651" customWidth="1"/>
    <col min="11014" max="11264" width="9" style="1651"/>
    <col min="11265" max="11265" width="5.19921875" style="1651" customWidth="1"/>
    <col min="11266" max="11266" width="54.19921875" style="1651" customWidth="1"/>
    <col min="11267" max="11268" width="10.5" style="1651" customWidth="1"/>
    <col min="11269" max="11269" width="26.8984375" style="1651" customWidth="1"/>
    <col min="11270" max="11520" width="9" style="1651"/>
    <col min="11521" max="11521" width="5.19921875" style="1651" customWidth="1"/>
    <col min="11522" max="11522" width="54.19921875" style="1651" customWidth="1"/>
    <col min="11523" max="11524" width="10.5" style="1651" customWidth="1"/>
    <col min="11525" max="11525" width="26.8984375" style="1651" customWidth="1"/>
    <col min="11526" max="11776" width="9" style="1651"/>
    <col min="11777" max="11777" width="5.19921875" style="1651" customWidth="1"/>
    <col min="11778" max="11778" width="54.19921875" style="1651" customWidth="1"/>
    <col min="11779" max="11780" width="10.5" style="1651" customWidth="1"/>
    <col min="11781" max="11781" width="26.8984375" style="1651" customWidth="1"/>
    <col min="11782" max="12032" width="9" style="1651"/>
    <col min="12033" max="12033" width="5.19921875" style="1651" customWidth="1"/>
    <col min="12034" max="12034" width="54.19921875" style="1651" customWidth="1"/>
    <col min="12035" max="12036" width="10.5" style="1651" customWidth="1"/>
    <col min="12037" max="12037" width="26.8984375" style="1651" customWidth="1"/>
    <col min="12038" max="12288" width="9" style="1651"/>
    <col min="12289" max="12289" width="5.19921875" style="1651" customWidth="1"/>
    <col min="12290" max="12290" width="54.19921875" style="1651" customWidth="1"/>
    <col min="12291" max="12292" width="10.5" style="1651" customWidth="1"/>
    <col min="12293" max="12293" width="26.8984375" style="1651" customWidth="1"/>
    <col min="12294" max="12544" width="9" style="1651"/>
    <col min="12545" max="12545" width="5.19921875" style="1651" customWidth="1"/>
    <col min="12546" max="12546" width="54.19921875" style="1651" customWidth="1"/>
    <col min="12547" max="12548" width="10.5" style="1651" customWidth="1"/>
    <col min="12549" max="12549" width="26.8984375" style="1651" customWidth="1"/>
    <col min="12550" max="12800" width="9" style="1651"/>
    <col min="12801" max="12801" width="5.19921875" style="1651" customWidth="1"/>
    <col min="12802" max="12802" width="54.19921875" style="1651" customWidth="1"/>
    <col min="12803" max="12804" width="10.5" style="1651" customWidth="1"/>
    <col min="12805" max="12805" width="26.8984375" style="1651" customWidth="1"/>
    <col min="12806" max="13056" width="9" style="1651"/>
    <col min="13057" max="13057" width="5.19921875" style="1651" customWidth="1"/>
    <col min="13058" max="13058" width="54.19921875" style="1651" customWidth="1"/>
    <col min="13059" max="13060" width="10.5" style="1651" customWidth="1"/>
    <col min="13061" max="13061" width="26.8984375" style="1651" customWidth="1"/>
    <col min="13062" max="13312" width="9" style="1651"/>
    <col min="13313" max="13313" width="5.19921875" style="1651" customWidth="1"/>
    <col min="13314" max="13314" width="54.19921875" style="1651" customWidth="1"/>
    <col min="13315" max="13316" width="10.5" style="1651" customWidth="1"/>
    <col min="13317" max="13317" width="26.8984375" style="1651" customWidth="1"/>
    <col min="13318" max="13568" width="9" style="1651"/>
    <col min="13569" max="13569" width="5.19921875" style="1651" customWidth="1"/>
    <col min="13570" max="13570" width="54.19921875" style="1651" customWidth="1"/>
    <col min="13571" max="13572" width="10.5" style="1651" customWidth="1"/>
    <col min="13573" max="13573" width="26.8984375" style="1651" customWidth="1"/>
    <col min="13574" max="13824" width="9" style="1651"/>
    <col min="13825" max="13825" width="5.19921875" style="1651" customWidth="1"/>
    <col min="13826" max="13826" width="54.19921875" style="1651" customWidth="1"/>
    <col min="13827" max="13828" width="10.5" style="1651" customWidth="1"/>
    <col min="13829" max="13829" width="26.8984375" style="1651" customWidth="1"/>
    <col min="13830" max="14080" width="9" style="1651"/>
    <col min="14081" max="14081" width="5.19921875" style="1651" customWidth="1"/>
    <col min="14082" max="14082" width="54.19921875" style="1651" customWidth="1"/>
    <col min="14083" max="14084" width="10.5" style="1651" customWidth="1"/>
    <col min="14085" max="14085" width="26.8984375" style="1651" customWidth="1"/>
    <col min="14086" max="14336" width="9" style="1651"/>
    <col min="14337" max="14337" width="5.19921875" style="1651" customWidth="1"/>
    <col min="14338" max="14338" width="54.19921875" style="1651" customWidth="1"/>
    <col min="14339" max="14340" width="10.5" style="1651" customWidth="1"/>
    <col min="14341" max="14341" width="26.8984375" style="1651" customWidth="1"/>
    <col min="14342" max="14592" width="9" style="1651"/>
    <col min="14593" max="14593" width="5.19921875" style="1651" customWidth="1"/>
    <col min="14594" max="14594" width="54.19921875" style="1651" customWidth="1"/>
    <col min="14595" max="14596" width="10.5" style="1651" customWidth="1"/>
    <col min="14597" max="14597" width="26.8984375" style="1651" customWidth="1"/>
    <col min="14598" max="14848" width="9" style="1651"/>
    <col min="14849" max="14849" width="5.19921875" style="1651" customWidth="1"/>
    <col min="14850" max="14850" width="54.19921875" style="1651" customWidth="1"/>
    <col min="14851" max="14852" width="10.5" style="1651" customWidth="1"/>
    <col min="14853" max="14853" width="26.8984375" style="1651" customWidth="1"/>
    <col min="14854" max="15104" width="9" style="1651"/>
    <col min="15105" max="15105" width="5.19921875" style="1651" customWidth="1"/>
    <col min="15106" max="15106" width="54.19921875" style="1651" customWidth="1"/>
    <col min="15107" max="15108" width="10.5" style="1651" customWidth="1"/>
    <col min="15109" max="15109" width="26.8984375" style="1651" customWidth="1"/>
    <col min="15110" max="15360" width="9" style="1651"/>
    <col min="15361" max="15361" width="5.19921875" style="1651" customWidth="1"/>
    <col min="15362" max="15362" width="54.19921875" style="1651" customWidth="1"/>
    <col min="15363" max="15364" width="10.5" style="1651" customWidth="1"/>
    <col min="15365" max="15365" width="26.8984375" style="1651" customWidth="1"/>
    <col min="15366" max="15616" width="9" style="1651"/>
    <col min="15617" max="15617" width="5.19921875" style="1651" customWidth="1"/>
    <col min="15618" max="15618" width="54.19921875" style="1651" customWidth="1"/>
    <col min="15619" max="15620" width="10.5" style="1651" customWidth="1"/>
    <col min="15621" max="15621" width="26.8984375" style="1651" customWidth="1"/>
    <col min="15622" max="15872" width="9" style="1651"/>
    <col min="15873" max="15873" width="5.19921875" style="1651" customWidth="1"/>
    <col min="15874" max="15874" width="54.19921875" style="1651" customWidth="1"/>
    <col min="15875" max="15876" width="10.5" style="1651" customWidth="1"/>
    <col min="15877" max="15877" width="26.8984375" style="1651" customWidth="1"/>
    <col min="15878" max="16128" width="9" style="1651"/>
    <col min="16129" max="16129" width="5.19921875" style="1651" customWidth="1"/>
    <col min="16130" max="16130" width="54.19921875" style="1651" customWidth="1"/>
    <col min="16131" max="16132" width="10.5" style="1651" customWidth="1"/>
    <col min="16133" max="16133" width="26.8984375" style="1651" customWidth="1"/>
    <col min="16134" max="16384" width="9" style="1651"/>
  </cols>
  <sheetData>
    <row r="1" spans="1:135" ht="20.100000000000001" customHeight="1">
      <c r="A1" s="3376" t="s">
        <v>6694</v>
      </c>
      <c r="B1" s="3376"/>
      <c r="C1" s="3376"/>
      <c r="D1" s="3376"/>
      <c r="E1" s="2156" t="str">
        <f>"索引号："&amp;档案索引!A35</f>
        <v>索引号：2A-15</v>
      </c>
    </row>
    <row r="2" spans="1:135" s="2069" customFormat="1" ht="7.5" customHeight="1">
      <c r="A2" s="2066"/>
      <c r="B2" s="2066"/>
      <c r="C2" s="2066"/>
      <c r="D2" s="2066"/>
      <c r="E2" s="2072"/>
    </row>
    <row r="3" spans="1:135" s="2069" customFormat="1" ht="20.100000000000001" customHeight="1">
      <c r="A3" s="2152" t="s">
        <v>6695</v>
      </c>
      <c r="B3" s="2157">
        <f>基本情况!B2</f>
        <v>0</v>
      </c>
      <c r="C3" s="2153" t="s">
        <v>6697</v>
      </c>
      <c r="D3" s="2159">
        <f>基本情况!B12</f>
        <v>0</v>
      </c>
      <c r="E3" s="2160" t="str">
        <f>TEXT(基本情况!B21,"yyyy-mm-dd")</f>
        <v>2017-03-16</v>
      </c>
    </row>
    <row r="4" spans="1:135" s="2069" customFormat="1" ht="20.100000000000001" customHeight="1">
      <c r="A4" s="2154" t="s">
        <v>6696</v>
      </c>
      <c r="B4" s="2158" t="str">
        <f>基本情况!B7</f>
        <v>2016年01月01日至2016年12月31日</v>
      </c>
      <c r="C4" s="2155" t="s">
        <v>6698</v>
      </c>
      <c r="D4" s="2161">
        <f>基本情况!B11</f>
        <v>0</v>
      </c>
      <c r="E4" s="2162" t="str">
        <f>TEXT(基本情况!B22,"yyyy-mm-dd")</f>
        <v>2017-05-04</v>
      </c>
    </row>
    <row r="5" spans="1:135" customFormat="1" ht="6.75" customHeight="1">
      <c r="A5" s="3331"/>
      <c r="B5" s="3332"/>
      <c r="C5" s="3332"/>
      <c r="D5" s="3332"/>
      <c r="E5" s="3333"/>
      <c r="F5" s="1283"/>
      <c r="G5" s="1283"/>
      <c r="H5" s="1283"/>
      <c r="I5" s="705"/>
      <c r="J5" s="705"/>
      <c r="K5" s="705"/>
      <c r="L5" s="705"/>
      <c r="M5" s="705"/>
      <c r="N5" s="705"/>
      <c r="O5" s="705"/>
      <c r="P5" s="705"/>
      <c r="Q5" s="705"/>
      <c r="R5" s="705"/>
      <c r="S5" s="705"/>
      <c r="T5" s="705"/>
      <c r="U5" s="705"/>
      <c r="V5" s="705"/>
      <c r="W5" s="705"/>
      <c r="X5" s="705"/>
      <c r="Y5" s="705"/>
      <c r="Z5" s="705"/>
      <c r="AA5" s="705"/>
      <c r="AB5" s="705"/>
      <c r="AC5" s="705"/>
      <c r="AD5" s="705"/>
      <c r="AE5" s="705"/>
      <c r="AF5" s="705"/>
      <c r="AG5" s="705"/>
      <c r="AH5" s="705"/>
      <c r="AI5" s="705"/>
      <c r="AJ5" s="705"/>
      <c r="AK5" s="705"/>
      <c r="AL5" s="705"/>
      <c r="AM5" s="705"/>
      <c r="AN5" s="705"/>
      <c r="AO5" s="705"/>
      <c r="AP5" s="705"/>
      <c r="AQ5" s="705"/>
      <c r="AR5" s="705"/>
      <c r="AS5" s="705"/>
      <c r="AT5" s="705"/>
      <c r="AU5" s="705"/>
      <c r="AV5" s="705"/>
      <c r="AW5" s="705"/>
      <c r="AX5" s="705"/>
      <c r="AY5" s="705"/>
      <c r="AZ5" s="705"/>
      <c r="BA5" s="705"/>
      <c r="BB5" s="705"/>
      <c r="BC5" s="705"/>
      <c r="BD5" s="705"/>
      <c r="BE5" s="705"/>
      <c r="BF5" s="705"/>
      <c r="BG5" s="705"/>
      <c r="BH5" s="705"/>
      <c r="BI5" s="705"/>
      <c r="BJ5" s="705"/>
      <c r="BK5" s="705"/>
      <c r="BL5" s="705"/>
      <c r="BM5" s="705"/>
      <c r="BN5" s="705"/>
      <c r="BO5" s="705"/>
      <c r="BP5" s="705"/>
      <c r="BQ5" s="705"/>
      <c r="BR5" s="705"/>
      <c r="BS5" s="705"/>
      <c r="BT5" s="705"/>
      <c r="BU5" s="705"/>
      <c r="BV5" s="705"/>
      <c r="BW5" s="705"/>
      <c r="BX5" s="705"/>
      <c r="BY5" s="705"/>
      <c r="BZ5" s="705"/>
      <c r="CA5" s="705"/>
      <c r="CB5" s="705"/>
      <c r="CC5" s="705"/>
      <c r="CD5" s="705"/>
      <c r="CE5" s="705"/>
      <c r="CF5" s="705"/>
      <c r="CG5" s="705"/>
      <c r="CH5" s="705"/>
      <c r="CI5" s="705"/>
      <c r="CJ5" s="705"/>
      <c r="CK5" s="705"/>
      <c r="CL5" s="705"/>
      <c r="CM5" s="705"/>
      <c r="CN5" s="705"/>
      <c r="CO5" s="705"/>
      <c r="CP5" s="705"/>
      <c r="CQ5" s="705"/>
      <c r="CR5" s="705"/>
      <c r="CS5" s="705"/>
      <c r="CT5" s="705"/>
      <c r="CU5" s="705"/>
      <c r="CV5" s="705"/>
      <c r="CW5" s="705"/>
      <c r="CX5" s="705"/>
      <c r="CY5" s="705"/>
      <c r="CZ5" s="705"/>
      <c r="DA5" s="705"/>
      <c r="DB5" s="705"/>
      <c r="DC5" s="705"/>
      <c r="DD5" s="705"/>
      <c r="DE5" s="705"/>
      <c r="DF5" s="705"/>
      <c r="DG5" s="705"/>
      <c r="DH5" s="705"/>
      <c r="DI5" s="705"/>
      <c r="DJ5" s="705"/>
      <c r="DK5" s="705"/>
      <c r="DL5" s="705"/>
      <c r="DM5" s="705"/>
      <c r="DN5" s="705"/>
      <c r="DO5" s="705"/>
      <c r="DP5" s="705"/>
      <c r="DQ5" s="705"/>
      <c r="DR5" s="705"/>
      <c r="DS5" s="705"/>
      <c r="DT5" s="705"/>
      <c r="DU5" s="705"/>
      <c r="DV5" s="705"/>
      <c r="DW5" s="705"/>
      <c r="DX5" s="705"/>
      <c r="DY5" s="705"/>
      <c r="DZ5" s="705"/>
      <c r="EA5" s="705"/>
      <c r="EB5" s="705"/>
      <c r="EC5" s="705"/>
      <c r="ED5" s="705"/>
      <c r="EE5" s="705"/>
    </row>
    <row r="6" spans="1:135" s="1552" customFormat="1" ht="14.25" customHeight="1">
      <c r="A6" s="3377" t="s">
        <v>1854</v>
      </c>
      <c r="B6" s="3377" t="s">
        <v>5081</v>
      </c>
      <c r="C6" s="1810" t="s">
        <v>1852</v>
      </c>
      <c r="D6" s="1810" t="s">
        <v>5152</v>
      </c>
      <c r="E6" s="3377" t="s">
        <v>6699</v>
      </c>
    </row>
    <row r="7" spans="1:135" s="1552" customFormat="1" ht="14.25" customHeight="1">
      <c r="A7" s="3377"/>
      <c r="B7" s="3377"/>
      <c r="C7" s="1810">
        <v>1</v>
      </c>
      <c r="D7" s="1810">
        <v>2</v>
      </c>
      <c r="E7" s="3377"/>
    </row>
    <row r="8" spans="1:135" s="1552" customFormat="1" ht="14.25" customHeight="1">
      <c r="A8" s="1810">
        <v>1</v>
      </c>
      <c r="B8" s="1811" t="s">
        <v>5154</v>
      </c>
      <c r="C8" s="2077">
        <f>SUM(C9:C17)</f>
        <v>0</v>
      </c>
      <c r="D8" s="2077">
        <f>SUM(D9:D17)</f>
        <v>0</v>
      </c>
      <c r="E8" s="1811" t="s">
        <v>5155</v>
      </c>
    </row>
    <row r="9" spans="1:135" s="1552" customFormat="1" ht="14.25" customHeight="1">
      <c r="A9" s="1810">
        <v>2</v>
      </c>
      <c r="B9" s="1811" t="s">
        <v>5156</v>
      </c>
      <c r="C9" s="2078"/>
      <c r="D9" s="2077">
        <f>C9</f>
        <v>0</v>
      </c>
      <c r="E9" s="1811" t="s">
        <v>5157</v>
      </c>
    </row>
    <row r="10" spans="1:135" s="1552" customFormat="1" ht="14.25" customHeight="1">
      <c r="A10" s="1810">
        <v>3</v>
      </c>
      <c r="B10" s="1811" t="s">
        <v>5158</v>
      </c>
      <c r="C10" s="2078"/>
      <c r="D10" s="2077">
        <f t="shared" ref="D10:D17" si="0">C10</f>
        <v>0</v>
      </c>
      <c r="E10" s="1811"/>
    </row>
    <row r="11" spans="1:135" s="1552" customFormat="1" ht="14.25" customHeight="1">
      <c r="A11" s="1810">
        <v>4</v>
      </c>
      <c r="B11" s="1811" t="s">
        <v>5159</v>
      </c>
      <c r="C11" s="2078"/>
      <c r="D11" s="2077">
        <f t="shared" si="0"/>
        <v>0</v>
      </c>
      <c r="E11" s="1811"/>
    </row>
    <row r="12" spans="1:135" s="1552" customFormat="1" ht="14.25" customHeight="1">
      <c r="A12" s="1810">
        <v>5</v>
      </c>
      <c r="B12" s="1811" t="s">
        <v>5160</v>
      </c>
      <c r="C12" s="2078"/>
      <c r="D12" s="2077">
        <f t="shared" si="0"/>
        <v>0</v>
      </c>
      <c r="E12" s="1811"/>
    </row>
    <row r="13" spans="1:135" s="1552" customFormat="1" ht="14.25" customHeight="1">
      <c r="A13" s="1810">
        <v>6</v>
      </c>
      <c r="B13" s="1811" t="s">
        <v>5161</v>
      </c>
      <c r="C13" s="2078"/>
      <c r="D13" s="2077">
        <f t="shared" si="0"/>
        <v>0</v>
      </c>
      <c r="E13" s="1811"/>
    </row>
    <row r="14" spans="1:135" s="1552" customFormat="1" ht="14.25" customHeight="1">
      <c r="A14" s="1810">
        <v>7</v>
      </c>
      <c r="B14" s="1811" t="s">
        <v>5162</v>
      </c>
      <c r="C14" s="2078"/>
      <c r="D14" s="2077">
        <f t="shared" si="0"/>
        <v>0</v>
      </c>
      <c r="E14" s="1811"/>
    </row>
    <row r="15" spans="1:135" s="1552" customFormat="1" ht="14.25" customHeight="1">
      <c r="A15" s="1810">
        <v>8</v>
      </c>
      <c r="B15" s="1811" t="s">
        <v>5163</v>
      </c>
      <c r="C15" s="2078"/>
      <c r="D15" s="2077">
        <f t="shared" si="0"/>
        <v>0</v>
      </c>
      <c r="E15" s="1811"/>
    </row>
    <row r="16" spans="1:135" s="1552" customFormat="1" ht="14.25" customHeight="1">
      <c r="A16" s="1810">
        <v>9</v>
      </c>
      <c r="B16" s="1811" t="s">
        <v>5164</v>
      </c>
      <c r="C16" s="2078"/>
      <c r="D16" s="2077">
        <f t="shared" si="0"/>
        <v>0</v>
      </c>
      <c r="E16" s="1811"/>
      <c r="F16" s="1675" t="s">
        <v>6435</v>
      </c>
    </row>
    <row r="17" spans="1:5" s="1552" customFormat="1" ht="14.25" customHeight="1">
      <c r="A17" s="1810">
        <v>10</v>
      </c>
      <c r="B17" s="1811" t="s">
        <v>5165</v>
      </c>
      <c r="C17" s="2078"/>
      <c r="D17" s="2077">
        <f t="shared" si="0"/>
        <v>0</v>
      </c>
      <c r="E17" s="1811"/>
    </row>
    <row r="18" spans="1:5" s="1552" customFormat="1" ht="46.5" customHeight="1">
      <c r="A18" s="1810">
        <v>11</v>
      </c>
      <c r="B18" s="1812" t="s">
        <v>5166</v>
      </c>
      <c r="C18" s="2077">
        <f>SUM(C19:C27)</f>
        <v>0</v>
      </c>
      <c r="D18" s="2077">
        <f>SUM(D19:D27)</f>
        <v>0</v>
      </c>
      <c r="E18" s="1812" t="s">
        <v>5167</v>
      </c>
    </row>
    <row r="19" spans="1:5" s="1552" customFormat="1" ht="14.25" customHeight="1">
      <c r="A19" s="1810">
        <v>12</v>
      </c>
      <c r="B19" s="1811" t="s">
        <v>5168</v>
      </c>
      <c r="C19" s="2078"/>
      <c r="D19" s="2077">
        <f>-C19</f>
        <v>0</v>
      </c>
      <c r="E19" s="1811"/>
    </row>
    <row r="20" spans="1:5" s="1552" customFormat="1" ht="14.25" customHeight="1">
      <c r="A20" s="1810">
        <v>13</v>
      </c>
      <c r="B20" s="1811" t="s">
        <v>5169</v>
      </c>
      <c r="C20" s="2078"/>
      <c r="D20" s="2077">
        <f t="shared" ref="D20:D27" si="1">-C20</f>
        <v>0</v>
      </c>
      <c r="E20" s="1811"/>
    </row>
    <row r="21" spans="1:5" s="1552" customFormat="1" ht="14.25" customHeight="1">
      <c r="A21" s="1810">
        <v>14</v>
      </c>
      <c r="B21" s="1811" t="s">
        <v>5170</v>
      </c>
      <c r="C21" s="2078"/>
      <c r="D21" s="2077">
        <f t="shared" si="1"/>
        <v>0</v>
      </c>
      <c r="E21" s="1811"/>
    </row>
    <row r="22" spans="1:5" s="1552" customFormat="1" ht="14.25" customHeight="1">
      <c r="A22" s="1810">
        <v>15</v>
      </c>
      <c r="B22" s="1811" t="s">
        <v>5171</v>
      </c>
      <c r="C22" s="2078"/>
      <c r="D22" s="2077">
        <f t="shared" si="1"/>
        <v>0</v>
      </c>
      <c r="E22" s="1811"/>
    </row>
    <row r="23" spans="1:5" s="1552" customFormat="1" ht="14.25" customHeight="1">
      <c r="A23" s="1810">
        <v>16</v>
      </c>
      <c r="B23" s="1811" t="s">
        <v>5172</v>
      </c>
      <c r="C23" s="2078"/>
      <c r="D23" s="2077">
        <f t="shared" si="1"/>
        <v>0</v>
      </c>
      <c r="E23" s="1811"/>
    </row>
    <row r="24" spans="1:5" s="1552" customFormat="1" ht="14.25" customHeight="1">
      <c r="A24" s="1810">
        <v>17</v>
      </c>
      <c r="B24" s="1813" t="s">
        <v>5173</v>
      </c>
      <c r="C24" s="2084"/>
      <c r="D24" s="2077">
        <f t="shared" si="1"/>
        <v>0</v>
      </c>
      <c r="E24" s="1811"/>
    </row>
    <row r="25" spans="1:5" s="1552" customFormat="1" ht="14.25" customHeight="1">
      <c r="A25" s="1810">
        <v>18</v>
      </c>
      <c r="B25" s="1811" t="s">
        <v>5174</v>
      </c>
      <c r="C25" s="2078"/>
      <c r="D25" s="2077">
        <f t="shared" si="1"/>
        <v>0</v>
      </c>
      <c r="E25" s="1811"/>
    </row>
    <row r="26" spans="1:5" s="1552" customFormat="1" ht="14.25" customHeight="1">
      <c r="A26" s="1810">
        <v>19</v>
      </c>
      <c r="B26" s="1811" t="s">
        <v>5175</v>
      </c>
      <c r="C26" s="2078"/>
      <c r="D26" s="2077">
        <f t="shared" si="1"/>
        <v>0</v>
      </c>
      <c r="E26" s="1811"/>
    </row>
    <row r="27" spans="1:5" s="1552" customFormat="1" ht="14.25" customHeight="1">
      <c r="A27" s="1810">
        <v>20</v>
      </c>
      <c r="B27" s="1811" t="s">
        <v>5165</v>
      </c>
      <c r="C27" s="2078"/>
      <c r="D27" s="2077">
        <f t="shared" si="1"/>
        <v>0</v>
      </c>
      <c r="E27" s="1811"/>
    </row>
    <row r="28" spans="1:5" s="1552" customFormat="1" ht="48.75" customHeight="1">
      <c r="A28" s="1810">
        <v>21</v>
      </c>
      <c r="B28" s="1812" t="s">
        <v>5176</v>
      </c>
      <c r="C28" s="2077">
        <f>C29-C33</f>
        <v>0</v>
      </c>
      <c r="D28" s="2077">
        <f>D29-D33</f>
        <v>0</v>
      </c>
      <c r="E28" s="1812" t="s">
        <v>5177</v>
      </c>
    </row>
    <row r="29" spans="1:5" s="1552" customFormat="1" ht="26.25" customHeight="1">
      <c r="A29" s="1814">
        <v>22</v>
      </c>
      <c r="B29" s="1815" t="s">
        <v>5178</v>
      </c>
      <c r="C29" s="2080">
        <f>C31-C32</f>
        <v>0</v>
      </c>
      <c r="D29" s="2080">
        <f>D31-D32</f>
        <v>0</v>
      </c>
      <c r="E29" s="1813"/>
    </row>
    <row r="30" spans="1:5" s="1552" customFormat="1" ht="14.25" customHeight="1">
      <c r="A30" s="1810">
        <v>23</v>
      </c>
      <c r="B30" s="1812" t="s">
        <v>5179</v>
      </c>
      <c r="C30" s="2078"/>
      <c r="D30" s="2053" t="s">
        <v>510</v>
      </c>
      <c r="E30" s="1811"/>
    </row>
    <row r="31" spans="1:5" s="1554" customFormat="1" ht="14.25" customHeight="1">
      <c r="A31" s="1810">
        <v>24</v>
      </c>
      <c r="B31" s="1811" t="s">
        <v>5180</v>
      </c>
      <c r="C31" s="2078"/>
      <c r="D31" s="2077">
        <f>C31</f>
        <v>0</v>
      </c>
      <c r="E31" s="1811"/>
    </row>
    <row r="32" spans="1:5" s="1554" customFormat="1" ht="14.25" customHeight="1">
      <c r="A32" s="1810">
        <v>25</v>
      </c>
      <c r="B32" s="1811" t="s">
        <v>5181</v>
      </c>
      <c r="C32" s="2078"/>
      <c r="D32" s="2077">
        <f>C32</f>
        <v>0</v>
      </c>
      <c r="E32" s="1811"/>
    </row>
    <row r="33" spans="1:5" s="1554" customFormat="1" ht="26.25" customHeight="1">
      <c r="A33" s="1814">
        <v>26</v>
      </c>
      <c r="B33" s="1815" t="s">
        <v>5182</v>
      </c>
      <c r="C33" s="2080">
        <f>C35-C36</f>
        <v>0</v>
      </c>
      <c r="D33" s="2080">
        <f>D35-D36</f>
        <v>0</v>
      </c>
      <c r="E33" s="1813"/>
    </row>
    <row r="34" spans="1:5" s="1554" customFormat="1" ht="26.25" customHeight="1">
      <c r="A34" s="1810">
        <v>27</v>
      </c>
      <c r="B34" s="1812" t="s">
        <v>5183</v>
      </c>
      <c r="C34" s="2078"/>
      <c r="D34" s="2053" t="s">
        <v>510</v>
      </c>
      <c r="E34" s="1811"/>
    </row>
    <row r="35" spans="1:5" s="1554" customFormat="1" ht="14.25" customHeight="1">
      <c r="A35" s="1810">
        <v>28</v>
      </c>
      <c r="B35" s="1811" t="s">
        <v>5184</v>
      </c>
      <c r="C35" s="2078"/>
      <c r="D35" s="2077">
        <f>C35</f>
        <v>0</v>
      </c>
      <c r="E35" s="1811"/>
    </row>
    <row r="36" spans="1:5" s="1552" customFormat="1" ht="26.25" customHeight="1">
      <c r="A36" s="1810">
        <v>29</v>
      </c>
      <c r="B36" s="1812" t="s">
        <v>5185</v>
      </c>
      <c r="C36" s="2078"/>
      <c r="D36" s="2077">
        <f>C36</f>
        <v>0</v>
      </c>
      <c r="E36" s="1811"/>
    </row>
    <row r="37" spans="1:5">
      <c r="A37" s="2013"/>
      <c r="B37" s="2072"/>
      <c r="C37" s="2013"/>
      <c r="D37" s="2013"/>
      <c r="E37" s="2072"/>
    </row>
    <row r="38" spans="1:5">
      <c r="A38" s="1651"/>
      <c r="C38" s="1651"/>
      <c r="D38" s="1651"/>
    </row>
    <row r="39" spans="1:5">
      <c r="A39" s="1651"/>
      <c r="C39" s="1651"/>
      <c r="D39" s="1651"/>
    </row>
    <row r="40" spans="1:5">
      <c r="A40" s="1651"/>
      <c r="C40" s="1651"/>
      <c r="D40" s="1651"/>
    </row>
    <row r="41" spans="1:5">
      <c r="A41" s="1651"/>
      <c r="C41" s="1651"/>
      <c r="D41" s="1651"/>
    </row>
    <row r="42" spans="1:5">
      <c r="A42" s="1651"/>
      <c r="C42" s="1651"/>
      <c r="D42" s="1651"/>
    </row>
    <row r="43" spans="1:5">
      <c r="A43" s="1651"/>
      <c r="C43" s="1651"/>
      <c r="D43" s="1651"/>
    </row>
    <row r="44" spans="1:5">
      <c r="A44" s="1651"/>
      <c r="C44" s="1651"/>
      <c r="D44" s="1651"/>
    </row>
    <row r="45" spans="1:5">
      <c r="A45" s="1651"/>
      <c r="C45" s="1651"/>
      <c r="D45" s="1651"/>
    </row>
    <row r="46" spans="1:5">
      <c r="A46" s="1651"/>
      <c r="C46" s="1651"/>
      <c r="D46" s="1651"/>
    </row>
    <row r="47" spans="1:5">
      <c r="A47" s="1651"/>
      <c r="C47" s="1651"/>
      <c r="D47" s="1651"/>
    </row>
    <row r="48" spans="1:5">
      <c r="A48" s="1651"/>
      <c r="C48" s="1651"/>
      <c r="D48" s="1651"/>
    </row>
    <row r="49" spans="1:4">
      <c r="A49" s="1651"/>
      <c r="C49" s="1651"/>
      <c r="D49" s="1651"/>
    </row>
    <row r="50" spans="1:4">
      <c r="A50" s="1651"/>
      <c r="C50" s="1651"/>
      <c r="D50" s="1651"/>
    </row>
    <row r="51" spans="1:4">
      <c r="A51" s="1651"/>
      <c r="C51" s="1651"/>
      <c r="D51" s="1651"/>
    </row>
    <row r="52" spans="1:4">
      <c r="A52" s="1651"/>
      <c r="C52" s="1651"/>
      <c r="D52" s="1651"/>
    </row>
    <row r="53" spans="1:4">
      <c r="A53" s="1651"/>
      <c r="C53" s="1651"/>
      <c r="D53" s="1651"/>
    </row>
    <row r="54" spans="1:4">
      <c r="A54" s="1651"/>
      <c r="C54" s="1651"/>
      <c r="D54" s="1651"/>
    </row>
    <row r="55" spans="1:4">
      <c r="A55" s="1651"/>
      <c r="C55" s="1651"/>
      <c r="D55" s="1651"/>
    </row>
    <row r="56" spans="1:4">
      <c r="A56" s="1651"/>
      <c r="C56" s="1651"/>
      <c r="D56" s="1651"/>
    </row>
    <row r="57" spans="1:4">
      <c r="A57" s="1651"/>
      <c r="C57" s="1651"/>
      <c r="D57" s="1651"/>
    </row>
    <row r="58" spans="1:4">
      <c r="A58" s="1651"/>
      <c r="C58" s="1651"/>
      <c r="D58" s="1651"/>
    </row>
    <row r="59" spans="1:4">
      <c r="A59" s="1651"/>
      <c r="C59" s="1651"/>
      <c r="D59" s="1651"/>
    </row>
    <row r="60" spans="1:4">
      <c r="A60" s="1651"/>
      <c r="C60" s="1651"/>
      <c r="D60" s="1651"/>
    </row>
    <row r="61" spans="1:4">
      <c r="A61" s="1651"/>
      <c r="C61" s="1651"/>
      <c r="D61" s="1651"/>
    </row>
    <row r="62" spans="1:4">
      <c r="A62" s="1651"/>
      <c r="C62" s="1651"/>
      <c r="D62" s="1651"/>
    </row>
  </sheetData>
  <mergeCells count="5">
    <mergeCell ref="A1:D1"/>
    <mergeCell ref="A6:A7"/>
    <mergeCell ref="B6:B7"/>
    <mergeCell ref="E6:E7"/>
    <mergeCell ref="A5:E5"/>
  </mergeCells>
  <phoneticPr fontId="51" type="noConversion"/>
  <hyperlinks>
    <hyperlink ref="F16" location="A105010视同销售和房地产开发企业特定业务纳税调整明细表!A1" display="A105010视同销售和房地产开发企业特定业务纳税调整明细表!A1"/>
  </hyperlinks>
  <printOptions horizontalCentered="1"/>
  <pageMargins left="0.78740157480314998" right="0.35433070866141703" top="0.511811023622047" bottom="0.11811023622047198" header="0.511811023622047" footer="0.511811023622047"/>
  <pageSetup paperSize="9" orientation="portrait" blackAndWhite="1" r:id="rId1"/>
  <headerFooter alignWithMargins="0"/>
</worksheet>
</file>

<file path=xl/worksheets/sheet4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57">
    <tabColor rgb="FFFFFF00"/>
  </sheetPr>
  <dimension ref="A1:J20"/>
  <sheetViews>
    <sheetView topLeftCell="A4" workbookViewId="0">
      <selection sqref="A1:H1"/>
    </sheetView>
  </sheetViews>
  <sheetFormatPr defaultRowHeight="12"/>
  <cols>
    <col min="1" max="1" width="5.19921875" style="1557" customWidth="1"/>
    <col min="2" max="2" width="42.59765625" style="1552" customWidth="1"/>
    <col min="3" max="8" width="12" style="1552" customWidth="1"/>
    <col min="9" max="9" width="19.5" style="1552" customWidth="1"/>
    <col min="10" max="256" width="9" style="1552"/>
    <col min="257" max="257" width="5.19921875" style="1552" customWidth="1"/>
    <col min="258" max="258" width="42.59765625" style="1552" customWidth="1"/>
    <col min="259" max="259" width="8.3984375" style="1552" customWidth="1"/>
    <col min="260" max="260" width="8" style="1552" customWidth="1"/>
    <col min="261" max="261" width="7.5" style="1552" customWidth="1"/>
    <col min="262" max="262" width="8.5" style="1552" customWidth="1"/>
    <col min="263" max="263" width="8" style="1552" customWidth="1"/>
    <col min="264" max="264" width="9.8984375" style="1552" customWidth="1"/>
    <col min="265" max="265" width="19.5" style="1552" customWidth="1"/>
    <col min="266" max="512" width="9" style="1552"/>
    <col min="513" max="513" width="5.19921875" style="1552" customWidth="1"/>
    <col min="514" max="514" width="42.59765625" style="1552" customWidth="1"/>
    <col min="515" max="515" width="8.3984375" style="1552" customWidth="1"/>
    <col min="516" max="516" width="8" style="1552" customWidth="1"/>
    <col min="517" max="517" width="7.5" style="1552" customWidth="1"/>
    <col min="518" max="518" width="8.5" style="1552" customWidth="1"/>
    <col min="519" max="519" width="8" style="1552" customWidth="1"/>
    <col min="520" max="520" width="9.8984375" style="1552" customWidth="1"/>
    <col min="521" max="521" width="19.5" style="1552" customWidth="1"/>
    <col min="522" max="768" width="9" style="1552"/>
    <col min="769" max="769" width="5.19921875" style="1552" customWidth="1"/>
    <col min="770" max="770" width="42.59765625" style="1552" customWidth="1"/>
    <col min="771" max="771" width="8.3984375" style="1552" customWidth="1"/>
    <col min="772" max="772" width="8" style="1552" customWidth="1"/>
    <col min="773" max="773" width="7.5" style="1552" customWidth="1"/>
    <col min="774" max="774" width="8.5" style="1552" customWidth="1"/>
    <col min="775" max="775" width="8" style="1552" customWidth="1"/>
    <col min="776" max="776" width="9.8984375" style="1552" customWidth="1"/>
    <col min="777" max="777" width="19.5" style="1552" customWidth="1"/>
    <col min="778" max="1024" width="9" style="1552"/>
    <col min="1025" max="1025" width="5.19921875" style="1552" customWidth="1"/>
    <col min="1026" max="1026" width="42.59765625" style="1552" customWidth="1"/>
    <col min="1027" max="1027" width="8.3984375" style="1552" customWidth="1"/>
    <col min="1028" max="1028" width="8" style="1552" customWidth="1"/>
    <col min="1029" max="1029" width="7.5" style="1552" customWidth="1"/>
    <col min="1030" max="1030" width="8.5" style="1552" customWidth="1"/>
    <col min="1031" max="1031" width="8" style="1552" customWidth="1"/>
    <col min="1032" max="1032" width="9.8984375" style="1552" customWidth="1"/>
    <col min="1033" max="1033" width="19.5" style="1552" customWidth="1"/>
    <col min="1034" max="1280" width="9" style="1552"/>
    <col min="1281" max="1281" width="5.19921875" style="1552" customWidth="1"/>
    <col min="1282" max="1282" width="42.59765625" style="1552" customWidth="1"/>
    <col min="1283" max="1283" width="8.3984375" style="1552" customWidth="1"/>
    <col min="1284" max="1284" width="8" style="1552" customWidth="1"/>
    <col min="1285" max="1285" width="7.5" style="1552" customWidth="1"/>
    <col min="1286" max="1286" width="8.5" style="1552" customWidth="1"/>
    <col min="1287" max="1287" width="8" style="1552" customWidth="1"/>
    <col min="1288" max="1288" width="9.8984375" style="1552" customWidth="1"/>
    <col min="1289" max="1289" width="19.5" style="1552" customWidth="1"/>
    <col min="1290" max="1536" width="9" style="1552"/>
    <col min="1537" max="1537" width="5.19921875" style="1552" customWidth="1"/>
    <col min="1538" max="1538" width="42.59765625" style="1552" customWidth="1"/>
    <col min="1539" max="1539" width="8.3984375" style="1552" customWidth="1"/>
    <col min="1540" max="1540" width="8" style="1552" customWidth="1"/>
    <col min="1541" max="1541" width="7.5" style="1552" customWidth="1"/>
    <col min="1542" max="1542" width="8.5" style="1552" customWidth="1"/>
    <col min="1543" max="1543" width="8" style="1552" customWidth="1"/>
    <col min="1544" max="1544" width="9.8984375" style="1552" customWidth="1"/>
    <col min="1545" max="1545" width="19.5" style="1552" customWidth="1"/>
    <col min="1546" max="1792" width="9" style="1552"/>
    <col min="1793" max="1793" width="5.19921875" style="1552" customWidth="1"/>
    <col min="1794" max="1794" width="42.59765625" style="1552" customWidth="1"/>
    <col min="1795" max="1795" width="8.3984375" style="1552" customWidth="1"/>
    <col min="1796" max="1796" width="8" style="1552" customWidth="1"/>
    <col min="1797" max="1797" width="7.5" style="1552" customWidth="1"/>
    <col min="1798" max="1798" width="8.5" style="1552" customWidth="1"/>
    <col min="1799" max="1799" width="8" style="1552" customWidth="1"/>
    <col min="1800" max="1800" width="9.8984375" style="1552" customWidth="1"/>
    <col min="1801" max="1801" width="19.5" style="1552" customWidth="1"/>
    <col min="1802" max="2048" width="9" style="1552"/>
    <col min="2049" max="2049" width="5.19921875" style="1552" customWidth="1"/>
    <col min="2050" max="2050" width="42.59765625" style="1552" customWidth="1"/>
    <col min="2051" max="2051" width="8.3984375" style="1552" customWidth="1"/>
    <col min="2052" max="2052" width="8" style="1552" customWidth="1"/>
    <col min="2053" max="2053" width="7.5" style="1552" customWidth="1"/>
    <col min="2054" max="2054" width="8.5" style="1552" customWidth="1"/>
    <col min="2055" max="2055" width="8" style="1552" customWidth="1"/>
    <col min="2056" max="2056" width="9.8984375" style="1552" customWidth="1"/>
    <col min="2057" max="2057" width="19.5" style="1552" customWidth="1"/>
    <col min="2058" max="2304" width="9" style="1552"/>
    <col min="2305" max="2305" width="5.19921875" style="1552" customWidth="1"/>
    <col min="2306" max="2306" width="42.59765625" style="1552" customWidth="1"/>
    <col min="2307" max="2307" width="8.3984375" style="1552" customWidth="1"/>
    <col min="2308" max="2308" width="8" style="1552" customWidth="1"/>
    <col min="2309" max="2309" width="7.5" style="1552" customWidth="1"/>
    <col min="2310" max="2310" width="8.5" style="1552" customWidth="1"/>
    <col min="2311" max="2311" width="8" style="1552" customWidth="1"/>
    <col min="2312" max="2312" width="9.8984375" style="1552" customWidth="1"/>
    <col min="2313" max="2313" width="19.5" style="1552" customWidth="1"/>
    <col min="2314" max="2560" width="9" style="1552"/>
    <col min="2561" max="2561" width="5.19921875" style="1552" customWidth="1"/>
    <col min="2562" max="2562" width="42.59765625" style="1552" customWidth="1"/>
    <col min="2563" max="2563" width="8.3984375" style="1552" customWidth="1"/>
    <col min="2564" max="2564" width="8" style="1552" customWidth="1"/>
    <col min="2565" max="2565" width="7.5" style="1552" customWidth="1"/>
    <col min="2566" max="2566" width="8.5" style="1552" customWidth="1"/>
    <col min="2567" max="2567" width="8" style="1552" customWidth="1"/>
    <col min="2568" max="2568" width="9.8984375" style="1552" customWidth="1"/>
    <col min="2569" max="2569" width="19.5" style="1552" customWidth="1"/>
    <col min="2570" max="2816" width="9" style="1552"/>
    <col min="2817" max="2817" width="5.19921875" style="1552" customWidth="1"/>
    <col min="2818" max="2818" width="42.59765625" style="1552" customWidth="1"/>
    <col min="2819" max="2819" width="8.3984375" style="1552" customWidth="1"/>
    <col min="2820" max="2820" width="8" style="1552" customWidth="1"/>
    <col min="2821" max="2821" width="7.5" style="1552" customWidth="1"/>
    <col min="2822" max="2822" width="8.5" style="1552" customWidth="1"/>
    <col min="2823" max="2823" width="8" style="1552" customWidth="1"/>
    <col min="2824" max="2824" width="9.8984375" style="1552" customWidth="1"/>
    <col min="2825" max="2825" width="19.5" style="1552" customWidth="1"/>
    <col min="2826" max="3072" width="9" style="1552"/>
    <col min="3073" max="3073" width="5.19921875" style="1552" customWidth="1"/>
    <col min="3074" max="3074" width="42.59765625" style="1552" customWidth="1"/>
    <col min="3075" max="3075" width="8.3984375" style="1552" customWidth="1"/>
    <col min="3076" max="3076" width="8" style="1552" customWidth="1"/>
    <col min="3077" max="3077" width="7.5" style="1552" customWidth="1"/>
    <col min="3078" max="3078" width="8.5" style="1552" customWidth="1"/>
    <col min="3079" max="3079" width="8" style="1552" customWidth="1"/>
    <col min="3080" max="3080" width="9.8984375" style="1552" customWidth="1"/>
    <col min="3081" max="3081" width="19.5" style="1552" customWidth="1"/>
    <col min="3082" max="3328" width="9" style="1552"/>
    <col min="3329" max="3329" width="5.19921875" style="1552" customWidth="1"/>
    <col min="3330" max="3330" width="42.59765625" style="1552" customWidth="1"/>
    <col min="3331" max="3331" width="8.3984375" style="1552" customWidth="1"/>
    <col min="3332" max="3332" width="8" style="1552" customWidth="1"/>
    <col min="3333" max="3333" width="7.5" style="1552" customWidth="1"/>
    <col min="3334" max="3334" width="8.5" style="1552" customWidth="1"/>
    <col min="3335" max="3335" width="8" style="1552" customWidth="1"/>
    <col min="3336" max="3336" width="9.8984375" style="1552" customWidth="1"/>
    <col min="3337" max="3337" width="19.5" style="1552" customWidth="1"/>
    <col min="3338" max="3584" width="9" style="1552"/>
    <col min="3585" max="3585" width="5.19921875" style="1552" customWidth="1"/>
    <col min="3586" max="3586" width="42.59765625" style="1552" customWidth="1"/>
    <col min="3587" max="3587" width="8.3984375" style="1552" customWidth="1"/>
    <col min="3588" max="3588" width="8" style="1552" customWidth="1"/>
    <col min="3589" max="3589" width="7.5" style="1552" customWidth="1"/>
    <col min="3590" max="3590" width="8.5" style="1552" customWidth="1"/>
    <col min="3591" max="3591" width="8" style="1552" customWidth="1"/>
    <col min="3592" max="3592" width="9.8984375" style="1552" customWidth="1"/>
    <col min="3593" max="3593" width="19.5" style="1552" customWidth="1"/>
    <col min="3594" max="3840" width="9" style="1552"/>
    <col min="3841" max="3841" width="5.19921875" style="1552" customWidth="1"/>
    <col min="3842" max="3842" width="42.59765625" style="1552" customWidth="1"/>
    <col min="3843" max="3843" width="8.3984375" style="1552" customWidth="1"/>
    <col min="3844" max="3844" width="8" style="1552" customWidth="1"/>
    <col min="3845" max="3845" width="7.5" style="1552" customWidth="1"/>
    <col min="3846" max="3846" width="8.5" style="1552" customWidth="1"/>
    <col min="3847" max="3847" width="8" style="1552" customWidth="1"/>
    <col min="3848" max="3848" width="9.8984375" style="1552" customWidth="1"/>
    <col min="3849" max="3849" width="19.5" style="1552" customWidth="1"/>
    <col min="3850" max="4096" width="9" style="1552"/>
    <col min="4097" max="4097" width="5.19921875" style="1552" customWidth="1"/>
    <col min="4098" max="4098" width="42.59765625" style="1552" customWidth="1"/>
    <col min="4099" max="4099" width="8.3984375" style="1552" customWidth="1"/>
    <col min="4100" max="4100" width="8" style="1552" customWidth="1"/>
    <col min="4101" max="4101" width="7.5" style="1552" customWidth="1"/>
    <col min="4102" max="4102" width="8.5" style="1552" customWidth="1"/>
    <col min="4103" max="4103" width="8" style="1552" customWidth="1"/>
    <col min="4104" max="4104" width="9.8984375" style="1552" customWidth="1"/>
    <col min="4105" max="4105" width="19.5" style="1552" customWidth="1"/>
    <col min="4106" max="4352" width="9" style="1552"/>
    <col min="4353" max="4353" width="5.19921875" style="1552" customWidth="1"/>
    <col min="4354" max="4354" width="42.59765625" style="1552" customWidth="1"/>
    <col min="4355" max="4355" width="8.3984375" style="1552" customWidth="1"/>
    <col min="4356" max="4356" width="8" style="1552" customWidth="1"/>
    <col min="4357" max="4357" width="7.5" style="1552" customWidth="1"/>
    <col min="4358" max="4358" width="8.5" style="1552" customWidth="1"/>
    <col min="4359" max="4359" width="8" style="1552" customWidth="1"/>
    <col min="4360" max="4360" width="9.8984375" style="1552" customWidth="1"/>
    <col min="4361" max="4361" width="19.5" style="1552" customWidth="1"/>
    <col min="4362" max="4608" width="9" style="1552"/>
    <col min="4609" max="4609" width="5.19921875" style="1552" customWidth="1"/>
    <col min="4610" max="4610" width="42.59765625" style="1552" customWidth="1"/>
    <col min="4611" max="4611" width="8.3984375" style="1552" customWidth="1"/>
    <col min="4612" max="4612" width="8" style="1552" customWidth="1"/>
    <col min="4613" max="4613" width="7.5" style="1552" customWidth="1"/>
    <col min="4614" max="4614" width="8.5" style="1552" customWidth="1"/>
    <col min="4615" max="4615" width="8" style="1552" customWidth="1"/>
    <col min="4616" max="4616" width="9.8984375" style="1552" customWidth="1"/>
    <col min="4617" max="4617" width="19.5" style="1552" customWidth="1"/>
    <col min="4618" max="4864" width="9" style="1552"/>
    <col min="4865" max="4865" width="5.19921875" style="1552" customWidth="1"/>
    <col min="4866" max="4866" width="42.59765625" style="1552" customWidth="1"/>
    <col min="4867" max="4867" width="8.3984375" style="1552" customWidth="1"/>
    <col min="4868" max="4868" width="8" style="1552" customWidth="1"/>
    <col min="4869" max="4869" width="7.5" style="1552" customWidth="1"/>
    <col min="4870" max="4870" width="8.5" style="1552" customWidth="1"/>
    <col min="4871" max="4871" width="8" style="1552" customWidth="1"/>
    <col min="4872" max="4872" width="9.8984375" style="1552" customWidth="1"/>
    <col min="4873" max="4873" width="19.5" style="1552" customWidth="1"/>
    <col min="4874" max="5120" width="9" style="1552"/>
    <col min="5121" max="5121" width="5.19921875" style="1552" customWidth="1"/>
    <col min="5122" max="5122" width="42.59765625" style="1552" customWidth="1"/>
    <col min="5123" max="5123" width="8.3984375" style="1552" customWidth="1"/>
    <col min="5124" max="5124" width="8" style="1552" customWidth="1"/>
    <col min="5125" max="5125" width="7.5" style="1552" customWidth="1"/>
    <col min="5126" max="5126" width="8.5" style="1552" customWidth="1"/>
    <col min="5127" max="5127" width="8" style="1552" customWidth="1"/>
    <col min="5128" max="5128" width="9.8984375" style="1552" customWidth="1"/>
    <col min="5129" max="5129" width="19.5" style="1552" customWidth="1"/>
    <col min="5130" max="5376" width="9" style="1552"/>
    <col min="5377" max="5377" width="5.19921875" style="1552" customWidth="1"/>
    <col min="5378" max="5378" width="42.59765625" style="1552" customWidth="1"/>
    <col min="5379" max="5379" width="8.3984375" style="1552" customWidth="1"/>
    <col min="5380" max="5380" width="8" style="1552" customWidth="1"/>
    <col min="5381" max="5381" width="7.5" style="1552" customWidth="1"/>
    <col min="5382" max="5382" width="8.5" style="1552" customWidth="1"/>
    <col min="5383" max="5383" width="8" style="1552" customWidth="1"/>
    <col min="5384" max="5384" width="9.8984375" style="1552" customWidth="1"/>
    <col min="5385" max="5385" width="19.5" style="1552" customWidth="1"/>
    <col min="5386" max="5632" width="9" style="1552"/>
    <col min="5633" max="5633" width="5.19921875" style="1552" customWidth="1"/>
    <col min="5634" max="5634" width="42.59765625" style="1552" customWidth="1"/>
    <col min="5635" max="5635" width="8.3984375" style="1552" customWidth="1"/>
    <col min="5636" max="5636" width="8" style="1552" customWidth="1"/>
    <col min="5637" max="5637" width="7.5" style="1552" customWidth="1"/>
    <col min="5638" max="5638" width="8.5" style="1552" customWidth="1"/>
    <col min="5639" max="5639" width="8" style="1552" customWidth="1"/>
    <col min="5640" max="5640" width="9.8984375" style="1552" customWidth="1"/>
    <col min="5641" max="5641" width="19.5" style="1552" customWidth="1"/>
    <col min="5642" max="5888" width="9" style="1552"/>
    <col min="5889" max="5889" width="5.19921875" style="1552" customWidth="1"/>
    <col min="5890" max="5890" width="42.59765625" style="1552" customWidth="1"/>
    <col min="5891" max="5891" width="8.3984375" style="1552" customWidth="1"/>
    <col min="5892" max="5892" width="8" style="1552" customWidth="1"/>
    <col min="5893" max="5893" width="7.5" style="1552" customWidth="1"/>
    <col min="5894" max="5894" width="8.5" style="1552" customWidth="1"/>
    <col min="5895" max="5895" width="8" style="1552" customWidth="1"/>
    <col min="5896" max="5896" width="9.8984375" style="1552" customWidth="1"/>
    <col min="5897" max="5897" width="19.5" style="1552" customWidth="1"/>
    <col min="5898" max="6144" width="9" style="1552"/>
    <col min="6145" max="6145" width="5.19921875" style="1552" customWidth="1"/>
    <col min="6146" max="6146" width="42.59765625" style="1552" customWidth="1"/>
    <col min="6147" max="6147" width="8.3984375" style="1552" customWidth="1"/>
    <col min="6148" max="6148" width="8" style="1552" customWidth="1"/>
    <col min="6149" max="6149" width="7.5" style="1552" customWidth="1"/>
    <col min="6150" max="6150" width="8.5" style="1552" customWidth="1"/>
    <col min="6151" max="6151" width="8" style="1552" customWidth="1"/>
    <col min="6152" max="6152" width="9.8984375" style="1552" customWidth="1"/>
    <col min="6153" max="6153" width="19.5" style="1552" customWidth="1"/>
    <col min="6154" max="6400" width="9" style="1552"/>
    <col min="6401" max="6401" width="5.19921875" style="1552" customWidth="1"/>
    <col min="6402" max="6402" width="42.59765625" style="1552" customWidth="1"/>
    <col min="6403" max="6403" width="8.3984375" style="1552" customWidth="1"/>
    <col min="6404" max="6404" width="8" style="1552" customWidth="1"/>
    <col min="6405" max="6405" width="7.5" style="1552" customWidth="1"/>
    <col min="6406" max="6406" width="8.5" style="1552" customWidth="1"/>
    <col min="6407" max="6407" width="8" style="1552" customWidth="1"/>
    <col min="6408" max="6408" width="9.8984375" style="1552" customWidth="1"/>
    <col min="6409" max="6409" width="19.5" style="1552" customWidth="1"/>
    <col min="6410" max="6656" width="9" style="1552"/>
    <col min="6657" max="6657" width="5.19921875" style="1552" customWidth="1"/>
    <col min="6658" max="6658" width="42.59765625" style="1552" customWidth="1"/>
    <col min="6659" max="6659" width="8.3984375" style="1552" customWidth="1"/>
    <col min="6660" max="6660" width="8" style="1552" customWidth="1"/>
    <col min="6661" max="6661" width="7.5" style="1552" customWidth="1"/>
    <col min="6662" max="6662" width="8.5" style="1552" customWidth="1"/>
    <col min="6663" max="6663" width="8" style="1552" customWidth="1"/>
    <col min="6664" max="6664" width="9.8984375" style="1552" customWidth="1"/>
    <col min="6665" max="6665" width="19.5" style="1552" customWidth="1"/>
    <col min="6666" max="6912" width="9" style="1552"/>
    <col min="6913" max="6913" width="5.19921875" style="1552" customWidth="1"/>
    <col min="6914" max="6914" width="42.59765625" style="1552" customWidth="1"/>
    <col min="6915" max="6915" width="8.3984375" style="1552" customWidth="1"/>
    <col min="6916" max="6916" width="8" style="1552" customWidth="1"/>
    <col min="6917" max="6917" width="7.5" style="1552" customWidth="1"/>
    <col min="6918" max="6918" width="8.5" style="1552" customWidth="1"/>
    <col min="6919" max="6919" width="8" style="1552" customWidth="1"/>
    <col min="6920" max="6920" width="9.8984375" style="1552" customWidth="1"/>
    <col min="6921" max="6921" width="19.5" style="1552" customWidth="1"/>
    <col min="6922" max="7168" width="9" style="1552"/>
    <col min="7169" max="7169" width="5.19921875" style="1552" customWidth="1"/>
    <col min="7170" max="7170" width="42.59765625" style="1552" customWidth="1"/>
    <col min="7171" max="7171" width="8.3984375" style="1552" customWidth="1"/>
    <col min="7172" max="7172" width="8" style="1552" customWidth="1"/>
    <col min="7173" max="7173" width="7.5" style="1552" customWidth="1"/>
    <col min="7174" max="7174" width="8.5" style="1552" customWidth="1"/>
    <col min="7175" max="7175" width="8" style="1552" customWidth="1"/>
    <col min="7176" max="7176" width="9.8984375" style="1552" customWidth="1"/>
    <col min="7177" max="7177" width="19.5" style="1552" customWidth="1"/>
    <col min="7178" max="7424" width="9" style="1552"/>
    <col min="7425" max="7425" width="5.19921875" style="1552" customWidth="1"/>
    <col min="7426" max="7426" width="42.59765625" style="1552" customWidth="1"/>
    <col min="7427" max="7427" width="8.3984375" style="1552" customWidth="1"/>
    <col min="7428" max="7428" width="8" style="1552" customWidth="1"/>
    <col min="7429" max="7429" width="7.5" style="1552" customWidth="1"/>
    <col min="7430" max="7430" width="8.5" style="1552" customWidth="1"/>
    <col min="7431" max="7431" width="8" style="1552" customWidth="1"/>
    <col min="7432" max="7432" width="9.8984375" style="1552" customWidth="1"/>
    <col min="7433" max="7433" width="19.5" style="1552" customWidth="1"/>
    <col min="7434" max="7680" width="9" style="1552"/>
    <col min="7681" max="7681" width="5.19921875" style="1552" customWidth="1"/>
    <col min="7682" max="7682" width="42.59765625" style="1552" customWidth="1"/>
    <col min="7683" max="7683" width="8.3984375" style="1552" customWidth="1"/>
    <col min="7684" max="7684" width="8" style="1552" customWidth="1"/>
    <col min="7685" max="7685" width="7.5" style="1552" customWidth="1"/>
    <col min="7686" max="7686" width="8.5" style="1552" customWidth="1"/>
    <col min="7687" max="7687" width="8" style="1552" customWidth="1"/>
    <col min="7688" max="7688" width="9.8984375" style="1552" customWidth="1"/>
    <col min="7689" max="7689" width="19.5" style="1552" customWidth="1"/>
    <col min="7690" max="7936" width="9" style="1552"/>
    <col min="7937" max="7937" width="5.19921875" style="1552" customWidth="1"/>
    <col min="7938" max="7938" width="42.59765625" style="1552" customWidth="1"/>
    <col min="7939" max="7939" width="8.3984375" style="1552" customWidth="1"/>
    <col min="7940" max="7940" width="8" style="1552" customWidth="1"/>
    <col min="7941" max="7941" width="7.5" style="1552" customWidth="1"/>
    <col min="7942" max="7942" width="8.5" style="1552" customWidth="1"/>
    <col min="7943" max="7943" width="8" style="1552" customWidth="1"/>
    <col min="7944" max="7944" width="9.8984375" style="1552" customWidth="1"/>
    <col min="7945" max="7945" width="19.5" style="1552" customWidth="1"/>
    <col min="7946" max="8192" width="9" style="1552"/>
    <col min="8193" max="8193" width="5.19921875" style="1552" customWidth="1"/>
    <col min="8194" max="8194" width="42.59765625" style="1552" customWidth="1"/>
    <col min="8195" max="8195" width="8.3984375" style="1552" customWidth="1"/>
    <col min="8196" max="8196" width="8" style="1552" customWidth="1"/>
    <col min="8197" max="8197" width="7.5" style="1552" customWidth="1"/>
    <col min="8198" max="8198" width="8.5" style="1552" customWidth="1"/>
    <col min="8199" max="8199" width="8" style="1552" customWidth="1"/>
    <col min="8200" max="8200" width="9.8984375" style="1552" customWidth="1"/>
    <col min="8201" max="8201" width="19.5" style="1552" customWidth="1"/>
    <col min="8202" max="8448" width="9" style="1552"/>
    <col min="8449" max="8449" width="5.19921875" style="1552" customWidth="1"/>
    <col min="8450" max="8450" width="42.59765625" style="1552" customWidth="1"/>
    <col min="8451" max="8451" width="8.3984375" style="1552" customWidth="1"/>
    <col min="8452" max="8452" width="8" style="1552" customWidth="1"/>
    <col min="8453" max="8453" width="7.5" style="1552" customWidth="1"/>
    <col min="8454" max="8454" width="8.5" style="1552" customWidth="1"/>
    <col min="8455" max="8455" width="8" style="1552" customWidth="1"/>
    <col min="8456" max="8456" width="9.8984375" style="1552" customWidth="1"/>
    <col min="8457" max="8457" width="19.5" style="1552" customWidth="1"/>
    <col min="8458" max="8704" width="9" style="1552"/>
    <col min="8705" max="8705" width="5.19921875" style="1552" customWidth="1"/>
    <col min="8706" max="8706" width="42.59765625" style="1552" customWidth="1"/>
    <col min="8707" max="8707" width="8.3984375" style="1552" customWidth="1"/>
    <col min="8708" max="8708" width="8" style="1552" customWidth="1"/>
    <col min="8709" max="8709" width="7.5" style="1552" customWidth="1"/>
    <col min="8710" max="8710" width="8.5" style="1552" customWidth="1"/>
    <col min="8711" max="8711" width="8" style="1552" customWidth="1"/>
    <col min="8712" max="8712" width="9.8984375" style="1552" customWidth="1"/>
    <col min="8713" max="8713" width="19.5" style="1552" customWidth="1"/>
    <col min="8714" max="8960" width="9" style="1552"/>
    <col min="8961" max="8961" width="5.19921875" style="1552" customWidth="1"/>
    <col min="8962" max="8962" width="42.59765625" style="1552" customWidth="1"/>
    <col min="8963" max="8963" width="8.3984375" style="1552" customWidth="1"/>
    <col min="8964" max="8964" width="8" style="1552" customWidth="1"/>
    <col min="8965" max="8965" width="7.5" style="1552" customWidth="1"/>
    <col min="8966" max="8966" width="8.5" style="1552" customWidth="1"/>
    <col min="8967" max="8967" width="8" style="1552" customWidth="1"/>
    <col min="8968" max="8968" width="9.8984375" style="1552" customWidth="1"/>
    <col min="8969" max="8969" width="19.5" style="1552" customWidth="1"/>
    <col min="8970" max="9216" width="9" style="1552"/>
    <col min="9217" max="9217" width="5.19921875" style="1552" customWidth="1"/>
    <col min="9218" max="9218" width="42.59765625" style="1552" customWidth="1"/>
    <col min="9219" max="9219" width="8.3984375" style="1552" customWidth="1"/>
    <col min="9220" max="9220" width="8" style="1552" customWidth="1"/>
    <col min="9221" max="9221" width="7.5" style="1552" customWidth="1"/>
    <col min="9222" max="9222" width="8.5" style="1552" customWidth="1"/>
    <col min="9223" max="9223" width="8" style="1552" customWidth="1"/>
    <col min="9224" max="9224" width="9.8984375" style="1552" customWidth="1"/>
    <col min="9225" max="9225" width="19.5" style="1552" customWidth="1"/>
    <col min="9226" max="9472" width="9" style="1552"/>
    <col min="9473" max="9473" width="5.19921875" style="1552" customWidth="1"/>
    <col min="9474" max="9474" width="42.59765625" style="1552" customWidth="1"/>
    <col min="9475" max="9475" width="8.3984375" style="1552" customWidth="1"/>
    <col min="9476" max="9476" width="8" style="1552" customWidth="1"/>
    <col min="9477" max="9477" width="7.5" style="1552" customWidth="1"/>
    <col min="9478" max="9478" width="8.5" style="1552" customWidth="1"/>
    <col min="9479" max="9479" width="8" style="1552" customWidth="1"/>
    <col min="9480" max="9480" width="9.8984375" style="1552" customWidth="1"/>
    <col min="9481" max="9481" width="19.5" style="1552" customWidth="1"/>
    <col min="9482" max="9728" width="9" style="1552"/>
    <col min="9729" max="9729" width="5.19921875" style="1552" customWidth="1"/>
    <col min="9730" max="9730" width="42.59765625" style="1552" customWidth="1"/>
    <col min="9731" max="9731" width="8.3984375" style="1552" customWidth="1"/>
    <col min="9732" max="9732" width="8" style="1552" customWidth="1"/>
    <col min="9733" max="9733" width="7.5" style="1552" customWidth="1"/>
    <col min="9734" max="9734" width="8.5" style="1552" customWidth="1"/>
    <col min="9735" max="9735" width="8" style="1552" customWidth="1"/>
    <col min="9736" max="9736" width="9.8984375" style="1552" customWidth="1"/>
    <col min="9737" max="9737" width="19.5" style="1552" customWidth="1"/>
    <col min="9738" max="9984" width="9" style="1552"/>
    <col min="9985" max="9985" width="5.19921875" style="1552" customWidth="1"/>
    <col min="9986" max="9986" width="42.59765625" style="1552" customWidth="1"/>
    <col min="9987" max="9987" width="8.3984375" style="1552" customWidth="1"/>
    <col min="9988" max="9988" width="8" style="1552" customWidth="1"/>
    <col min="9989" max="9989" width="7.5" style="1552" customWidth="1"/>
    <col min="9990" max="9990" width="8.5" style="1552" customWidth="1"/>
    <col min="9991" max="9991" width="8" style="1552" customWidth="1"/>
    <col min="9992" max="9992" width="9.8984375" style="1552" customWidth="1"/>
    <col min="9993" max="9993" width="19.5" style="1552" customWidth="1"/>
    <col min="9994" max="10240" width="9" style="1552"/>
    <col min="10241" max="10241" width="5.19921875" style="1552" customWidth="1"/>
    <col min="10242" max="10242" width="42.59765625" style="1552" customWidth="1"/>
    <col min="10243" max="10243" width="8.3984375" style="1552" customWidth="1"/>
    <col min="10244" max="10244" width="8" style="1552" customWidth="1"/>
    <col min="10245" max="10245" width="7.5" style="1552" customWidth="1"/>
    <col min="10246" max="10246" width="8.5" style="1552" customWidth="1"/>
    <col min="10247" max="10247" width="8" style="1552" customWidth="1"/>
    <col min="10248" max="10248" width="9.8984375" style="1552" customWidth="1"/>
    <col min="10249" max="10249" width="19.5" style="1552" customWidth="1"/>
    <col min="10250" max="10496" width="9" style="1552"/>
    <col min="10497" max="10497" width="5.19921875" style="1552" customWidth="1"/>
    <col min="10498" max="10498" width="42.59765625" style="1552" customWidth="1"/>
    <col min="10499" max="10499" width="8.3984375" style="1552" customWidth="1"/>
    <col min="10500" max="10500" width="8" style="1552" customWidth="1"/>
    <col min="10501" max="10501" width="7.5" style="1552" customWidth="1"/>
    <col min="10502" max="10502" width="8.5" style="1552" customWidth="1"/>
    <col min="10503" max="10503" width="8" style="1552" customWidth="1"/>
    <col min="10504" max="10504" width="9.8984375" style="1552" customWidth="1"/>
    <col min="10505" max="10505" width="19.5" style="1552" customWidth="1"/>
    <col min="10506" max="10752" width="9" style="1552"/>
    <col min="10753" max="10753" width="5.19921875" style="1552" customWidth="1"/>
    <col min="10754" max="10754" width="42.59765625" style="1552" customWidth="1"/>
    <col min="10755" max="10755" width="8.3984375" style="1552" customWidth="1"/>
    <col min="10756" max="10756" width="8" style="1552" customWidth="1"/>
    <col min="10757" max="10757" width="7.5" style="1552" customWidth="1"/>
    <col min="10758" max="10758" width="8.5" style="1552" customWidth="1"/>
    <col min="10759" max="10759" width="8" style="1552" customWidth="1"/>
    <col min="10760" max="10760" width="9.8984375" style="1552" customWidth="1"/>
    <col min="10761" max="10761" width="19.5" style="1552" customWidth="1"/>
    <col min="10762" max="11008" width="9" style="1552"/>
    <col min="11009" max="11009" width="5.19921875" style="1552" customWidth="1"/>
    <col min="11010" max="11010" width="42.59765625" style="1552" customWidth="1"/>
    <col min="11011" max="11011" width="8.3984375" style="1552" customWidth="1"/>
    <col min="11012" max="11012" width="8" style="1552" customWidth="1"/>
    <col min="11013" max="11013" width="7.5" style="1552" customWidth="1"/>
    <col min="11014" max="11014" width="8.5" style="1552" customWidth="1"/>
    <col min="11015" max="11015" width="8" style="1552" customWidth="1"/>
    <col min="11016" max="11016" width="9.8984375" style="1552" customWidth="1"/>
    <col min="11017" max="11017" width="19.5" style="1552" customWidth="1"/>
    <col min="11018" max="11264" width="9" style="1552"/>
    <col min="11265" max="11265" width="5.19921875" style="1552" customWidth="1"/>
    <col min="11266" max="11266" width="42.59765625" style="1552" customWidth="1"/>
    <col min="11267" max="11267" width="8.3984375" style="1552" customWidth="1"/>
    <col min="11268" max="11268" width="8" style="1552" customWidth="1"/>
    <col min="11269" max="11269" width="7.5" style="1552" customWidth="1"/>
    <col min="11270" max="11270" width="8.5" style="1552" customWidth="1"/>
    <col min="11271" max="11271" width="8" style="1552" customWidth="1"/>
    <col min="11272" max="11272" width="9.8984375" style="1552" customWidth="1"/>
    <col min="11273" max="11273" width="19.5" style="1552" customWidth="1"/>
    <col min="11274" max="11520" width="9" style="1552"/>
    <col min="11521" max="11521" width="5.19921875" style="1552" customWidth="1"/>
    <col min="11522" max="11522" width="42.59765625" style="1552" customWidth="1"/>
    <col min="11523" max="11523" width="8.3984375" style="1552" customWidth="1"/>
    <col min="11524" max="11524" width="8" style="1552" customWidth="1"/>
    <col min="11525" max="11525" width="7.5" style="1552" customWidth="1"/>
    <col min="11526" max="11526" width="8.5" style="1552" customWidth="1"/>
    <col min="11527" max="11527" width="8" style="1552" customWidth="1"/>
    <col min="11528" max="11528" width="9.8984375" style="1552" customWidth="1"/>
    <col min="11529" max="11529" width="19.5" style="1552" customWidth="1"/>
    <col min="11530" max="11776" width="9" style="1552"/>
    <col min="11777" max="11777" width="5.19921875" style="1552" customWidth="1"/>
    <col min="11778" max="11778" width="42.59765625" style="1552" customWidth="1"/>
    <col min="11779" max="11779" width="8.3984375" style="1552" customWidth="1"/>
    <col min="11780" max="11780" width="8" style="1552" customWidth="1"/>
    <col min="11781" max="11781" width="7.5" style="1552" customWidth="1"/>
    <col min="11782" max="11782" width="8.5" style="1552" customWidth="1"/>
    <col min="11783" max="11783" width="8" style="1552" customWidth="1"/>
    <col min="11784" max="11784" width="9.8984375" style="1552" customWidth="1"/>
    <col min="11785" max="11785" width="19.5" style="1552" customWidth="1"/>
    <col min="11786" max="12032" width="9" style="1552"/>
    <col min="12033" max="12033" width="5.19921875" style="1552" customWidth="1"/>
    <col min="12034" max="12034" width="42.59765625" style="1552" customWidth="1"/>
    <col min="12035" max="12035" width="8.3984375" style="1552" customWidth="1"/>
    <col min="12036" max="12036" width="8" style="1552" customWidth="1"/>
    <col min="12037" max="12037" width="7.5" style="1552" customWidth="1"/>
    <col min="12038" max="12038" width="8.5" style="1552" customWidth="1"/>
    <col min="12039" max="12039" width="8" style="1552" customWidth="1"/>
    <col min="12040" max="12040" width="9.8984375" style="1552" customWidth="1"/>
    <col min="12041" max="12041" width="19.5" style="1552" customWidth="1"/>
    <col min="12042" max="12288" width="9" style="1552"/>
    <col min="12289" max="12289" width="5.19921875" style="1552" customWidth="1"/>
    <col min="12290" max="12290" width="42.59765625" style="1552" customWidth="1"/>
    <col min="12291" max="12291" width="8.3984375" style="1552" customWidth="1"/>
    <col min="12292" max="12292" width="8" style="1552" customWidth="1"/>
    <col min="12293" max="12293" width="7.5" style="1552" customWidth="1"/>
    <col min="12294" max="12294" width="8.5" style="1552" customWidth="1"/>
    <col min="12295" max="12295" width="8" style="1552" customWidth="1"/>
    <col min="12296" max="12296" width="9.8984375" style="1552" customWidth="1"/>
    <col min="12297" max="12297" width="19.5" style="1552" customWidth="1"/>
    <col min="12298" max="12544" width="9" style="1552"/>
    <col min="12545" max="12545" width="5.19921875" style="1552" customWidth="1"/>
    <col min="12546" max="12546" width="42.59765625" style="1552" customWidth="1"/>
    <col min="12547" max="12547" width="8.3984375" style="1552" customWidth="1"/>
    <col min="12548" max="12548" width="8" style="1552" customWidth="1"/>
    <col min="12549" max="12549" width="7.5" style="1552" customWidth="1"/>
    <col min="12550" max="12550" width="8.5" style="1552" customWidth="1"/>
    <col min="12551" max="12551" width="8" style="1552" customWidth="1"/>
    <col min="12552" max="12552" width="9.8984375" style="1552" customWidth="1"/>
    <col min="12553" max="12553" width="19.5" style="1552" customWidth="1"/>
    <col min="12554" max="12800" width="9" style="1552"/>
    <col min="12801" max="12801" width="5.19921875" style="1552" customWidth="1"/>
    <col min="12802" max="12802" width="42.59765625" style="1552" customWidth="1"/>
    <col min="12803" max="12803" width="8.3984375" style="1552" customWidth="1"/>
    <col min="12804" max="12804" width="8" style="1552" customWidth="1"/>
    <col min="12805" max="12805" width="7.5" style="1552" customWidth="1"/>
    <col min="12806" max="12806" width="8.5" style="1552" customWidth="1"/>
    <col min="12807" max="12807" width="8" style="1552" customWidth="1"/>
    <col min="12808" max="12808" width="9.8984375" style="1552" customWidth="1"/>
    <col min="12809" max="12809" width="19.5" style="1552" customWidth="1"/>
    <col min="12810" max="13056" width="9" style="1552"/>
    <col min="13057" max="13057" width="5.19921875" style="1552" customWidth="1"/>
    <col min="13058" max="13058" width="42.59765625" style="1552" customWidth="1"/>
    <col min="13059" max="13059" width="8.3984375" style="1552" customWidth="1"/>
    <col min="13060" max="13060" width="8" style="1552" customWidth="1"/>
    <col min="13061" max="13061" width="7.5" style="1552" customWidth="1"/>
    <col min="13062" max="13062" width="8.5" style="1552" customWidth="1"/>
    <col min="13063" max="13063" width="8" style="1552" customWidth="1"/>
    <col min="13064" max="13064" width="9.8984375" style="1552" customWidth="1"/>
    <col min="13065" max="13065" width="19.5" style="1552" customWidth="1"/>
    <col min="13066" max="13312" width="9" style="1552"/>
    <col min="13313" max="13313" width="5.19921875" style="1552" customWidth="1"/>
    <col min="13314" max="13314" width="42.59765625" style="1552" customWidth="1"/>
    <col min="13315" max="13315" width="8.3984375" style="1552" customWidth="1"/>
    <col min="13316" max="13316" width="8" style="1552" customWidth="1"/>
    <col min="13317" max="13317" width="7.5" style="1552" customWidth="1"/>
    <col min="13318" max="13318" width="8.5" style="1552" customWidth="1"/>
    <col min="13319" max="13319" width="8" style="1552" customWidth="1"/>
    <col min="13320" max="13320" width="9.8984375" style="1552" customWidth="1"/>
    <col min="13321" max="13321" width="19.5" style="1552" customWidth="1"/>
    <col min="13322" max="13568" width="9" style="1552"/>
    <col min="13569" max="13569" width="5.19921875" style="1552" customWidth="1"/>
    <col min="13570" max="13570" width="42.59765625" style="1552" customWidth="1"/>
    <col min="13571" max="13571" width="8.3984375" style="1552" customWidth="1"/>
    <col min="13572" max="13572" width="8" style="1552" customWidth="1"/>
    <col min="13573" max="13573" width="7.5" style="1552" customWidth="1"/>
    <col min="13574" max="13574" width="8.5" style="1552" customWidth="1"/>
    <col min="13575" max="13575" width="8" style="1552" customWidth="1"/>
    <col min="13576" max="13576" width="9.8984375" style="1552" customWidth="1"/>
    <col min="13577" max="13577" width="19.5" style="1552" customWidth="1"/>
    <col min="13578" max="13824" width="9" style="1552"/>
    <col min="13825" max="13825" width="5.19921875" style="1552" customWidth="1"/>
    <col min="13826" max="13826" width="42.59765625" style="1552" customWidth="1"/>
    <col min="13827" max="13827" width="8.3984375" style="1552" customWidth="1"/>
    <col min="13828" max="13828" width="8" style="1552" customWidth="1"/>
    <col min="13829" max="13829" width="7.5" style="1552" customWidth="1"/>
    <col min="13830" max="13830" width="8.5" style="1552" customWidth="1"/>
    <col min="13831" max="13831" width="8" style="1552" customWidth="1"/>
    <col min="13832" max="13832" width="9.8984375" style="1552" customWidth="1"/>
    <col min="13833" max="13833" width="19.5" style="1552" customWidth="1"/>
    <col min="13834" max="14080" width="9" style="1552"/>
    <col min="14081" max="14081" width="5.19921875" style="1552" customWidth="1"/>
    <col min="14082" max="14082" width="42.59765625" style="1552" customWidth="1"/>
    <col min="14083" max="14083" width="8.3984375" style="1552" customWidth="1"/>
    <col min="14084" max="14084" width="8" style="1552" customWidth="1"/>
    <col min="14085" max="14085" width="7.5" style="1552" customWidth="1"/>
    <col min="14086" max="14086" width="8.5" style="1552" customWidth="1"/>
    <col min="14087" max="14087" width="8" style="1552" customWidth="1"/>
    <col min="14088" max="14088" width="9.8984375" style="1552" customWidth="1"/>
    <col min="14089" max="14089" width="19.5" style="1552" customWidth="1"/>
    <col min="14090" max="14336" width="9" style="1552"/>
    <col min="14337" max="14337" width="5.19921875" style="1552" customWidth="1"/>
    <col min="14338" max="14338" width="42.59765625" style="1552" customWidth="1"/>
    <col min="14339" max="14339" width="8.3984375" style="1552" customWidth="1"/>
    <col min="14340" max="14340" width="8" style="1552" customWidth="1"/>
    <col min="14341" max="14341" width="7.5" style="1552" customWidth="1"/>
    <col min="14342" max="14342" width="8.5" style="1552" customWidth="1"/>
    <col min="14343" max="14343" width="8" style="1552" customWidth="1"/>
    <col min="14344" max="14344" width="9.8984375" style="1552" customWidth="1"/>
    <col min="14345" max="14345" width="19.5" style="1552" customWidth="1"/>
    <col min="14346" max="14592" width="9" style="1552"/>
    <col min="14593" max="14593" width="5.19921875" style="1552" customWidth="1"/>
    <col min="14594" max="14594" width="42.59765625" style="1552" customWidth="1"/>
    <col min="14595" max="14595" width="8.3984375" style="1552" customWidth="1"/>
    <col min="14596" max="14596" width="8" style="1552" customWidth="1"/>
    <col min="14597" max="14597" width="7.5" style="1552" customWidth="1"/>
    <col min="14598" max="14598" width="8.5" style="1552" customWidth="1"/>
    <col min="14599" max="14599" width="8" style="1552" customWidth="1"/>
    <col min="14600" max="14600" width="9.8984375" style="1552" customWidth="1"/>
    <col min="14601" max="14601" width="19.5" style="1552" customWidth="1"/>
    <col min="14602" max="14848" width="9" style="1552"/>
    <col min="14849" max="14849" width="5.19921875" style="1552" customWidth="1"/>
    <col min="14850" max="14850" width="42.59765625" style="1552" customWidth="1"/>
    <col min="14851" max="14851" width="8.3984375" style="1552" customWidth="1"/>
    <col min="14852" max="14852" width="8" style="1552" customWidth="1"/>
    <col min="14853" max="14853" width="7.5" style="1552" customWidth="1"/>
    <col min="14854" max="14854" width="8.5" style="1552" customWidth="1"/>
    <col min="14855" max="14855" width="8" style="1552" customWidth="1"/>
    <col min="14856" max="14856" width="9.8984375" style="1552" customWidth="1"/>
    <col min="14857" max="14857" width="19.5" style="1552" customWidth="1"/>
    <col min="14858" max="15104" width="9" style="1552"/>
    <col min="15105" max="15105" width="5.19921875" style="1552" customWidth="1"/>
    <col min="15106" max="15106" width="42.59765625" style="1552" customWidth="1"/>
    <col min="15107" max="15107" width="8.3984375" style="1552" customWidth="1"/>
    <col min="15108" max="15108" width="8" style="1552" customWidth="1"/>
    <col min="15109" max="15109" width="7.5" style="1552" customWidth="1"/>
    <col min="15110" max="15110" width="8.5" style="1552" customWidth="1"/>
    <col min="15111" max="15111" width="8" style="1552" customWidth="1"/>
    <col min="15112" max="15112" width="9.8984375" style="1552" customWidth="1"/>
    <col min="15113" max="15113" width="19.5" style="1552" customWidth="1"/>
    <col min="15114" max="15360" width="9" style="1552"/>
    <col min="15361" max="15361" width="5.19921875" style="1552" customWidth="1"/>
    <col min="15362" max="15362" width="42.59765625" style="1552" customWidth="1"/>
    <col min="15363" max="15363" width="8.3984375" style="1552" customWidth="1"/>
    <col min="15364" max="15364" width="8" style="1552" customWidth="1"/>
    <col min="15365" max="15365" width="7.5" style="1552" customWidth="1"/>
    <col min="15366" max="15366" width="8.5" style="1552" customWidth="1"/>
    <col min="15367" max="15367" width="8" style="1552" customWidth="1"/>
    <col min="15368" max="15368" width="9.8984375" style="1552" customWidth="1"/>
    <col min="15369" max="15369" width="19.5" style="1552" customWidth="1"/>
    <col min="15370" max="15616" width="9" style="1552"/>
    <col min="15617" max="15617" width="5.19921875" style="1552" customWidth="1"/>
    <col min="15618" max="15618" width="42.59765625" style="1552" customWidth="1"/>
    <col min="15619" max="15619" width="8.3984375" style="1552" customWidth="1"/>
    <col min="15620" max="15620" width="8" style="1552" customWidth="1"/>
    <col min="15621" max="15621" width="7.5" style="1552" customWidth="1"/>
    <col min="15622" max="15622" width="8.5" style="1552" customWidth="1"/>
    <col min="15623" max="15623" width="8" style="1552" customWidth="1"/>
    <col min="15624" max="15624" width="9.8984375" style="1552" customWidth="1"/>
    <col min="15625" max="15625" width="19.5" style="1552" customWidth="1"/>
    <col min="15626" max="15872" width="9" style="1552"/>
    <col min="15873" max="15873" width="5.19921875" style="1552" customWidth="1"/>
    <col min="15874" max="15874" width="42.59765625" style="1552" customWidth="1"/>
    <col min="15875" max="15875" width="8.3984375" style="1552" customWidth="1"/>
    <col min="15876" max="15876" width="8" style="1552" customWidth="1"/>
    <col min="15877" max="15877" width="7.5" style="1552" customWidth="1"/>
    <col min="15878" max="15878" width="8.5" style="1552" customWidth="1"/>
    <col min="15879" max="15879" width="8" style="1552" customWidth="1"/>
    <col min="15880" max="15880" width="9.8984375" style="1552" customWidth="1"/>
    <col min="15881" max="15881" width="19.5" style="1552" customWidth="1"/>
    <col min="15882" max="16128" width="9" style="1552"/>
    <col min="16129" max="16129" width="5.19921875" style="1552" customWidth="1"/>
    <col min="16130" max="16130" width="42.59765625" style="1552" customWidth="1"/>
    <col min="16131" max="16131" width="8.3984375" style="1552" customWidth="1"/>
    <col min="16132" max="16132" width="8" style="1552" customWidth="1"/>
    <col min="16133" max="16133" width="7.5" style="1552" customWidth="1"/>
    <col min="16134" max="16134" width="8.5" style="1552" customWidth="1"/>
    <col min="16135" max="16135" width="8" style="1552" customWidth="1"/>
    <col min="16136" max="16136" width="9.8984375" style="1552" customWidth="1"/>
    <col min="16137" max="16137" width="19.5" style="1552" customWidth="1"/>
    <col min="16138" max="16384" width="9" style="1552"/>
  </cols>
  <sheetData>
    <row r="1" spans="1:10" s="1651" customFormat="1" ht="20.100000000000001" customHeight="1">
      <c r="A1" s="3378"/>
      <c r="B1" s="3378"/>
      <c r="C1" s="3378"/>
      <c r="D1" s="3378"/>
      <c r="E1" s="3378"/>
      <c r="F1" s="3378"/>
      <c r="G1" s="3378"/>
      <c r="H1" s="3378"/>
      <c r="I1" s="2072" t="str">
        <f>"索引号："&amp;档案索引!A36</f>
        <v>索引号：2A-16</v>
      </c>
    </row>
    <row r="2" spans="1:10" ht="25.5" customHeight="1">
      <c r="A2" s="3379" t="s">
        <v>5926</v>
      </c>
      <c r="B2" s="3379"/>
      <c r="C2" s="3379"/>
      <c r="D2" s="3379"/>
      <c r="E2" s="3379"/>
      <c r="F2" s="3379"/>
      <c r="G2" s="3379"/>
      <c r="H2" s="3379"/>
      <c r="I2" s="1818"/>
    </row>
    <row r="3" spans="1:10" s="1556" customFormat="1" ht="29.25" customHeight="1">
      <c r="A3" s="3380" t="s">
        <v>1854</v>
      </c>
      <c r="B3" s="3380" t="s">
        <v>5081</v>
      </c>
      <c r="C3" s="3383" t="s">
        <v>5188</v>
      </c>
      <c r="D3" s="3377" t="s">
        <v>1851</v>
      </c>
      <c r="E3" s="3377"/>
      <c r="F3" s="3377" t="s">
        <v>1852</v>
      </c>
      <c r="G3" s="3377"/>
      <c r="H3" s="3383" t="s">
        <v>5189</v>
      </c>
      <c r="I3" s="1816" t="s">
        <v>1858</v>
      </c>
    </row>
    <row r="4" spans="1:10" s="1556" customFormat="1" ht="18" customHeight="1">
      <c r="A4" s="3381"/>
      <c r="B4" s="3381"/>
      <c r="C4" s="3384"/>
      <c r="D4" s="1810" t="s">
        <v>5190</v>
      </c>
      <c r="E4" s="1810" t="s">
        <v>5191</v>
      </c>
      <c r="F4" s="1810" t="s">
        <v>5190</v>
      </c>
      <c r="G4" s="1810" t="s">
        <v>5191</v>
      </c>
      <c r="H4" s="3384"/>
      <c r="I4" s="1853"/>
    </row>
    <row r="5" spans="1:10" ht="14.25" customHeight="1">
      <c r="A5" s="3382"/>
      <c r="B5" s="3382"/>
      <c r="C5" s="1817">
        <v>1</v>
      </c>
      <c r="D5" s="1817">
        <v>2</v>
      </c>
      <c r="E5" s="1817">
        <v>3</v>
      </c>
      <c r="F5" s="1817">
        <v>4</v>
      </c>
      <c r="G5" s="1817">
        <v>5</v>
      </c>
      <c r="H5" s="1817" t="s">
        <v>5192</v>
      </c>
      <c r="I5" s="1811"/>
    </row>
    <row r="6" spans="1:10" ht="14.25" customHeight="1">
      <c r="A6" s="1810">
        <v>1</v>
      </c>
      <c r="B6" s="1811" t="s">
        <v>5193</v>
      </c>
      <c r="C6" s="2077">
        <f>SUM(C7:C9)</f>
        <v>0</v>
      </c>
      <c r="D6" s="2077">
        <f>SUM(D7:D9)</f>
        <v>0</v>
      </c>
      <c r="E6" s="2077">
        <f>SUM(E7:E9)</f>
        <v>0</v>
      </c>
      <c r="F6" s="2077">
        <f>SUM(F7:F9)</f>
        <v>0</v>
      </c>
      <c r="G6" s="2077">
        <f>SUM(G7:G9)</f>
        <v>0</v>
      </c>
      <c r="H6" s="2077">
        <f>F6-D6</f>
        <v>0</v>
      </c>
      <c r="I6" s="1811"/>
    </row>
    <row r="7" spans="1:10" ht="14.25" customHeight="1">
      <c r="A7" s="1810">
        <v>2</v>
      </c>
      <c r="B7" s="1811" t="s">
        <v>5194</v>
      </c>
      <c r="C7" s="2078"/>
      <c r="D7" s="2078"/>
      <c r="E7" s="2078"/>
      <c r="F7" s="2078"/>
      <c r="G7" s="2078"/>
      <c r="H7" s="2077">
        <f t="shared" ref="H7:H18" si="0">F7-D7</f>
        <v>0</v>
      </c>
      <c r="I7" s="1811"/>
    </row>
    <row r="8" spans="1:10" ht="14.25" customHeight="1">
      <c r="A8" s="1810">
        <v>3</v>
      </c>
      <c r="B8" s="1811" t="s">
        <v>5195</v>
      </c>
      <c r="C8" s="2078"/>
      <c r="D8" s="2078"/>
      <c r="E8" s="2078"/>
      <c r="F8" s="2078"/>
      <c r="G8" s="2078"/>
      <c r="H8" s="2077">
        <f t="shared" si="0"/>
        <v>0</v>
      </c>
      <c r="I8" s="1811"/>
    </row>
    <row r="9" spans="1:10" ht="14.25" customHeight="1">
      <c r="A9" s="1810">
        <v>4</v>
      </c>
      <c r="B9" s="1811" t="s">
        <v>5196</v>
      </c>
      <c r="C9" s="2078"/>
      <c r="D9" s="2078"/>
      <c r="E9" s="2078"/>
      <c r="F9" s="2078"/>
      <c r="G9" s="2078"/>
      <c r="H9" s="2077">
        <f t="shared" si="0"/>
        <v>0</v>
      </c>
      <c r="I9" s="1811"/>
    </row>
    <row r="10" spans="1:10" ht="14.25" customHeight="1">
      <c r="A10" s="1810">
        <v>5</v>
      </c>
      <c r="B10" s="1811" t="s">
        <v>5197</v>
      </c>
      <c r="C10" s="2077">
        <f>SUM(C11:C13)</f>
        <v>0</v>
      </c>
      <c r="D10" s="2077">
        <f>SUM(D11:D13)</f>
        <v>0</v>
      </c>
      <c r="E10" s="2077">
        <f>SUM(E11:E13)</f>
        <v>0</v>
      </c>
      <c r="F10" s="2077">
        <f>SUM(F11:F13)</f>
        <v>0</v>
      </c>
      <c r="G10" s="2077">
        <f>SUM(G11:G13)</f>
        <v>0</v>
      </c>
      <c r="H10" s="2077">
        <f t="shared" si="0"/>
        <v>0</v>
      </c>
      <c r="I10" s="1811"/>
    </row>
    <row r="11" spans="1:10" ht="14.25" customHeight="1">
      <c r="A11" s="1810">
        <v>6</v>
      </c>
      <c r="B11" s="1811" t="s">
        <v>5198</v>
      </c>
      <c r="C11" s="2078"/>
      <c r="D11" s="2078"/>
      <c r="E11" s="2078"/>
      <c r="F11" s="2078"/>
      <c r="G11" s="2078"/>
      <c r="H11" s="2077">
        <f t="shared" si="0"/>
        <v>0</v>
      </c>
      <c r="I11" s="1811"/>
      <c r="J11" s="1675" t="s">
        <v>6437</v>
      </c>
    </row>
    <row r="12" spans="1:10" ht="14.25" customHeight="1">
      <c r="A12" s="1810">
        <v>7</v>
      </c>
      <c r="B12" s="1811" t="s">
        <v>5199</v>
      </c>
      <c r="C12" s="2078"/>
      <c r="D12" s="2078"/>
      <c r="E12" s="2078"/>
      <c r="F12" s="2078"/>
      <c r="G12" s="2078"/>
      <c r="H12" s="2077">
        <f t="shared" si="0"/>
        <v>0</v>
      </c>
      <c r="I12" s="1811"/>
    </row>
    <row r="13" spans="1:10" ht="14.25" customHeight="1">
      <c r="A13" s="1810">
        <v>8</v>
      </c>
      <c r="B13" s="1811" t="s">
        <v>5200</v>
      </c>
      <c r="C13" s="2078"/>
      <c r="D13" s="2078"/>
      <c r="E13" s="2078"/>
      <c r="F13" s="2078"/>
      <c r="G13" s="2078"/>
      <c r="H13" s="2077">
        <f t="shared" si="0"/>
        <v>0</v>
      </c>
      <c r="I13" s="1811"/>
    </row>
    <row r="14" spans="1:10" ht="14.25" customHeight="1">
      <c r="A14" s="1810">
        <v>9</v>
      </c>
      <c r="B14" s="1811" t="s">
        <v>5201</v>
      </c>
      <c r="C14" s="2077">
        <f>SUM(C15:C17)</f>
        <v>0</v>
      </c>
      <c r="D14" s="2077">
        <f>SUM(D15:D17)</f>
        <v>0</v>
      </c>
      <c r="E14" s="2077">
        <f>SUM(E15:E17)</f>
        <v>0</v>
      </c>
      <c r="F14" s="2077">
        <f>SUM(F15:F17)</f>
        <v>0</v>
      </c>
      <c r="G14" s="2077">
        <f>SUM(G15:G17)</f>
        <v>0</v>
      </c>
      <c r="H14" s="2077">
        <f t="shared" si="0"/>
        <v>0</v>
      </c>
      <c r="I14" s="1811"/>
    </row>
    <row r="15" spans="1:10" ht="14.25" customHeight="1">
      <c r="A15" s="1810">
        <v>10</v>
      </c>
      <c r="B15" s="1811" t="s">
        <v>5202</v>
      </c>
      <c r="C15" s="2078"/>
      <c r="D15" s="2078"/>
      <c r="E15" s="2078"/>
      <c r="F15" s="2078"/>
      <c r="G15" s="2078"/>
      <c r="H15" s="2077">
        <f t="shared" si="0"/>
        <v>0</v>
      </c>
      <c r="I15" s="1811"/>
    </row>
    <row r="16" spans="1:10" ht="14.25" customHeight="1">
      <c r="A16" s="1810">
        <v>11</v>
      </c>
      <c r="B16" s="1811" t="s">
        <v>5203</v>
      </c>
      <c r="C16" s="2078"/>
      <c r="D16" s="2078"/>
      <c r="E16" s="2078"/>
      <c r="F16" s="2078"/>
      <c r="G16" s="2078"/>
      <c r="H16" s="2077">
        <f t="shared" si="0"/>
        <v>0</v>
      </c>
      <c r="I16" s="1811"/>
    </row>
    <row r="17" spans="1:9" ht="14.25" customHeight="1">
      <c r="A17" s="1810">
        <v>12</v>
      </c>
      <c r="B17" s="1811" t="s">
        <v>5204</v>
      </c>
      <c r="C17" s="2078"/>
      <c r="D17" s="2078"/>
      <c r="E17" s="2078"/>
      <c r="F17" s="2078"/>
      <c r="G17" s="2078"/>
      <c r="H17" s="2077">
        <f t="shared" si="0"/>
        <v>0</v>
      </c>
      <c r="I17" s="1811"/>
    </row>
    <row r="18" spans="1:9" ht="14.25" customHeight="1">
      <c r="A18" s="1810">
        <v>13</v>
      </c>
      <c r="B18" s="1811" t="s">
        <v>5205</v>
      </c>
      <c r="C18" s="2078"/>
      <c r="D18" s="2078"/>
      <c r="E18" s="2078"/>
      <c r="F18" s="2078"/>
      <c r="G18" s="2078"/>
      <c r="H18" s="2077">
        <f t="shared" si="0"/>
        <v>0</v>
      </c>
      <c r="I18" s="1811"/>
    </row>
    <row r="19" spans="1:9" ht="114" customHeight="1">
      <c r="A19" s="1810">
        <v>14</v>
      </c>
      <c r="B19" s="1811" t="s">
        <v>5206</v>
      </c>
      <c r="C19" s="2077">
        <f t="shared" ref="C19:H19" si="1">C6+C10+C14+C18</f>
        <v>0</v>
      </c>
      <c r="D19" s="2077">
        <f t="shared" si="1"/>
        <v>0</v>
      </c>
      <c r="E19" s="2077">
        <f t="shared" si="1"/>
        <v>0</v>
      </c>
      <c r="F19" s="2077">
        <f t="shared" si="1"/>
        <v>0</v>
      </c>
      <c r="G19" s="2077">
        <f t="shared" si="1"/>
        <v>0</v>
      </c>
      <c r="H19" s="2077">
        <f t="shared" si="1"/>
        <v>0</v>
      </c>
      <c r="I19" s="1812" t="s">
        <v>5207</v>
      </c>
    </row>
    <row r="20" spans="1:9">
      <c r="A20" s="2027"/>
      <c r="B20" s="1805"/>
      <c r="C20" s="1805"/>
      <c r="D20" s="1805"/>
      <c r="E20" s="1805"/>
      <c r="F20" s="1805"/>
      <c r="G20" s="1805"/>
      <c r="H20" s="1805"/>
      <c r="I20" s="1805"/>
    </row>
  </sheetData>
  <mergeCells count="8">
    <mergeCell ref="A1:H1"/>
    <mergeCell ref="A2:H2"/>
    <mergeCell ref="A3:A5"/>
    <mergeCell ref="B3:B5"/>
    <mergeCell ref="C3:C4"/>
    <mergeCell ref="D3:E3"/>
    <mergeCell ref="F3:G3"/>
    <mergeCell ref="H3:H4"/>
  </mergeCells>
  <phoneticPr fontId="51" type="noConversion"/>
  <hyperlinks>
    <hyperlink ref="J11" location="A105020未按权责发生制确认收入纳税调整明细表!A1" display="A105020未按权责发生制确认收入纳税调整明细表!A1"/>
  </hyperlinks>
  <printOptions horizontalCentered="1"/>
  <pageMargins left="0.78740157480314998" right="0.35433070866141703" top="0.511811023622047" bottom="0.11811023622047198" header="0.511811023622047" footer="0.511811023622047"/>
  <pageSetup paperSize="9" orientation="landscape" r:id="rId1"/>
  <headerFooter alignWithMargins="0"/>
</worksheet>
</file>

<file path=xl/worksheets/sheet4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58">
    <tabColor rgb="FFFFFF00"/>
  </sheetPr>
  <dimension ref="A1:O16"/>
  <sheetViews>
    <sheetView topLeftCell="D1" workbookViewId="0">
      <selection activeCell="O8" sqref="O8"/>
    </sheetView>
  </sheetViews>
  <sheetFormatPr defaultRowHeight="15.6"/>
  <cols>
    <col min="1" max="1" width="4.3984375" style="1651" customWidth="1"/>
    <col min="2" max="2" width="20.59765625" style="1651" customWidth="1"/>
    <col min="3" max="13" width="11.09765625" style="1651" customWidth="1"/>
    <col min="14" max="14" width="15.09765625" style="1651" customWidth="1"/>
    <col min="15" max="256" width="9" style="1651"/>
    <col min="257" max="257" width="4.3984375" style="1651" customWidth="1"/>
    <col min="258" max="258" width="20.59765625" style="1651" customWidth="1"/>
    <col min="259" max="259" width="4.5" style="1651" customWidth="1"/>
    <col min="260" max="260" width="4.8984375" style="1651" customWidth="1"/>
    <col min="261" max="268" width="7.8984375" style="1651" customWidth="1"/>
    <col min="269" max="269" width="8.59765625" style="1651" customWidth="1"/>
    <col min="270" max="270" width="15.09765625" style="1651" customWidth="1"/>
    <col min="271" max="512" width="9" style="1651"/>
    <col min="513" max="513" width="4.3984375" style="1651" customWidth="1"/>
    <col min="514" max="514" width="20.59765625" style="1651" customWidth="1"/>
    <col min="515" max="515" width="4.5" style="1651" customWidth="1"/>
    <col min="516" max="516" width="4.8984375" style="1651" customWidth="1"/>
    <col min="517" max="524" width="7.8984375" style="1651" customWidth="1"/>
    <col min="525" max="525" width="8.59765625" style="1651" customWidth="1"/>
    <col min="526" max="526" width="15.09765625" style="1651" customWidth="1"/>
    <col min="527" max="768" width="9" style="1651"/>
    <col min="769" max="769" width="4.3984375" style="1651" customWidth="1"/>
    <col min="770" max="770" width="20.59765625" style="1651" customWidth="1"/>
    <col min="771" max="771" width="4.5" style="1651" customWidth="1"/>
    <col min="772" max="772" width="4.8984375" style="1651" customWidth="1"/>
    <col min="773" max="780" width="7.8984375" style="1651" customWidth="1"/>
    <col min="781" max="781" width="8.59765625" style="1651" customWidth="1"/>
    <col min="782" max="782" width="15.09765625" style="1651" customWidth="1"/>
    <col min="783" max="1024" width="9" style="1651"/>
    <col min="1025" max="1025" width="4.3984375" style="1651" customWidth="1"/>
    <col min="1026" max="1026" width="20.59765625" style="1651" customWidth="1"/>
    <col min="1027" max="1027" width="4.5" style="1651" customWidth="1"/>
    <col min="1028" max="1028" width="4.8984375" style="1651" customWidth="1"/>
    <col min="1029" max="1036" width="7.8984375" style="1651" customWidth="1"/>
    <col min="1037" max="1037" width="8.59765625" style="1651" customWidth="1"/>
    <col min="1038" max="1038" width="15.09765625" style="1651" customWidth="1"/>
    <col min="1039" max="1280" width="9" style="1651"/>
    <col min="1281" max="1281" width="4.3984375" style="1651" customWidth="1"/>
    <col min="1282" max="1282" width="20.59765625" style="1651" customWidth="1"/>
    <col min="1283" max="1283" width="4.5" style="1651" customWidth="1"/>
    <col min="1284" max="1284" width="4.8984375" style="1651" customWidth="1"/>
    <col min="1285" max="1292" width="7.8984375" style="1651" customWidth="1"/>
    <col min="1293" max="1293" width="8.59765625" style="1651" customWidth="1"/>
    <col min="1294" max="1294" width="15.09765625" style="1651" customWidth="1"/>
    <col min="1295" max="1536" width="9" style="1651"/>
    <col min="1537" max="1537" width="4.3984375" style="1651" customWidth="1"/>
    <col min="1538" max="1538" width="20.59765625" style="1651" customWidth="1"/>
    <col min="1539" max="1539" width="4.5" style="1651" customWidth="1"/>
    <col min="1540" max="1540" width="4.8984375" style="1651" customWidth="1"/>
    <col min="1541" max="1548" width="7.8984375" style="1651" customWidth="1"/>
    <col min="1549" max="1549" width="8.59765625" style="1651" customWidth="1"/>
    <col min="1550" max="1550" width="15.09765625" style="1651" customWidth="1"/>
    <col min="1551" max="1792" width="9" style="1651"/>
    <col min="1793" max="1793" width="4.3984375" style="1651" customWidth="1"/>
    <col min="1794" max="1794" width="20.59765625" style="1651" customWidth="1"/>
    <col min="1795" max="1795" width="4.5" style="1651" customWidth="1"/>
    <col min="1796" max="1796" width="4.8984375" style="1651" customWidth="1"/>
    <col min="1797" max="1804" width="7.8984375" style="1651" customWidth="1"/>
    <col min="1805" max="1805" width="8.59765625" style="1651" customWidth="1"/>
    <col min="1806" max="1806" width="15.09765625" style="1651" customWidth="1"/>
    <col min="1807" max="2048" width="9" style="1651"/>
    <col min="2049" max="2049" width="4.3984375" style="1651" customWidth="1"/>
    <col min="2050" max="2050" width="20.59765625" style="1651" customWidth="1"/>
    <col min="2051" max="2051" width="4.5" style="1651" customWidth="1"/>
    <col min="2052" max="2052" width="4.8984375" style="1651" customWidth="1"/>
    <col min="2053" max="2060" width="7.8984375" style="1651" customWidth="1"/>
    <col min="2061" max="2061" width="8.59765625" style="1651" customWidth="1"/>
    <col min="2062" max="2062" width="15.09765625" style="1651" customWidth="1"/>
    <col min="2063" max="2304" width="9" style="1651"/>
    <col min="2305" max="2305" width="4.3984375" style="1651" customWidth="1"/>
    <col min="2306" max="2306" width="20.59765625" style="1651" customWidth="1"/>
    <col min="2307" max="2307" width="4.5" style="1651" customWidth="1"/>
    <col min="2308" max="2308" width="4.8984375" style="1651" customWidth="1"/>
    <col min="2309" max="2316" width="7.8984375" style="1651" customWidth="1"/>
    <col min="2317" max="2317" width="8.59765625" style="1651" customWidth="1"/>
    <col min="2318" max="2318" width="15.09765625" style="1651" customWidth="1"/>
    <col min="2319" max="2560" width="9" style="1651"/>
    <col min="2561" max="2561" width="4.3984375" style="1651" customWidth="1"/>
    <col min="2562" max="2562" width="20.59765625" style="1651" customWidth="1"/>
    <col min="2563" max="2563" width="4.5" style="1651" customWidth="1"/>
    <col min="2564" max="2564" width="4.8984375" style="1651" customWidth="1"/>
    <col min="2565" max="2572" width="7.8984375" style="1651" customWidth="1"/>
    <col min="2573" max="2573" width="8.59765625" style="1651" customWidth="1"/>
    <col min="2574" max="2574" width="15.09765625" style="1651" customWidth="1"/>
    <col min="2575" max="2816" width="9" style="1651"/>
    <col min="2817" max="2817" width="4.3984375" style="1651" customWidth="1"/>
    <col min="2818" max="2818" width="20.59765625" style="1651" customWidth="1"/>
    <col min="2819" max="2819" width="4.5" style="1651" customWidth="1"/>
    <col min="2820" max="2820" width="4.8984375" style="1651" customWidth="1"/>
    <col min="2821" max="2828" width="7.8984375" style="1651" customWidth="1"/>
    <col min="2829" max="2829" width="8.59765625" style="1651" customWidth="1"/>
    <col min="2830" max="2830" width="15.09765625" style="1651" customWidth="1"/>
    <col min="2831" max="3072" width="9" style="1651"/>
    <col min="3073" max="3073" width="4.3984375" style="1651" customWidth="1"/>
    <col min="3074" max="3074" width="20.59765625" style="1651" customWidth="1"/>
    <col min="3075" max="3075" width="4.5" style="1651" customWidth="1"/>
    <col min="3076" max="3076" width="4.8984375" style="1651" customWidth="1"/>
    <col min="3077" max="3084" width="7.8984375" style="1651" customWidth="1"/>
    <col min="3085" max="3085" width="8.59765625" style="1651" customWidth="1"/>
    <col min="3086" max="3086" width="15.09765625" style="1651" customWidth="1"/>
    <col min="3087" max="3328" width="9" style="1651"/>
    <col min="3329" max="3329" width="4.3984375" style="1651" customWidth="1"/>
    <col min="3330" max="3330" width="20.59765625" style="1651" customWidth="1"/>
    <col min="3331" max="3331" width="4.5" style="1651" customWidth="1"/>
    <col min="3332" max="3332" width="4.8984375" style="1651" customWidth="1"/>
    <col min="3333" max="3340" width="7.8984375" style="1651" customWidth="1"/>
    <col min="3341" max="3341" width="8.59765625" style="1651" customWidth="1"/>
    <col min="3342" max="3342" width="15.09765625" style="1651" customWidth="1"/>
    <col min="3343" max="3584" width="9" style="1651"/>
    <col min="3585" max="3585" width="4.3984375" style="1651" customWidth="1"/>
    <col min="3586" max="3586" width="20.59765625" style="1651" customWidth="1"/>
    <col min="3587" max="3587" width="4.5" style="1651" customWidth="1"/>
    <col min="3588" max="3588" width="4.8984375" style="1651" customWidth="1"/>
    <col min="3589" max="3596" width="7.8984375" style="1651" customWidth="1"/>
    <col min="3597" max="3597" width="8.59765625" style="1651" customWidth="1"/>
    <col min="3598" max="3598" width="15.09765625" style="1651" customWidth="1"/>
    <col min="3599" max="3840" width="9" style="1651"/>
    <col min="3841" max="3841" width="4.3984375" style="1651" customWidth="1"/>
    <col min="3842" max="3842" width="20.59765625" style="1651" customWidth="1"/>
    <col min="3843" max="3843" width="4.5" style="1651" customWidth="1"/>
    <col min="3844" max="3844" width="4.8984375" style="1651" customWidth="1"/>
    <col min="3845" max="3852" width="7.8984375" style="1651" customWidth="1"/>
    <col min="3853" max="3853" width="8.59765625" style="1651" customWidth="1"/>
    <col min="3854" max="3854" width="15.09765625" style="1651" customWidth="1"/>
    <col min="3855" max="4096" width="9" style="1651"/>
    <col min="4097" max="4097" width="4.3984375" style="1651" customWidth="1"/>
    <col min="4098" max="4098" width="20.59765625" style="1651" customWidth="1"/>
    <col min="4099" max="4099" width="4.5" style="1651" customWidth="1"/>
    <col min="4100" max="4100" width="4.8984375" style="1651" customWidth="1"/>
    <col min="4101" max="4108" width="7.8984375" style="1651" customWidth="1"/>
    <col min="4109" max="4109" width="8.59765625" style="1651" customWidth="1"/>
    <col min="4110" max="4110" width="15.09765625" style="1651" customWidth="1"/>
    <col min="4111" max="4352" width="9" style="1651"/>
    <col min="4353" max="4353" width="4.3984375" style="1651" customWidth="1"/>
    <col min="4354" max="4354" width="20.59765625" style="1651" customWidth="1"/>
    <col min="4355" max="4355" width="4.5" style="1651" customWidth="1"/>
    <col min="4356" max="4356" width="4.8984375" style="1651" customWidth="1"/>
    <col min="4357" max="4364" width="7.8984375" style="1651" customWidth="1"/>
    <col min="4365" max="4365" width="8.59765625" style="1651" customWidth="1"/>
    <col min="4366" max="4366" width="15.09765625" style="1651" customWidth="1"/>
    <col min="4367" max="4608" width="9" style="1651"/>
    <col min="4609" max="4609" width="4.3984375" style="1651" customWidth="1"/>
    <col min="4610" max="4610" width="20.59765625" style="1651" customWidth="1"/>
    <col min="4611" max="4611" width="4.5" style="1651" customWidth="1"/>
    <col min="4612" max="4612" width="4.8984375" style="1651" customWidth="1"/>
    <col min="4613" max="4620" width="7.8984375" style="1651" customWidth="1"/>
    <col min="4621" max="4621" width="8.59765625" style="1651" customWidth="1"/>
    <col min="4622" max="4622" width="15.09765625" style="1651" customWidth="1"/>
    <col min="4623" max="4864" width="9" style="1651"/>
    <col min="4865" max="4865" width="4.3984375" style="1651" customWidth="1"/>
    <col min="4866" max="4866" width="20.59765625" style="1651" customWidth="1"/>
    <col min="4867" max="4867" width="4.5" style="1651" customWidth="1"/>
    <col min="4868" max="4868" width="4.8984375" style="1651" customWidth="1"/>
    <col min="4869" max="4876" width="7.8984375" style="1651" customWidth="1"/>
    <col min="4877" max="4877" width="8.59765625" style="1651" customWidth="1"/>
    <col min="4878" max="4878" width="15.09765625" style="1651" customWidth="1"/>
    <col min="4879" max="5120" width="9" style="1651"/>
    <col min="5121" max="5121" width="4.3984375" style="1651" customWidth="1"/>
    <col min="5122" max="5122" width="20.59765625" style="1651" customWidth="1"/>
    <col min="5123" max="5123" width="4.5" style="1651" customWidth="1"/>
    <col min="5124" max="5124" width="4.8984375" style="1651" customWidth="1"/>
    <col min="5125" max="5132" width="7.8984375" style="1651" customWidth="1"/>
    <col min="5133" max="5133" width="8.59765625" style="1651" customWidth="1"/>
    <col min="5134" max="5134" width="15.09765625" style="1651" customWidth="1"/>
    <col min="5135" max="5376" width="9" style="1651"/>
    <col min="5377" max="5377" width="4.3984375" style="1651" customWidth="1"/>
    <col min="5378" max="5378" width="20.59765625" style="1651" customWidth="1"/>
    <col min="5379" max="5379" width="4.5" style="1651" customWidth="1"/>
    <col min="5380" max="5380" width="4.8984375" style="1651" customWidth="1"/>
    <col min="5381" max="5388" width="7.8984375" style="1651" customWidth="1"/>
    <col min="5389" max="5389" width="8.59765625" style="1651" customWidth="1"/>
    <col min="5390" max="5390" width="15.09765625" style="1651" customWidth="1"/>
    <col min="5391" max="5632" width="9" style="1651"/>
    <col min="5633" max="5633" width="4.3984375" style="1651" customWidth="1"/>
    <col min="5634" max="5634" width="20.59765625" style="1651" customWidth="1"/>
    <col min="5635" max="5635" width="4.5" style="1651" customWidth="1"/>
    <col min="5636" max="5636" width="4.8984375" style="1651" customWidth="1"/>
    <col min="5637" max="5644" width="7.8984375" style="1651" customWidth="1"/>
    <col min="5645" max="5645" width="8.59765625" style="1651" customWidth="1"/>
    <col min="5646" max="5646" width="15.09765625" style="1651" customWidth="1"/>
    <col min="5647" max="5888" width="9" style="1651"/>
    <col min="5889" max="5889" width="4.3984375" style="1651" customWidth="1"/>
    <col min="5890" max="5890" width="20.59765625" style="1651" customWidth="1"/>
    <col min="5891" max="5891" width="4.5" style="1651" customWidth="1"/>
    <col min="5892" max="5892" width="4.8984375" style="1651" customWidth="1"/>
    <col min="5893" max="5900" width="7.8984375" style="1651" customWidth="1"/>
    <col min="5901" max="5901" width="8.59765625" style="1651" customWidth="1"/>
    <col min="5902" max="5902" width="15.09765625" style="1651" customWidth="1"/>
    <col min="5903" max="6144" width="9" style="1651"/>
    <col min="6145" max="6145" width="4.3984375" style="1651" customWidth="1"/>
    <col min="6146" max="6146" width="20.59765625" style="1651" customWidth="1"/>
    <col min="6147" max="6147" width="4.5" style="1651" customWidth="1"/>
    <col min="6148" max="6148" width="4.8984375" style="1651" customWidth="1"/>
    <col min="6149" max="6156" width="7.8984375" style="1651" customWidth="1"/>
    <col min="6157" max="6157" width="8.59765625" style="1651" customWidth="1"/>
    <col min="6158" max="6158" width="15.09765625" style="1651" customWidth="1"/>
    <col min="6159" max="6400" width="9" style="1651"/>
    <col min="6401" max="6401" width="4.3984375" style="1651" customWidth="1"/>
    <col min="6402" max="6402" width="20.59765625" style="1651" customWidth="1"/>
    <col min="6403" max="6403" width="4.5" style="1651" customWidth="1"/>
    <col min="6404" max="6404" width="4.8984375" style="1651" customWidth="1"/>
    <col min="6405" max="6412" width="7.8984375" style="1651" customWidth="1"/>
    <col min="6413" max="6413" width="8.59765625" style="1651" customWidth="1"/>
    <col min="6414" max="6414" width="15.09765625" style="1651" customWidth="1"/>
    <col min="6415" max="6656" width="9" style="1651"/>
    <col min="6657" max="6657" width="4.3984375" style="1651" customWidth="1"/>
    <col min="6658" max="6658" width="20.59765625" style="1651" customWidth="1"/>
    <col min="6659" max="6659" width="4.5" style="1651" customWidth="1"/>
    <col min="6660" max="6660" width="4.8984375" style="1651" customWidth="1"/>
    <col min="6661" max="6668" width="7.8984375" style="1651" customWidth="1"/>
    <col min="6669" max="6669" width="8.59765625" style="1651" customWidth="1"/>
    <col min="6670" max="6670" width="15.09765625" style="1651" customWidth="1"/>
    <col min="6671" max="6912" width="9" style="1651"/>
    <col min="6913" max="6913" width="4.3984375" style="1651" customWidth="1"/>
    <col min="6914" max="6914" width="20.59765625" style="1651" customWidth="1"/>
    <col min="6915" max="6915" width="4.5" style="1651" customWidth="1"/>
    <col min="6916" max="6916" width="4.8984375" style="1651" customWidth="1"/>
    <col min="6917" max="6924" width="7.8984375" style="1651" customWidth="1"/>
    <col min="6925" max="6925" width="8.59765625" style="1651" customWidth="1"/>
    <col min="6926" max="6926" width="15.09765625" style="1651" customWidth="1"/>
    <col min="6927" max="7168" width="9" style="1651"/>
    <col min="7169" max="7169" width="4.3984375" style="1651" customWidth="1"/>
    <col min="7170" max="7170" width="20.59765625" style="1651" customWidth="1"/>
    <col min="7171" max="7171" width="4.5" style="1651" customWidth="1"/>
    <col min="7172" max="7172" width="4.8984375" style="1651" customWidth="1"/>
    <col min="7173" max="7180" width="7.8984375" style="1651" customWidth="1"/>
    <col min="7181" max="7181" width="8.59765625" style="1651" customWidth="1"/>
    <col min="7182" max="7182" width="15.09765625" style="1651" customWidth="1"/>
    <col min="7183" max="7424" width="9" style="1651"/>
    <col min="7425" max="7425" width="4.3984375" style="1651" customWidth="1"/>
    <col min="7426" max="7426" width="20.59765625" style="1651" customWidth="1"/>
    <col min="7427" max="7427" width="4.5" style="1651" customWidth="1"/>
    <col min="7428" max="7428" width="4.8984375" style="1651" customWidth="1"/>
    <col min="7429" max="7436" width="7.8984375" style="1651" customWidth="1"/>
    <col min="7437" max="7437" width="8.59765625" style="1651" customWidth="1"/>
    <col min="7438" max="7438" width="15.09765625" style="1651" customWidth="1"/>
    <col min="7439" max="7680" width="9" style="1651"/>
    <col min="7681" max="7681" width="4.3984375" style="1651" customWidth="1"/>
    <col min="7682" max="7682" width="20.59765625" style="1651" customWidth="1"/>
    <col min="7683" max="7683" width="4.5" style="1651" customWidth="1"/>
    <col min="7684" max="7684" width="4.8984375" style="1651" customWidth="1"/>
    <col min="7685" max="7692" width="7.8984375" style="1651" customWidth="1"/>
    <col min="7693" max="7693" width="8.59765625" style="1651" customWidth="1"/>
    <col min="7694" max="7694" width="15.09765625" style="1651" customWidth="1"/>
    <col min="7695" max="7936" width="9" style="1651"/>
    <col min="7937" max="7937" width="4.3984375" style="1651" customWidth="1"/>
    <col min="7938" max="7938" width="20.59765625" style="1651" customWidth="1"/>
    <col min="7939" max="7939" width="4.5" style="1651" customWidth="1"/>
    <col min="7940" max="7940" width="4.8984375" style="1651" customWidth="1"/>
    <col min="7941" max="7948" width="7.8984375" style="1651" customWidth="1"/>
    <col min="7949" max="7949" width="8.59765625" style="1651" customWidth="1"/>
    <col min="7950" max="7950" width="15.09765625" style="1651" customWidth="1"/>
    <col min="7951" max="8192" width="9" style="1651"/>
    <col min="8193" max="8193" width="4.3984375" style="1651" customWidth="1"/>
    <col min="8194" max="8194" width="20.59765625" style="1651" customWidth="1"/>
    <col min="8195" max="8195" width="4.5" style="1651" customWidth="1"/>
    <col min="8196" max="8196" width="4.8984375" style="1651" customWidth="1"/>
    <col min="8197" max="8204" width="7.8984375" style="1651" customWidth="1"/>
    <col min="8205" max="8205" width="8.59765625" style="1651" customWidth="1"/>
    <col min="8206" max="8206" width="15.09765625" style="1651" customWidth="1"/>
    <col min="8207" max="8448" width="9" style="1651"/>
    <col min="8449" max="8449" width="4.3984375" style="1651" customWidth="1"/>
    <col min="8450" max="8450" width="20.59765625" style="1651" customWidth="1"/>
    <col min="8451" max="8451" width="4.5" style="1651" customWidth="1"/>
    <col min="8452" max="8452" width="4.8984375" style="1651" customWidth="1"/>
    <col min="8453" max="8460" width="7.8984375" style="1651" customWidth="1"/>
    <col min="8461" max="8461" width="8.59765625" style="1651" customWidth="1"/>
    <col min="8462" max="8462" width="15.09765625" style="1651" customWidth="1"/>
    <col min="8463" max="8704" width="9" style="1651"/>
    <col min="8705" max="8705" width="4.3984375" style="1651" customWidth="1"/>
    <col min="8706" max="8706" width="20.59765625" style="1651" customWidth="1"/>
    <col min="8707" max="8707" width="4.5" style="1651" customWidth="1"/>
    <col min="8708" max="8708" width="4.8984375" style="1651" customWidth="1"/>
    <col min="8709" max="8716" width="7.8984375" style="1651" customWidth="1"/>
    <col min="8717" max="8717" width="8.59765625" style="1651" customWidth="1"/>
    <col min="8718" max="8718" width="15.09765625" style="1651" customWidth="1"/>
    <col min="8719" max="8960" width="9" style="1651"/>
    <col min="8961" max="8961" width="4.3984375" style="1651" customWidth="1"/>
    <col min="8962" max="8962" width="20.59765625" style="1651" customWidth="1"/>
    <col min="8963" max="8963" width="4.5" style="1651" customWidth="1"/>
    <col min="8964" max="8964" width="4.8984375" style="1651" customWidth="1"/>
    <col min="8965" max="8972" width="7.8984375" style="1651" customWidth="1"/>
    <col min="8973" max="8973" width="8.59765625" style="1651" customWidth="1"/>
    <col min="8974" max="8974" width="15.09765625" style="1651" customWidth="1"/>
    <col min="8975" max="9216" width="9" style="1651"/>
    <col min="9217" max="9217" width="4.3984375" style="1651" customWidth="1"/>
    <col min="9218" max="9218" width="20.59765625" style="1651" customWidth="1"/>
    <col min="9219" max="9219" width="4.5" style="1651" customWidth="1"/>
    <col min="9220" max="9220" width="4.8984375" style="1651" customWidth="1"/>
    <col min="9221" max="9228" width="7.8984375" style="1651" customWidth="1"/>
    <col min="9229" max="9229" width="8.59765625" style="1651" customWidth="1"/>
    <col min="9230" max="9230" width="15.09765625" style="1651" customWidth="1"/>
    <col min="9231" max="9472" width="9" style="1651"/>
    <col min="9473" max="9473" width="4.3984375" style="1651" customWidth="1"/>
    <col min="9474" max="9474" width="20.59765625" style="1651" customWidth="1"/>
    <col min="9475" max="9475" width="4.5" style="1651" customWidth="1"/>
    <col min="9476" max="9476" width="4.8984375" style="1651" customWidth="1"/>
    <col min="9477" max="9484" width="7.8984375" style="1651" customWidth="1"/>
    <col min="9485" max="9485" width="8.59765625" style="1651" customWidth="1"/>
    <col min="9486" max="9486" width="15.09765625" style="1651" customWidth="1"/>
    <col min="9487" max="9728" width="9" style="1651"/>
    <col min="9729" max="9729" width="4.3984375" style="1651" customWidth="1"/>
    <col min="9730" max="9730" width="20.59765625" style="1651" customWidth="1"/>
    <col min="9731" max="9731" width="4.5" style="1651" customWidth="1"/>
    <col min="9732" max="9732" width="4.8984375" style="1651" customWidth="1"/>
    <col min="9733" max="9740" width="7.8984375" style="1651" customWidth="1"/>
    <col min="9741" max="9741" width="8.59765625" style="1651" customWidth="1"/>
    <col min="9742" max="9742" width="15.09765625" style="1651" customWidth="1"/>
    <col min="9743" max="9984" width="9" style="1651"/>
    <col min="9985" max="9985" width="4.3984375" style="1651" customWidth="1"/>
    <col min="9986" max="9986" width="20.59765625" style="1651" customWidth="1"/>
    <col min="9987" max="9987" width="4.5" style="1651" customWidth="1"/>
    <col min="9988" max="9988" width="4.8984375" style="1651" customWidth="1"/>
    <col min="9989" max="9996" width="7.8984375" style="1651" customWidth="1"/>
    <col min="9997" max="9997" width="8.59765625" style="1651" customWidth="1"/>
    <col min="9998" max="9998" width="15.09765625" style="1651" customWidth="1"/>
    <col min="9999" max="10240" width="9" style="1651"/>
    <col min="10241" max="10241" width="4.3984375" style="1651" customWidth="1"/>
    <col min="10242" max="10242" width="20.59765625" style="1651" customWidth="1"/>
    <col min="10243" max="10243" width="4.5" style="1651" customWidth="1"/>
    <col min="10244" max="10244" width="4.8984375" style="1651" customWidth="1"/>
    <col min="10245" max="10252" width="7.8984375" style="1651" customWidth="1"/>
    <col min="10253" max="10253" width="8.59765625" style="1651" customWidth="1"/>
    <col min="10254" max="10254" width="15.09765625" style="1651" customWidth="1"/>
    <col min="10255" max="10496" width="9" style="1651"/>
    <col min="10497" max="10497" width="4.3984375" style="1651" customWidth="1"/>
    <col min="10498" max="10498" width="20.59765625" style="1651" customWidth="1"/>
    <col min="10499" max="10499" width="4.5" style="1651" customWidth="1"/>
    <col min="10500" max="10500" width="4.8984375" style="1651" customWidth="1"/>
    <col min="10501" max="10508" width="7.8984375" style="1651" customWidth="1"/>
    <col min="10509" max="10509" width="8.59765625" style="1651" customWidth="1"/>
    <col min="10510" max="10510" width="15.09765625" style="1651" customWidth="1"/>
    <col min="10511" max="10752" width="9" style="1651"/>
    <col min="10753" max="10753" width="4.3984375" style="1651" customWidth="1"/>
    <col min="10754" max="10754" width="20.59765625" style="1651" customWidth="1"/>
    <col min="10755" max="10755" width="4.5" style="1651" customWidth="1"/>
    <col min="10756" max="10756" width="4.8984375" style="1651" customWidth="1"/>
    <col min="10757" max="10764" width="7.8984375" style="1651" customWidth="1"/>
    <col min="10765" max="10765" width="8.59765625" style="1651" customWidth="1"/>
    <col min="10766" max="10766" width="15.09765625" style="1651" customWidth="1"/>
    <col min="10767" max="11008" width="9" style="1651"/>
    <col min="11009" max="11009" width="4.3984375" style="1651" customWidth="1"/>
    <col min="11010" max="11010" width="20.59765625" style="1651" customWidth="1"/>
    <col min="11011" max="11011" width="4.5" style="1651" customWidth="1"/>
    <col min="11012" max="11012" width="4.8984375" style="1651" customWidth="1"/>
    <col min="11013" max="11020" width="7.8984375" style="1651" customWidth="1"/>
    <col min="11021" max="11021" width="8.59765625" style="1651" customWidth="1"/>
    <col min="11022" max="11022" width="15.09765625" style="1651" customWidth="1"/>
    <col min="11023" max="11264" width="9" style="1651"/>
    <col min="11265" max="11265" width="4.3984375" style="1651" customWidth="1"/>
    <col min="11266" max="11266" width="20.59765625" style="1651" customWidth="1"/>
    <col min="11267" max="11267" width="4.5" style="1651" customWidth="1"/>
    <col min="11268" max="11268" width="4.8984375" style="1651" customWidth="1"/>
    <col min="11269" max="11276" width="7.8984375" style="1651" customWidth="1"/>
    <col min="11277" max="11277" width="8.59765625" style="1651" customWidth="1"/>
    <col min="11278" max="11278" width="15.09765625" style="1651" customWidth="1"/>
    <col min="11279" max="11520" width="9" style="1651"/>
    <col min="11521" max="11521" width="4.3984375" style="1651" customWidth="1"/>
    <col min="11522" max="11522" width="20.59765625" style="1651" customWidth="1"/>
    <col min="11523" max="11523" width="4.5" style="1651" customWidth="1"/>
    <col min="11524" max="11524" width="4.8984375" style="1651" customWidth="1"/>
    <col min="11525" max="11532" width="7.8984375" style="1651" customWidth="1"/>
    <col min="11533" max="11533" width="8.59765625" style="1651" customWidth="1"/>
    <col min="11534" max="11534" width="15.09765625" style="1651" customWidth="1"/>
    <col min="11535" max="11776" width="9" style="1651"/>
    <col min="11777" max="11777" width="4.3984375" style="1651" customWidth="1"/>
    <col min="11778" max="11778" width="20.59765625" style="1651" customWidth="1"/>
    <col min="11779" max="11779" width="4.5" style="1651" customWidth="1"/>
    <col min="11780" max="11780" width="4.8984375" style="1651" customWidth="1"/>
    <col min="11781" max="11788" width="7.8984375" style="1651" customWidth="1"/>
    <col min="11789" max="11789" width="8.59765625" style="1651" customWidth="1"/>
    <col min="11790" max="11790" width="15.09765625" style="1651" customWidth="1"/>
    <col min="11791" max="12032" width="9" style="1651"/>
    <col min="12033" max="12033" width="4.3984375" style="1651" customWidth="1"/>
    <col min="12034" max="12034" width="20.59765625" style="1651" customWidth="1"/>
    <col min="12035" max="12035" width="4.5" style="1651" customWidth="1"/>
    <col min="12036" max="12036" width="4.8984375" style="1651" customWidth="1"/>
    <col min="12037" max="12044" width="7.8984375" style="1651" customWidth="1"/>
    <col min="12045" max="12045" width="8.59765625" style="1651" customWidth="1"/>
    <col min="12046" max="12046" width="15.09765625" style="1651" customWidth="1"/>
    <col min="12047" max="12288" width="9" style="1651"/>
    <col min="12289" max="12289" width="4.3984375" style="1651" customWidth="1"/>
    <col min="12290" max="12290" width="20.59765625" style="1651" customWidth="1"/>
    <col min="12291" max="12291" width="4.5" style="1651" customWidth="1"/>
    <col min="12292" max="12292" width="4.8984375" style="1651" customWidth="1"/>
    <col min="12293" max="12300" width="7.8984375" style="1651" customWidth="1"/>
    <col min="12301" max="12301" width="8.59765625" style="1651" customWidth="1"/>
    <col min="12302" max="12302" width="15.09765625" style="1651" customWidth="1"/>
    <col min="12303" max="12544" width="9" style="1651"/>
    <col min="12545" max="12545" width="4.3984375" style="1651" customWidth="1"/>
    <col min="12546" max="12546" width="20.59765625" style="1651" customWidth="1"/>
    <col min="12547" max="12547" width="4.5" style="1651" customWidth="1"/>
    <col min="12548" max="12548" width="4.8984375" style="1651" customWidth="1"/>
    <col min="12549" max="12556" width="7.8984375" style="1651" customWidth="1"/>
    <col min="12557" max="12557" width="8.59765625" style="1651" customWidth="1"/>
    <col min="12558" max="12558" width="15.09765625" style="1651" customWidth="1"/>
    <col min="12559" max="12800" width="9" style="1651"/>
    <col min="12801" max="12801" width="4.3984375" style="1651" customWidth="1"/>
    <col min="12802" max="12802" width="20.59765625" style="1651" customWidth="1"/>
    <col min="12803" max="12803" width="4.5" style="1651" customWidth="1"/>
    <col min="12804" max="12804" width="4.8984375" style="1651" customWidth="1"/>
    <col min="12805" max="12812" width="7.8984375" style="1651" customWidth="1"/>
    <col min="12813" max="12813" width="8.59765625" style="1651" customWidth="1"/>
    <col min="12814" max="12814" width="15.09765625" style="1651" customWidth="1"/>
    <col min="12815" max="13056" width="9" style="1651"/>
    <col min="13057" max="13057" width="4.3984375" style="1651" customWidth="1"/>
    <col min="13058" max="13058" width="20.59765625" style="1651" customWidth="1"/>
    <col min="13059" max="13059" width="4.5" style="1651" customWidth="1"/>
    <col min="13060" max="13060" width="4.8984375" style="1651" customWidth="1"/>
    <col min="13061" max="13068" width="7.8984375" style="1651" customWidth="1"/>
    <col min="13069" max="13069" width="8.59765625" style="1651" customWidth="1"/>
    <col min="13070" max="13070" width="15.09765625" style="1651" customWidth="1"/>
    <col min="13071" max="13312" width="9" style="1651"/>
    <col min="13313" max="13313" width="4.3984375" style="1651" customWidth="1"/>
    <col min="13314" max="13314" width="20.59765625" style="1651" customWidth="1"/>
    <col min="13315" max="13315" width="4.5" style="1651" customWidth="1"/>
    <col min="13316" max="13316" width="4.8984375" style="1651" customWidth="1"/>
    <col min="13317" max="13324" width="7.8984375" style="1651" customWidth="1"/>
    <col min="13325" max="13325" width="8.59765625" style="1651" customWidth="1"/>
    <col min="13326" max="13326" width="15.09765625" style="1651" customWidth="1"/>
    <col min="13327" max="13568" width="9" style="1651"/>
    <col min="13569" max="13569" width="4.3984375" style="1651" customWidth="1"/>
    <col min="13570" max="13570" width="20.59765625" style="1651" customWidth="1"/>
    <col min="13571" max="13571" width="4.5" style="1651" customWidth="1"/>
    <col min="13572" max="13572" width="4.8984375" style="1651" customWidth="1"/>
    <col min="13573" max="13580" width="7.8984375" style="1651" customWidth="1"/>
    <col min="13581" max="13581" width="8.59765625" style="1651" customWidth="1"/>
    <col min="13582" max="13582" width="15.09765625" style="1651" customWidth="1"/>
    <col min="13583" max="13824" width="9" style="1651"/>
    <col min="13825" max="13825" width="4.3984375" style="1651" customWidth="1"/>
    <col min="13826" max="13826" width="20.59765625" style="1651" customWidth="1"/>
    <col min="13827" max="13827" width="4.5" style="1651" customWidth="1"/>
    <col min="13828" max="13828" width="4.8984375" style="1651" customWidth="1"/>
    <col min="13829" max="13836" width="7.8984375" style="1651" customWidth="1"/>
    <col min="13837" max="13837" width="8.59765625" style="1651" customWidth="1"/>
    <col min="13838" max="13838" width="15.09765625" style="1651" customWidth="1"/>
    <col min="13839" max="14080" width="9" style="1651"/>
    <col min="14081" max="14081" width="4.3984375" style="1651" customWidth="1"/>
    <col min="14082" max="14082" width="20.59765625" style="1651" customWidth="1"/>
    <col min="14083" max="14083" width="4.5" style="1651" customWidth="1"/>
    <col min="14084" max="14084" width="4.8984375" style="1651" customWidth="1"/>
    <col min="14085" max="14092" width="7.8984375" style="1651" customWidth="1"/>
    <col min="14093" max="14093" width="8.59765625" style="1651" customWidth="1"/>
    <col min="14094" max="14094" width="15.09765625" style="1651" customWidth="1"/>
    <col min="14095" max="14336" width="9" style="1651"/>
    <col min="14337" max="14337" width="4.3984375" style="1651" customWidth="1"/>
    <col min="14338" max="14338" width="20.59765625" style="1651" customWidth="1"/>
    <col min="14339" max="14339" width="4.5" style="1651" customWidth="1"/>
    <col min="14340" max="14340" width="4.8984375" style="1651" customWidth="1"/>
    <col min="14341" max="14348" width="7.8984375" style="1651" customWidth="1"/>
    <col min="14349" max="14349" width="8.59765625" style="1651" customWidth="1"/>
    <col min="14350" max="14350" width="15.09765625" style="1651" customWidth="1"/>
    <col min="14351" max="14592" width="9" style="1651"/>
    <col min="14593" max="14593" width="4.3984375" style="1651" customWidth="1"/>
    <col min="14594" max="14594" width="20.59765625" style="1651" customWidth="1"/>
    <col min="14595" max="14595" width="4.5" style="1651" customWidth="1"/>
    <col min="14596" max="14596" width="4.8984375" style="1651" customWidth="1"/>
    <col min="14597" max="14604" width="7.8984375" style="1651" customWidth="1"/>
    <col min="14605" max="14605" width="8.59765625" style="1651" customWidth="1"/>
    <col min="14606" max="14606" width="15.09765625" style="1651" customWidth="1"/>
    <col min="14607" max="14848" width="9" style="1651"/>
    <col min="14849" max="14849" width="4.3984375" style="1651" customWidth="1"/>
    <col min="14850" max="14850" width="20.59765625" style="1651" customWidth="1"/>
    <col min="14851" max="14851" width="4.5" style="1651" customWidth="1"/>
    <col min="14852" max="14852" width="4.8984375" style="1651" customWidth="1"/>
    <col min="14853" max="14860" width="7.8984375" style="1651" customWidth="1"/>
    <col min="14861" max="14861" width="8.59765625" style="1651" customWidth="1"/>
    <col min="14862" max="14862" width="15.09765625" style="1651" customWidth="1"/>
    <col min="14863" max="15104" width="9" style="1651"/>
    <col min="15105" max="15105" width="4.3984375" style="1651" customWidth="1"/>
    <col min="15106" max="15106" width="20.59765625" style="1651" customWidth="1"/>
    <col min="15107" max="15107" width="4.5" style="1651" customWidth="1"/>
    <col min="15108" max="15108" width="4.8984375" style="1651" customWidth="1"/>
    <col min="15109" max="15116" width="7.8984375" style="1651" customWidth="1"/>
    <col min="15117" max="15117" width="8.59765625" style="1651" customWidth="1"/>
    <col min="15118" max="15118" width="15.09765625" style="1651" customWidth="1"/>
    <col min="15119" max="15360" width="9" style="1651"/>
    <col min="15361" max="15361" width="4.3984375" style="1651" customWidth="1"/>
    <col min="15362" max="15362" width="20.59765625" style="1651" customWidth="1"/>
    <col min="15363" max="15363" width="4.5" style="1651" customWidth="1"/>
    <col min="15364" max="15364" width="4.8984375" style="1651" customWidth="1"/>
    <col min="15365" max="15372" width="7.8984375" style="1651" customWidth="1"/>
    <col min="15373" max="15373" width="8.59765625" style="1651" customWidth="1"/>
    <col min="15374" max="15374" width="15.09765625" style="1651" customWidth="1"/>
    <col min="15375" max="15616" width="9" style="1651"/>
    <col min="15617" max="15617" width="4.3984375" style="1651" customWidth="1"/>
    <col min="15618" max="15618" width="20.59765625" style="1651" customWidth="1"/>
    <col min="15619" max="15619" width="4.5" style="1651" customWidth="1"/>
    <col min="15620" max="15620" width="4.8984375" style="1651" customWidth="1"/>
    <col min="15621" max="15628" width="7.8984375" style="1651" customWidth="1"/>
    <col min="15629" max="15629" width="8.59765625" style="1651" customWidth="1"/>
    <col min="15630" max="15630" width="15.09765625" style="1651" customWidth="1"/>
    <col min="15631" max="15872" width="9" style="1651"/>
    <col min="15873" max="15873" width="4.3984375" style="1651" customWidth="1"/>
    <col min="15874" max="15874" width="20.59765625" style="1651" customWidth="1"/>
    <col min="15875" max="15875" width="4.5" style="1651" customWidth="1"/>
    <col min="15876" max="15876" width="4.8984375" style="1651" customWidth="1"/>
    <col min="15877" max="15884" width="7.8984375" style="1651" customWidth="1"/>
    <col min="15885" max="15885" width="8.59765625" style="1651" customWidth="1"/>
    <col min="15886" max="15886" width="15.09765625" style="1651" customWidth="1"/>
    <col min="15887" max="16128" width="9" style="1651"/>
    <col min="16129" max="16129" width="4.3984375" style="1651" customWidth="1"/>
    <col min="16130" max="16130" width="20.59765625" style="1651" customWidth="1"/>
    <col min="16131" max="16131" width="4.5" style="1651" customWidth="1"/>
    <col min="16132" max="16132" width="4.8984375" style="1651" customWidth="1"/>
    <col min="16133" max="16140" width="7.8984375" style="1651" customWidth="1"/>
    <col min="16141" max="16141" width="8.59765625" style="1651" customWidth="1"/>
    <col min="16142" max="16142" width="15.09765625" style="1651" customWidth="1"/>
    <col min="16143" max="16384" width="9" style="1651"/>
  </cols>
  <sheetData>
    <row r="1" spans="1:15" ht="20.100000000000001" customHeight="1">
      <c r="A1" s="3378"/>
      <c r="B1" s="3378"/>
      <c r="C1" s="3378"/>
      <c r="D1" s="3378"/>
      <c r="E1" s="3378"/>
      <c r="F1" s="3378"/>
      <c r="G1" s="3378"/>
      <c r="H1" s="3378"/>
      <c r="I1" s="3378"/>
      <c r="J1" s="3378"/>
      <c r="K1" s="3378"/>
      <c r="L1" s="3378"/>
      <c r="M1" s="3378"/>
      <c r="N1" s="2072" t="str">
        <f>"索引号："&amp;档案索引!A37</f>
        <v>索引号：2A-17</v>
      </c>
    </row>
    <row r="2" spans="1:15" ht="25.5" customHeight="1">
      <c r="A2" s="3379" t="s">
        <v>5927</v>
      </c>
      <c r="B2" s="3379"/>
      <c r="C2" s="3379"/>
      <c r="D2" s="3379"/>
      <c r="E2" s="3379"/>
      <c r="F2" s="3379"/>
      <c r="G2" s="3379"/>
      <c r="H2" s="3379"/>
      <c r="I2" s="3379"/>
      <c r="J2" s="3379"/>
      <c r="K2" s="3379"/>
      <c r="L2" s="3379"/>
      <c r="M2" s="3386"/>
      <c r="N2" s="1823"/>
    </row>
    <row r="3" spans="1:15" ht="14.25" customHeight="1">
      <c r="A3" s="3385" t="s">
        <v>1854</v>
      </c>
      <c r="B3" s="3383" t="s">
        <v>5081</v>
      </c>
      <c r="C3" s="3388" t="s">
        <v>5210</v>
      </c>
      <c r="D3" s="3389"/>
      <c r="E3" s="3390"/>
      <c r="F3" s="3388" t="s">
        <v>5211</v>
      </c>
      <c r="G3" s="3389"/>
      <c r="H3" s="3389"/>
      <c r="I3" s="3389"/>
      <c r="J3" s="3389"/>
      <c r="K3" s="3389"/>
      <c r="L3" s="3390"/>
      <c r="M3" s="3385" t="s">
        <v>5152</v>
      </c>
      <c r="N3" s="3385" t="s">
        <v>5153</v>
      </c>
    </row>
    <row r="4" spans="1:15" ht="39.75" customHeight="1">
      <c r="A4" s="3385"/>
      <c r="B4" s="3387"/>
      <c r="C4" s="1816" t="s">
        <v>1851</v>
      </c>
      <c r="D4" s="1816" t="s">
        <v>1852</v>
      </c>
      <c r="E4" s="1816" t="s">
        <v>5152</v>
      </c>
      <c r="F4" s="1816" t="s">
        <v>5212</v>
      </c>
      <c r="G4" s="1816" t="s">
        <v>5213</v>
      </c>
      <c r="H4" s="1816" t="s">
        <v>5214</v>
      </c>
      <c r="I4" s="1816" t="s">
        <v>5215</v>
      </c>
      <c r="J4" s="1816" t="s">
        <v>5216</v>
      </c>
      <c r="K4" s="1816" t="s">
        <v>5217</v>
      </c>
      <c r="L4" s="1816" t="s">
        <v>5152</v>
      </c>
      <c r="M4" s="3385"/>
      <c r="N4" s="3385"/>
    </row>
    <row r="5" spans="1:15" ht="14.25" customHeight="1">
      <c r="A5" s="3385"/>
      <c r="B5" s="3387"/>
      <c r="C5" s="1814">
        <v>1</v>
      </c>
      <c r="D5" s="1814">
        <v>2</v>
      </c>
      <c r="E5" s="1814" t="s">
        <v>5218</v>
      </c>
      <c r="F5" s="1814">
        <v>4</v>
      </c>
      <c r="G5" s="1814">
        <v>5</v>
      </c>
      <c r="H5" s="1814">
        <v>6</v>
      </c>
      <c r="I5" s="1814">
        <v>7</v>
      </c>
      <c r="J5" s="1816" t="s">
        <v>5219</v>
      </c>
      <c r="K5" s="1816" t="s">
        <v>5220</v>
      </c>
      <c r="L5" s="1816" t="s">
        <v>5221</v>
      </c>
      <c r="M5" s="1814" t="s">
        <v>5222</v>
      </c>
      <c r="N5" s="1970"/>
    </row>
    <row r="6" spans="1:15" ht="14.25" customHeight="1">
      <c r="A6" s="1810">
        <v>1</v>
      </c>
      <c r="B6" s="1819" t="s">
        <v>5223</v>
      </c>
      <c r="C6" s="2078"/>
      <c r="D6" s="2078"/>
      <c r="E6" s="2077">
        <f>D6-C6</f>
        <v>0</v>
      </c>
      <c r="F6" s="2078"/>
      <c r="G6" s="2078"/>
      <c r="H6" s="2078"/>
      <c r="I6" s="2078"/>
      <c r="J6" s="2077">
        <f>F6-H6</f>
        <v>0</v>
      </c>
      <c r="K6" s="2077">
        <f>G6-I6</f>
        <v>0</v>
      </c>
      <c r="L6" s="2077">
        <f>K6-J6</f>
        <v>0</v>
      </c>
      <c r="M6" s="2077">
        <f>E6+L6</f>
        <v>0</v>
      </c>
      <c r="N6" s="1970"/>
    </row>
    <row r="7" spans="1:15" ht="14.25" customHeight="1">
      <c r="A7" s="1810">
        <v>2</v>
      </c>
      <c r="B7" s="1820" t="s">
        <v>5224</v>
      </c>
      <c r="C7" s="2078"/>
      <c r="D7" s="2078"/>
      <c r="E7" s="2077">
        <f t="shared" ref="E7:E14" si="0">D7-C7</f>
        <v>0</v>
      </c>
      <c r="F7" s="2078"/>
      <c r="G7" s="2078"/>
      <c r="H7" s="2078"/>
      <c r="I7" s="2078"/>
      <c r="J7" s="2077">
        <f t="shared" ref="J7:J14" si="1">F7-H7</f>
        <v>0</v>
      </c>
      <c r="K7" s="2077">
        <f t="shared" ref="K7:K14" si="2">G7-I7</f>
        <v>0</v>
      </c>
      <c r="L7" s="2077">
        <f t="shared" ref="L7:L14" si="3">K7-J7</f>
        <v>0</v>
      </c>
      <c r="M7" s="2077">
        <f t="shared" ref="M7:M14" si="4">E7+L7</f>
        <v>0</v>
      </c>
      <c r="N7" s="1970"/>
    </row>
    <row r="8" spans="1:15" ht="14.25" customHeight="1">
      <c r="A8" s="1810">
        <v>3</v>
      </c>
      <c r="B8" s="1821" t="s">
        <v>5225</v>
      </c>
      <c r="C8" s="2078"/>
      <c r="D8" s="2078"/>
      <c r="E8" s="2077">
        <f t="shared" si="0"/>
        <v>0</v>
      </c>
      <c r="F8" s="2078"/>
      <c r="G8" s="2078"/>
      <c r="H8" s="2078"/>
      <c r="I8" s="2078"/>
      <c r="J8" s="2077">
        <f t="shared" si="1"/>
        <v>0</v>
      </c>
      <c r="K8" s="2077">
        <f t="shared" si="2"/>
        <v>0</v>
      </c>
      <c r="L8" s="2077">
        <f t="shared" si="3"/>
        <v>0</v>
      </c>
      <c r="M8" s="2077">
        <f t="shared" si="4"/>
        <v>0</v>
      </c>
      <c r="N8" s="1970"/>
      <c r="O8" s="1675" t="s">
        <v>5989</v>
      </c>
    </row>
    <row r="9" spans="1:15" ht="14.25" customHeight="1">
      <c r="A9" s="1810">
        <v>4</v>
      </c>
      <c r="B9" s="1820" t="s">
        <v>5226</v>
      </c>
      <c r="C9" s="2078"/>
      <c r="D9" s="2078"/>
      <c r="E9" s="2077">
        <f t="shared" si="0"/>
        <v>0</v>
      </c>
      <c r="F9" s="2078"/>
      <c r="G9" s="2078"/>
      <c r="H9" s="2078"/>
      <c r="I9" s="2078"/>
      <c r="J9" s="2077">
        <f t="shared" si="1"/>
        <v>0</v>
      </c>
      <c r="K9" s="2077">
        <f t="shared" si="2"/>
        <v>0</v>
      </c>
      <c r="L9" s="2077">
        <f t="shared" si="3"/>
        <v>0</v>
      </c>
      <c r="M9" s="2077">
        <f t="shared" si="4"/>
        <v>0</v>
      </c>
      <c r="N9" s="1970"/>
    </row>
    <row r="10" spans="1:15" ht="14.25" customHeight="1">
      <c r="A10" s="1810">
        <v>5</v>
      </c>
      <c r="B10" s="1820" t="s">
        <v>5227</v>
      </c>
      <c r="C10" s="2078"/>
      <c r="D10" s="2078"/>
      <c r="E10" s="2077">
        <f t="shared" si="0"/>
        <v>0</v>
      </c>
      <c r="F10" s="2078"/>
      <c r="G10" s="2078"/>
      <c r="H10" s="2078"/>
      <c r="I10" s="2078"/>
      <c r="J10" s="2077">
        <f t="shared" si="1"/>
        <v>0</v>
      </c>
      <c r="K10" s="2077">
        <f t="shared" si="2"/>
        <v>0</v>
      </c>
      <c r="L10" s="2077">
        <f t="shared" si="3"/>
        <v>0</v>
      </c>
      <c r="M10" s="2077">
        <f t="shared" si="4"/>
        <v>0</v>
      </c>
      <c r="N10" s="1970"/>
      <c r="O10" s="1675" t="s">
        <v>6439</v>
      </c>
    </row>
    <row r="11" spans="1:15" ht="14.25" customHeight="1">
      <c r="A11" s="1810">
        <v>6</v>
      </c>
      <c r="B11" s="1821" t="s">
        <v>5228</v>
      </c>
      <c r="C11" s="2078"/>
      <c r="D11" s="2078"/>
      <c r="E11" s="2077">
        <f t="shared" si="0"/>
        <v>0</v>
      </c>
      <c r="F11" s="2078"/>
      <c r="G11" s="2078"/>
      <c r="H11" s="2078"/>
      <c r="I11" s="2078"/>
      <c r="J11" s="2077">
        <f t="shared" si="1"/>
        <v>0</v>
      </c>
      <c r="K11" s="2077">
        <f t="shared" si="2"/>
        <v>0</v>
      </c>
      <c r="L11" s="2077">
        <f t="shared" si="3"/>
        <v>0</v>
      </c>
      <c r="M11" s="2077">
        <f t="shared" si="4"/>
        <v>0</v>
      </c>
      <c r="N11" s="1970"/>
    </row>
    <row r="12" spans="1:15" ht="14.25" customHeight="1">
      <c r="A12" s="1810">
        <v>7</v>
      </c>
      <c r="B12" s="1821" t="s">
        <v>5229</v>
      </c>
      <c r="C12" s="2078"/>
      <c r="D12" s="2078"/>
      <c r="E12" s="2077">
        <f t="shared" si="0"/>
        <v>0</v>
      </c>
      <c r="F12" s="2078"/>
      <c r="G12" s="2078"/>
      <c r="H12" s="2078"/>
      <c r="I12" s="2078"/>
      <c r="J12" s="2077">
        <f t="shared" si="1"/>
        <v>0</v>
      </c>
      <c r="K12" s="2077">
        <f t="shared" si="2"/>
        <v>0</v>
      </c>
      <c r="L12" s="2077">
        <f t="shared" si="3"/>
        <v>0</v>
      </c>
      <c r="M12" s="2077">
        <f t="shared" si="4"/>
        <v>0</v>
      </c>
      <c r="N12" s="1970"/>
    </row>
    <row r="13" spans="1:15" ht="14.25" customHeight="1">
      <c r="A13" s="1810">
        <v>8</v>
      </c>
      <c r="B13" s="1821" t="s">
        <v>5230</v>
      </c>
      <c r="C13" s="2078"/>
      <c r="D13" s="2078"/>
      <c r="E13" s="2077">
        <f t="shared" si="0"/>
        <v>0</v>
      </c>
      <c r="F13" s="2078"/>
      <c r="G13" s="2078"/>
      <c r="H13" s="2078"/>
      <c r="I13" s="2078"/>
      <c r="J13" s="2077">
        <f t="shared" si="1"/>
        <v>0</v>
      </c>
      <c r="K13" s="2077">
        <f t="shared" si="2"/>
        <v>0</v>
      </c>
      <c r="L13" s="2077">
        <f t="shared" si="3"/>
        <v>0</v>
      </c>
      <c r="M13" s="2077">
        <f t="shared" si="4"/>
        <v>0</v>
      </c>
      <c r="N13" s="1970"/>
    </row>
    <row r="14" spans="1:15" ht="14.25" customHeight="1">
      <c r="A14" s="1810">
        <v>9</v>
      </c>
      <c r="B14" s="1820" t="s">
        <v>5231</v>
      </c>
      <c r="C14" s="2078"/>
      <c r="D14" s="2078"/>
      <c r="E14" s="2077">
        <f t="shared" si="0"/>
        <v>0</v>
      </c>
      <c r="F14" s="2078"/>
      <c r="G14" s="2078"/>
      <c r="H14" s="2078"/>
      <c r="I14" s="2078"/>
      <c r="J14" s="2077">
        <f t="shared" si="1"/>
        <v>0</v>
      </c>
      <c r="K14" s="2077">
        <f t="shared" si="2"/>
        <v>0</v>
      </c>
      <c r="L14" s="2077">
        <f t="shared" si="3"/>
        <v>0</v>
      </c>
      <c r="M14" s="2077">
        <f t="shared" si="4"/>
        <v>0</v>
      </c>
      <c r="N14" s="1970"/>
    </row>
    <row r="15" spans="1:15" ht="129" customHeight="1">
      <c r="A15" s="1810">
        <v>10</v>
      </c>
      <c r="B15" s="1822" t="s">
        <v>5232</v>
      </c>
      <c r="C15" s="2077">
        <f>SUM(C6:C14)</f>
        <v>0</v>
      </c>
      <c r="D15" s="2077">
        <f t="shared" ref="D15:M15" si="5">SUM(D6:D14)</f>
        <v>0</v>
      </c>
      <c r="E15" s="2077">
        <f t="shared" si="5"/>
        <v>0</v>
      </c>
      <c r="F15" s="2077">
        <f t="shared" si="5"/>
        <v>0</v>
      </c>
      <c r="G15" s="2077">
        <f t="shared" si="5"/>
        <v>0</v>
      </c>
      <c r="H15" s="2077">
        <f t="shared" si="5"/>
        <v>0</v>
      </c>
      <c r="I15" s="2077">
        <f t="shared" si="5"/>
        <v>0</v>
      </c>
      <c r="J15" s="2077">
        <f t="shared" si="5"/>
        <v>0</v>
      </c>
      <c r="K15" s="2077">
        <f t="shared" si="5"/>
        <v>0</v>
      </c>
      <c r="L15" s="2077">
        <f t="shared" si="5"/>
        <v>0</v>
      </c>
      <c r="M15" s="2077">
        <f t="shared" si="5"/>
        <v>0</v>
      </c>
      <c r="N15" s="1821" t="s">
        <v>5233</v>
      </c>
    </row>
    <row r="16" spans="1:15">
      <c r="A16" s="2072"/>
      <c r="B16" s="2072"/>
      <c r="C16" s="2028"/>
      <c r="D16" s="2072"/>
      <c r="E16" s="2072"/>
      <c r="F16" s="2072"/>
      <c r="G16" s="2072"/>
      <c r="H16" s="2072"/>
      <c r="I16" s="2072"/>
      <c r="J16" s="2072"/>
      <c r="K16" s="2072"/>
      <c r="L16" s="2072"/>
      <c r="M16" s="2072"/>
      <c r="N16" s="2072"/>
    </row>
  </sheetData>
  <mergeCells count="8">
    <mergeCell ref="N3:N4"/>
    <mergeCell ref="A1:M1"/>
    <mergeCell ref="A2:M2"/>
    <mergeCell ref="A3:A5"/>
    <mergeCell ref="B3:B5"/>
    <mergeCell ref="C3:E3"/>
    <mergeCell ref="F3:L3"/>
    <mergeCell ref="M3:M4"/>
  </mergeCells>
  <phoneticPr fontId="51" type="noConversion"/>
  <hyperlinks>
    <hyperlink ref="O10" location="A105030投资收益纳税调整明细表!A1" display="A105030投资收益纳税调整明细表!A1"/>
    <hyperlink ref="O8" location="利润!A26" display="利润"/>
  </hyperlinks>
  <printOptions horizontalCentered="1"/>
  <pageMargins left="0.78740157480314998" right="0.35433070866141703" top="0.511811023622047" bottom="0.11811023622047198" header="0.511811023622047" footer="0.511811023622047"/>
  <pageSetup paperSize="9" orientation="landscape" r:id="rId1"/>
  <headerFooter alignWithMargins="0"/>
</worksheet>
</file>

<file path=xl/worksheets/sheet4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59">
    <tabColor rgb="FFFFFF00"/>
  </sheetPr>
  <dimension ref="A1:S17"/>
  <sheetViews>
    <sheetView workbookViewId="0">
      <selection activeCell="E20" sqref="E19:E20"/>
    </sheetView>
  </sheetViews>
  <sheetFormatPr defaultRowHeight="15.6"/>
  <cols>
    <col min="1" max="1" width="4.3984375" style="1559" customWidth="1"/>
    <col min="2" max="2" width="7.09765625" style="1559" customWidth="1"/>
    <col min="3" max="3" width="5.3984375" style="1559" customWidth="1"/>
    <col min="4" max="16" width="10.19921875" style="1559" customWidth="1"/>
    <col min="17" max="17" width="7.09765625" style="1558" customWidth="1"/>
    <col min="18" max="18" width="35.19921875" style="1558" customWidth="1"/>
    <col min="19" max="256" width="9" style="1558"/>
    <col min="257" max="257" width="4.3984375" style="1558" customWidth="1"/>
    <col min="258" max="258" width="19" style="1558" customWidth="1"/>
    <col min="259" max="259" width="6.5" style="1558" customWidth="1"/>
    <col min="260" max="260" width="6" style="1558" customWidth="1"/>
    <col min="261" max="261" width="6.8984375" style="1558" customWidth="1"/>
    <col min="262" max="266" width="7.69921875" style="1558" customWidth="1"/>
    <col min="267" max="267" width="6.69921875" style="1558" customWidth="1"/>
    <col min="268" max="268" width="5.09765625" style="1558" customWidth="1"/>
    <col min="269" max="269" width="7.69921875" style="1558" customWidth="1"/>
    <col min="270" max="270" width="4.3984375" style="1558" customWidth="1"/>
    <col min="271" max="272" width="6.59765625" style="1558" customWidth="1"/>
    <col min="273" max="273" width="14" style="1558" customWidth="1"/>
    <col min="274" max="274" width="35.19921875" style="1558" customWidth="1"/>
    <col min="275" max="512" width="9" style="1558"/>
    <col min="513" max="513" width="4.3984375" style="1558" customWidth="1"/>
    <col min="514" max="514" width="19" style="1558" customWidth="1"/>
    <col min="515" max="515" width="6.5" style="1558" customWidth="1"/>
    <col min="516" max="516" width="6" style="1558" customWidth="1"/>
    <col min="517" max="517" width="6.8984375" style="1558" customWidth="1"/>
    <col min="518" max="522" width="7.69921875" style="1558" customWidth="1"/>
    <col min="523" max="523" width="6.69921875" style="1558" customWidth="1"/>
    <col min="524" max="524" width="5.09765625" style="1558" customWidth="1"/>
    <col min="525" max="525" width="7.69921875" style="1558" customWidth="1"/>
    <col min="526" max="526" width="4.3984375" style="1558" customWidth="1"/>
    <col min="527" max="528" width="6.59765625" style="1558" customWidth="1"/>
    <col min="529" max="529" width="14" style="1558" customWidth="1"/>
    <col min="530" max="530" width="35.19921875" style="1558" customWidth="1"/>
    <col min="531" max="768" width="9" style="1558"/>
    <col min="769" max="769" width="4.3984375" style="1558" customWidth="1"/>
    <col min="770" max="770" width="19" style="1558" customWidth="1"/>
    <col min="771" max="771" width="6.5" style="1558" customWidth="1"/>
    <col min="772" max="772" width="6" style="1558" customWidth="1"/>
    <col min="773" max="773" width="6.8984375" style="1558" customWidth="1"/>
    <col min="774" max="778" width="7.69921875" style="1558" customWidth="1"/>
    <col min="779" max="779" width="6.69921875" style="1558" customWidth="1"/>
    <col min="780" max="780" width="5.09765625" style="1558" customWidth="1"/>
    <col min="781" max="781" width="7.69921875" style="1558" customWidth="1"/>
    <col min="782" max="782" width="4.3984375" style="1558" customWidth="1"/>
    <col min="783" max="784" width="6.59765625" style="1558" customWidth="1"/>
    <col min="785" max="785" width="14" style="1558" customWidth="1"/>
    <col min="786" max="786" width="35.19921875" style="1558" customWidth="1"/>
    <col min="787" max="1024" width="9" style="1558"/>
    <col min="1025" max="1025" width="4.3984375" style="1558" customWidth="1"/>
    <col min="1026" max="1026" width="19" style="1558" customWidth="1"/>
    <col min="1027" max="1027" width="6.5" style="1558" customWidth="1"/>
    <col min="1028" max="1028" width="6" style="1558" customWidth="1"/>
    <col min="1029" max="1029" width="6.8984375" style="1558" customWidth="1"/>
    <col min="1030" max="1034" width="7.69921875" style="1558" customWidth="1"/>
    <col min="1035" max="1035" width="6.69921875" style="1558" customWidth="1"/>
    <col min="1036" max="1036" width="5.09765625" style="1558" customWidth="1"/>
    <col min="1037" max="1037" width="7.69921875" style="1558" customWidth="1"/>
    <col min="1038" max="1038" width="4.3984375" style="1558" customWidth="1"/>
    <col min="1039" max="1040" width="6.59765625" style="1558" customWidth="1"/>
    <col min="1041" max="1041" width="14" style="1558" customWidth="1"/>
    <col min="1042" max="1042" width="35.19921875" style="1558" customWidth="1"/>
    <col min="1043" max="1280" width="9" style="1558"/>
    <col min="1281" max="1281" width="4.3984375" style="1558" customWidth="1"/>
    <col min="1282" max="1282" width="19" style="1558" customWidth="1"/>
    <col min="1283" max="1283" width="6.5" style="1558" customWidth="1"/>
    <col min="1284" max="1284" width="6" style="1558" customWidth="1"/>
    <col min="1285" max="1285" width="6.8984375" style="1558" customWidth="1"/>
    <col min="1286" max="1290" width="7.69921875" style="1558" customWidth="1"/>
    <col min="1291" max="1291" width="6.69921875" style="1558" customWidth="1"/>
    <col min="1292" max="1292" width="5.09765625" style="1558" customWidth="1"/>
    <col min="1293" max="1293" width="7.69921875" style="1558" customWidth="1"/>
    <col min="1294" max="1294" width="4.3984375" style="1558" customWidth="1"/>
    <col min="1295" max="1296" width="6.59765625" style="1558" customWidth="1"/>
    <col min="1297" max="1297" width="14" style="1558" customWidth="1"/>
    <col min="1298" max="1298" width="35.19921875" style="1558" customWidth="1"/>
    <col min="1299" max="1536" width="9" style="1558"/>
    <col min="1537" max="1537" width="4.3984375" style="1558" customWidth="1"/>
    <col min="1538" max="1538" width="19" style="1558" customWidth="1"/>
    <col min="1539" max="1539" width="6.5" style="1558" customWidth="1"/>
    <col min="1540" max="1540" width="6" style="1558" customWidth="1"/>
    <col min="1541" max="1541" width="6.8984375" style="1558" customWidth="1"/>
    <col min="1542" max="1546" width="7.69921875" style="1558" customWidth="1"/>
    <col min="1547" max="1547" width="6.69921875" style="1558" customWidth="1"/>
    <col min="1548" max="1548" width="5.09765625" style="1558" customWidth="1"/>
    <col min="1549" max="1549" width="7.69921875" style="1558" customWidth="1"/>
    <col min="1550" max="1550" width="4.3984375" style="1558" customWidth="1"/>
    <col min="1551" max="1552" width="6.59765625" style="1558" customWidth="1"/>
    <col min="1553" max="1553" width="14" style="1558" customWidth="1"/>
    <col min="1554" max="1554" width="35.19921875" style="1558" customWidth="1"/>
    <col min="1555" max="1792" width="9" style="1558"/>
    <col min="1793" max="1793" width="4.3984375" style="1558" customWidth="1"/>
    <col min="1794" max="1794" width="19" style="1558" customWidth="1"/>
    <col min="1795" max="1795" width="6.5" style="1558" customWidth="1"/>
    <col min="1796" max="1796" width="6" style="1558" customWidth="1"/>
    <col min="1797" max="1797" width="6.8984375" style="1558" customWidth="1"/>
    <col min="1798" max="1802" width="7.69921875" style="1558" customWidth="1"/>
    <col min="1803" max="1803" width="6.69921875" style="1558" customWidth="1"/>
    <col min="1804" max="1804" width="5.09765625" style="1558" customWidth="1"/>
    <col min="1805" max="1805" width="7.69921875" style="1558" customWidth="1"/>
    <col min="1806" max="1806" width="4.3984375" style="1558" customWidth="1"/>
    <col min="1807" max="1808" width="6.59765625" style="1558" customWidth="1"/>
    <col min="1809" max="1809" width="14" style="1558" customWidth="1"/>
    <col min="1810" max="1810" width="35.19921875" style="1558" customWidth="1"/>
    <col min="1811" max="2048" width="9" style="1558"/>
    <col min="2049" max="2049" width="4.3984375" style="1558" customWidth="1"/>
    <col min="2050" max="2050" width="19" style="1558" customWidth="1"/>
    <col min="2051" max="2051" width="6.5" style="1558" customWidth="1"/>
    <col min="2052" max="2052" width="6" style="1558" customWidth="1"/>
    <col min="2053" max="2053" width="6.8984375" style="1558" customWidth="1"/>
    <col min="2054" max="2058" width="7.69921875" style="1558" customWidth="1"/>
    <col min="2059" max="2059" width="6.69921875" style="1558" customWidth="1"/>
    <col min="2060" max="2060" width="5.09765625" style="1558" customWidth="1"/>
    <col min="2061" max="2061" width="7.69921875" style="1558" customWidth="1"/>
    <col min="2062" max="2062" width="4.3984375" style="1558" customWidth="1"/>
    <col min="2063" max="2064" width="6.59765625" style="1558" customWidth="1"/>
    <col min="2065" max="2065" width="14" style="1558" customWidth="1"/>
    <col min="2066" max="2066" width="35.19921875" style="1558" customWidth="1"/>
    <col min="2067" max="2304" width="9" style="1558"/>
    <col min="2305" max="2305" width="4.3984375" style="1558" customWidth="1"/>
    <col min="2306" max="2306" width="19" style="1558" customWidth="1"/>
    <col min="2307" max="2307" width="6.5" style="1558" customWidth="1"/>
    <col min="2308" max="2308" width="6" style="1558" customWidth="1"/>
    <col min="2309" max="2309" width="6.8984375" style="1558" customWidth="1"/>
    <col min="2310" max="2314" width="7.69921875" style="1558" customWidth="1"/>
    <col min="2315" max="2315" width="6.69921875" style="1558" customWidth="1"/>
    <col min="2316" max="2316" width="5.09765625" style="1558" customWidth="1"/>
    <col min="2317" max="2317" width="7.69921875" style="1558" customWidth="1"/>
    <col min="2318" max="2318" width="4.3984375" style="1558" customWidth="1"/>
    <col min="2319" max="2320" width="6.59765625" style="1558" customWidth="1"/>
    <col min="2321" max="2321" width="14" style="1558" customWidth="1"/>
    <col min="2322" max="2322" width="35.19921875" style="1558" customWidth="1"/>
    <col min="2323" max="2560" width="9" style="1558"/>
    <col min="2561" max="2561" width="4.3984375" style="1558" customWidth="1"/>
    <col min="2562" max="2562" width="19" style="1558" customWidth="1"/>
    <col min="2563" max="2563" width="6.5" style="1558" customWidth="1"/>
    <col min="2564" max="2564" width="6" style="1558" customWidth="1"/>
    <col min="2565" max="2565" width="6.8984375" style="1558" customWidth="1"/>
    <col min="2566" max="2570" width="7.69921875" style="1558" customWidth="1"/>
    <col min="2571" max="2571" width="6.69921875" style="1558" customWidth="1"/>
    <col min="2572" max="2572" width="5.09765625" style="1558" customWidth="1"/>
    <col min="2573" max="2573" width="7.69921875" style="1558" customWidth="1"/>
    <col min="2574" max="2574" width="4.3984375" style="1558" customWidth="1"/>
    <col min="2575" max="2576" width="6.59765625" style="1558" customWidth="1"/>
    <col min="2577" max="2577" width="14" style="1558" customWidth="1"/>
    <col min="2578" max="2578" width="35.19921875" style="1558" customWidth="1"/>
    <col min="2579" max="2816" width="9" style="1558"/>
    <col min="2817" max="2817" width="4.3984375" style="1558" customWidth="1"/>
    <col min="2818" max="2818" width="19" style="1558" customWidth="1"/>
    <col min="2819" max="2819" width="6.5" style="1558" customWidth="1"/>
    <col min="2820" max="2820" width="6" style="1558" customWidth="1"/>
    <col min="2821" max="2821" width="6.8984375" style="1558" customWidth="1"/>
    <col min="2822" max="2826" width="7.69921875" style="1558" customWidth="1"/>
    <col min="2827" max="2827" width="6.69921875" style="1558" customWidth="1"/>
    <col min="2828" max="2828" width="5.09765625" style="1558" customWidth="1"/>
    <col min="2829" max="2829" width="7.69921875" style="1558" customWidth="1"/>
    <col min="2830" max="2830" width="4.3984375" style="1558" customWidth="1"/>
    <col min="2831" max="2832" width="6.59765625" style="1558" customWidth="1"/>
    <col min="2833" max="2833" width="14" style="1558" customWidth="1"/>
    <col min="2834" max="2834" width="35.19921875" style="1558" customWidth="1"/>
    <col min="2835" max="3072" width="9" style="1558"/>
    <col min="3073" max="3073" width="4.3984375" style="1558" customWidth="1"/>
    <col min="3074" max="3074" width="19" style="1558" customWidth="1"/>
    <col min="3075" max="3075" width="6.5" style="1558" customWidth="1"/>
    <col min="3076" max="3076" width="6" style="1558" customWidth="1"/>
    <col min="3077" max="3077" width="6.8984375" style="1558" customWidth="1"/>
    <col min="3078" max="3082" width="7.69921875" style="1558" customWidth="1"/>
    <col min="3083" max="3083" width="6.69921875" style="1558" customWidth="1"/>
    <col min="3084" max="3084" width="5.09765625" style="1558" customWidth="1"/>
    <col min="3085" max="3085" width="7.69921875" style="1558" customWidth="1"/>
    <col min="3086" max="3086" width="4.3984375" style="1558" customWidth="1"/>
    <col min="3087" max="3088" width="6.59765625" style="1558" customWidth="1"/>
    <col min="3089" max="3089" width="14" style="1558" customWidth="1"/>
    <col min="3090" max="3090" width="35.19921875" style="1558" customWidth="1"/>
    <col min="3091" max="3328" width="9" style="1558"/>
    <col min="3329" max="3329" width="4.3984375" style="1558" customWidth="1"/>
    <col min="3330" max="3330" width="19" style="1558" customWidth="1"/>
    <col min="3331" max="3331" width="6.5" style="1558" customWidth="1"/>
    <col min="3332" max="3332" width="6" style="1558" customWidth="1"/>
    <col min="3333" max="3333" width="6.8984375" style="1558" customWidth="1"/>
    <col min="3334" max="3338" width="7.69921875" style="1558" customWidth="1"/>
    <col min="3339" max="3339" width="6.69921875" style="1558" customWidth="1"/>
    <col min="3340" max="3340" width="5.09765625" style="1558" customWidth="1"/>
    <col min="3341" max="3341" width="7.69921875" style="1558" customWidth="1"/>
    <col min="3342" max="3342" width="4.3984375" style="1558" customWidth="1"/>
    <col min="3343" max="3344" width="6.59765625" style="1558" customWidth="1"/>
    <col min="3345" max="3345" width="14" style="1558" customWidth="1"/>
    <col min="3346" max="3346" width="35.19921875" style="1558" customWidth="1"/>
    <col min="3347" max="3584" width="9" style="1558"/>
    <col min="3585" max="3585" width="4.3984375" style="1558" customWidth="1"/>
    <col min="3586" max="3586" width="19" style="1558" customWidth="1"/>
    <col min="3587" max="3587" width="6.5" style="1558" customWidth="1"/>
    <col min="3588" max="3588" width="6" style="1558" customWidth="1"/>
    <col min="3589" max="3589" width="6.8984375" style="1558" customWidth="1"/>
    <col min="3590" max="3594" width="7.69921875" style="1558" customWidth="1"/>
    <col min="3595" max="3595" width="6.69921875" style="1558" customWidth="1"/>
    <col min="3596" max="3596" width="5.09765625" style="1558" customWidth="1"/>
    <col min="3597" max="3597" width="7.69921875" style="1558" customWidth="1"/>
    <col min="3598" max="3598" width="4.3984375" style="1558" customWidth="1"/>
    <col min="3599" max="3600" width="6.59765625" style="1558" customWidth="1"/>
    <col min="3601" max="3601" width="14" style="1558" customWidth="1"/>
    <col min="3602" max="3602" width="35.19921875" style="1558" customWidth="1"/>
    <col min="3603" max="3840" width="9" style="1558"/>
    <col min="3841" max="3841" width="4.3984375" style="1558" customWidth="1"/>
    <col min="3842" max="3842" width="19" style="1558" customWidth="1"/>
    <col min="3843" max="3843" width="6.5" style="1558" customWidth="1"/>
    <col min="3844" max="3844" width="6" style="1558" customWidth="1"/>
    <col min="3845" max="3845" width="6.8984375" style="1558" customWidth="1"/>
    <col min="3846" max="3850" width="7.69921875" style="1558" customWidth="1"/>
    <col min="3851" max="3851" width="6.69921875" style="1558" customWidth="1"/>
    <col min="3852" max="3852" width="5.09765625" style="1558" customWidth="1"/>
    <col min="3853" max="3853" width="7.69921875" style="1558" customWidth="1"/>
    <col min="3854" max="3854" width="4.3984375" style="1558" customWidth="1"/>
    <col min="3855" max="3856" width="6.59765625" style="1558" customWidth="1"/>
    <col min="3857" max="3857" width="14" style="1558" customWidth="1"/>
    <col min="3858" max="3858" width="35.19921875" style="1558" customWidth="1"/>
    <col min="3859" max="4096" width="9" style="1558"/>
    <col min="4097" max="4097" width="4.3984375" style="1558" customWidth="1"/>
    <col min="4098" max="4098" width="19" style="1558" customWidth="1"/>
    <col min="4099" max="4099" width="6.5" style="1558" customWidth="1"/>
    <col min="4100" max="4100" width="6" style="1558" customWidth="1"/>
    <col min="4101" max="4101" width="6.8984375" style="1558" customWidth="1"/>
    <col min="4102" max="4106" width="7.69921875" style="1558" customWidth="1"/>
    <col min="4107" max="4107" width="6.69921875" style="1558" customWidth="1"/>
    <col min="4108" max="4108" width="5.09765625" style="1558" customWidth="1"/>
    <col min="4109" max="4109" width="7.69921875" style="1558" customWidth="1"/>
    <col min="4110" max="4110" width="4.3984375" style="1558" customWidth="1"/>
    <col min="4111" max="4112" width="6.59765625" style="1558" customWidth="1"/>
    <col min="4113" max="4113" width="14" style="1558" customWidth="1"/>
    <col min="4114" max="4114" width="35.19921875" style="1558" customWidth="1"/>
    <col min="4115" max="4352" width="9" style="1558"/>
    <col min="4353" max="4353" width="4.3984375" style="1558" customWidth="1"/>
    <col min="4354" max="4354" width="19" style="1558" customWidth="1"/>
    <col min="4355" max="4355" width="6.5" style="1558" customWidth="1"/>
    <col min="4356" max="4356" width="6" style="1558" customWidth="1"/>
    <col min="4357" max="4357" width="6.8984375" style="1558" customWidth="1"/>
    <col min="4358" max="4362" width="7.69921875" style="1558" customWidth="1"/>
    <col min="4363" max="4363" width="6.69921875" style="1558" customWidth="1"/>
    <col min="4364" max="4364" width="5.09765625" style="1558" customWidth="1"/>
    <col min="4365" max="4365" width="7.69921875" style="1558" customWidth="1"/>
    <col min="4366" max="4366" width="4.3984375" style="1558" customWidth="1"/>
    <col min="4367" max="4368" width="6.59765625" style="1558" customWidth="1"/>
    <col min="4369" max="4369" width="14" style="1558" customWidth="1"/>
    <col min="4370" max="4370" width="35.19921875" style="1558" customWidth="1"/>
    <col min="4371" max="4608" width="9" style="1558"/>
    <col min="4609" max="4609" width="4.3984375" style="1558" customWidth="1"/>
    <col min="4610" max="4610" width="19" style="1558" customWidth="1"/>
    <col min="4611" max="4611" width="6.5" style="1558" customWidth="1"/>
    <col min="4612" max="4612" width="6" style="1558" customWidth="1"/>
    <col min="4613" max="4613" width="6.8984375" style="1558" customWidth="1"/>
    <col min="4614" max="4618" width="7.69921875" style="1558" customWidth="1"/>
    <col min="4619" max="4619" width="6.69921875" style="1558" customWidth="1"/>
    <col min="4620" max="4620" width="5.09765625" style="1558" customWidth="1"/>
    <col min="4621" max="4621" width="7.69921875" style="1558" customWidth="1"/>
    <col min="4622" max="4622" width="4.3984375" style="1558" customWidth="1"/>
    <col min="4623" max="4624" width="6.59765625" style="1558" customWidth="1"/>
    <col min="4625" max="4625" width="14" style="1558" customWidth="1"/>
    <col min="4626" max="4626" width="35.19921875" style="1558" customWidth="1"/>
    <col min="4627" max="4864" width="9" style="1558"/>
    <col min="4865" max="4865" width="4.3984375" style="1558" customWidth="1"/>
    <col min="4866" max="4866" width="19" style="1558" customWidth="1"/>
    <col min="4867" max="4867" width="6.5" style="1558" customWidth="1"/>
    <col min="4868" max="4868" width="6" style="1558" customWidth="1"/>
    <col min="4869" max="4869" width="6.8984375" style="1558" customWidth="1"/>
    <col min="4870" max="4874" width="7.69921875" style="1558" customWidth="1"/>
    <col min="4875" max="4875" width="6.69921875" style="1558" customWidth="1"/>
    <col min="4876" max="4876" width="5.09765625" style="1558" customWidth="1"/>
    <col min="4877" max="4877" width="7.69921875" style="1558" customWidth="1"/>
    <col min="4878" max="4878" width="4.3984375" style="1558" customWidth="1"/>
    <col min="4879" max="4880" width="6.59765625" style="1558" customWidth="1"/>
    <col min="4881" max="4881" width="14" style="1558" customWidth="1"/>
    <col min="4882" max="4882" width="35.19921875" style="1558" customWidth="1"/>
    <col min="4883" max="5120" width="9" style="1558"/>
    <col min="5121" max="5121" width="4.3984375" style="1558" customWidth="1"/>
    <col min="5122" max="5122" width="19" style="1558" customWidth="1"/>
    <col min="5123" max="5123" width="6.5" style="1558" customWidth="1"/>
    <col min="5124" max="5124" width="6" style="1558" customWidth="1"/>
    <col min="5125" max="5125" width="6.8984375" style="1558" customWidth="1"/>
    <col min="5126" max="5130" width="7.69921875" style="1558" customWidth="1"/>
    <col min="5131" max="5131" width="6.69921875" style="1558" customWidth="1"/>
    <col min="5132" max="5132" width="5.09765625" style="1558" customWidth="1"/>
    <col min="5133" max="5133" width="7.69921875" style="1558" customWidth="1"/>
    <col min="5134" max="5134" width="4.3984375" style="1558" customWidth="1"/>
    <col min="5135" max="5136" width="6.59765625" style="1558" customWidth="1"/>
    <col min="5137" max="5137" width="14" style="1558" customWidth="1"/>
    <col min="5138" max="5138" width="35.19921875" style="1558" customWidth="1"/>
    <col min="5139" max="5376" width="9" style="1558"/>
    <col min="5377" max="5377" width="4.3984375" style="1558" customWidth="1"/>
    <col min="5378" max="5378" width="19" style="1558" customWidth="1"/>
    <col min="5379" max="5379" width="6.5" style="1558" customWidth="1"/>
    <col min="5380" max="5380" width="6" style="1558" customWidth="1"/>
    <col min="5381" max="5381" width="6.8984375" style="1558" customWidth="1"/>
    <col min="5382" max="5386" width="7.69921875" style="1558" customWidth="1"/>
    <col min="5387" max="5387" width="6.69921875" style="1558" customWidth="1"/>
    <col min="5388" max="5388" width="5.09765625" style="1558" customWidth="1"/>
    <col min="5389" max="5389" width="7.69921875" style="1558" customWidth="1"/>
    <col min="5390" max="5390" width="4.3984375" style="1558" customWidth="1"/>
    <col min="5391" max="5392" width="6.59765625" style="1558" customWidth="1"/>
    <col min="5393" max="5393" width="14" style="1558" customWidth="1"/>
    <col min="5394" max="5394" width="35.19921875" style="1558" customWidth="1"/>
    <col min="5395" max="5632" width="9" style="1558"/>
    <col min="5633" max="5633" width="4.3984375" style="1558" customWidth="1"/>
    <col min="5634" max="5634" width="19" style="1558" customWidth="1"/>
    <col min="5635" max="5635" width="6.5" style="1558" customWidth="1"/>
    <col min="5636" max="5636" width="6" style="1558" customWidth="1"/>
    <col min="5637" max="5637" width="6.8984375" style="1558" customWidth="1"/>
    <col min="5638" max="5642" width="7.69921875" style="1558" customWidth="1"/>
    <col min="5643" max="5643" width="6.69921875" style="1558" customWidth="1"/>
    <col min="5644" max="5644" width="5.09765625" style="1558" customWidth="1"/>
    <col min="5645" max="5645" width="7.69921875" style="1558" customWidth="1"/>
    <col min="5646" max="5646" width="4.3984375" style="1558" customWidth="1"/>
    <col min="5647" max="5648" width="6.59765625" style="1558" customWidth="1"/>
    <col min="5649" max="5649" width="14" style="1558" customWidth="1"/>
    <col min="5650" max="5650" width="35.19921875" style="1558" customWidth="1"/>
    <col min="5651" max="5888" width="9" style="1558"/>
    <col min="5889" max="5889" width="4.3984375" style="1558" customWidth="1"/>
    <col min="5890" max="5890" width="19" style="1558" customWidth="1"/>
    <col min="5891" max="5891" width="6.5" style="1558" customWidth="1"/>
    <col min="5892" max="5892" width="6" style="1558" customWidth="1"/>
    <col min="5893" max="5893" width="6.8984375" style="1558" customWidth="1"/>
    <col min="5894" max="5898" width="7.69921875" style="1558" customWidth="1"/>
    <col min="5899" max="5899" width="6.69921875" style="1558" customWidth="1"/>
    <col min="5900" max="5900" width="5.09765625" style="1558" customWidth="1"/>
    <col min="5901" max="5901" width="7.69921875" style="1558" customWidth="1"/>
    <col min="5902" max="5902" width="4.3984375" style="1558" customWidth="1"/>
    <col min="5903" max="5904" width="6.59765625" style="1558" customWidth="1"/>
    <col min="5905" max="5905" width="14" style="1558" customWidth="1"/>
    <col min="5906" max="5906" width="35.19921875" style="1558" customWidth="1"/>
    <col min="5907" max="6144" width="9" style="1558"/>
    <col min="6145" max="6145" width="4.3984375" style="1558" customWidth="1"/>
    <col min="6146" max="6146" width="19" style="1558" customWidth="1"/>
    <col min="6147" max="6147" width="6.5" style="1558" customWidth="1"/>
    <col min="6148" max="6148" width="6" style="1558" customWidth="1"/>
    <col min="6149" max="6149" width="6.8984375" style="1558" customWidth="1"/>
    <col min="6150" max="6154" width="7.69921875" style="1558" customWidth="1"/>
    <col min="6155" max="6155" width="6.69921875" style="1558" customWidth="1"/>
    <col min="6156" max="6156" width="5.09765625" style="1558" customWidth="1"/>
    <col min="6157" max="6157" width="7.69921875" style="1558" customWidth="1"/>
    <col min="6158" max="6158" width="4.3984375" style="1558" customWidth="1"/>
    <col min="6159" max="6160" width="6.59765625" style="1558" customWidth="1"/>
    <col min="6161" max="6161" width="14" style="1558" customWidth="1"/>
    <col min="6162" max="6162" width="35.19921875" style="1558" customWidth="1"/>
    <col min="6163" max="6400" width="9" style="1558"/>
    <col min="6401" max="6401" width="4.3984375" style="1558" customWidth="1"/>
    <col min="6402" max="6402" width="19" style="1558" customWidth="1"/>
    <col min="6403" max="6403" width="6.5" style="1558" customWidth="1"/>
    <col min="6404" max="6404" width="6" style="1558" customWidth="1"/>
    <col min="6405" max="6405" width="6.8984375" style="1558" customWidth="1"/>
    <col min="6406" max="6410" width="7.69921875" style="1558" customWidth="1"/>
    <col min="6411" max="6411" width="6.69921875" style="1558" customWidth="1"/>
    <col min="6412" max="6412" width="5.09765625" style="1558" customWidth="1"/>
    <col min="6413" max="6413" width="7.69921875" style="1558" customWidth="1"/>
    <col min="6414" max="6414" width="4.3984375" style="1558" customWidth="1"/>
    <col min="6415" max="6416" width="6.59765625" style="1558" customWidth="1"/>
    <col min="6417" max="6417" width="14" style="1558" customWidth="1"/>
    <col min="6418" max="6418" width="35.19921875" style="1558" customWidth="1"/>
    <col min="6419" max="6656" width="9" style="1558"/>
    <col min="6657" max="6657" width="4.3984375" style="1558" customWidth="1"/>
    <col min="6658" max="6658" width="19" style="1558" customWidth="1"/>
    <col min="6659" max="6659" width="6.5" style="1558" customWidth="1"/>
    <col min="6660" max="6660" width="6" style="1558" customWidth="1"/>
    <col min="6661" max="6661" width="6.8984375" style="1558" customWidth="1"/>
    <col min="6662" max="6666" width="7.69921875" style="1558" customWidth="1"/>
    <col min="6667" max="6667" width="6.69921875" style="1558" customWidth="1"/>
    <col min="6668" max="6668" width="5.09765625" style="1558" customWidth="1"/>
    <col min="6669" max="6669" width="7.69921875" style="1558" customWidth="1"/>
    <col min="6670" max="6670" width="4.3984375" style="1558" customWidth="1"/>
    <col min="6671" max="6672" width="6.59765625" style="1558" customWidth="1"/>
    <col min="6673" max="6673" width="14" style="1558" customWidth="1"/>
    <col min="6674" max="6674" width="35.19921875" style="1558" customWidth="1"/>
    <col min="6675" max="6912" width="9" style="1558"/>
    <col min="6913" max="6913" width="4.3984375" style="1558" customWidth="1"/>
    <col min="6914" max="6914" width="19" style="1558" customWidth="1"/>
    <col min="6915" max="6915" width="6.5" style="1558" customWidth="1"/>
    <col min="6916" max="6916" width="6" style="1558" customWidth="1"/>
    <col min="6917" max="6917" width="6.8984375" style="1558" customWidth="1"/>
    <col min="6918" max="6922" width="7.69921875" style="1558" customWidth="1"/>
    <col min="6923" max="6923" width="6.69921875" style="1558" customWidth="1"/>
    <col min="6924" max="6924" width="5.09765625" style="1558" customWidth="1"/>
    <col min="6925" max="6925" width="7.69921875" style="1558" customWidth="1"/>
    <col min="6926" max="6926" width="4.3984375" style="1558" customWidth="1"/>
    <col min="6927" max="6928" width="6.59765625" style="1558" customWidth="1"/>
    <col min="6929" max="6929" width="14" style="1558" customWidth="1"/>
    <col min="6930" max="6930" width="35.19921875" style="1558" customWidth="1"/>
    <col min="6931" max="7168" width="9" style="1558"/>
    <col min="7169" max="7169" width="4.3984375" style="1558" customWidth="1"/>
    <col min="7170" max="7170" width="19" style="1558" customWidth="1"/>
    <col min="7171" max="7171" width="6.5" style="1558" customWidth="1"/>
    <col min="7172" max="7172" width="6" style="1558" customWidth="1"/>
    <col min="7173" max="7173" width="6.8984375" style="1558" customWidth="1"/>
    <col min="7174" max="7178" width="7.69921875" style="1558" customWidth="1"/>
    <col min="7179" max="7179" width="6.69921875" style="1558" customWidth="1"/>
    <col min="7180" max="7180" width="5.09765625" style="1558" customWidth="1"/>
    <col min="7181" max="7181" width="7.69921875" style="1558" customWidth="1"/>
    <col min="7182" max="7182" width="4.3984375" style="1558" customWidth="1"/>
    <col min="7183" max="7184" width="6.59765625" style="1558" customWidth="1"/>
    <col min="7185" max="7185" width="14" style="1558" customWidth="1"/>
    <col min="7186" max="7186" width="35.19921875" style="1558" customWidth="1"/>
    <col min="7187" max="7424" width="9" style="1558"/>
    <col min="7425" max="7425" width="4.3984375" style="1558" customWidth="1"/>
    <col min="7426" max="7426" width="19" style="1558" customWidth="1"/>
    <col min="7427" max="7427" width="6.5" style="1558" customWidth="1"/>
    <col min="7428" max="7428" width="6" style="1558" customWidth="1"/>
    <col min="7429" max="7429" width="6.8984375" style="1558" customWidth="1"/>
    <col min="7430" max="7434" width="7.69921875" style="1558" customWidth="1"/>
    <col min="7435" max="7435" width="6.69921875" style="1558" customWidth="1"/>
    <col min="7436" max="7436" width="5.09765625" style="1558" customWidth="1"/>
    <col min="7437" max="7437" width="7.69921875" style="1558" customWidth="1"/>
    <col min="7438" max="7438" width="4.3984375" style="1558" customWidth="1"/>
    <col min="7439" max="7440" width="6.59765625" style="1558" customWidth="1"/>
    <col min="7441" max="7441" width="14" style="1558" customWidth="1"/>
    <col min="7442" max="7442" width="35.19921875" style="1558" customWidth="1"/>
    <col min="7443" max="7680" width="9" style="1558"/>
    <col min="7681" max="7681" width="4.3984375" style="1558" customWidth="1"/>
    <col min="7682" max="7682" width="19" style="1558" customWidth="1"/>
    <col min="7683" max="7683" width="6.5" style="1558" customWidth="1"/>
    <col min="7684" max="7684" width="6" style="1558" customWidth="1"/>
    <col min="7685" max="7685" width="6.8984375" style="1558" customWidth="1"/>
    <col min="7686" max="7690" width="7.69921875" style="1558" customWidth="1"/>
    <col min="7691" max="7691" width="6.69921875" style="1558" customWidth="1"/>
    <col min="7692" max="7692" width="5.09765625" style="1558" customWidth="1"/>
    <col min="7693" max="7693" width="7.69921875" style="1558" customWidth="1"/>
    <col min="7694" max="7694" width="4.3984375" style="1558" customWidth="1"/>
    <col min="7695" max="7696" width="6.59765625" style="1558" customWidth="1"/>
    <col min="7697" max="7697" width="14" style="1558" customWidth="1"/>
    <col min="7698" max="7698" width="35.19921875" style="1558" customWidth="1"/>
    <col min="7699" max="7936" width="9" style="1558"/>
    <col min="7937" max="7937" width="4.3984375" style="1558" customWidth="1"/>
    <col min="7938" max="7938" width="19" style="1558" customWidth="1"/>
    <col min="7939" max="7939" width="6.5" style="1558" customWidth="1"/>
    <col min="7940" max="7940" width="6" style="1558" customWidth="1"/>
    <col min="7941" max="7941" width="6.8984375" style="1558" customWidth="1"/>
    <col min="7942" max="7946" width="7.69921875" style="1558" customWidth="1"/>
    <col min="7947" max="7947" width="6.69921875" style="1558" customWidth="1"/>
    <col min="7948" max="7948" width="5.09765625" style="1558" customWidth="1"/>
    <col min="7949" max="7949" width="7.69921875" style="1558" customWidth="1"/>
    <col min="7950" max="7950" width="4.3984375" style="1558" customWidth="1"/>
    <col min="7951" max="7952" width="6.59765625" style="1558" customWidth="1"/>
    <col min="7953" max="7953" width="14" style="1558" customWidth="1"/>
    <col min="7954" max="7954" width="35.19921875" style="1558" customWidth="1"/>
    <col min="7955" max="8192" width="9" style="1558"/>
    <col min="8193" max="8193" width="4.3984375" style="1558" customWidth="1"/>
    <col min="8194" max="8194" width="19" style="1558" customWidth="1"/>
    <col min="8195" max="8195" width="6.5" style="1558" customWidth="1"/>
    <col min="8196" max="8196" width="6" style="1558" customWidth="1"/>
    <col min="8197" max="8197" width="6.8984375" style="1558" customWidth="1"/>
    <col min="8198" max="8202" width="7.69921875" style="1558" customWidth="1"/>
    <col min="8203" max="8203" width="6.69921875" style="1558" customWidth="1"/>
    <col min="8204" max="8204" width="5.09765625" style="1558" customWidth="1"/>
    <col min="8205" max="8205" width="7.69921875" style="1558" customWidth="1"/>
    <col min="8206" max="8206" width="4.3984375" style="1558" customWidth="1"/>
    <col min="8207" max="8208" width="6.59765625" style="1558" customWidth="1"/>
    <col min="8209" max="8209" width="14" style="1558" customWidth="1"/>
    <col min="8210" max="8210" width="35.19921875" style="1558" customWidth="1"/>
    <col min="8211" max="8448" width="9" style="1558"/>
    <col min="8449" max="8449" width="4.3984375" style="1558" customWidth="1"/>
    <col min="8450" max="8450" width="19" style="1558" customWidth="1"/>
    <col min="8451" max="8451" width="6.5" style="1558" customWidth="1"/>
    <col min="8452" max="8452" width="6" style="1558" customWidth="1"/>
    <col min="8453" max="8453" width="6.8984375" style="1558" customWidth="1"/>
    <col min="8454" max="8458" width="7.69921875" style="1558" customWidth="1"/>
    <col min="8459" max="8459" width="6.69921875" style="1558" customWidth="1"/>
    <col min="8460" max="8460" width="5.09765625" style="1558" customWidth="1"/>
    <col min="8461" max="8461" width="7.69921875" style="1558" customWidth="1"/>
    <col min="8462" max="8462" width="4.3984375" style="1558" customWidth="1"/>
    <col min="8463" max="8464" width="6.59765625" style="1558" customWidth="1"/>
    <col min="8465" max="8465" width="14" style="1558" customWidth="1"/>
    <col min="8466" max="8466" width="35.19921875" style="1558" customWidth="1"/>
    <col min="8467" max="8704" width="9" style="1558"/>
    <col min="8705" max="8705" width="4.3984375" style="1558" customWidth="1"/>
    <col min="8706" max="8706" width="19" style="1558" customWidth="1"/>
    <col min="8707" max="8707" width="6.5" style="1558" customWidth="1"/>
    <col min="8708" max="8708" width="6" style="1558" customWidth="1"/>
    <col min="8709" max="8709" width="6.8984375" style="1558" customWidth="1"/>
    <col min="8710" max="8714" width="7.69921875" style="1558" customWidth="1"/>
    <col min="8715" max="8715" width="6.69921875" style="1558" customWidth="1"/>
    <col min="8716" max="8716" width="5.09765625" style="1558" customWidth="1"/>
    <col min="8717" max="8717" width="7.69921875" style="1558" customWidth="1"/>
    <col min="8718" max="8718" width="4.3984375" style="1558" customWidth="1"/>
    <col min="8719" max="8720" width="6.59765625" style="1558" customWidth="1"/>
    <col min="8721" max="8721" width="14" style="1558" customWidth="1"/>
    <col min="8722" max="8722" width="35.19921875" style="1558" customWidth="1"/>
    <col min="8723" max="8960" width="9" style="1558"/>
    <col min="8961" max="8961" width="4.3984375" style="1558" customWidth="1"/>
    <col min="8962" max="8962" width="19" style="1558" customWidth="1"/>
    <col min="8963" max="8963" width="6.5" style="1558" customWidth="1"/>
    <col min="8964" max="8964" width="6" style="1558" customWidth="1"/>
    <col min="8965" max="8965" width="6.8984375" style="1558" customWidth="1"/>
    <col min="8966" max="8970" width="7.69921875" style="1558" customWidth="1"/>
    <col min="8971" max="8971" width="6.69921875" style="1558" customWidth="1"/>
    <col min="8972" max="8972" width="5.09765625" style="1558" customWidth="1"/>
    <col min="8973" max="8973" width="7.69921875" style="1558" customWidth="1"/>
    <col min="8974" max="8974" width="4.3984375" style="1558" customWidth="1"/>
    <col min="8975" max="8976" width="6.59765625" style="1558" customWidth="1"/>
    <col min="8977" max="8977" width="14" style="1558" customWidth="1"/>
    <col min="8978" max="8978" width="35.19921875" style="1558" customWidth="1"/>
    <col min="8979" max="9216" width="9" style="1558"/>
    <col min="9217" max="9217" width="4.3984375" style="1558" customWidth="1"/>
    <col min="9218" max="9218" width="19" style="1558" customWidth="1"/>
    <col min="9219" max="9219" width="6.5" style="1558" customWidth="1"/>
    <col min="9220" max="9220" width="6" style="1558" customWidth="1"/>
    <col min="9221" max="9221" width="6.8984375" style="1558" customWidth="1"/>
    <col min="9222" max="9226" width="7.69921875" style="1558" customWidth="1"/>
    <col min="9227" max="9227" width="6.69921875" style="1558" customWidth="1"/>
    <col min="9228" max="9228" width="5.09765625" style="1558" customWidth="1"/>
    <col min="9229" max="9229" width="7.69921875" style="1558" customWidth="1"/>
    <col min="9230" max="9230" width="4.3984375" style="1558" customWidth="1"/>
    <col min="9231" max="9232" width="6.59765625" style="1558" customWidth="1"/>
    <col min="9233" max="9233" width="14" style="1558" customWidth="1"/>
    <col min="9234" max="9234" width="35.19921875" style="1558" customWidth="1"/>
    <col min="9235" max="9472" width="9" style="1558"/>
    <col min="9473" max="9473" width="4.3984375" style="1558" customWidth="1"/>
    <col min="9474" max="9474" width="19" style="1558" customWidth="1"/>
    <col min="9475" max="9475" width="6.5" style="1558" customWidth="1"/>
    <col min="9476" max="9476" width="6" style="1558" customWidth="1"/>
    <col min="9477" max="9477" width="6.8984375" style="1558" customWidth="1"/>
    <col min="9478" max="9482" width="7.69921875" style="1558" customWidth="1"/>
    <col min="9483" max="9483" width="6.69921875" style="1558" customWidth="1"/>
    <col min="9484" max="9484" width="5.09765625" style="1558" customWidth="1"/>
    <col min="9485" max="9485" width="7.69921875" style="1558" customWidth="1"/>
    <col min="9486" max="9486" width="4.3984375" style="1558" customWidth="1"/>
    <col min="9487" max="9488" width="6.59765625" style="1558" customWidth="1"/>
    <col min="9489" max="9489" width="14" style="1558" customWidth="1"/>
    <col min="9490" max="9490" width="35.19921875" style="1558" customWidth="1"/>
    <col min="9491" max="9728" width="9" style="1558"/>
    <col min="9729" max="9729" width="4.3984375" style="1558" customWidth="1"/>
    <col min="9730" max="9730" width="19" style="1558" customWidth="1"/>
    <col min="9731" max="9731" width="6.5" style="1558" customWidth="1"/>
    <col min="9732" max="9732" width="6" style="1558" customWidth="1"/>
    <col min="9733" max="9733" width="6.8984375" style="1558" customWidth="1"/>
    <col min="9734" max="9738" width="7.69921875" style="1558" customWidth="1"/>
    <col min="9739" max="9739" width="6.69921875" style="1558" customWidth="1"/>
    <col min="9740" max="9740" width="5.09765625" style="1558" customWidth="1"/>
    <col min="9741" max="9741" width="7.69921875" style="1558" customWidth="1"/>
    <col min="9742" max="9742" width="4.3984375" style="1558" customWidth="1"/>
    <col min="9743" max="9744" width="6.59765625" style="1558" customWidth="1"/>
    <col min="9745" max="9745" width="14" style="1558" customWidth="1"/>
    <col min="9746" max="9746" width="35.19921875" style="1558" customWidth="1"/>
    <col min="9747" max="9984" width="9" style="1558"/>
    <col min="9985" max="9985" width="4.3984375" style="1558" customWidth="1"/>
    <col min="9986" max="9986" width="19" style="1558" customWidth="1"/>
    <col min="9987" max="9987" width="6.5" style="1558" customWidth="1"/>
    <col min="9988" max="9988" width="6" style="1558" customWidth="1"/>
    <col min="9989" max="9989" width="6.8984375" style="1558" customWidth="1"/>
    <col min="9990" max="9994" width="7.69921875" style="1558" customWidth="1"/>
    <col min="9995" max="9995" width="6.69921875" style="1558" customWidth="1"/>
    <col min="9996" max="9996" width="5.09765625" style="1558" customWidth="1"/>
    <col min="9997" max="9997" width="7.69921875" style="1558" customWidth="1"/>
    <col min="9998" max="9998" width="4.3984375" style="1558" customWidth="1"/>
    <col min="9999" max="10000" width="6.59765625" style="1558" customWidth="1"/>
    <col min="10001" max="10001" width="14" style="1558" customWidth="1"/>
    <col min="10002" max="10002" width="35.19921875" style="1558" customWidth="1"/>
    <col min="10003" max="10240" width="9" style="1558"/>
    <col min="10241" max="10241" width="4.3984375" style="1558" customWidth="1"/>
    <col min="10242" max="10242" width="19" style="1558" customWidth="1"/>
    <col min="10243" max="10243" width="6.5" style="1558" customWidth="1"/>
    <col min="10244" max="10244" width="6" style="1558" customWidth="1"/>
    <col min="10245" max="10245" width="6.8984375" style="1558" customWidth="1"/>
    <col min="10246" max="10250" width="7.69921875" style="1558" customWidth="1"/>
    <col min="10251" max="10251" width="6.69921875" style="1558" customWidth="1"/>
    <col min="10252" max="10252" width="5.09765625" style="1558" customWidth="1"/>
    <col min="10253" max="10253" width="7.69921875" style="1558" customWidth="1"/>
    <col min="10254" max="10254" width="4.3984375" style="1558" customWidth="1"/>
    <col min="10255" max="10256" width="6.59765625" style="1558" customWidth="1"/>
    <col min="10257" max="10257" width="14" style="1558" customWidth="1"/>
    <col min="10258" max="10258" width="35.19921875" style="1558" customWidth="1"/>
    <col min="10259" max="10496" width="9" style="1558"/>
    <col min="10497" max="10497" width="4.3984375" style="1558" customWidth="1"/>
    <col min="10498" max="10498" width="19" style="1558" customWidth="1"/>
    <col min="10499" max="10499" width="6.5" style="1558" customWidth="1"/>
    <col min="10500" max="10500" width="6" style="1558" customWidth="1"/>
    <col min="10501" max="10501" width="6.8984375" style="1558" customWidth="1"/>
    <col min="10502" max="10506" width="7.69921875" style="1558" customWidth="1"/>
    <col min="10507" max="10507" width="6.69921875" style="1558" customWidth="1"/>
    <col min="10508" max="10508" width="5.09765625" style="1558" customWidth="1"/>
    <col min="10509" max="10509" width="7.69921875" style="1558" customWidth="1"/>
    <col min="10510" max="10510" width="4.3984375" style="1558" customWidth="1"/>
    <col min="10511" max="10512" width="6.59765625" style="1558" customWidth="1"/>
    <col min="10513" max="10513" width="14" style="1558" customWidth="1"/>
    <col min="10514" max="10514" width="35.19921875" style="1558" customWidth="1"/>
    <col min="10515" max="10752" width="9" style="1558"/>
    <col min="10753" max="10753" width="4.3984375" style="1558" customWidth="1"/>
    <col min="10754" max="10754" width="19" style="1558" customWidth="1"/>
    <col min="10755" max="10755" width="6.5" style="1558" customWidth="1"/>
    <col min="10756" max="10756" width="6" style="1558" customWidth="1"/>
    <col min="10757" max="10757" width="6.8984375" style="1558" customWidth="1"/>
    <col min="10758" max="10762" width="7.69921875" style="1558" customWidth="1"/>
    <col min="10763" max="10763" width="6.69921875" style="1558" customWidth="1"/>
    <col min="10764" max="10764" width="5.09765625" style="1558" customWidth="1"/>
    <col min="10765" max="10765" width="7.69921875" style="1558" customWidth="1"/>
    <col min="10766" max="10766" width="4.3984375" style="1558" customWidth="1"/>
    <col min="10767" max="10768" width="6.59765625" style="1558" customWidth="1"/>
    <col min="10769" max="10769" width="14" style="1558" customWidth="1"/>
    <col min="10770" max="10770" width="35.19921875" style="1558" customWidth="1"/>
    <col min="10771" max="11008" width="9" style="1558"/>
    <col min="11009" max="11009" width="4.3984375" style="1558" customWidth="1"/>
    <col min="11010" max="11010" width="19" style="1558" customWidth="1"/>
    <col min="11011" max="11011" width="6.5" style="1558" customWidth="1"/>
    <col min="11012" max="11012" width="6" style="1558" customWidth="1"/>
    <col min="11013" max="11013" width="6.8984375" style="1558" customWidth="1"/>
    <col min="11014" max="11018" width="7.69921875" style="1558" customWidth="1"/>
    <col min="11019" max="11019" width="6.69921875" style="1558" customWidth="1"/>
    <col min="11020" max="11020" width="5.09765625" style="1558" customWidth="1"/>
    <col min="11021" max="11021" width="7.69921875" style="1558" customWidth="1"/>
    <col min="11022" max="11022" width="4.3984375" style="1558" customWidth="1"/>
    <col min="11023" max="11024" width="6.59765625" style="1558" customWidth="1"/>
    <col min="11025" max="11025" width="14" style="1558" customWidth="1"/>
    <col min="11026" max="11026" width="35.19921875" style="1558" customWidth="1"/>
    <col min="11027" max="11264" width="9" style="1558"/>
    <col min="11265" max="11265" width="4.3984375" style="1558" customWidth="1"/>
    <col min="11266" max="11266" width="19" style="1558" customWidth="1"/>
    <col min="11267" max="11267" width="6.5" style="1558" customWidth="1"/>
    <col min="11268" max="11268" width="6" style="1558" customWidth="1"/>
    <col min="11269" max="11269" width="6.8984375" style="1558" customWidth="1"/>
    <col min="11270" max="11274" width="7.69921875" style="1558" customWidth="1"/>
    <col min="11275" max="11275" width="6.69921875" style="1558" customWidth="1"/>
    <col min="11276" max="11276" width="5.09765625" style="1558" customWidth="1"/>
    <col min="11277" max="11277" width="7.69921875" style="1558" customWidth="1"/>
    <col min="11278" max="11278" width="4.3984375" style="1558" customWidth="1"/>
    <col min="11279" max="11280" width="6.59765625" style="1558" customWidth="1"/>
    <col min="11281" max="11281" width="14" style="1558" customWidth="1"/>
    <col min="11282" max="11282" width="35.19921875" style="1558" customWidth="1"/>
    <col min="11283" max="11520" width="9" style="1558"/>
    <col min="11521" max="11521" width="4.3984375" style="1558" customWidth="1"/>
    <col min="11522" max="11522" width="19" style="1558" customWidth="1"/>
    <col min="11523" max="11523" width="6.5" style="1558" customWidth="1"/>
    <col min="11524" max="11524" width="6" style="1558" customWidth="1"/>
    <col min="11525" max="11525" width="6.8984375" style="1558" customWidth="1"/>
    <col min="11526" max="11530" width="7.69921875" style="1558" customWidth="1"/>
    <col min="11531" max="11531" width="6.69921875" style="1558" customWidth="1"/>
    <col min="11532" max="11532" width="5.09765625" style="1558" customWidth="1"/>
    <col min="11533" max="11533" width="7.69921875" style="1558" customWidth="1"/>
    <col min="11534" max="11534" width="4.3984375" style="1558" customWidth="1"/>
    <col min="11535" max="11536" width="6.59765625" style="1558" customWidth="1"/>
    <col min="11537" max="11537" width="14" style="1558" customWidth="1"/>
    <col min="11538" max="11538" width="35.19921875" style="1558" customWidth="1"/>
    <col min="11539" max="11776" width="9" style="1558"/>
    <col min="11777" max="11777" width="4.3984375" style="1558" customWidth="1"/>
    <col min="11778" max="11778" width="19" style="1558" customWidth="1"/>
    <col min="11779" max="11779" width="6.5" style="1558" customWidth="1"/>
    <col min="11780" max="11780" width="6" style="1558" customWidth="1"/>
    <col min="11781" max="11781" width="6.8984375" style="1558" customWidth="1"/>
    <col min="11782" max="11786" width="7.69921875" style="1558" customWidth="1"/>
    <col min="11787" max="11787" width="6.69921875" style="1558" customWidth="1"/>
    <col min="11788" max="11788" width="5.09765625" style="1558" customWidth="1"/>
    <col min="11789" max="11789" width="7.69921875" style="1558" customWidth="1"/>
    <col min="11790" max="11790" width="4.3984375" style="1558" customWidth="1"/>
    <col min="11791" max="11792" width="6.59765625" style="1558" customWidth="1"/>
    <col min="11793" max="11793" width="14" style="1558" customWidth="1"/>
    <col min="11794" max="11794" width="35.19921875" style="1558" customWidth="1"/>
    <col min="11795" max="12032" width="9" style="1558"/>
    <col min="12033" max="12033" width="4.3984375" style="1558" customWidth="1"/>
    <col min="12034" max="12034" width="19" style="1558" customWidth="1"/>
    <col min="12035" max="12035" width="6.5" style="1558" customWidth="1"/>
    <col min="12036" max="12036" width="6" style="1558" customWidth="1"/>
    <col min="12037" max="12037" width="6.8984375" style="1558" customWidth="1"/>
    <col min="12038" max="12042" width="7.69921875" style="1558" customWidth="1"/>
    <col min="12043" max="12043" width="6.69921875" style="1558" customWidth="1"/>
    <col min="12044" max="12044" width="5.09765625" style="1558" customWidth="1"/>
    <col min="12045" max="12045" width="7.69921875" style="1558" customWidth="1"/>
    <col min="12046" max="12046" width="4.3984375" style="1558" customWidth="1"/>
    <col min="12047" max="12048" width="6.59765625" style="1558" customWidth="1"/>
    <col min="12049" max="12049" width="14" style="1558" customWidth="1"/>
    <col min="12050" max="12050" width="35.19921875" style="1558" customWidth="1"/>
    <col min="12051" max="12288" width="9" style="1558"/>
    <col min="12289" max="12289" width="4.3984375" style="1558" customWidth="1"/>
    <col min="12290" max="12290" width="19" style="1558" customWidth="1"/>
    <col min="12291" max="12291" width="6.5" style="1558" customWidth="1"/>
    <col min="12292" max="12292" width="6" style="1558" customWidth="1"/>
    <col min="12293" max="12293" width="6.8984375" style="1558" customWidth="1"/>
    <col min="12294" max="12298" width="7.69921875" style="1558" customWidth="1"/>
    <col min="12299" max="12299" width="6.69921875" style="1558" customWidth="1"/>
    <col min="12300" max="12300" width="5.09765625" style="1558" customWidth="1"/>
    <col min="12301" max="12301" width="7.69921875" style="1558" customWidth="1"/>
    <col min="12302" max="12302" width="4.3984375" style="1558" customWidth="1"/>
    <col min="12303" max="12304" width="6.59765625" style="1558" customWidth="1"/>
    <col min="12305" max="12305" width="14" style="1558" customWidth="1"/>
    <col min="12306" max="12306" width="35.19921875" style="1558" customWidth="1"/>
    <col min="12307" max="12544" width="9" style="1558"/>
    <col min="12545" max="12545" width="4.3984375" style="1558" customWidth="1"/>
    <col min="12546" max="12546" width="19" style="1558" customWidth="1"/>
    <col min="12547" max="12547" width="6.5" style="1558" customWidth="1"/>
    <col min="12548" max="12548" width="6" style="1558" customWidth="1"/>
    <col min="12549" max="12549" width="6.8984375" style="1558" customWidth="1"/>
    <col min="12550" max="12554" width="7.69921875" style="1558" customWidth="1"/>
    <col min="12555" max="12555" width="6.69921875" style="1558" customWidth="1"/>
    <col min="12556" max="12556" width="5.09765625" style="1558" customWidth="1"/>
    <col min="12557" max="12557" width="7.69921875" style="1558" customWidth="1"/>
    <col min="12558" max="12558" width="4.3984375" style="1558" customWidth="1"/>
    <col min="12559" max="12560" width="6.59765625" style="1558" customWidth="1"/>
    <col min="12561" max="12561" width="14" style="1558" customWidth="1"/>
    <col min="12562" max="12562" width="35.19921875" style="1558" customWidth="1"/>
    <col min="12563" max="12800" width="9" style="1558"/>
    <col min="12801" max="12801" width="4.3984375" style="1558" customWidth="1"/>
    <col min="12802" max="12802" width="19" style="1558" customWidth="1"/>
    <col min="12803" max="12803" width="6.5" style="1558" customWidth="1"/>
    <col min="12804" max="12804" width="6" style="1558" customWidth="1"/>
    <col min="12805" max="12805" width="6.8984375" style="1558" customWidth="1"/>
    <col min="12806" max="12810" width="7.69921875" style="1558" customWidth="1"/>
    <col min="12811" max="12811" width="6.69921875" style="1558" customWidth="1"/>
    <col min="12812" max="12812" width="5.09765625" style="1558" customWidth="1"/>
    <col min="12813" max="12813" width="7.69921875" style="1558" customWidth="1"/>
    <col min="12814" max="12814" width="4.3984375" style="1558" customWidth="1"/>
    <col min="12815" max="12816" width="6.59765625" style="1558" customWidth="1"/>
    <col min="12817" max="12817" width="14" style="1558" customWidth="1"/>
    <col min="12818" max="12818" width="35.19921875" style="1558" customWidth="1"/>
    <col min="12819" max="13056" width="9" style="1558"/>
    <col min="13057" max="13057" width="4.3984375" style="1558" customWidth="1"/>
    <col min="13058" max="13058" width="19" style="1558" customWidth="1"/>
    <col min="13059" max="13059" width="6.5" style="1558" customWidth="1"/>
    <col min="13060" max="13060" width="6" style="1558" customWidth="1"/>
    <col min="13061" max="13061" width="6.8984375" style="1558" customWidth="1"/>
    <col min="13062" max="13066" width="7.69921875" style="1558" customWidth="1"/>
    <col min="13067" max="13067" width="6.69921875" style="1558" customWidth="1"/>
    <col min="13068" max="13068" width="5.09765625" style="1558" customWidth="1"/>
    <col min="13069" max="13069" width="7.69921875" style="1558" customWidth="1"/>
    <col min="13070" max="13070" width="4.3984375" style="1558" customWidth="1"/>
    <col min="13071" max="13072" width="6.59765625" style="1558" customWidth="1"/>
    <col min="13073" max="13073" width="14" style="1558" customWidth="1"/>
    <col min="13074" max="13074" width="35.19921875" style="1558" customWidth="1"/>
    <col min="13075" max="13312" width="9" style="1558"/>
    <col min="13313" max="13313" width="4.3984375" style="1558" customWidth="1"/>
    <col min="13314" max="13314" width="19" style="1558" customWidth="1"/>
    <col min="13315" max="13315" width="6.5" style="1558" customWidth="1"/>
    <col min="13316" max="13316" width="6" style="1558" customWidth="1"/>
    <col min="13317" max="13317" width="6.8984375" style="1558" customWidth="1"/>
    <col min="13318" max="13322" width="7.69921875" style="1558" customWidth="1"/>
    <col min="13323" max="13323" width="6.69921875" style="1558" customWidth="1"/>
    <col min="13324" max="13324" width="5.09765625" style="1558" customWidth="1"/>
    <col min="13325" max="13325" width="7.69921875" style="1558" customWidth="1"/>
    <col min="13326" max="13326" width="4.3984375" style="1558" customWidth="1"/>
    <col min="13327" max="13328" width="6.59765625" style="1558" customWidth="1"/>
    <col min="13329" max="13329" width="14" style="1558" customWidth="1"/>
    <col min="13330" max="13330" width="35.19921875" style="1558" customWidth="1"/>
    <col min="13331" max="13568" width="9" style="1558"/>
    <col min="13569" max="13569" width="4.3984375" style="1558" customWidth="1"/>
    <col min="13570" max="13570" width="19" style="1558" customWidth="1"/>
    <col min="13571" max="13571" width="6.5" style="1558" customWidth="1"/>
    <col min="13572" max="13572" width="6" style="1558" customWidth="1"/>
    <col min="13573" max="13573" width="6.8984375" style="1558" customWidth="1"/>
    <col min="13574" max="13578" width="7.69921875" style="1558" customWidth="1"/>
    <col min="13579" max="13579" width="6.69921875" style="1558" customWidth="1"/>
    <col min="13580" max="13580" width="5.09765625" style="1558" customWidth="1"/>
    <col min="13581" max="13581" width="7.69921875" style="1558" customWidth="1"/>
    <col min="13582" max="13582" width="4.3984375" style="1558" customWidth="1"/>
    <col min="13583" max="13584" width="6.59765625" style="1558" customWidth="1"/>
    <col min="13585" max="13585" width="14" style="1558" customWidth="1"/>
    <col min="13586" max="13586" width="35.19921875" style="1558" customWidth="1"/>
    <col min="13587" max="13824" width="9" style="1558"/>
    <col min="13825" max="13825" width="4.3984375" style="1558" customWidth="1"/>
    <col min="13826" max="13826" width="19" style="1558" customWidth="1"/>
    <col min="13827" max="13827" width="6.5" style="1558" customWidth="1"/>
    <col min="13828" max="13828" width="6" style="1558" customWidth="1"/>
    <col min="13829" max="13829" width="6.8984375" style="1558" customWidth="1"/>
    <col min="13830" max="13834" width="7.69921875" style="1558" customWidth="1"/>
    <col min="13835" max="13835" width="6.69921875" style="1558" customWidth="1"/>
    <col min="13836" max="13836" width="5.09765625" style="1558" customWidth="1"/>
    <col min="13837" max="13837" width="7.69921875" style="1558" customWidth="1"/>
    <col min="13838" max="13838" width="4.3984375" style="1558" customWidth="1"/>
    <col min="13839" max="13840" width="6.59765625" style="1558" customWidth="1"/>
    <col min="13841" max="13841" width="14" style="1558" customWidth="1"/>
    <col min="13842" max="13842" width="35.19921875" style="1558" customWidth="1"/>
    <col min="13843" max="14080" width="9" style="1558"/>
    <col min="14081" max="14081" width="4.3984375" style="1558" customWidth="1"/>
    <col min="14082" max="14082" width="19" style="1558" customWidth="1"/>
    <col min="14083" max="14083" width="6.5" style="1558" customWidth="1"/>
    <col min="14084" max="14084" width="6" style="1558" customWidth="1"/>
    <col min="14085" max="14085" width="6.8984375" style="1558" customWidth="1"/>
    <col min="14086" max="14090" width="7.69921875" style="1558" customWidth="1"/>
    <col min="14091" max="14091" width="6.69921875" style="1558" customWidth="1"/>
    <col min="14092" max="14092" width="5.09765625" style="1558" customWidth="1"/>
    <col min="14093" max="14093" width="7.69921875" style="1558" customWidth="1"/>
    <col min="14094" max="14094" width="4.3984375" style="1558" customWidth="1"/>
    <col min="14095" max="14096" width="6.59765625" style="1558" customWidth="1"/>
    <col min="14097" max="14097" width="14" style="1558" customWidth="1"/>
    <col min="14098" max="14098" width="35.19921875" style="1558" customWidth="1"/>
    <col min="14099" max="14336" width="9" style="1558"/>
    <col min="14337" max="14337" width="4.3984375" style="1558" customWidth="1"/>
    <col min="14338" max="14338" width="19" style="1558" customWidth="1"/>
    <col min="14339" max="14339" width="6.5" style="1558" customWidth="1"/>
    <col min="14340" max="14340" width="6" style="1558" customWidth="1"/>
    <col min="14341" max="14341" width="6.8984375" style="1558" customWidth="1"/>
    <col min="14342" max="14346" width="7.69921875" style="1558" customWidth="1"/>
    <col min="14347" max="14347" width="6.69921875" style="1558" customWidth="1"/>
    <col min="14348" max="14348" width="5.09765625" style="1558" customWidth="1"/>
    <col min="14349" max="14349" width="7.69921875" style="1558" customWidth="1"/>
    <col min="14350" max="14350" width="4.3984375" style="1558" customWidth="1"/>
    <col min="14351" max="14352" width="6.59765625" style="1558" customWidth="1"/>
    <col min="14353" max="14353" width="14" style="1558" customWidth="1"/>
    <col min="14354" max="14354" width="35.19921875" style="1558" customWidth="1"/>
    <col min="14355" max="14592" width="9" style="1558"/>
    <col min="14593" max="14593" width="4.3984375" style="1558" customWidth="1"/>
    <col min="14594" max="14594" width="19" style="1558" customWidth="1"/>
    <col min="14595" max="14595" width="6.5" style="1558" customWidth="1"/>
    <col min="14596" max="14596" width="6" style="1558" customWidth="1"/>
    <col min="14597" max="14597" width="6.8984375" style="1558" customWidth="1"/>
    <col min="14598" max="14602" width="7.69921875" style="1558" customWidth="1"/>
    <col min="14603" max="14603" width="6.69921875" style="1558" customWidth="1"/>
    <col min="14604" max="14604" width="5.09765625" style="1558" customWidth="1"/>
    <col min="14605" max="14605" width="7.69921875" style="1558" customWidth="1"/>
    <col min="14606" max="14606" width="4.3984375" style="1558" customWidth="1"/>
    <col min="14607" max="14608" width="6.59765625" style="1558" customWidth="1"/>
    <col min="14609" max="14609" width="14" style="1558" customWidth="1"/>
    <col min="14610" max="14610" width="35.19921875" style="1558" customWidth="1"/>
    <col min="14611" max="14848" width="9" style="1558"/>
    <col min="14849" max="14849" width="4.3984375" style="1558" customWidth="1"/>
    <col min="14850" max="14850" width="19" style="1558" customWidth="1"/>
    <col min="14851" max="14851" width="6.5" style="1558" customWidth="1"/>
    <col min="14852" max="14852" width="6" style="1558" customWidth="1"/>
    <col min="14853" max="14853" width="6.8984375" style="1558" customWidth="1"/>
    <col min="14854" max="14858" width="7.69921875" style="1558" customWidth="1"/>
    <col min="14859" max="14859" width="6.69921875" style="1558" customWidth="1"/>
    <col min="14860" max="14860" width="5.09765625" style="1558" customWidth="1"/>
    <col min="14861" max="14861" width="7.69921875" style="1558" customWidth="1"/>
    <col min="14862" max="14862" width="4.3984375" style="1558" customWidth="1"/>
    <col min="14863" max="14864" width="6.59765625" style="1558" customWidth="1"/>
    <col min="14865" max="14865" width="14" style="1558" customWidth="1"/>
    <col min="14866" max="14866" width="35.19921875" style="1558" customWidth="1"/>
    <col min="14867" max="15104" width="9" style="1558"/>
    <col min="15105" max="15105" width="4.3984375" style="1558" customWidth="1"/>
    <col min="15106" max="15106" width="19" style="1558" customWidth="1"/>
    <col min="15107" max="15107" width="6.5" style="1558" customWidth="1"/>
    <col min="15108" max="15108" width="6" style="1558" customWidth="1"/>
    <col min="15109" max="15109" width="6.8984375" style="1558" customWidth="1"/>
    <col min="15110" max="15114" width="7.69921875" style="1558" customWidth="1"/>
    <col min="15115" max="15115" width="6.69921875" style="1558" customWidth="1"/>
    <col min="15116" max="15116" width="5.09765625" style="1558" customWidth="1"/>
    <col min="15117" max="15117" width="7.69921875" style="1558" customWidth="1"/>
    <col min="15118" max="15118" width="4.3984375" style="1558" customWidth="1"/>
    <col min="15119" max="15120" width="6.59765625" style="1558" customWidth="1"/>
    <col min="15121" max="15121" width="14" style="1558" customWidth="1"/>
    <col min="15122" max="15122" width="35.19921875" style="1558" customWidth="1"/>
    <col min="15123" max="15360" width="9" style="1558"/>
    <col min="15361" max="15361" width="4.3984375" style="1558" customWidth="1"/>
    <col min="15362" max="15362" width="19" style="1558" customWidth="1"/>
    <col min="15363" max="15363" width="6.5" style="1558" customWidth="1"/>
    <col min="15364" max="15364" width="6" style="1558" customWidth="1"/>
    <col min="15365" max="15365" width="6.8984375" style="1558" customWidth="1"/>
    <col min="15366" max="15370" width="7.69921875" style="1558" customWidth="1"/>
    <col min="15371" max="15371" width="6.69921875" style="1558" customWidth="1"/>
    <col min="15372" max="15372" width="5.09765625" style="1558" customWidth="1"/>
    <col min="15373" max="15373" width="7.69921875" style="1558" customWidth="1"/>
    <col min="15374" max="15374" width="4.3984375" style="1558" customWidth="1"/>
    <col min="15375" max="15376" width="6.59765625" style="1558" customWidth="1"/>
    <col min="15377" max="15377" width="14" style="1558" customWidth="1"/>
    <col min="15378" max="15378" width="35.19921875" style="1558" customWidth="1"/>
    <col min="15379" max="15616" width="9" style="1558"/>
    <col min="15617" max="15617" width="4.3984375" style="1558" customWidth="1"/>
    <col min="15618" max="15618" width="19" style="1558" customWidth="1"/>
    <col min="15619" max="15619" width="6.5" style="1558" customWidth="1"/>
    <col min="15620" max="15620" width="6" style="1558" customWidth="1"/>
    <col min="15621" max="15621" width="6.8984375" style="1558" customWidth="1"/>
    <col min="15622" max="15626" width="7.69921875" style="1558" customWidth="1"/>
    <col min="15627" max="15627" width="6.69921875" style="1558" customWidth="1"/>
    <col min="15628" max="15628" width="5.09765625" style="1558" customWidth="1"/>
    <col min="15629" max="15629" width="7.69921875" style="1558" customWidth="1"/>
    <col min="15630" max="15630" width="4.3984375" style="1558" customWidth="1"/>
    <col min="15631" max="15632" width="6.59765625" style="1558" customWidth="1"/>
    <col min="15633" max="15633" width="14" style="1558" customWidth="1"/>
    <col min="15634" max="15634" width="35.19921875" style="1558" customWidth="1"/>
    <col min="15635" max="15872" width="9" style="1558"/>
    <col min="15873" max="15873" width="4.3984375" style="1558" customWidth="1"/>
    <col min="15874" max="15874" width="19" style="1558" customWidth="1"/>
    <col min="15875" max="15875" width="6.5" style="1558" customWidth="1"/>
    <col min="15876" max="15876" width="6" style="1558" customWidth="1"/>
    <col min="15877" max="15877" width="6.8984375" style="1558" customWidth="1"/>
    <col min="15878" max="15882" width="7.69921875" style="1558" customWidth="1"/>
    <col min="15883" max="15883" width="6.69921875" style="1558" customWidth="1"/>
    <col min="15884" max="15884" width="5.09765625" style="1558" customWidth="1"/>
    <col min="15885" max="15885" width="7.69921875" style="1558" customWidth="1"/>
    <col min="15886" max="15886" width="4.3984375" style="1558" customWidth="1"/>
    <col min="15887" max="15888" width="6.59765625" style="1558" customWidth="1"/>
    <col min="15889" max="15889" width="14" style="1558" customWidth="1"/>
    <col min="15890" max="15890" width="35.19921875" style="1558" customWidth="1"/>
    <col min="15891" max="16128" width="9" style="1558"/>
    <col min="16129" max="16129" width="4.3984375" style="1558" customWidth="1"/>
    <col min="16130" max="16130" width="19" style="1558" customWidth="1"/>
    <col min="16131" max="16131" width="6.5" style="1558" customWidth="1"/>
    <col min="16132" max="16132" width="6" style="1558" customWidth="1"/>
    <col min="16133" max="16133" width="6.8984375" style="1558" customWidth="1"/>
    <col min="16134" max="16138" width="7.69921875" style="1558" customWidth="1"/>
    <col min="16139" max="16139" width="6.69921875" style="1558" customWidth="1"/>
    <col min="16140" max="16140" width="5.09765625" style="1558" customWidth="1"/>
    <col min="16141" max="16141" width="7.69921875" style="1558" customWidth="1"/>
    <col min="16142" max="16142" width="4.3984375" style="1558" customWidth="1"/>
    <col min="16143" max="16144" width="6.59765625" style="1558" customWidth="1"/>
    <col min="16145" max="16145" width="14" style="1558" customWidth="1"/>
    <col min="16146" max="16146" width="35.19921875" style="1558" customWidth="1"/>
    <col min="16147" max="16384" width="9" style="1558"/>
  </cols>
  <sheetData>
    <row r="1" spans="1:19" ht="20.100000000000001" customHeight="1">
      <c r="A1" s="2164"/>
      <c r="B1" s="2164"/>
      <c r="C1" s="2164"/>
      <c r="D1" s="2164"/>
      <c r="E1" s="2164"/>
      <c r="F1" s="2164"/>
      <c r="G1" s="2164"/>
      <c r="H1" s="2164"/>
      <c r="I1" s="2164"/>
      <c r="J1" s="2164"/>
      <c r="K1" s="2164"/>
      <c r="L1" s="2164"/>
      <c r="M1" s="2164"/>
      <c r="N1" s="2164"/>
      <c r="O1" s="2164"/>
      <c r="P1" s="2164"/>
      <c r="Q1" s="2165" t="str">
        <f>"索引号："&amp;档案索引!A38</f>
        <v>索引号：2A-18</v>
      </c>
    </row>
    <row r="2" spans="1:19" ht="25.5" customHeight="1">
      <c r="A2" s="3379" t="s">
        <v>5928</v>
      </c>
      <c r="B2" s="3379"/>
      <c r="C2" s="3379"/>
      <c r="D2" s="3379"/>
      <c r="E2" s="3379"/>
      <c r="F2" s="3379"/>
      <c r="G2" s="3379"/>
      <c r="H2" s="3379"/>
      <c r="I2" s="3379"/>
      <c r="J2" s="3379"/>
      <c r="K2" s="3379"/>
      <c r="L2" s="3379"/>
      <c r="M2" s="3379"/>
      <c r="N2" s="3379"/>
      <c r="O2" s="3379"/>
      <c r="P2" s="3379"/>
      <c r="Q2" s="1858"/>
    </row>
    <row r="3" spans="1:19" s="1555" customFormat="1" ht="14.25" customHeight="1">
      <c r="A3" s="3391" t="s">
        <v>1854</v>
      </c>
      <c r="B3" s="3391" t="s">
        <v>1855</v>
      </c>
      <c r="C3" s="3392" t="s">
        <v>5236</v>
      </c>
      <c r="D3" s="3392" t="s">
        <v>5237</v>
      </c>
      <c r="E3" s="3394" t="s">
        <v>5238</v>
      </c>
      <c r="F3" s="3394"/>
      <c r="G3" s="3395" t="s">
        <v>5239</v>
      </c>
      <c r="H3" s="3396"/>
      <c r="I3" s="3396"/>
      <c r="J3" s="3396"/>
      <c r="K3" s="3397"/>
      <c r="L3" s="3394" t="s">
        <v>5240</v>
      </c>
      <c r="M3" s="3394"/>
      <c r="N3" s="3394" t="s">
        <v>5241</v>
      </c>
      <c r="O3" s="3394"/>
      <c r="P3" s="3394"/>
      <c r="Q3" s="3392" t="s">
        <v>5153</v>
      </c>
    </row>
    <row r="4" spans="1:19" s="1555" customFormat="1" ht="32.25" customHeight="1">
      <c r="A4" s="3391"/>
      <c r="B4" s="3391"/>
      <c r="C4" s="3393"/>
      <c r="D4" s="3393"/>
      <c r="E4" s="3394"/>
      <c r="F4" s="3394"/>
      <c r="G4" s="3399" t="s">
        <v>5242</v>
      </c>
      <c r="H4" s="3399" t="s">
        <v>5243</v>
      </c>
      <c r="I4" s="3399" t="s">
        <v>5244</v>
      </c>
      <c r="J4" s="3399" t="s">
        <v>5245</v>
      </c>
      <c r="K4" s="3399" t="s">
        <v>5246</v>
      </c>
      <c r="L4" s="3392" t="s">
        <v>5247</v>
      </c>
      <c r="M4" s="3392" t="s">
        <v>5248</v>
      </c>
      <c r="N4" s="3392" t="s">
        <v>5249</v>
      </c>
      <c r="O4" s="3392" t="s">
        <v>5250</v>
      </c>
      <c r="P4" s="3392" t="s">
        <v>5251</v>
      </c>
      <c r="Q4" s="3393"/>
    </row>
    <row r="5" spans="1:19" s="1555" customFormat="1" ht="30.75" customHeight="1">
      <c r="A5" s="3391"/>
      <c r="B5" s="3391"/>
      <c r="C5" s="3393"/>
      <c r="D5" s="3393"/>
      <c r="E5" s="1859" t="s">
        <v>2438</v>
      </c>
      <c r="F5" s="1859" t="s">
        <v>5252</v>
      </c>
      <c r="G5" s="3400"/>
      <c r="H5" s="3400"/>
      <c r="I5" s="3400"/>
      <c r="J5" s="3400"/>
      <c r="K5" s="3400"/>
      <c r="L5" s="3393"/>
      <c r="M5" s="3393"/>
      <c r="N5" s="3393"/>
      <c r="O5" s="3393"/>
      <c r="P5" s="3393"/>
      <c r="Q5" s="3393"/>
    </row>
    <row r="6" spans="1:19" s="1555" customFormat="1" ht="14.25" customHeight="1">
      <c r="A6" s="3391"/>
      <c r="B6" s="3391"/>
      <c r="C6" s="1860">
        <v>1</v>
      </c>
      <c r="D6" s="1860">
        <v>2</v>
      </c>
      <c r="E6" s="1860">
        <v>3</v>
      </c>
      <c r="F6" s="1860">
        <v>4</v>
      </c>
      <c r="G6" s="1860">
        <v>5</v>
      </c>
      <c r="H6" s="1860">
        <v>6</v>
      </c>
      <c r="I6" s="1860">
        <v>7</v>
      </c>
      <c r="J6" s="1860">
        <v>8</v>
      </c>
      <c r="K6" s="1860">
        <v>9</v>
      </c>
      <c r="L6" s="1860">
        <v>10</v>
      </c>
      <c r="M6" s="1860">
        <v>11</v>
      </c>
      <c r="N6" s="1860">
        <v>12</v>
      </c>
      <c r="O6" s="1860">
        <v>13</v>
      </c>
      <c r="P6" s="1860">
        <v>14</v>
      </c>
      <c r="Q6" s="1923"/>
    </row>
    <row r="7" spans="1:19" s="1559" customFormat="1" ht="14.25" customHeight="1">
      <c r="A7" s="1860">
        <v>1</v>
      </c>
      <c r="B7" s="1861" t="s">
        <v>6632</v>
      </c>
      <c r="C7" s="2056">
        <f>C8-1</f>
        <v>2011</v>
      </c>
      <c r="D7" s="2085"/>
      <c r="E7" s="2085"/>
      <c r="F7" s="2078"/>
      <c r="G7" s="2085"/>
      <c r="H7" s="2085"/>
      <c r="I7" s="2085"/>
      <c r="J7" s="2085"/>
      <c r="K7" s="2085"/>
      <c r="L7" s="2078"/>
      <c r="M7" s="2078"/>
      <c r="N7" s="2087">
        <f t="shared" ref="N7:N12" si="0">E7-SUM(G7:L7)</f>
        <v>0</v>
      </c>
      <c r="O7" s="2085"/>
      <c r="P7" s="2085"/>
      <c r="Q7" s="1971"/>
    </row>
    <row r="8" spans="1:19" s="1559" customFormat="1" ht="14.25" customHeight="1">
      <c r="A8" s="1860">
        <v>2</v>
      </c>
      <c r="B8" s="1861" t="s">
        <v>1349</v>
      </c>
      <c r="C8" s="2056">
        <f>C9-1</f>
        <v>2012</v>
      </c>
      <c r="D8" s="2085"/>
      <c r="E8" s="2085"/>
      <c r="F8" s="2085"/>
      <c r="G8" s="2054" t="s">
        <v>510</v>
      </c>
      <c r="H8" s="2085"/>
      <c r="I8" s="2085"/>
      <c r="J8" s="2085"/>
      <c r="K8" s="2085"/>
      <c r="L8" s="2085"/>
      <c r="M8" s="2085"/>
      <c r="N8" s="2087">
        <f t="shared" si="0"/>
        <v>0</v>
      </c>
      <c r="O8" s="2085"/>
      <c r="P8" s="2085"/>
      <c r="Q8" s="1971"/>
    </row>
    <row r="9" spans="1:19" ht="14.25" customHeight="1">
      <c r="A9" s="1860">
        <v>3</v>
      </c>
      <c r="B9" s="1861" t="s">
        <v>1350</v>
      </c>
      <c r="C9" s="2056">
        <f>C10-1</f>
        <v>2013</v>
      </c>
      <c r="D9" s="2085"/>
      <c r="E9" s="2085"/>
      <c r="F9" s="2085"/>
      <c r="G9" s="2054" t="s">
        <v>510</v>
      </c>
      <c r="H9" s="2054" t="s">
        <v>510</v>
      </c>
      <c r="I9" s="2085"/>
      <c r="J9" s="2085"/>
      <c r="K9" s="2085"/>
      <c r="L9" s="2085"/>
      <c r="M9" s="2085"/>
      <c r="N9" s="2087">
        <f t="shared" si="0"/>
        <v>0</v>
      </c>
      <c r="O9" s="2085"/>
      <c r="P9" s="2085"/>
      <c r="Q9" s="1971"/>
    </row>
    <row r="10" spans="1:19" ht="14.25" customHeight="1">
      <c r="A10" s="1860">
        <v>4</v>
      </c>
      <c r="B10" s="1861" t="s">
        <v>1351</v>
      </c>
      <c r="C10" s="2056">
        <f>C11-1</f>
        <v>2014</v>
      </c>
      <c r="D10" s="2085"/>
      <c r="E10" s="2085"/>
      <c r="F10" s="2085"/>
      <c r="G10" s="2054" t="s">
        <v>510</v>
      </c>
      <c r="H10" s="2054" t="s">
        <v>510</v>
      </c>
      <c r="I10" s="2054" t="s">
        <v>510</v>
      </c>
      <c r="J10" s="2085"/>
      <c r="K10" s="2085"/>
      <c r="L10" s="2085"/>
      <c r="M10" s="2085"/>
      <c r="N10" s="2087">
        <f t="shared" si="0"/>
        <v>0</v>
      </c>
      <c r="O10" s="2085"/>
      <c r="P10" s="2085"/>
      <c r="Q10" s="1971"/>
    </row>
    <row r="11" spans="1:19" ht="14.25" customHeight="1">
      <c r="A11" s="1860">
        <v>5</v>
      </c>
      <c r="B11" s="1861" t="s">
        <v>1352</v>
      </c>
      <c r="C11" s="2056">
        <f>C12-1</f>
        <v>2015</v>
      </c>
      <c r="D11" s="2085"/>
      <c r="E11" s="2078"/>
      <c r="F11" s="2078"/>
      <c r="G11" s="2054" t="s">
        <v>510</v>
      </c>
      <c r="H11" s="2054" t="s">
        <v>510</v>
      </c>
      <c r="I11" s="2054" t="s">
        <v>510</v>
      </c>
      <c r="J11" s="2054" t="s">
        <v>510</v>
      </c>
      <c r="K11" s="2078"/>
      <c r="L11" s="2078"/>
      <c r="M11" s="2078"/>
      <c r="N11" s="2087">
        <f t="shared" si="0"/>
        <v>0</v>
      </c>
      <c r="O11" s="2078"/>
      <c r="P11" s="2085"/>
      <c r="Q11" s="1971"/>
      <c r="R11" s="1675" t="s">
        <v>6441</v>
      </c>
    </row>
    <row r="12" spans="1:19" ht="14.25" customHeight="1">
      <c r="A12" s="1860">
        <v>6</v>
      </c>
      <c r="B12" s="1861" t="s">
        <v>5254</v>
      </c>
      <c r="C12" s="2056">
        <f>本年度</f>
        <v>2016</v>
      </c>
      <c r="D12" s="2085"/>
      <c r="E12" s="2078"/>
      <c r="F12" s="2078"/>
      <c r="G12" s="2054" t="s">
        <v>510</v>
      </c>
      <c r="H12" s="2054" t="s">
        <v>510</v>
      </c>
      <c r="I12" s="2054" t="s">
        <v>510</v>
      </c>
      <c r="J12" s="2054" t="s">
        <v>510</v>
      </c>
      <c r="K12" s="2054" t="s">
        <v>510</v>
      </c>
      <c r="L12" s="2078"/>
      <c r="M12" s="2078"/>
      <c r="N12" s="2087">
        <f t="shared" si="0"/>
        <v>0</v>
      </c>
      <c r="O12" s="2078"/>
      <c r="P12" s="2085"/>
      <c r="Q12" s="1971"/>
    </row>
    <row r="13" spans="1:19" s="1559" customFormat="1" ht="19.5" customHeight="1">
      <c r="A13" s="1862">
        <v>7</v>
      </c>
      <c r="B13" s="1863" t="s">
        <v>5255</v>
      </c>
      <c r="C13" s="1926" t="s">
        <v>1860</v>
      </c>
      <c r="D13" s="2080">
        <f>SUM(D7:D12)</f>
        <v>0</v>
      </c>
      <c r="E13" s="2086">
        <f>SUM(E7:E12)</f>
        <v>0</v>
      </c>
      <c r="F13" s="2086">
        <f>SUM(F7:F12)</f>
        <v>0</v>
      </c>
      <c r="G13" s="2055" t="s">
        <v>510</v>
      </c>
      <c r="H13" s="2055" t="s">
        <v>510</v>
      </c>
      <c r="I13" s="2055" t="s">
        <v>510</v>
      </c>
      <c r="J13" s="2055" t="s">
        <v>510</v>
      </c>
      <c r="K13" s="2055" t="s">
        <v>510</v>
      </c>
      <c r="L13" s="2080">
        <f>SUM(L7:L12)</f>
        <v>0</v>
      </c>
      <c r="M13" s="2080">
        <f>SUM(M7:M12)</f>
        <v>0</v>
      </c>
      <c r="N13" s="2076"/>
      <c r="O13" s="2076"/>
      <c r="P13" s="2076"/>
      <c r="Q13" s="1863" t="s">
        <v>5256</v>
      </c>
    </row>
    <row r="14" spans="1:19" s="1560" customFormat="1" ht="14.25" customHeight="1">
      <c r="A14" s="2178"/>
      <c r="B14" s="2178"/>
      <c r="C14" s="2178"/>
      <c r="D14" s="2178"/>
      <c r="E14" s="2178"/>
      <c r="F14" s="2178"/>
      <c r="G14" s="2178"/>
      <c r="H14" s="2178"/>
      <c r="I14" s="2178"/>
      <c r="J14" s="2178"/>
      <c r="K14" s="2178"/>
      <c r="L14" s="2178"/>
      <c r="M14" s="2178"/>
      <c r="N14" s="2178"/>
      <c r="O14" s="2178"/>
      <c r="P14" s="2178"/>
      <c r="Q14" s="1994"/>
      <c r="R14" s="1558"/>
      <c r="S14" s="1558"/>
    </row>
    <row r="15" spans="1:19">
      <c r="A15" s="3398"/>
      <c r="B15" s="3398"/>
      <c r="C15" s="3398"/>
      <c r="D15" s="3398"/>
      <c r="E15" s="3398"/>
      <c r="F15" s="3398"/>
      <c r="G15" s="3398"/>
      <c r="H15" s="3398"/>
      <c r="I15" s="3398"/>
      <c r="J15" s="3398"/>
      <c r="K15" s="3398"/>
      <c r="L15" s="3398"/>
      <c r="M15" s="3398"/>
      <c r="N15" s="3398"/>
      <c r="O15" s="3398"/>
      <c r="P15" s="3398"/>
      <c r="Q15" s="3398"/>
    </row>
    <row r="16" spans="1:19">
      <c r="A16" s="3398"/>
      <c r="B16" s="3398"/>
      <c r="C16" s="3398"/>
      <c r="D16" s="3398"/>
      <c r="E16" s="3398"/>
      <c r="F16" s="3398"/>
      <c r="G16" s="3398"/>
      <c r="H16" s="3398"/>
      <c r="I16" s="3398"/>
      <c r="J16" s="3398"/>
      <c r="K16" s="3398"/>
      <c r="L16" s="3398"/>
      <c r="M16" s="3398"/>
      <c r="N16" s="3398"/>
      <c r="O16" s="3398"/>
      <c r="P16" s="3398"/>
      <c r="Q16" s="3398"/>
    </row>
    <row r="17" spans="1:17">
      <c r="A17" s="3398"/>
      <c r="B17" s="3398"/>
      <c r="C17" s="3398"/>
      <c r="D17" s="3398"/>
      <c r="E17" s="3398"/>
      <c r="F17" s="3398"/>
      <c r="G17" s="3398"/>
      <c r="H17" s="3398"/>
      <c r="I17" s="3398"/>
      <c r="J17" s="3398"/>
      <c r="K17" s="3398"/>
      <c r="L17" s="3398"/>
      <c r="M17" s="3398"/>
      <c r="N17" s="3398"/>
      <c r="O17" s="3398"/>
      <c r="P17" s="3398"/>
      <c r="Q17" s="3398"/>
    </row>
  </sheetData>
  <mergeCells count="23">
    <mergeCell ref="A15:Q15"/>
    <mergeCell ref="A16:Q16"/>
    <mergeCell ref="A17:Q17"/>
    <mergeCell ref="Q3:Q5"/>
    <mergeCell ref="G4:G5"/>
    <mergeCell ref="H4:H5"/>
    <mergeCell ref="I4:I5"/>
    <mergeCell ref="J4:J5"/>
    <mergeCell ref="K4:K5"/>
    <mergeCell ref="L4:L5"/>
    <mergeCell ref="M4:M5"/>
    <mergeCell ref="N4:N5"/>
    <mergeCell ref="O4:O5"/>
    <mergeCell ref="A2:P2"/>
    <mergeCell ref="A3:A6"/>
    <mergeCell ref="B3:B6"/>
    <mergeCell ref="C3:C5"/>
    <mergeCell ref="D3:D5"/>
    <mergeCell ref="E3:F4"/>
    <mergeCell ref="G3:K3"/>
    <mergeCell ref="L3:M3"/>
    <mergeCell ref="N3:P3"/>
    <mergeCell ref="P4:P5"/>
  </mergeCells>
  <phoneticPr fontId="51" type="noConversion"/>
  <hyperlinks>
    <hyperlink ref="R11" location="A105040专项用途财政性资金纳税调整表!A1" display="A105040专项用途财政性资金纳税调整表!A1"/>
  </hyperlinks>
  <printOptions horizontalCentered="1"/>
  <pageMargins left="0.78740157480314998" right="0.35433070866141703" top="0.511811023622047" bottom="0.11811023622047198" header="0.511811023622047" footer="0.511811023622047"/>
  <pageSetup paperSize="9" orientation="landscape" r:id="rId1"/>
  <headerFooter alignWithMargins="0"/>
</worksheet>
</file>

<file path=xl/worksheets/sheet4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60">
    <tabColor rgb="FFFFFF00"/>
  </sheetPr>
  <dimension ref="A1:W172"/>
  <sheetViews>
    <sheetView workbookViewId="0">
      <selection activeCell="W10" sqref="W10"/>
    </sheetView>
  </sheetViews>
  <sheetFormatPr defaultRowHeight="15.6"/>
  <cols>
    <col min="1" max="1" width="4.19921875" style="1532" customWidth="1"/>
    <col min="2" max="2" width="8.19921875" style="2002" customWidth="1"/>
    <col min="3" max="3" width="15.59765625" style="1532" customWidth="1"/>
    <col min="4" max="8" width="9" style="1532" customWidth="1"/>
    <col min="9" max="9" width="9" style="1537" customWidth="1"/>
    <col min="10" max="13" width="9" style="1532" customWidth="1"/>
    <col min="14" max="15" width="9" style="2002" customWidth="1"/>
    <col min="16" max="16" width="9" style="1532" customWidth="1"/>
    <col min="17" max="17" width="9" style="2002" customWidth="1"/>
    <col min="18" max="21" width="9" style="1532" customWidth="1"/>
    <col min="22" max="22" width="7.19921875" style="1532" customWidth="1"/>
    <col min="23" max="23" width="19.8984375" style="1532" customWidth="1"/>
    <col min="24" max="255" width="9" style="1532"/>
    <col min="256" max="256" width="4.19921875" style="1532" customWidth="1"/>
    <col min="257" max="257" width="29.5" style="1532" customWidth="1"/>
    <col min="258" max="272" width="4.5" style="1532" customWidth="1"/>
    <col min="273" max="273" width="3.8984375" style="1532" customWidth="1"/>
    <col min="274" max="274" width="4" style="1532" customWidth="1"/>
    <col min="275" max="275" width="4.3984375" style="1532" customWidth="1"/>
    <col min="276" max="276" width="4.5" style="1532" customWidth="1"/>
    <col min="277" max="277" width="3.8984375" style="1532" customWidth="1"/>
    <col min="278" max="278" width="16.09765625" style="1532" customWidth="1"/>
    <col min="279" max="279" width="19.8984375" style="1532" customWidth="1"/>
    <col min="280" max="511" width="9" style="1532"/>
    <col min="512" max="512" width="4.19921875" style="1532" customWidth="1"/>
    <col min="513" max="513" width="29.5" style="1532" customWidth="1"/>
    <col min="514" max="528" width="4.5" style="1532" customWidth="1"/>
    <col min="529" max="529" width="3.8984375" style="1532" customWidth="1"/>
    <col min="530" max="530" width="4" style="1532" customWidth="1"/>
    <col min="531" max="531" width="4.3984375" style="1532" customWidth="1"/>
    <col min="532" max="532" width="4.5" style="1532" customWidth="1"/>
    <col min="533" max="533" width="3.8984375" style="1532" customWidth="1"/>
    <col min="534" max="534" width="16.09765625" style="1532" customWidth="1"/>
    <col min="535" max="535" width="19.8984375" style="1532" customWidth="1"/>
    <col min="536" max="767" width="9" style="1532"/>
    <col min="768" max="768" width="4.19921875" style="1532" customWidth="1"/>
    <col min="769" max="769" width="29.5" style="1532" customWidth="1"/>
    <col min="770" max="784" width="4.5" style="1532" customWidth="1"/>
    <col min="785" max="785" width="3.8984375" style="1532" customWidth="1"/>
    <col min="786" max="786" width="4" style="1532" customWidth="1"/>
    <col min="787" max="787" width="4.3984375" style="1532" customWidth="1"/>
    <col min="788" max="788" width="4.5" style="1532" customWidth="1"/>
    <col min="789" max="789" width="3.8984375" style="1532" customWidth="1"/>
    <col min="790" max="790" width="16.09765625" style="1532" customWidth="1"/>
    <col min="791" max="791" width="19.8984375" style="1532" customWidth="1"/>
    <col min="792" max="1023" width="9" style="1532"/>
    <col min="1024" max="1024" width="4.19921875" style="1532" customWidth="1"/>
    <col min="1025" max="1025" width="29.5" style="1532" customWidth="1"/>
    <col min="1026" max="1040" width="4.5" style="1532" customWidth="1"/>
    <col min="1041" max="1041" width="3.8984375" style="1532" customWidth="1"/>
    <col min="1042" max="1042" width="4" style="1532" customWidth="1"/>
    <col min="1043" max="1043" width="4.3984375" style="1532" customWidth="1"/>
    <col min="1044" max="1044" width="4.5" style="1532" customWidth="1"/>
    <col min="1045" max="1045" width="3.8984375" style="1532" customWidth="1"/>
    <col min="1046" max="1046" width="16.09765625" style="1532" customWidth="1"/>
    <col min="1047" max="1047" width="19.8984375" style="1532" customWidth="1"/>
    <col min="1048" max="1279" width="9" style="1532"/>
    <col min="1280" max="1280" width="4.19921875" style="1532" customWidth="1"/>
    <col min="1281" max="1281" width="29.5" style="1532" customWidth="1"/>
    <col min="1282" max="1296" width="4.5" style="1532" customWidth="1"/>
    <col min="1297" max="1297" width="3.8984375" style="1532" customWidth="1"/>
    <col min="1298" max="1298" width="4" style="1532" customWidth="1"/>
    <col min="1299" max="1299" width="4.3984375" style="1532" customWidth="1"/>
    <col min="1300" max="1300" width="4.5" style="1532" customWidth="1"/>
    <col min="1301" max="1301" width="3.8984375" style="1532" customWidth="1"/>
    <col min="1302" max="1302" width="16.09765625" style="1532" customWidth="1"/>
    <col min="1303" max="1303" width="19.8984375" style="1532" customWidth="1"/>
    <col min="1304" max="1535" width="9" style="1532"/>
    <col min="1536" max="1536" width="4.19921875" style="1532" customWidth="1"/>
    <col min="1537" max="1537" width="29.5" style="1532" customWidth="1"/>
    <col min="1538" max="1552" width="4.5" style="1532" customWidth="1"/>
    <col min="1553" max="1553" width="3.8984375" style="1532" customWidth="1"/>
    <col min="1554" max="1554" width="4" style="1532" customWidth="1"/>
    <col min="1555" max="1555" width="4.3984375" style="1532" customWidth="1"/>
    <col min="1556" max="1556" width="4.5" style="1532" customWidth="1"/>
    <col min="1557" max="1557" width="3.8984375" style="1532" customWidth="1"/>
    <col min="1558" max="1558" width="16.09765625" style="1532" customWidth="1"/>
    <col min="1559" max="1559" width="19.8984375" style="1532" customWidth="1"/>
    <col min="1560" max="1791" width="9" style="1532"/>
    <col min="1792" max="1792" width="4.19921875" style="1532" customWidth="1"/>
    <col min="1793" max="1793" width="29.5" style="1532" customWidth="1"/>
    <col min="1794" max="1808" width="4.5" style="1532" customWidth="1"/>
    <col min="1809" max="1809" width="3.8984375" style="1532" customWidth="1"/>
    <col min="1810" max="1810" width="4" style="1532" customWidth="1"/>
    <col min="1811" max="1811" width="4.3984375" style="1532" customWidth="1"/>
    <col min="1812" max="1812" width="4.5" style="1532" customWidth="1"/>
    <col min="1813" max="1813" width="3.8984375" style="1532" customWidth="1"/>
    <col min="1814" max="1814" width="16.09765625" style="1532" customWidth="1"/>
    <col min="1815" max="1815" width="19.8984375" style="1532" customWidth="1"/>
    <col min="1816" max="2047" width="9" style="1532"/>
    <col min="2048" max="2048" width="4.19921875" style="1532" customWidth="1"/>
    <col min="2049" max="2049" width="29.5" style="1532" customWidth="1"/>
    <col min="2050" max="2064" width="4.5" style="1532" customWidth="1"/>
    <col min="2065" max="2065" width="3.8984375" style="1532" customWidth="1"/>
    <col min="2066" max="2066" width="4" style="1532" customWidth="1"/>
    <col min="2067" max="2067" width="4.3984375" style="1532" customWidth="1"/>
    <col min="2068" max="2068" width="4.5" style="1532" customWidth="1"/>
    <col min="2069" max="2069" width="3.8984375" style="1532" customWidth="1"/>
    <col min="2070" max="2070" width="16.09765625" style="1532" customWidth="1"/>
    <col min="2071" max="2071" width="19.8984375" style="1532" customWidth="1"/>
    <col min="2072" max="2303" width="9" style="1532"/>
    <col min="2304" max="2304" width="4.19921875" style="1532" customWidth="1"/>
    <col min="2305" max="2305" width="29.5" style="1532" customWidth="1"/>
    <col min="2306" max="2320" width="4.5" style="1532" customWidth="1"/>
    <col min="2321" max="2321" width="3.8984375" style="1532" customWidth="1"/>
    <col min="2322" max="2322" width="4" style="1532" customWidth="1"/>
    <col min="2323" max="2323" width="4.3984375" style="1532" customWidth="1"/>
    <col min="2324" max="2324" width="4.5" style="1532" customWidth="1"/>
    <col min="2325" max="2325" width="3.8984375" style="1532" customWidth="1"/>
    <col min="2326" max="2326" width="16.09765625" style="1532" customWidth="1"/>
    <col min="2327" max="2327" width="19.8984375" style="1532" customWidth="1"/>
    <col min="2328" max="2559" width="9" style="1532"/>
    <col min="2560" max="2560" width="4.19921875" style="1532" customWidth="1"/>
    <col min="2561" max="2561" width="29.5" style="1532" customWidth="1"/>
    <col min="2562" max="2576" width="4.5" style="1532" customWidth="1"/>
    <col min="2577" max="2577" width="3.8984375" style="1532" customWidth="1"/>
    <col min="2578" max="2578" width="4" style="1532" customWidth="1"/>
    <col min="2579" max="2579" width="4.3984375" style="1532" customWidth="1"/>
    <col min="2580" max="2580" width="4.5" style="1532" customWidth="1"/>
    <col min="2581" max="2581" width="3.8984375" style="1532" customWidth="1"/>
    <col min="2582" max="2582" width="16.09765625" style="1532" customWidth="1"/>
    <col min="2583" max="2583" width="19.8984375" style="1532" customWidth="1"/>
    <col min="2584" max="2815" width="9" style="1532"/>
    <col min="2816" max="2816" width="4.19921875" style="1532" customWidth="1"/>
    <col min="2817" max="2817" width="29.5" style="1532" customWidth="1"/>
    <col min="2818" max="2832" width="4.5" style="1532" customWidth="1"/>
    <col min="2833" max="2833" width="3.8984375" style="1532" customWidth="1"/>
    <col min="2834" max="2834" width="4" style="1532" customWidth="1"/>
    <col min="2835" max="2835" width="4.3984375" style="1532" customWidth="1"/>
    <col min="2836" max="2836" width="4.5" style="1532" customWidth="1"/>
    <col min="2837" max="2837" width="3.8984375" style="1532" customWidth="1"/>
    <col min="2838" max="2838" width="16.09765625" style="1532" customWidth="1"/>
    <col min="2839" max="2839" width="19.8984375" style="1532" customWidth="1"/>
    <col min="2840" max="3071" width="9" style="1532"/>
    <col min="3072" max="3072" width="4.19921875" style="1532" customWidth="1"/>
    <col min="3073" max="3073" width="29.5" style="1532" customWidth="1"/>
    <col min="3074" max="3088" width="4.5" style="1532" customWidth="1"/>
    <col min="3089" max="3089" width="3.8984375" style="1532" customWidth="1"/>
    <col min="3090" max="3090" width="4" style="1532" customWidth="1"/>
    <col min="3091" max="3091" width="4.3984375" style="1532" customWidth="1"/>
    <col min="3092" max="3092" width="4.5" style="1532" customWidth="1"/>
    <col min="3093" max="3093" width="3.8984375" style="1532" customWidth="1"/>
    <col min="3094" max="3094" width="16.09765625" style="1532" customWidth="1"/>
    <col min="3095" max="3095" width="19.8984375" style="1532" customWidth="1"/>
    <col min="3096" max="3327" width="9" style="1532"/>
    <col min="3328" max="3328" width="4.19921875" style="1532" customWidth="1"/>
    <col min="3329" max="3329" width="29.5" style="1532" customWidth="1"/>
    <col min="3330" max="3344" width="4.5" style="1532" customWidth="1"/>
    <col min="3345" max="3345" width="3.8984375" style="1532" customWidth="1"/>
    <col min="3346" max="3346" width="4" style="1532" customWidth="1"/>
    <col min="3347" max="3347" width="4.3984375" style="1532" customWidth="1"/>
    <col min="3348" max="3348" width="4.5" style="1532" customWidth="1"/>
    <col min="3349" max="3349" width="3.8984375" style="1532" customWidth="1"/>
    <col min="3350" max="3350" width="16.09765625" style="1532" customWidth="1"/>
    <col min="3351" max="3351" width="19.8984375" style="1532" customWidth="1"/>
    <col min="3352" max="3583" width="9" style="1532"/>
    <col min="3584" max="3584" width="4.19921875" style="1532" customWidth="1"/>
    <col min="3585" max="3585" width="29.5" style="1532" customWidth="1"/>
    <col min="3586" max="3600" width="4.5" style="1532" customWidth="1"/>
    <col min="3601" max="3601" width="3.8984375" style="1532" customWidth="1"/>
    <col min="3602" max="3602" width="4" style="1532" customWidth="1"/>
    <col min="3603" max="3603" width="4.3984375" style="1532" customWidth="1"/>
    <col min="3604" max="3604" width="4.5" style="1532" customWidth="1"/>
    <col min="3605" max="3605" width="3.8984375" style="1532" customWidth="1"/>
    <col min="3606" max="3606" width="16.09765625" style="1532" customWidth="1"/>
    <col min="3607" max="3607" width="19.8984375" style="1532" customWidth="1"/>
    <col min="3608" max="3839" width="9" style="1532"/>
    <col min="3840" max="3840" width="4.19921875" style="1532" customWidth="1"/>
    <col min="3841" max="3841" width="29.5" style="1532" customWidth="1"/>
    <col min="3842" max="3856" width="4.5" style="1532" customWidth="1"/>
    <col min="3857" max="3857" width="3.8984375" style="1532" customWidth="1"/>
    <col min="3858" max="3858" width="4" style="1532" customWidth="1"/>
    <col min="3859" max="3859" width="4.3984375" style="1532" customWidth="1"/>
    <col min="3860" max="3860" width="4.5" style="1532" customWidth="1"/>
    <col min="3861" max="3861" width="3.8984375" style="1532" customWidth="1"/>
    <col min="3862" max="3862" width="16.09765625" style="1532" customWidth="1"/>
    <col min="3863" max="3863" width="19.8984375" style="1532" customWidth="1"/>
    <col min="3864" max="4095" width="9" style="1532"/>
    <col min="4096" max="4096" width="4.19921875" style="1532" customWidth="1"/>
    <col min="4097" max="4097" width="29.5" style="1532" customWidth="1"/>
    <col min="4098" max="4112" width="4.5" style="1532" customWidth="1"/>
    <col min="4113" max="4113" width="3.8984375" style="1532" customWidth="1"/>
    <col min="4114" max="4114" width="4" style="1532" customWidth="1"/>
    <col min="4115" max="4115" width="4.3984375" style="1532" customWidth="1"/>
    <col min="4116" max="4116" width="4.5" style="1532" customWidth="1"/>
    <col min="4117" max="4117" width="3.8984375" style="1532" customWidth="1"/>
    <col min="4118" max="4118" width="16.09765625" style="1532" customWidth="1"/>
    <col min="4119" max="4119" width="19.8984375" style="1532" customWidth="1"/>
    <col min="4120" max="4351" width="9" style="1532"/>
    <col min="4352" max="4352" width="4.19921875" style="1532" customWidth="1"/>
    <col min="4353" max="4353" width="29.5" style="1532" customWidth="1"/>
    <col min="4354" max="4368" width="4.5" style="1532" customWidth="1"/>
    <col min="4369" max="4369" width="3.8984375" style="1532" customWidth="1"/>
    <col min="4370" max="4370" width="4" style="1532" customWidth="1"/>
    <col min="4371" max="4371" width="4.3984375" style="1532" customWidth="1"/>
    <col min="4372" max="4372" width="4.5" style="1532" customWidth="1"/>
    <col min="4373" max="4373" width="3.8984375" style="1532" customWidth="1"/>
    <col min="4374" max="4374" width="16.09765625" style="1532" customWidth="1"/>
    <col min="4375" max="4375" width="19.8984375" style="1532" customWidth="1"/>
    <col min="4376" max="4607" width="9" style="1532"/>
    <col min="4608" max="4608" width="4.19921875" style="1532" customWidth="1"/>
    <col min="4609" max="4609" width="29.5" style="1532" customWidth="1"/>
    <col min="4610" max="4624" width="4.5" style="1532" customWidth="1"/>
    <col min="4625" max="4625" width="3.8984375" style="1532" customWidth="1"/>
    <col min="4626" max="4626" width="4" style="1532" customWidth="1"/>
    <col min="4627" max="4627" width="4.3984375" style="1532" customWidth="1"/>
    <col min="4628" max="4628" width="4.5" style="1532" customWidth="1"/>
    <col min="4629" max="4629" width="3.8984375" style="1532" customWidth="1"/>
    <col min="4630" max="4630" width="16.09765625" style="1532" customWidth="1"/>
    <col min="4631" max="4631" width="19.8984375" style="1532" customWidth="1"/>
    <col min="4632" max="4863" width="9" style="1532"/>
    <col min="4864" max="4864" width="4.19921875" style="1532" customWidth="1"/>
    <col min="4865" max="4865" width="29.5" style="1532" customWidth="1"/>
    <col min="4866" max="4880" width="4.5" style="1532" customWidth="1"/>
    <col min="4881" max="4881" width="3.8984375" style="1532" customWidth="1"/>
    <col min="4882" max="4882" width="4" style="1532" customWidth="1"/>
    <col min="4883" max="4883" width="4.3984375" style="1532" customWidth="1"/>
    <col min="4884" max="4884" width="4.5" style="1532" customWidth="1"/>
    <col min="4885" max="4885" width="3.8984375" style="1532" customWidth="1"/>
    <col min="4886" max="4886" width="16.09765625" style="1532" customWidth="1"/>
    <col min="4887" max="4887" width="19.8984375" style="1532" customWidth="1"/>
    <col min="4888" max="5119" width="9" style="1532"/>
    <col min="5120" max="5120" width="4.19921875" style="1532" customWidth="1"/>
    <col min="5121" max="5121" width="29.5" style="1532" customWidth="1"/>
    <col min="5122" max="5136" width="4.5" style="1532" customWidth="1"/>
    <col min="5137" max="5137" width="3.8984375" style="1532" customWidth="1"/>
    <col min="5138" max="5138" width="4" style="1532" customWidth="1"/>
    <col min="5139" max="5139" width="4.3984375" style="1532" customWidth="1"/>
    <col min="5140" max="5140" width="4.5" style="1532" customWidth="1"/>
    <col min="5141" max="5141" width="3.8984375" style="1532" customWidth="1"/>
    <col min="5142" max="5142" width="16.09765625" style="1532" customWidth="1"/>
    <col min="5143" max="5143" width="19.8984375" style="1532" customWidth="1"/>
    <col min="5144" max="5375" width="9" style="1532"/>
    <col min="5376" max="5376" width="4.19921875" style="1532" customWidth="1"/>
    <col min="5377" max="5377" width="29.5" style="1532" customWidth="1"/>
    <col min="5378" max="5392" width="4.5" style="1532" customWidth="1"/>
    <col min="5393" max="5393" width="3.8984375" style="1532" customWidth="1"/>
    <col min="5394" max="5394" width="4" style="1532" customWidth="1"/>
    <col min="5395" max="5395" width="4.3984375" style="1532" customWidth="1"/>
    <col min="5396" max="5396" width="4.5" style="1532" customWidth="1"/>
    <col min="5397" max="5397" width="3.8984375" style="1532" customWidth="1"/>
    <col min="5398" max="5398" width="16.09765625" style="1532" customWidth="1"/>
    <col min="5399" max="5399" width="19.8984375" style="1532" customWidth="1"/>
    <col min="5400" max="5631" width="9" style="1532"/>
    <col min="5632" max="5632" width="4.19921875" style="1532" customWidth="1"/>
    <col min="5633" max="5633" width="29.5" style="1532" customWidth="1"/>
    <col min="5634" max="5648" width="4.5" style="1532" customWidth="1"/>
    <col min="5649" max="5649" width="3.8984375" style="1532" customWidth="1"/>
    <col min="5650" max="5650" width="4" style="1532" customWidth="1"/>
    <col min="5651" max="5651" width="4.3984375" style="1532" customWidth="1"/>
    <col min="5652" max="5652" width="4.5" style="1532" customWidth="1"/>
    <col min="5653" max="5653" width="3.8984375" style="1532" customWidth="1"/>
    <col min="5654" max="5654" width="16.09765625" style="1532" customWidth="1"/>
    <col min="5655" max="5655" width="19.8984375" style="1532" customWidth="1"/>
    <col min="5656" max="5887" width="9" style="1532"/>
    <col min="5888" max="5888" width="4.19921875" style="1532" customWidth="1"/>
    <col min="5889" max="5889" width="29.5" style="1532" customWidth="1"/>
    <col min="5890" max="5904" width="4.5" style="1532" customWidth="1"/>
    <col min="5905" max="5905" width="3.8984375" style="1532" customWidth="1"/>
    <col min="5906" max="5906" width="4" style="1532" customWidth="1"/>
    <col min="5907" max="5907" width="4.3984375" style="1532" customWidth="1"/>
    <col min="5908" max="5908" width="4.5" style="1532" customWidth="1"/>
    <col min="5909" max="5909" width="3.8984375" style="1532" customWidth="1"/>
    <col min="5910" max="5910" width="16.09765625" style="1532" customWidth="1"/>
    <col min="5911" max="5911" width="19.8984375" style="1532" customWidth="1"/>
    <col min="5912" max="6143" width="9" style="1532"/>
    <col min="6144" max="6144" width="4.19921875" style="1532" customWidth="1"/>
    <col min="6145" max="6145" width="29.5" style="1532" customWidth="1"/>
    <col min="6146" max="6160" width="4.5" style="1532" customWidth="1"/>
    <col min="6161" max="6161" width="3.8984375" style="1532" customWidth="1"/>
    <col min="6162" max="6162" width="4" style="1532" customWidth="1"/>
    <col min="6163" max="6163" width="4.3984375" style="1532" customWidth="1"/>
    <col min="6164" max="6164" width="4.5" style="1532" customWidth="1"/>
    <col min="6165" max="6165" width="3.8984375" style="1532" customWidth="1"/>
    <col min="6166" max="6166" width="16.09765625" style="1532" customWidth="1"/>
    <col min="6167" max="6167" width="19.8984375" style="1532" customWidth="1"/>
    <col min="6168" max="6399" width="9" style="1532"/>
    <col min="6400" max="6400" width="4.19921875" style="1532" customWidth="1"/>
    <col min="6401" max="6401" width="29.5" style="1532" customWidth="1"/>
    <col min="6402" max="6416" width="4.5" style="1532" customWidth="1"/>
    <col min="6417" max="6417" width="3.8984375" style="1532" customWidth="1"/>
    <col min="6418" max="6418" width="4" style="1532" customWidth="1"/>
    <col min="6419" max="6419" width="4.3984375" style="1532" customWidth="1"/>
    <col min="6420" max="6420" width="4.5" style="1532" customWidth="1"/>
    <col min="6421" max="6421" width="3.8984375" style="1532" customWidth="1"/>
    <col min="6422" max="6422" width="16.09765625" style="1532" customWidth="1"/>
    <col min="6423" max="6423" width="19.8984375" style="1532" customWidth="1"/>
    <col min="6424" max="6655" width="9" style="1532"/>
    <col min="6656" max="6656" width="4.19921875" style="1532" customWidth="1"/>
    <col min="6657" max="6657" width="29.5" style="1532" customWidth="1"/>
    <col min="6658" max="6672" width="4.5" style="1532" customWidth="1"/>
    <col min="6673" max="6673" width="3.8984375" style="1532" customWidth="1"/>
    <col min="6674" max="6674" width="4" style="1532" customWidth="1"/>
    <col min="6675" max="6675" width="4.3984375" style="1532" customWidth="1"/>
    <col min="6676" max="6676" width="4.5" style="1532" customWidth="1"/>
    <col min="6677" max="6677" width="3.8984375" style="1532" customWidth="1"/>
    <col min="6678" max="6678" width="16.09765625" style="1532" customWidth="1"/>
    <col min="6679" max="6679" width="19.8984375" style="1532" customWidth="1"/>
    <col min="6680" max="6911" width="9" style="1532"/>
    <col min="6912" max="6912" width="4.19921875" style="1532" customWidth="1"/>
    <col min="6913" max="6913" width="29.5" style="1532" customWidth="1"/>
    <col min="6914" max="6928" width="4.5" style="1532" customWidth="1"/>
    <col min="6929" max="6929" width="3.8984375" style="1532" customWidth="1"/>
    <col min="6930" max="6930" width="4" style="1532" customWidth="1"/>
    <col min="6931" max="6931" width="4.3984375" style="1532" customWidth="1"/>
    <col min="6932" max="6932" width="4.5" style="1532" customWidth="1"/>
    <col min="6933" max="6933" width="3.8984375" style="1532" customWidth="1"/>
    <col min="6934" max="6934" width="16.09765625" style="1532" customWidth="1"/>
    <col min="6935" max="6935" width="19.8984375" style="1532" customWidth="1"/>
    <col min="6936" max="7167" width="9" style="1532"/>
    <col min="7168" max="7168" width="4.19921875" style="1532" customWidth="1"/>
    <col min="7169" max="7169" width="29.5" style="1532" customWidth="1"/>
    <col min="7170" max="7184" width="4.5" style="1532" customWidth="1"/>
    <col min="7185" max="7185" width="3.8984375" style="1532" customWidth="1"/>
    <col min="7186" max="7186" width="4" style="1532" customWidth="1"/>
    <col min="7187" max="7187" width="4.3984375" style="1532" customWidth="1"/>
    <col min="7188" max="7188" width="4.5" style="1532" customWidth="1"/>
    <col min="7189" max="7189" width="3.8984375" style="1532" customWidth="1"/>
    <col min="7190" max="7190" width="16.09765625" style="1532" customWidth="1"/>
    <col min="7191" max="7191" width="19.8984375" style="1532" customWidth="1"/>
    <col min="7192" max="7423" width="9" style="1532"/>
    <col min="7424" max="7424" width="4.19921875" style="1532" customWidth="1"/>
    <col min="7425" max="7425" width="29.5" style="1532" customWidth="1"/>
    <col min="7426" max="7440" width="4.5" style="1532" customWidth="1"/>
    <col min="7441" max="7441" width="3.8984375" style="1532" customWidth="1"/>
    <col min="7442" max="7442" width="4" style="1532" customWidth="1"/>
    <col min="7443" max="7443" width="4.3984375" style="1532" customWidth="1"/>
    <col min="7444" max="7444" width="4.5" style="1532" customWidth="1"/>
    <col min="7445" max="7445" width="3.8984375" style="1532" customWidth="1"/>
    <col min="7446" max="7446" width="16.09765625" style="1532" customWidth="1"/>
    <col min="7447" max="7447" width="19.8984375" style="1532" customWidth="1"/>
    <col min="7448" max="7679" width="9" style="1532"/>
    <col min="7680" max="7680" width="4.19921875" style="1532" customWidth="1"/>
    <col min="7681" max="7681" width="29.5" style="1532" customWidth="1"/>
    <col min="7682" max="7696" width="4.5" style="1532" customWidth="1"/>
    <col min="7697" max="7697" width="3.8984375" style="1532" customWidth="1"/>
    <col min="7698" max="7698" width="4" style="1532" customWidth="1"/>
    <col min="7699" max="7699" width="4.3984375" style="1532" customWidth="1"/>
    <col min="7700" max="7700" width="4.5" style="1532" customWidth="1"/>
    <col min="7701" max="7701" width="3.8984375" style="1532" customWidth="1"/>
    <col min="7702" max="7702" width="16.09765625" style="1532" customWidth="1"/>
    <col min="7703" max="7703" width="19.8984375" style="1532" customWidth="1"/>
    <col min="7704" max="7935" width="9" style="1532"/>
    <col min="7936" max="7936" width="4.19921875" style="1532" customWidth="1"/>
    <col min="7937" max="7937" width="29.5" style="1532" customWidth="1"/>
    <col min="7938" max="7952" width="4.5" style="1532" customWidth="1"/>
    <col min="7953" max="7953" width="3.8984375" style="1532" customWidth="1"/>
    <col min="7954" max="7954" width="4" style="1532" customWidth="1"/>
    <col min="7955" max="7955" width="4.3984375" style="1532" customWidth="1"/>
    <col min="7956" max="7956" width="4.5" style="1532" customWidth="1"/>
    <col min="7957" max="7957" width="3.8984375" style="1532" customWidth="1"/>
    <col min="7958" max="7958" width="16.09765625" style="1532" customWidth="1"/>
    <col min="7959" max="7959" width="19.8984375" style="1532" customWidth="1"/>
    <col min="7960" max="8191" width="9" style="1532"/>
    <col min="8192" max="8192" width="4.19921875" style="1532" customWidth="1"/>
    <col min="8193" max="8193" width="29.5" style="1532" customWidth="1"/>
    <col min="8194" max="8208" width="4.5" style="1532" customWidth="1"/>
    <col min="8209" max="8209" width="3.8984375" style="1532" customWidth="1"/>
    <col min="8210" max="8210" width="4" style="1532" customWidth="1"/>
    <col min="8211" max="8211" width="4.3984375" style="1532" customWidth="1"/>
    <col min="8212" max="8212" width="4.5" style="1532" customWidth="1"/>
    <col min="8213" max="8213" width="3.8984375" style="1532" customWidth="1"/>
    <col min="8214" max="8214" width="16.09765625" style="1532" customWidth="1"/>
    <col min="8215" max="8215" width="19.8984375" style="1532" customWidth="1"/>
    <col min="8216" max="8447" width="9" style="1532"/>
    <col min="8448" max="8448" width="4.19921875" style="1532" customWidth="1"/>
    <col min="8449" max="8449" width="29.5" style="1532" customWidth="1"/>
    <col min="8450" max="8464" width="4.5" style="1532" customWidth="1"/>
    <col min="8465" max="8465" width="3.8984375" style="1532" customWidth="1"/>
    <col min="8466" max="8466" width="4" style="1532" customWidth="1"/>
    <col min="8467" max="8467" width="4.3984375" style="1532" customWidth="1"/>
    <col min="8468" max="8468" width="4.5" style="1532" customWidth="1"/>
    <col min="8469" max="8469" width="3.8984375" style="1532" customWidth="1"/>
    <col min="8470" max="8470" width="16.09765625" style="1532" customWidth="1"/>
    <col min="8471" max="8471" width="19.8984375" style="1532" customWidth="1"/>
    <col min="8472" max="8703" width="9" style="1532"/>
    <col min="8704" max="8704" width="4.19921875" style="1532" customWidth="1"/>
    <col min="8705" max="8705" width="29.5" style="1532" customWidth="1"/>
    <col min="8706" max="8720" width="4.5" style="1532" customWidth="1"/>
    <col min="8721" max="8721" width="3.8984375" style="1532" customWidth="1"/>
    <col min="8722" max="8722" width="4" style="1532" customWidth="1"/>
    <col min="8723" max="8723" width="4.3984375" style="1532" customWidth="1"/>
    <col min="8724" max="8724" width="4.5" style="1532" customWidth="1"/>
    <col min="8725" max="8725" width="3.8984375" style="1532" customWidth="1"/>
    <col min="8726" max="8726" width="16.09765625" style="1532" customWidth="1"/>
    <col min="8727" max="8727" width="19.8984375" style="1532" customWidth="1"/>
    <col min="8728" max="8959" width="9" style="1532"/>
    <col min="8960" max="8960" width="4.19921875" style="1532" customWidth="1"/>
    <col min="8961" max="8961" width="29.5" style="1532" customWidth="1"/>
    <col min="8962" max="8976" width="4.5" style="1532" customWidth="1"/>
    <col min="8977" max="8977" width="3.8984375" style="1532" customWidth="1"/>
    <col min="8978" max="8978" width="4" style="1532" customWidth="1"/>
    <col min="8979" max="8979" width="4.3984375" style="1532" customWidth="1"/>
    <col min="8980" max="8980" width="4.5" style="1532" customWidth="1"/>
    <col min="8981" max="8981" width="3.8984375" style="1532" customWidth="1"/>
    <col min="8982" max="8982" width="16.09765625" style="1532" customWidth="1"/>
    <col min="8983" max="8983" width="19.8984375" style="1532" customWidth="1"/>
    <col min="8984" max="9215" width="9" style="1532"/>
    <col min="9216" max="9216" width="4.19921875" style="1532" customWidth="1"/>
    <col min="9217" max="9217" width="29.5" style="1532" customWidth="1"/>
    <col min="9218" max="9232" width="4.5" style="1532" customWidth="1"/>
    <col min="9233" max="9233" width="3.8984375" style="1532" customWidth="1"/>
    <col min="9234" max="9234" width="4" style="1532" customWidth="1"/>
    <col min="9235" max="9235" width="4.3984375" style="1532" customWidth="1"/>
    <col min="9236" max="9236" width="4.5" style="1532" customWidth="1"/>
    <col min="9237" max="9237" width="3.8984375" style="1532" customWidth="1"/>
    <col min="9238" max="9238" width="16.09765625" style="1532" customWidth="1"/>
    <col min="9239" max="9239" width="19.8984375" style="1532" customWidth="1"/>
    <col min="9240" max="9471" width="9" style="1532"/>
    <col min="9472" max="9472" width="4.19921875" style="1532" customWidth="1"/>
    <col min="9473" max="9473" width="29.5" style="1532" customWidth="1"/>
    <col min="9474" max="9488" width="4.5" style="1532" customWidth="1"/>
    <col min="9489" max="9489" width="3.8984375" style="1532" customWidth="1"/>
    <col min="9490" max="9490" width="4" style="1532" customWidth="1"/>
    <col min="9491" max="9491" width="4.3984375" style="1532" customWidth="1"/>
    <col min="9492" max="9492" width="4.5" style="1532" customWidth="1"/>
    <col min="9493" max="9493" width="3.8984375" style="1532" customWidth="1"/>
    <col min="9494" max="9494" width="16.09765625" style="1532" customWidth="1"/>
    <col min="9495" max="9495" width="19.8984375" style="1532" customWidth="1"/>
    <col min="9496" max="9727" width="9" style="1532"/>
    <col min="9728" max="9728" width="4.19921875" style="1532" customWidth="1"/>
    <col min="9729" max="9729" width="29.5" style="1532" customWidth="1"/>
    <col min="9730" max="9744" width="4.5" style="1532" customWidth="1"/>
    <col min="9745" max="9745" width="3.8984375" style="1532" customWidth="1"/>
    <col min="9746" max="9746" width="4" style="1532" customWidth="1"/>
    <col min="9747" max="9747" width="4.3984375" style="1532" customWidth="1"/>
    <col min="9748" max="9748" width="4.5" style="1532" customWidth="1"/>
    <col min="9749" max="9749" width="3.8984375" style="1532" customWidth="1"/>
    <col min="9750" max="9750" width="16.09765625" style="1532" customWidth="1"/>
    <col min="9751" max="9751" width="19.8984375" style="1532" customWidth="1"/>
    <col min="9752" max="9983" width="9" style="1532"/>
    <col min="9984" max="9984" width="4.19921875" style="1532" customWidth="1"/>
    <col min="9985" max="9985" width="29.5" style="1532" customWidth="1"/>
    <col min="9986" max="10000" width="4.5" style="1532" customWidth="1"/>
    <col min="10001" max="10001" width="3.8984375" style="1532" customWidth="1"/>
    <col min="10002" max="10002" width="4" style="1532" customWidth="1"/>
    <col min="10003" max="10003" width="4.3984375" style="1532" customWidth="1"/>
    <col min="10004" max="10004" width="4.5" style="1532" customWidth="1"/>
    <col min="10005" max="10005" width="3.8984375" style="1532" customWidth="1"/>
    <col min="10006" max="10006" width="16.09765625" style="1532" customWidth="1"/>
    <col min="10007" max="10007" width="19.8984375" style="1532" customWidth="1"/>
    <col min="10008" max="10239" width="9" style="1532"/>
    <col min="10240" max="10240" width="4.19921875" style="1532" customWidth="1"/>
    <col min="10241" max="10241" width="29.5" style="1532" customWidth="1"/>
    <col min="10242" max="10256" width="4.5" style="1532" customWidth="1"/>
    <col min="10257" max="10257" width="3.8984375" style="1532" customWidth="1"/>
    <col min="10258" max="10258" width="4" style="1532" customWidth="1"/>
    <col min="10259" max="10259" width="4.3984375" style="1532" customWidth="1"/>
    <col min="10260" max="10260" width="4.5" style="1532" customWidth="1"/>
    <col min="10261" max="10261" width="3.8984375" style="1532" customWidth="1"/>
    <col min="10262" max="10262" width="16.09765625" style="1532" customWidth="1"/>
    <col min="10263" max="10263" width="19.8984375" style="1532" customWidth="1"/>
    <col min="10264" max="10495" width="9" style="1532"/>
    <col min="10496" max="10496" width="4.19921875" style="1532" customWidth="1"/>
    <col min="10497" max="10497" width="29.5" style="1532" customWidth="1"/>
    <col min="10498" max="10512" width="4.5" style="1532" customWidth="1"/>
    <col min="10513" max="10513" width="3.8984375" style="1532" customWidth="1"/>
    <col min="10514" max="10514" width="4" style="1532" customWidth="1"/>
    <col min="10515" max="10515" width="4.3984375" style="1532" customWidth="1"/>
    <col min="10516" max="10516" width="4.5" style="1532" customWidth="1"/>
    <col min="10517" max="10517" width="3.8984375" style="1532" customWidth="1"/>
    <col min="10518" max="10518" width="16.09765625" style="1532" customWidth="1"/>
    <col min="10519" max="10519" width="19.8984375" style="1532" customWidth="1"/>
    <col min="10520" max="10751" width="9" style="1532"/>
    <col min="10752" max="10752" width="4.19921875" style="1532" customWidth="1"/>
    <col min="10753" max="10753" width="29.5" style="1532" customWidth="1"/>
    <col min="10754" max="10768" width="4.5" style="1532" customWidth="1"/>
    <col min="10769" max="10769" width="3.8984375" style="1532" customWidth="1"/>
    <col min="10770" max="10770" width="4" style="1532" customWidth="1"/>
    <col min="10771" max="10771" width="4.3984375" style="1532" customWidth="1"/>
    <col min="10772" max="10772" width="4.5" style="1532" customWidth="1"/>
    <col min="10773" max="10773" width="3.8984375" style="1532" customWidth="1"/>
    <col min="10774" max="10774" width="16.09765625" style="1532" customWidth="1"/>
    <col min="10775" max="10775" width="19.8984375" style="1532" customWidth="1"/>
    <col min="10776" max="11007" width="9" style="1532"/>
    <col min="11008" max="11008" width="4.19921875" style="1532" customWidth="1"/>
    <col min="11009" max="11009" width="29.5" style="1532" customWidth="1"/>
    <col min="11010" max="11024" width="4.5" style="1532" customWidth="1"/>
    <col min="11025" max="11025" width="3.8984375" style="1532" customWidth="1"/>
    <col min="11026" max="11026" width="4" style="1532" customWidth="1"/>
    <col min="11027" max="11027" width="4.3984375" style="1532" customWidth="1"/>
    <col min="11028" max="11028" width="4.5" style="1532" customWidth="1"/>
    <col min="11029" max="11029" width="3.8984375" style="1532" customWidth="1"/>
    <col min="11030" max="11030" width="16.09765625" style="1532" customWidth="1"/>
    <col min="11031" max="11031" width="19.8984375" style="1532" customWidth="1"/>
    <col min="11032" max="11263" width="9" style="1532"/>
    <col min="11264" max="11264" width="4.19921875" style="1532" customWidth="1"/>
    <col min="11265" max="11265" width="29.5" style="1532" customWidth="1"/>
    <col min="11266" max="11280" width="4.5" style="1532" customWidth="1"/>
    <col min="11281" max="11281" width="3.8984375" style="1532" customWidth="1"/>
    <col min="11282" max="11282" width="4" style="1532" customWidth="1"/>
    <col min="11283" max="11283" width="4.3984375" style="1532" customWidth="1"/>
    <col min="11284" max="11284" width="4.5" style="1532" customWidth="1"/>
    <col min="11285" max="11285" width="3.8984375" style="1532" customWidth="1"/>
    <col min="11286" max="11286" width="16.09765625" style="1532" customWidth="1"/>
    <col min="11287" max="11287" width="19.8984375" style="1532" customWidth="1"/>
    <col min="11288" max="11519" width="9" style="1532"/>
    <col min="11520" max="11520" width="4.19921875" style="1532" customWidth="1"/>
    <col min="11521" max="11521" width="29.5" style="1532" customWidth="1"/>
    <col min="11522" max="11536" width="4.5" style="1532" customWidth="1"/>
    <col min="11537" max="11537" width="3.8984375" style="1532" customWidth="1"/>
    <col min="11538" max="11538" width="4" style="1532" customWidth="1"/>
    <col min="11539" max="11539" width="4.3984375" style="1532" customWidth="1"/>
    <col min="11540" max="11540" width="4.5" style="1532" customWidth="1"/>
    <col min="11541" max="11541" width="3.8984375" style="1532" customWidth="1"/>
    <col min="11542" max="11542" width="16.09765625" style="1532" customWidth="1"/>
    <col min="11543" max="11543" width="19.8984375" style="1532" customWidth="1"/>
    <col min="11544" max="11775" width="9" style="1532"/>
    <col min="11776" max="11776" width="4.19921875" style="1532" customWidth="1"/>
    <col min="11777" max="11777" width="29.5" style="1532" customWidth="1"/>
    <col min="11778" max="11792" width="4.5" style="1532" customWidth="1"/>
    <col min="11793" max="11793" width="3.8984375" style="1532" customWidth="1"/>
    <col min="11794" max="11794" width="4" style="1532" customWidth="1"/>
    <col min="11795" max="11795" width="4.3984375" style="1532" customWidth="1"/>
    <col min="11796" max="11796" width="4.5" style="1532" customWidth="1"/>
    <col min="11797" max="11797" width="3.8984375" style="1532" customWidth="1"/>
    <col min="11798" max="11798" width="16.09765625" style="1532" customWidth="1"/>
    <col min="11799" max="11799" width="19.8984375" style="1532" customWidth="1"/>
    <col min="11800" max="12031" width="9" style="1532"/>
    <col min="12032" max="12032" width="4.19921875" style="1532" customWidth="1"/>
    <col min="12033" max="12033" width="29.5" style="1532" customWidth="1"/>
    <col min="12034" max="12048" width="4.5" style="1532" customWidth="1"/>
    <col min="12049" max="12049" width="3.8984375" style="1532" customWidth="1"/>
    <col min="12050" max="12050" width="4" style="1532" customWidth="1"/>
    <col min="12051" max="12051" width="4.3984375" style="1532" customWidth="1"/>
    <col min="12052" max="12052" width="4.5" style="1532" customWidth="1"/>
    <col min="12053" max="12053" width="3.8984375" style="1532" customWidth="1"/>
    <col min="12054" max="12054" width="16.09765625" style="1532" customWidth="1"/>
    <col min="12055" max="12055" width="19.8984375" style="1532" customWidth="1"/>
    <col min="12056" max="12287" width="9" style="1532"/>
    <col min="12288" max="12288" width="4.19921875" style="1532" customWidth="1"/>
    <col min="12289" max="12289" width="29.5" style="1532" customWidth="1"/>
    <col min="12290" max="12304" width="4.5" style="1532" customWidth="1"/>
    <col min="12305" max="12305" width="3.8984375" style="1532" customWidth="1"/>
    <col min="12306" max="12306" width="4" style="1532" customWidth="1"/>
    <col min="12307" max="12307" width="4.3984375" style="1532" customWidth="1"/>
    <col min="12308" max="12308" width="4.5" style="1532" customWidth="1"/>
    <col min="12309" max="12309" width="3.8984375" style="1532" customWidth="1"/>
    <col min="12310" max="12310" width="16.09765625" style="1532" customWidth="1"/>
    <col min="12311" max="12311" width="19.8984375" style="1532" customWidth="1"/>
    <col min="12312" max="12543" width="9" style="1532"/>
    <col min="12544" max="12544" width="4.19921875" style="1532" customWidth="1"/>
    <col min="12545" max="12545" width="29.5" style="1532" customWidth="1"/>
    <col min="12546" max="12560" width="4.5" style="1532" customWidth="1"/>
    <col min="12561" max="12561" width="3.8984375" style="1532" customWidth="1"/>
    <col min="12562" max="12562" width="4" style="1532" customWidth="1"/>
    <col min="12563" max="12563" width="4.3984375" style="1532" customWidth="1"/>
    <col min="12564" max="12564" width="4.5" style="1532" customWidth="1"/>
    <col min="12565" max="12565" width="3.8984375" style="1532" customWidth="1"/>
    <col min="12566" max="12566" width="16.09765625" style="1532" customWidth="1"/>
    <col min="12567" max="12567" width="19.8984375" style="1532" customWidth="1"/>
    <col min="12568" max="12799" width="9" style="1532"/>
    <col min="12800" max="12800" width="4.19921875" style="1532" customWidth="1"/>
    <col min="12801" max="12801" width="29.5" style="1532" customWidth="1"/>
    <col min="12802" max="12816" width="4.5" style="1532" customWidth="1"/>
    <col min="12817" max="12817" width="3.8984375" style="1532" customWidth="1"/>
    <col min="12818" max="12818" width="4" style="1532" customWidth="1"/>
    <col min="12819" max="12819" width="4.3984375" style="1532" customWidth="1"/>
    <col min="12820" max="12820" width="4.5" style="1532" customWidth="1"/>
    <col min="12821" max="12821" width="3.8984375" style="1532" customWidth="1"/>
    <col min="12822" max="12822" width="16.09765625" style="1532" customWidth="1"/>
    <col min="12823" max="12823" width="19.8984375" style="1532" customWidth="1"/>
    <col min="12824" max="13055" width="9" style="1532"/>
    <col min="13056" max="13056" width="4.19921875" style="1532" customWidth="1"/>
    <col min="13057" max="13057" width="29.5" style="1532" customWidth="1"/>
    <col min="13058" max="13072" width="4.5" style="1532" customWidth="1"/>
    <col min="13073" max="13073" width="3.8984375" style="1532" customWidth="1"/>
    <col min="13074" max="13074" width="4" style="1532" customWidth="1"/>
    <col min="13075" max="13075" width="4.3984375" style="1532" customWidth="1"/>
    <col min="13076" max="13076" width="4.5" style="1532" customWidth="1"/>
    <col min="13077" max="13077" width="3.8984375" style="1532" customWidth="1"/>
    <col min="13078" max="13078" width="16.09765625" style="1532" customWidth="1"/>
    <col min="13079" max="13079" width="19.8984375" style="1532" customWidth="1"/>
    <col min="13080" max="13311" width="9" style="1532"/>
    <col min="13312" max="13312" width="4.19921875" style="1532" customWidth="1"/>
    <col min="13313" max="13313" width="29.5" style="1532" customWidth="1"/>
    <col min="13314" max="13328" width="4.5" style="1532" customWidth="1"/>
    <col min="13329" max="13329" width="3.8984375" style="1532" customWidth="1"/>
    <col min="13330" max="13330" width="4" style="1532" customWidth="1"/>
    <col min="13331" max="13331" width="4.3984375" style="1532" customWidth="1"/>
    <col min="13332" max="13332" width="4.5" style="1532" customWidth="1"/>
    <col min="13333" max="13333" width="3.8984375" style="1532" customWidth="1"/>
    <col min="13334" max="13334" width="16.09765625" style="1532" customWidth="1"/>
    <col min="13335" max="13335" width="19.8984375" style="1532" customWidth="1"/>
    <col min="13336" max="13567" width="9" style="1532"/>
    <col min="13568" max="13568" width="4.19921875" style="1532" customWidth="1"/>
    <col min="13569" max="13569" width="29.5" style="1532" customWidth="1"/>
    <col min="13570" max="13584" width="4.5" style="1532" customWidth="1"/>
    <col min="13585" max="13585" width="3.8984375" style="1532" customWidth="1"/>
    <col min="13586" max="13586" width="4" style="1532" customWidth="1"/>
    <col min="13587" max="13587" width="4.3984375" style="1532" customWidth="1"/>
    <col min="13588" max="13588" width="4.5" style="1532" customWidth="1"/>
    <col min="13589" max="13589" width="3.8984375" style="1532" customWidth="1"/>
    <col min="13590" max="13590" width="16.09765625" style="1532" customWidth="1"/>
    <col min="13591" max="13591" width="19.8984375" style="1532" customWidth="1"/>
    <col min="13592" max="13823" width="9" style="1532"/>
    <col min="13824" max="13824" width="4.19921875" style="1532" customWidth="1"/>
    <col min="13825" max="13825" width="29.5" style="1532" customWidth="1"/>
    <col min="13826" max="13840" width="4.5" style="1532" customWidth="1"/>
    <col min="13841" max="13841" width="3.8984375" style="1532" customWidth="1"/>
    <col min="13842" max="13842" width="4" style="1532" customWidth="1"/>
    <col min="13843" max="13843" width="4.3984375" style="1532" customWidth="1"/>
    <col min="13844" max="13844" width="4.5" style="1532" customWidth="1"/>
    <col min="13845" max="13845" width="3.8984375" style="1532" customWidth="1"/>
    <col min="13846" max="13846" width="16.09765625" style="1532" customWidth="1"/>
    <col min="13847" max="13847" width="19.8984375" style="1532" customWidth="1"/>
    <col min="13848" max="14079" width="9" style="1532"/>
    <col min="14080" max="14080" width="4.19921875" style="1532" customWidth="1"/>
    <col min="14081" max="14081" width="29.5" style="1532" customWidth="1"/>
    <col min="14082" max="14096" width="4.5" style="1532" customWidth="1"/>
    <col min="14097" max="14097" width="3.8984375" style="1532" customWidth="1"/>
    <col min="14098" max="14098" width="4" style="1532" customWidth="1"/>
    <col min="14099" max="14099" width="4.3984375" style="1532" customWidth="1"/>
    <col min="14100" max="14100" width="4.5" style="1532" customWidth="1"/>
    <col min="14101" max="14101" width="3.8984375" style="1532" customWidth="1"/>
    <col min="14102" max="14102" width="16.09765625" style="1532" customWidth="1"/>
    <col min="14103" max="14103" width="19.8984375" style="1532" customWidth="1"/>
    <col min="14104" max="14335" width="9" style="1532"/>
    <col min="14336" max="14336" width="4.19921875" style="1532" customWidth="1"/>
    <col min="14337" max="14337" width="29.5" style="1532" customWidth="1"/>
    <col min="14338" max="14352" width="4.5" style="1532" customWidth="1"/>
    <col min="14353" max="14353" width="3.8984375" style="1532" customWidth="1"/>
    <col min="14354" max="14354" width="4" style="1532" customWidth="1"/>
    <col min="14355" max="14355" width="4.3984375" style="1532" customWidth="1"/>
    <col min="14356" max="14356" width="4.5" style="1532" customWidth="1"/>
    <col min="14357" max="14357" width="3.8984375" style="1532" customWidth="1"/>
    <col min="14358" max="14358" width="16.09765625" style="1532" customWidth="1"/>
    <col min="14359" max="14359" width="19.8984375" style="1532" customWidth="1"/>
    <col min="14360" max="14591" width="9" style="1532"/>
    <col min="14592" max="14592" width="4.19921875" style="1532" customWidth="1"/>
    <col min="14593" max="14593" width="29.5" style="1532" customWidth="1"/>
    <col min="14594" max="14608" width="4.5" style="1532" customWidth="1"/>
    <col min="14609" max="14609" width="3.8984375" style="1532" customWidth="1"/>
    <col min="14610" max="14610" width="4" style="1532" customWidth="1"/>
    <col min="14611" max="14611" width="4.3984375" style="1532" customWidth="1"/>
    <col min="14612" max="14612" width="4.5" style="1532" customWidth="1"/>
    <col min="14613" max="14613" width="3.8984375" style="1532" customWidth="1"/>
    <col min="14614" max="14614" width="16.09765625" style="1532" customWidth="1"/>
    <col min="14615" max="14615" width="19.8984375" style="1532" customWidth="1"/>
    <col min="14616" max="14847" width="9" style="1532"/>
    <col min="14848" max="14848" width="4.19921875" style="1532" customWidth="1"/>
    <col min="14849" max="14849" width="29.5" style="1532" customWidth="1"/>
    <col min="14850" max="14864" width="4.5" style="1532" customWidth="1"/>
    <col min="14865" max="14865" width="3.8984375" style="1532" customWidth="1"/>
    <col min="14866" max="14866" width="4" style="1532" customWidth="1"/>
    <col min="14867" max="14867" width="4.3984375" style="1532" customWidth="1"/>
    <col min="14868" max="14868" width="4.5" style="1532" customWidth="1"/>
    <col min="14869" max="14869" width="3.8984375" style="1532" customWidth="1"/>
    <col min="14870" max="14870" width="16.09765625" style="1532" customWidth="1"/>
    <col min="14871" max="14871" width="19.8984375" style="1532" customWidth="1"/>
    <col min="14872" max="15103" width="9" style="1532"/>
    <col min="15104" max="15104" width="4.19921875" style="1532" customWidth="1"/>
    <col min="15105" max="15105" width="29.5" style="1532" customWidth="1"/>
    <col min="15106" max="15120" width="4.5" style="1532" customWidth="1"/>
    <col min="15121" max="15121" width="3.8984375" style="1532" customWidth="1"/>
    <col min="15122" max="15122" width="4" style="1532" customWidth="1"/>
    <col min="15123" max="15123" width="4.3984375" style="1532" customWidth="1"/>
    <col min="15124" max="15124" width="4.5" style="1532" customWidth="1"/>
    <col min="15125" max="15125" width="3.8984375" style="1532" customWidth="1"/>
    <col min="15126" max="15126" width="16.09765625" style="1532" customWidth="1"/>
    <col min="15127" max="15127" width="19.8984375" style="1532" customWidth="1"/>
    <col min="15128" max="15359" width="9" style="1532"/>
    <col min="15360" max="15360" width="4.19921875" style="1532" customWidth="1"/>
    <col min="15361" max="15361" width="29.5" style="1532" customWidth="1"/>
    <col min="15362" max="15376" width="4.5" style="1532" customWidth="1"/>
    <col min="15377" max="15377" width="3.8984375" style="1532" customWidth="1"/>
    <col min="15378" max="15378" width="4" style="1532" customWidth="1"/>
    <col min="15379" max="15379" width="4.3984375" style="1532" customWidth="1"/>
    <col min="15380" max="15380" width="4.5" style="1532" customWidth="1"/>
    <col min="15381" max="15381" width="3.8984375" style="1532" customWidth="1"/>
    <col min="15382" max="15382" width="16.09765625" style="1532" customWidth="1"/>
    <col min="15383" max="15383" width="19.8984375" style="1532" customWidth="1"/>
    <col min="15384" max="15615" width="9" style="1532"/>
    <col min="15616" max="15616" width="4.19921875" style="1532" customWidth="1"/>
    <col min="15617" max="15617" width="29.5" style="1532" customWidth="1"/>
    <col min="15618" max="15632" width="4.5" style="1532" customWidth="1"/>
    <col min="15633" max="15633" width="3.8984375" style="1532" customWidth="1"/>
    <col min="15634" max="15634" width="4" style="1532" customWidth="1"/>
    <col min="15635" max="15635" width="4.3984375" style="1532" customWidth="1"/>
    <col min="15636" max="15636" width="4.5" style="1532" customWidth="1"/>
    <col min="15637" max="15637" width="3.8984375" style="1532" customWidth="1"/>
    <col min="15638" max="15638" width="16.09765625" style="1532" customWidth="1"/>
    <col min="15639" max="15639" width="19.8984375" style="1532" customWidth="1"/>
    <col min="15640" max="15871" width="9" style="1532"/>
    <col min="15872" max="15872" width="4.19921875" style="1532" customWidth="1"/>
    <col min="15873" max="15873" width="29.5" style="1532" customWidth="1"/>
    <col min="15874" max="15888" width="4.5" style="1532" customWidth="1"/>
    <col min="15889" max="15889" width="3.8984375" style="1532" customWidth="1"/>
    <col min="15890" max="15890" width="4" style="1532" customWidth="1"/>
    <col min="15891" max="15891" width="4.3984375" style="1532" customWidth="1"/>
    <col min="15892" max="15892" width="4.5" style="1532" customWidth="1"/>
    <col min="15893" max="15893" width="3.8984375" style="1532" customWidth="1"/>
    <col min="15894" max="15894" width="16.09765625" style="1532" customWidth="1"/>
    <col min="15895" max="15895" width="19.8984375" style="1532" customWidth="1"/>
    <col min="15896" max="16127" width="9" style="1532"/>
    <col min="16128" max="16128" width="4.19921875" style="1532" customWidth="1"/>
    <col min="16129" max="16129" width="29.5" style="1532" customWidth="1"/>
    <col min="16130" max="16144" width="4.5" style="1532" customWidth="1"/>
    <col min="16145" max="16145" width="3.8984375" style="1532" customWidth="1"/>
    <col min="16146" max="16146" width="4" style="1532" customWidth="1"/>
    <col min="16147" max="16147" width="4.3984375" style="1532" customWidth="1"/>
    <col min="16148" max="16148" width="4.5" style="1532" customWidth="1"/>
    <col min="16149" max="16149" width="3.8984375" style="1532" customWidth="1"/>
    <col min="16150" max="16150" width="16.09765625" style="1532" customWidth="1"/>
    <col min="16151" max="16151" width="19.8984375" style="1532" customWidth="1"/>
    <col min="16152" max="16384" width="9" style="1532"/>
  </cols>
  <sheetData>
    <row r="1" spans="1:23" ht="20.100000000000001" customHeight="1">
      <c r="A1" s="2166"/>
      <c r="B1" s="2166"/>
      <c r="C1" s="2166"/>
      <c r="D1" s="2166"/>
      <c r="E1" s="2166"/>
      <c r="F1" s="2166"/>
      <c r="G1" s="2166"/>
      <c r="H1" s="2166"/>
      <c r="I1" s="2166"/>
      <c r="J1" s="2166"/>
      <c r="K1" s="2166"/>
      <c r="L1" s="2166"/>
      <c r="M1" s="2166"/>
      <c r="N1" s="2166"/>
      <c r="O1" s="2166"/>
      <c r="P1" s="2166"/>
      <c r="Q1" s="2166"/>
      <c r="R1" s="2166"/>
      <c r="S1" s="2166"/>
      <c r="T1" s="2166"/>
      <c r="U1" s="2166"/>
      <c r="V1" s="2167" t="str">
        <f>"索引号："&amp;档案索引!A39</f>
        <v>索引号：2A-19</v>
      </c>
    </row>
    <row r="2" spans="1:23" s="1564" customFormat="1" ht="16.5" customHeight="1">
      <c r="A2" s="3379" t="s">
        <v>6490</v>
      </c>
      <c r="B2" s="3379"/>
      <c r="C2" s="3379"/>
      <c r="D2" s="3379"/>
      <c r="E2" s="3379"/>
      <c r="F2" s="3379"/>
      <c r="G2" s="3379"/>
      <c r="H2" s="3379"/>
      <c r="I2" s="3379"/>
      <c r="J2" s="3379"/>
      <c r="K2" s="3379"/>
      <c r="L2" s="3379"/>
      <c r="M2" s="3379"/>
      <c r="N2" s="3379"/>
      <c r="O2" s="3379"/>
      <c r="P2" s="3379"/>
      <c r="Q2" s="3379"/>
      <c r="R2" s="3379"/>
      <c r="S2" s="3379"/>
      <c r="T2" s="3379"/>
      <c r="U2" s="3386"/>
      <c r="V2" s="2244"/>
    </row>
    <row r="3" spans="1:23" s="1537" customFormat="1" ht="33" customHeight="1">
      <c r="A3" s="3412" t="s">
        <v>1854</v>
      </c>
      <c r="B3" s="3423" t="s">
        <v>5351</v>
      </c>
      <c r="C3" s="3424"/>
      <c r="D3" s="3415" t="s">
        <v>5352</v>
      </c>
      <c r="E3" s="3416"/>
      <c r="F3" s="3417" t="s">
        <v>5353</v>
      </c>
      <c r="G3" s="3418"/>
      <c r="H3" s="3417" t="s">
        <v>5354</v>
      </c>
      <c r="I3" s="3418"/>
      <c r="J3" s="3417" t="s">
        <v>5355</v>
      </c>
      <c r="K3" s="3418"/>
      <c r="L3" s="3417" t="s">
        <v>1263</v>
      </c>
      <c r="M3" s="3418"/>
      <c r="N3" s="3417" t="s">
        <v>6804</v>
      </c>
      <c r="O3" s="3418"/>
      <c r="P3" s="3415" t="s">
        <v>6808</v>
      </c>
      <c r="Q3" s="3419"/>
      <c r="R3" s="3419"/>
      <c r="S3" s="3419"/>
      <c r="T3" s="3419"/>
      <c r="U3" s="3416"/>
      <c r="V3" s="3431" t="s">
        <v>4901</v>
      </c>
    </row>
    <row r="4" spans="1:23" s="1537" customFormat="1" ht="16.5" customHeight="1">
      <c r="A4" s="3413"/>
      <c r="B4" s="3425"/>
      <c r="C4" s="3426"/>
      <c r="D4" s="3432" t="s">
        <v>5356</v>
      </c>
      <c r="E4" s="3421" t="s">
        <v>6806</v>
      </c>
      <c r="F4" s="3432" t="s">
        <v>5356</v>
      </c>
      <c r="G4" s="3421" t="s">
        <v>6807</v>
      </c>
      <c r="H4" s="3420" t="s">
        <v>5356</v>
      </c>
      <c r="I4" s="3421" t="s">
        <v>6807</v>
      </c>
      <c r="J4" s="3420" t="s">
        <v>5356</v>
      </c>
      <c r="K4" s="3421" t="s">
        <v>6807</v>
      </c>
      <c r="L4" s="3420" t="s">
        <v>5356</v>
      </c>
      <c r="M4" s="3421" t="s">
        <v>6807</v>
      </c>
      <c r="N4" s="3420" t="s">
        <v>6805</v>
      </c>
      <c r="O4" s="3421" t="s">
        <v>6807</v>
      </c>
      <c r="P4" s="3420" t="s">
        <v>5356</v>
      </c>
      <c r="Q4" s="3422" t="s">
        <v>6809</v>
      </c>
      <c r="R4" s="3422" t="s">
        <v>6810</v>
      </c>
      <c r="S4" s="3422" t="s">
        <v>6811</v>
      </c>
      <c r="T4" s="3422" t="s">
        <v>6812</v>
      </c>
      <c r="U4" s="3421" t="s">
        <v>6813</v>
      </c>
      <c r="V4" s="3431"/>
    </row>
    <row r="5" spans="1:23" s="1537" customFormat="1" ht="16.5" customHeight="1">
      <c r="A5" s="3413"/>
      <c r="B5" s="3425"/>
      <c r="C5" s="3426"/>
      <c r="D5" s="3432"/>
      <c r="E5" s="3421"/>
      <c r="F5" s="3432"/>
      <c r="G5" s="3421"/>
      <c r="H5" s="3420"/>
      <c r="I5" s="3421"/>
      <c r="J5" s="3420"/>
      <c r="K5" s="3421"/>
      <c r="L5" s="3420"/>
      <c r="M5" s="3421"/>
      <c r="N5" s="3420"/>
      <c r="O5" s="3421"/>
      <c r="P5" s="3420"/>
      <c r="Q5" s="3422"/>
      <c r="R5" s="3422"/>
      <c r="S5" s="3422"/>
      <c r="T5" s="3422"/>
      <c r="U5" s="3421"/>
      <c r="V5" s="3431"/>
    </row>
    <row r="6" spans="1:23" s="1537" customFormat="1" ht="16.5" customHeight="1">
      <c r="A6" s="3414"/>
      <c r="B6" s="3427"/>
      <c r="C6" s="3428"/>
      <c r="D6" s="2248">
        <v>1</v>
      </c>
      <c r="E6" s="2249">
        <v>2</v>
      </c>
      <c r="F6" s="2248">
        <v>3</v>
      </c>
      <c r="G6" s="2249">
        <v>4</v>
      </c>
      <c r="H6" s="2257">
        <v>5</v>
      </c>
      <c r="I6" s="2249">
        <v>6</v>
      </c>
      <c r="J6" s="2257">
        <v>7</v>
      </c>
      <c r="K6" s="2249">
        <v>8</v>
      </c>
      <c r="L6" s="2257">
        <v>9</v>
      </c>
      <c r="M6" s="2249">
        <v>10</v>
      </c>
      <c r="N6" s="2257">
        <v>11</v>
      </c>
      <c r="O6" s="2249">
        <v>12</v>
      </c>
      <c r="P6" s="2257">
        <v>13</v>
      </c>
      <c r="Q6" s="2258">
        <v>14</v>
      </c>
      <c r="R6" s="2258">
        <v>15</v>
      </c>
      <c r="S6" s="2258">
        <v>16</v>
      </c>
      <c r="T6" s="2258">
        <v>17</v>
      </c>
      <c r="U6" s="2249">
        <v>18</v>
      </c>
      <c r="V6" s="3431"/>
    </row>
    <row r="7" spans="1:23" s="1537" customFormat="1" ht="15" customHeight="1">
      <c r="A7" s="2250">
        <v>1</v>
      </c>
      <c r="B7" s="3433" t="s">
        <v>6814</v>
      </c>
      <c r="C7" s="3434"/>
      <c r="D7" s="2265">
        <f>D8+D9</f>
        <v>0</v>
      </c>
      <c r="E7" s="2267">
        <f t="shared" ref="E7:S7" si="0">E8+E9</f>
        <v>0</v>
      </c>
      <c r="F7" s="2265">
        <f t="shared" si="0"/>
        <v>0</v>
      </c>
      <c r="G7" s="2267">
        <f t="shared" si="0"/>
        <v>0</v>
      </c>
      <c r="H7" s="2265">
        <f t="shared" si="0"/>
        <v>0</v>
      </c>
      <c r="I7" s="2267">
        <f t="shared" si="0"/>
        <v>0</v>
      </c>
      <c r="J7" s="2265">
        <f t="shared" si="0"/>
        <v>0</v>
      </c>
      <c r="K7" s="2267">
        <f t="shared" si="0"/>
        <v>0</v>
      </c>
      <c r="L7" s="2265">
        <f t="shared" si="0"/>
        <v>0</v>
      </c>
      <c r="M7" s="2267">
        <f t="shared" si="0"/>
        <v>0</v>
      </c>
      <c r="N7" s="2265">
        <f t="shared" si="0"/>
        <v>0</v>
      </c>
      <c r="O7" s="2267">
        <f t="shared" si="0"/>
        <v>0</v>
      </c>
      <c r="P7" s="2265">
        <f t="shared" si="0"/>
        <v>0</v>
      </c>
      <c r="Q7" s="2270">
        <f>Q9</f>
        <v>0</v>
      </c>
      <c r="R7" s="2270">
        <f>R8</f>
        <v>0</v>
      </c>
      <c r="S7" s="2270">
        <f t="shared" si="0"/>
        <v>0</v>
      </c>
      <c r="T7" s="2270">
        <f>T9</f>
        <v>0</v>
      </c>
      <c r="U7" s="2267">
        <f>U8</f>
        <v>0</v>
      </c>
      <c r="V7" s="2269" t="s">
        <v>5357</v>
      </c>
      <c r="W7" s="1565"/>
    </row>
    <row r="8" spans="1:23" s="1537" customFormat="1" ht="15" customHeight="1">
      <c r="A8" s="2251">
        <v>2</v>
      </c>
      <c r="B8" s="3435"/>
      <c r="C8" s="2252" t="s">
        <v>6815</v>
      </c>
      <c r="D8" s="2253"/>
      <c r="E8" s="2254"/>
      <c r="F8" s="2253"/>
      <c r="G8" s="2254"/>
      <c r="H8" s="2253"/>
      <c r="I8" s="2254"/>
      <c r="J8" s="2253"/>
      <c r="K8" s="2254"/>
      <c r="L8" s="2253"/>
      <c r="M8" s="2254"/>
      <c r="N8" s="2253"/>
      <c r="O8" s="2254"/>
      <c r="P8" s="2266">
        <f>D8+F8+H8+J8+L8+N8</f>
        <v>0</v>
      </c>
      <c r="Q8" s="2274" t="s">
        <v>510</v>
      </c>
      <c r="R8" s="2273"/>
      <c r="S8" s="2271">
        <f>E8+G8+I8+K8+M8+O8</f>
        <v>0</v>
      </c>
      <c r="T8" s="2274" t="s">
        <v>510</v>
      </c>
      <c r="U8" s="2268">
        <f>S8-R8</f>
        <v>0</v>
      </c>
      <c r="V8" s="2246"/>
    </row>
    <row r="9" spans="1:23" s="1537" customFormat="1" ht="15" customHeight="1">
      <c r="A9" s="2251">
        <v>3</v>
      </c>
      <c r="B9" s="3435"/>
      <c r="C9" s="2252" t="s">
        <v>6816</v>
      </c>
      <c r="D9" s="2253"/>
      <c r="E9" s="2254"/>
      <c r="F9" s="2253"/>
      <c r="G9" s="2254"/>
      <c r="H9" s="2253"/>
      <c r="I9" s="2254"/>
      <c r="J9" s="2253"/>
      <c r="K9" s="2254"/>
      <c r="L9" s="2253"/>
      <c r="M9" s="2254"/>
      <c r="N9" s="2253"/>
      <c r="O9" s="2254"/>
      <c r="P9" s="2266">
        <f>D9+F9+H9+J9+L9+N9</f>
        <v>0</v>
      </c>
      <c r="Q9" s="2259"/>
      <c r="R9" s="2275" t="s">
        <v>510</v>
      </c>
      <c r="S9" s="2271">
        <f>E9+G9+I9+K9+M9+O9</f>
        <v>0</v>
      </c>
      <c r="T9" s="2271">
        <f>S9-Q9</f>
        <v>0</v>
      </c>
      <c r="U9" s="2276" t="s">
        <v>510</v>
      </c>
      <c r="V9" s="2246"/>
    </row>
    <row r="10" spans="1:23" s="1537" customFormat="1" ht="15" customHeight="1">
      <c r="A10" s="2251">
        <v>4</v>
      </c>
      <c r="B10" s="3422" t="s">
        <v>6817</v>
      </c>
      <c r="C10" s="3421"/>
      <c r="D10" s="2266">
        <f>D11+D12</f>
        <v>0</v>
      </c>
      <c r="E10" s="2268">
        <f t="shared" ref="E10:S10" si="1">E11+E12</f>
        <v>0</v>
      </c>
      <c r="F10" s="2266">
        <f t="shared" si="1"/>
        <v>0</v>
      </c>
      <c r="G10" s="2268">
        <f t="shared" si="1"/>
        <v>0</v>
      </c>
      <c r="H10" s="2266">
        <f t="shared" si="1"/>
        <v>0</v>
      </c>
      <c r="I10" s="2268">
        <f t="shared" si="1"/>
        <v>0</v>
      </c>
      <c r="J10" s="2266">
        <f t="shared" si="1"/>
        <v>0</v>
      </c>
      <c r="K10" s="2268">
        <f t="shared" si="1"/>
        <v>0</v>
      </c>
      <c r="L10" s="2266">
        <f t="shared" si="1"/>
        <v>0</v>
      </c>
      <c r="M10" s="2268">
        <f t="shared" si="1"/>
        <v>0</v>
      </c>
      <c r="N10" s="2266">
        <f t="shared" si="1"/>
        <v>0</v>
      </c>
      <c r="O10" s="2268">
        <f t="shared" si="1"/>
        <v>0</v>
      </c>
      <c r="P10" s="2266">
        <f t="shared" si="1"/>
        <v>0</v>
      </c>
      <c r="Q10" s="2271">
        <f>Q12</f>
        <v>0</v>
      </c>
      <c r="R10" s="2271">
        <f>R11</f>
        <v>0</v>
      </c>
      <c r="S10" s="2271">
        <f t="shared" si="1"/>
        <v>0</v>
      </c>
      <c r="T10" s="2271">
        <f>T12</f>
        <v>0</v>
      </c>
      <c r="U10" s="2268">
        <f>U11</f>
        <v>0</v>
      </c>
      <c r="V10" s="2247"/>
      <c r="W10" s="1675" t="s">
        <v>6443</v>
      </c>
    </row>
    <row r="11" spans="1:23" s="1537" customFormat="1" ht="15" customHeight="1">
      <c r="A11" s="2251">
        <v>5</v>
      </c>
      <c r="B11" s="3422" t="s">
        <v>6818</v>
      </c>
      <c r="C11" s="2252" t="s">
        <v>6815</v>
      </c>
      <c r="D11" s="2253"/>
      <c r="E11" s="2254"/>
      <c r="F11" s="2253"/>
      <c r="G11" s="2254"/>
      <c r="H11" s="2253"/>
      <c r="I11" s="2254"/>
      <c r="J11" s="2253"/>
      <c r="K11" s="2254"/>
      <c r="L11" s="2253"/>
      <c r="M11" s="2254"/>
      <c r="N11" s="2253"/>
      <c r="O11" s="2254"/>
      <c r="P11" s="2266">
        <f>D11+F11+H11+J11+L11+N11</f>
        <v>0</v>
      </c>
      <c r="Q11" s="2274" t="s">
        <v>510</v>
      </c>
      <c r="R11" s="2259"/>
      <c r="S11" s="2271">
        <f>E11+G11+I11+K11+M11+O11</f>
        <v>0</v>
      </c>
      <c r="T11" s="2274" t="s">
        <v>510</v>
      </c>
      <c r="U11" s="2268">
        <f>S11-R11</f>
        <v>0</v>
      </c>
      <c r="V11" s="2247"/>
      <c r="W11" s="1675" t="s">
        <v>562</v>
      </c>
    </row>
    <row r="12" spans="1:23" s="1537" customFormat="1" ht="15" customHeight="1">
      <c r="A12" s="2251">
        <v>6</v>
      </c>
      <c r="B12" s="3422"/>
      <c r="C12" s="2252" t="s">
        <v>6816</v>
      </c>
      <c r="D12" s="2253"/>
      <c r="E12" s="2254"/>
      <c r="F12" s="2253"/>
      <c r="G12" s="2254"/>
      <c r="H12" s="2253"/>
      <c r="I12" s="2254"/>
      <c r="J12" s="2253"/>
      <c r="K12" s="2254"/>
      <c r="L12" s="2253"/>
      <c r="M12" s="2254"/>
      <c r="N12" s="2253"/>
      <c r="O12" s="2254"/>
      <c r="P12" s="2266">
        <f>D12+F12+H12+J12+L12+N12</f>
        <v>0</v>
      </c>
      <c r="Q12" s="2259"/>
      <c r="R12" s="2274" t="s">
        <v>510</v>
      </c>
      <c r="S12" s="2271">
        <f>E12+G12+I12+K12+M12+O12</f>
        <v>0</v>
      </c>
      <c r="T12" s="2271">
        <f>S12-Q12</f>
        <v>0</v>
      </c>
      <c r="U12" s="2276" t="s">
        <v>510</v>
      </c>
      <c r="V12" s="2246"/>
    </row>
    <row r="13" spans="1:23" s="1537" customFormat="1" ht="15" customHeight="1">
      <c r="A13" s="2251">
        <v>7</v>
      </c>
      <c r="B13" s="3422" t="s">
        <v>6819</v>
      </c>
      <c r="C13" s="3421"/>
      <c r="D13" s="2266">
        <f>D14+D17</f>
        <v>0</v>
      </c>
      <c r="E13" s="2268">
        <f t="shared" ref="E13:U13" si="2">E14+E17</f>
        <v>0</v>
      </c>
      <c r="F13" s="2266">
        <f t="shared" si="2"/>
        <v>0</v>
      </c>
      <c r="G13" s="2268">
        <f t="shared" si="2"/>
        <v>0</v>
      </c>
      <c r="H13" s="2266">
        <f t="shared" si="2"/>
        <v>0</v>
      </c>
      <c r="I13" s="2268">
        <f t="shared" si="2"/>
        <v>0</v>
      </c>
      <c r="J13" s="2266">
        <f t="shared" si="2"/>
        <v>0</v>
      </c>
      <c r="K13" s="2268">
        <f t="shared" si="2"/>
        <v>0</v>
      </c>
      <c r="L13" s="2266">
        <f t="shared" si="2"/>
        <v>0</v>
      </c>
      <c r="M13" s="2268">
        <f t="shared" si="2"/>
        <v>0</v>
      </c>
      <c r="N13" s="2266">
        <f t="shared" si="2"/>
        <v>0</v>
      </c>
      <c r="O13" s="2268">
        <f t="shared" si="2"/>
        <v>0</v>
      </c>
      <c r="P13" s="2266">
        <f t="shared" si="2"/>
        <v>0</v>
      </c>
      <c r="Q13" s="2271">
        <f t="shared" si="2"/>
        <v>0</v>
      </c>
      <c r="R13" s="2271">
        <f t="shared" si="2"/>
        <v>0</v>
      </c>
      <c r="S13" s="2271">
        <f t="shared" si="2"/>
        <v>0</v>
      </c>
      <c r="T13" s="2271">
        <f t="shared" si="2"/>
        <v>0</v>
      </c>
      <c r="U13" s="2268">
        <f t="shared" si="2"/>
        <v>0</v>
      </c>
      <c r="V13" s="2247"/>
      <c r="W13" s="1675" t="s">
        <v>6445</v>
      </c>
    </row>
    <row r="14" spans="1:23" s="1537" customFormat="1" ht="15" customHeight="1">
      <c r="A14" s="2251">
        <v>8</v>
      </c>
      <c r="B14" s="3403" t="s">
        <v>6820</v>
      </c>
      <c r="C14" s="3436"/>
      <c r="D14" s="2266">
        <f>D15+D16</f>
        <v>0</v>
      </c>
      <c r="E14" s="2268">
        <f t="shared" ref="E14:S14" si="3">E15+E16</f>
        <v>0</v>
      </c>
      <c r="F14" s="2266">
        <f t="shared" si="3"/>
        <v>0</v>
      </c>
      <c r="G14" s="2268">
        <f t="shared" si="3"/>
        <v>0</v>
      </c>
      <c r="H14" s="2266">
        <f t="shared" si="3"/>
        <v>0</v>
      </c>
      <c r="I14" s="2268">
        <f t="shared" si="3"/>
        <v>0</v>
      </c>
      <c r="J14" s="2266">
        <f t="shared" si="3"/>
        <v>0</v>
      </c>
      <c r="K14" s="2268">
        <f t="shared" si="3"/>
        <v>0</v>
      </c>
      <c r="L14" s="2266">
        <f t="shared" si="3"/>
        <v>0</v>
      </c>
      <c r="M14" s="2268">
        <f t="shared" si="3"/>
        <v>0</v>
      </c>
      <c r="N14" s="2266">
        <f t="shared" si="3"/>
        <v>0</v>
      </c>
      <c r="O14" s="2268">
        <f t="shared" si="3"/>
        <v>0</v>
      </c>
      <c r="P14" s="2266">
        <f t="shared" si="3"/>
        <v>0</v>
      </c>
      <c r="Q14" s="2271">
        <f>Q16</f>
        <v>0</v>
      </c>
      <c r="R14" s="2271">
        <f>R15</f>
        <v>0</v>
      </c>
      <c r="S14" s="2271">
        <f t="shared" si="3"/>
        <v>0</v>
      </c>
      <c r="T14" s="2271">
        <f>T16</f>
        <v>0</v>
      </c>
      <c r="U14" s="2268">
        <f>U15</f>
        <v>0</v>
      </c>
      <c r="V14" s="2246"/>
    </row>
    <row r="15" spans="1:23" s="1537" customFormat="1" ht="15" customHeight="1">
      <c r="A15" s="2251">
        <v>9</v>
      </c>
      <c r="B15" s="3437"/>
      <c r="C15" s="2252" t="s">
        <v>6815</v>
      </c>
      <c r="D15" s="2253"/>
      <c r="E15" s="2254"/>
      <c r="F15" s="2253"/>
      <c r="G15" s="2254"/>
      <c r="H15" s="2253"/>
      <c r="I15" s="2254"/>
      <c r="J15" s="2253"/>
      <c r="K15" s="2254"/>
      <c r="L15" s="2253"/>
      <c r="M15" s="2254"/>
      <c r="N15" s="2253"/>
      <c r="O15" s="2254"/>
      <c r="P15" s="2266">
        <f>D15+F15+H15+J15+L15+N15</f>
        <v>0</v>
      </c>
      <c r="Q15" s="2274" t="s">
        <v>510</v>
      </c>
      <c r="R15" s="2259"/>
      <c r="S15" s="2271">
        <f>E15+G15+I15+K15+M15+O15</f>
        <v>0</v>
      </c>
      <c r="T15" s="2274" t="s">
        <v>510</v>
      </c>
      <c r="U15" s="2268">
        <f>S15-R15</f>
        <v>0</v>
      </c>
      <c r="V15" s="2246"/>
    </row>
    <row r="16" spans="1:23" s="1537" customFormat="1" ht="15" customHeight="1">
      <c r="A16" s="2251">
        <v>10</v>
      </c>
      <c r="B16" s="3437"/>
      <c r="C16" s="2252" t="s">
        <v>6816</v>
      </c>
      <c r="D16" s="2253"/>
      <c r="E16" s="2254"/>
      <c r="F16" s="2253"/>
      <c r="G16" s="2254"/>
      <c r="H16" s="2253"/>
      <c r="I16" s="2254"/>
      <c r="J16" s="2253"/>
      <c r="K16" s="2254"/>
      <c r="L16" s="2253"/>
      <c r="M16" s="2254"/>
      <c r="N16" s="2253"/>
      <c r="O16" s="2254"/>
      <c r="P16" s="2266">
        <f>D16+F16+H16+J16+L16+N16</f>
        <v>0</v>
      </c>
      <c r="Q16" s="2259"/>
      <c r="R16" s="2274" t="s">
        <v>510</v>
      </c>
      <c r="S16" s="2271">
        <f>E16+G16+I16+K16+M16+O16</f>
        <v>0</v>
      </c>
      <c r="T16" s="2271">
        <f>S16-Q16</f>
        <v>0</v>
      </c>
      <c r="U16" s="2276" t="s">
        <v>510</v>
      </c>
      <c r="V16" s="2247"/>
    </row>
    <row r="17" spans="1:22" s="1537" customFormat="1" ht="15" customHeight="1">
      <c r="A17" s="2251">
        <v>11</v>
      </c>
      <c r="B17" s="3401" t="s">
        <v>6821</v>
      </c>
      <c r="C17" s="3402"/>
      <c r="D17" s="2266">
        <f>D18+D19</f>
        <v>0</v>
      </c>
      <c r="E17" s="2268">
        <f t="shared" ref="E17" si="4">E18+E19</f>
        <v>0</v>
      </c>
      <c r="F17" s="2266">
        <f t="shared" ref="F17" si="5">F18+F19</f>
        <v>0</v>
      </c>
      <c r="G17" s="2268">
        <f t="shared" ref="G17" si="6">G18+G19</f>
        <v>0</v>
      </c>
      <c r="H17" s="2266">
        <f t="shared" ref="H17" si="7">H18+H19</f>
        <v>0</v>
      </c>
      <c r="I17" s="2268">
        <f t="shared" ref="I17" si="8">I18+I19</f>
        <v>0</v>
      </c>
      <c r="J17" s="2266">
        <f t="shared" ref="J17" si="9">J18+J19</f>
        <v>0</v>
      </c>
      <c r="K17" s="2268">
        <f t="shared" ref="K17" si="10">K18+K19</f>
        <v>0</v>
      </c>
      <c r="L17" s="2266">
        <f t="shared" ref="L17" si="11">L18+L19</f>
        <v>0</v>
      </c>
      <c r="M17" s="2268">
        <f t="shared" ref="M17" si="12">M18+M19</f>
        <v>0</v>
      </c>
      <c r="N17" s="2266">
        <f t="shared" ref="N17" si="13">N18+N19</f>
        <v>0</v>
      </c>
      <c r="O17" s="2268">
        <f t="shared" ref="O17" si="14">O18+O19</f>
        <v>0</v>
      </c>
      <c r="P17" s="2266">
        <f t="shared" ref="P17" si="15">P18+P19</f>
        <v>0</v>
      </c>
      <c r="Q17" s="2271">
        <f>Q19</f>
        <v>0</v>
      </c>
      <c r="R17" s="2271">
        <f>R18</f>
        <v>0</v>
      </c>
      <c r="S17" s="2271">
        <f t="shared" ref="S17" si="16">S18+S19</f>
        <v>0</v>
      </c>
      <c r="T17" s="2271">
        <f>T19</f>
        <v>0</v>
      </c>
      <c r="U17" s="2268">
        <f>U18</f>
        <v>0</v>
      </c>
      <c r="V17" s="2247"/>
    </row>
    <row r="18" spans="1:22" s="1537" customFormat="1" ht="15" customHeight="1">
      <c r="A18" s="2251">
        <v>12</v>
      </c>
      <c r="B18" s="3403" t="s">
        <v>6822</v>
      </c>
      <c r="C18" s="2252" t="s">
        <v>6815</v>
      </c>
      <c r="D18" s="2253"/>
      <c r="E18" s="2254"/>
      <c r="F18" s="2253"/>
      <c r="G18" s="2254"/>
      <c r="H18" s="2253"/>
      <c r="I18" s="2254"/>
      <c r="J18" s="2253"/>
      <c r="K18" s="2254"/>
      <c r="L18" s="2253"/>
      <c r="M18" s="2254"/>
      <c r="N18" s="2253"/>
      <c r="O18" s="2254"/>
      <c r="P18" s="2266">
        <f>D18+F18+H18+J18+L18+N18</f>
        <v>0</v>
      </c>
      <c r="Q18" s="2274" t="s">
        <v>510</v>
      </c>
      <c r="R18" s="2259"/>
      <c r="S18" s="2271">
        <f>E18+G18+I18+K18+M18+O18</f>
        <v>0</v>
      </c>
      <c r="T18" s="2274" t="s">
        <v>510</v>
      </c>
      <c r="U18" s="2268">
        <f>S18-R18</f>
        <v>0</v>
      </c>
      <c r="V18" s="2247"/>
    </row>
    <row r="19" spans="1:22" s="1537" customFormat="1" ht="15" customHeight="1">
      <c r="A19" s="2251">
        <v>13</v>
      </c>
      <c r="B19" s="3403"/>
      <c r="C19" s="2252" t="s">
        <v>6816</v>
      </c>
      <c r="D19" s="2253"/>
      <c r="E19" s="2254"/>
      <c r="F19" s="2253"/>
      <c r="G19" s="2254"/>
      <c r="H19" s="2253"/>
      <c r="I19" s="2254"/>
      <c r="J19" s="2253"/>
      <c r="K19" s="2254"/>
      <c r="L19" s="2253"/>
      <c r="M19" s="2254"/>
      <c r="N19" s="2253"/>
      <c r="O19" s="2254"/>
      <c r="P19" s="2266">
        <f>D19+F19+H19+J19+L19+N19</f>
        <v>0</v>
      </c>
      <c r="Q19" s="2259"/>
      <c r="R19" s="2274" t="s">
        <v>510</v>
      </c>
      <c r="S19" s="2271">
        <f>E19+G19+I19+K19+M19+O19</f>
        <v>0</v>
      </c>
      <c r="T19" s="2271">
        <f>S19-Q19</f>
        <v>0</v>
      </c>
      <c r="U19" s="2276" t="s">
        <v>510</v>
      </c>
      <c r="V19" s="2247"/>
    </row>
    <row r="20" spans="1:22" s="1537" customFormat="1" ht="18" customHeight="1">
      <c r="A20" s="2248">
        <v>14</v>
      </c>
      <c r="B20" s="3404" t="s">
        <v>6823</v>
      </c>
      <c r="C20" s="3405"/>
      <c r="D20" s="2255">
        <f>D7+D10+D13</f>
        <v>0</v>
      </c>
      <c r="E20" s="2256">
        <f t="shared" ref="E20:U20" si="17">E7+E10+E13</f>
        <v>0</v>
      </c>
      <c r="F20" s="2255">
        <f t="shared" si="17"/>
        <v>0</v>
      </c>
      <c r="G20" s="2256">
        <f t="shared" si="17"/>
        <v>0</v>
      </c>
      <c r="H20" s="2255">
        <f t="shared" si="17"/>
        <v>0</v>
      </c>
      <c r="I20" s="2256">
        <f t="shared" si="17"/>
        <v>0</v>
      </c>
      <c r="J20" s="2255">
        <f t="shared" si="17"/>
        <v>0</v>
      </c>
      <c r="K20" s="2256">
        <f t="shared" si="17"/>
        <v>0</v>
      </c>
      <c r="L20" s="2255">
        <f t="shared" si="17"/>
        <v>0</v>
      </c>
      <c r="M20" s="2256">
        <f t="shared" si="17"/>
        <v>0</v>
      </c>
      <c r="N20" s="2255">
        <f t="shared" si="17"/>
        <v>0</v>
      </c>
      <c r="O20" s="2256">
        <f t="shared" si="17"/>
        <v>0</v>
      </c>
      <c r="P20" s="2255">
        <f t="shared" si="17"/>
        <v>0</v>
      </c>
      <c r="Q20" s="2263">
        <f t="shared" si="17"/>
        <v>0</v>
      </c>
      <c r="R20" s="2263">
        <f t="shared" si="17"/>
        <v>0</v>
      </c>
      <c r="S20" s="2263">
        <f t="shared" si="17"/>
        <v>0</v>
      </c>
      <c r="T20" s="2263">
        <f t="shared" si="17"/>
        <v>0</v>
      </c>
      <c r="U20" s="2256">
        <f t="shared" si="17"/>
        <v>0</v>
      </c>
      <c r="V20" s="2247"/>
    </row>
    <row r="21" spans="1:22" s="1537" customFormat="1" ht="12.75" customHeight="1">
      <c r="A21" s="2239">
        <v>15</v>
      </c>
      <c r="B21" s="3406" t="s">
        <v>6824</v>
      </c>
      <c r="C21" s="3407"/>
      <c r="D21" s="3407"/>
      <c r="E21" s="3407"/>
      <c r="F21" s="3407"/>
      <c r="G21" s="3407"/>
      <c r="H21" s="3407"/>
      <c r="I21" s="3407"/>
      <c r="J21" s="3407"/>
      <c r="K21" s="3407"/>
      <c r="L21" s="3407"/>
      <c r="M21" s="3407"/>
      <c r="N21" s="3407"/>
      <c r="O21" s="3407"/>
      <c r="P21" s="3407"/>
      <c r="Q21" s="3408"/>
      <c r="R21" s="3408"/>
      <c r="S21" s="3408"/>
      <c r="T21" s="3408"/>
      <c r="U21" s="3409"/>
      <c r="V21" s="2245"/>
    </row>
    <row r="22" spans="1:22" s="1537" customFormat="1" ht="15" customHeight="1">
      <c r="A22" s="2250">
        <v>16</v>
      </c>
      <c r="B22" s="3410" t="s">
        <v>6825</v>
      </c>
      <c r="C22" s="3411"/>
      <c r="D22" s="2265">
        <f>D23+D24</f>
        <v>0</v>
      </c>
      <c r="E22" s="2267">
        <f t="shared" ref="E22" si="18">E23+E24</f>
        <v>0</v>
      </c>
      <c r="F22" s="2265">
        <f t="shared" ref="F22" si="19">F23+F24</f>
        <v>0</v>
      </c>
      <c r="G22" s="2267">
        <f t="shared" ref="G22" si="20">G23+G24</f>
        <v>0</v>
      </c>
      <c r="H22" s="2265">
        <f t="shared" ref="H22" si="21">H23+H24</f>
        <v>0</v>
      </c>
      <c r="I22" s="2267">
        <f t="shared" ref="I22" si="22">I23+I24</f>
        <v>0</v>
      </c>
      <c r="J22" s="2265">
        <f t="shared" ref="J22" si="23">J23+J24</f>
        <v>0</v>
      </c>
      <c r="K22" s="2267">
        <f t="shared" ref="K22" si="24">K23+K24</f>
        <v>0</v>
      </c>
      <c r="L22" s="2265">
        <f t="shared" ref="L22" si="25">L23+L24</f>
        <v>0</v>
      </c>
      <c r="M22" s="2267">
        <f t="shared" ref="M22" si="26">M23+M24</f>
        <v>0</v>
      </c>
      <c r="N22" s="2265">
        <f t="shared" ref="N22" si="27">N23+N24</f>
        <v>0</v>
      </c>
      <c r="O22" s="2267">
        <f t="shared" ref="O22" si="28">O23+O24</f>
        <v>0</v>
      </c>
      <c r="P22" s="2265">
        <f t="shared" ref="P22" si="29">P23+P24</f>
        <v>0</v>
      </c>
      <c r="Q22" s="2270">
        <f>Q24</f>
        <v>0</v>
      </c>
      <c r="R22" s="2270">
        <f>R23</f>
        <v>0</v>
      </c>
      <c r="S22" s="2270">
        <f t="shared" ref="S22" si="30">S23+S24</f>
        <v>0</v>
      </c>
      <c r="T22" s="2270">
        <f>T24</f>
        <v>0</v>
      </c>
      <c r="U22" s="2267">
        <f>U23</f>
        <v>0</v>
      </c>
      <c r="V22" s="2247"/>
    </row>
    <row r="23" spans="1:22" s="1537" customFormat="1" ht="15" customHeight="1">
      <c r="A23" s="2251">
        <v>17</v>
      </c>
      <c r="B23" s="3403" t="s">
        <v>6826</v>
      </c>
      <c r="C23" s="2252" t="s">
        <v>6815</v>
      </c>
      <c r="D23" s="2260"/>
      <c r="E23" s="2261"/>
      <c r="F23" s="2260"/>
      <c r="G23" s="2261"/>
      <c r="H23" s="2260"/>
      <c r="I23" s="2261"/>
      <c r="J23" s="2260"/>
      <c r="K23" s="2261"/>
      <c r="L23" s="2260"/>
      <c r="M23" s="2261"/>
      <c r="N23" s="2260"/>
      <c r="O23" s="2261"/>
      <c r="P23" s="2266">
        <f>D23+F23+H23+J23+L23+N23</f>
        <v>0</v>
      </c>
      <c r="Q23" s="2274" t="s">
        <v>510</v>
      </c>
      <c r="R23" s="2262"/>
      <c r="S23" s="2271">
        <f>E23+G23+I23+K23+M23+O23</f>
        <v>0</v>
      </c>
      <c r="T23" s="2274" t="s">
        <v>510</v>
      </c>
      <c r="U23" s="2268">
        <f>S23-R23</f>
        <v>0</v>
      </c>
      <c r="V23" s="2247"/>
    </row>
    <row r="24" spans="1:22" s="1537" customFormat="1" ht="15" customHeight="1">
      <c r="A24" s="2251">
        <v>18</v>
      </c>
      <c r="B24" s="3403"/>
      <c r="C24" s="2252" t="s">
        <v>6816</v>
      </c>
      <c r="D24" s="2260"/>
      <c r="E24" s="2261"/>
      <c r="F24" s="2260"/>
      <c r="G24" s="2261"/>
      <c r="H24" s="2260"/>
      <c r="I24" s="2261"/>
      <c r="J24" s="2260"/>
      <c r="K24" s="2261"/>
      <c r="L24" s="2260"/>
      <c r="M24" s="2261"/>
      <c r="N24" s="2260"/>
      <c r="O24" s="2261"/>
      <c r="P24" s="2266">
        <f>D24+F24+H24+J24+L24+N24</f>
        <v>0</v>
      </c>
      <c r="Q24" s="2262"/>
      <c r="R24" s="2274" t="s">
        <v>510</v>
      </c>
      <c r="S24" s="2271">
        <f>E24+G24+I24+K24+M24+O24</f>
        <v>0</v>
      </c>
      <c r="T24" s="2271">
        <f>S24-Q24</f>
        <v>0</v>
      </c>
      <c r="U24" s="2276" t="s">
        <v>510</v>
      </c>
      <c r="V24" s="2247"/>
    </row>
    <row r="25" spans="1:22" s="1537" customFormat="1" ht="15" customHeight="1">
      <c r="A25" s="2251">
        <v>19</v>
      </c>
      <c r="B25" s="3401" t="s">
        <v>6827</v>
      </c>
      <c r="C25" s="3402"/>
      <c r="D25" s="2266">
        <f>D26+D27</f>
        <v>0</v>
      </c>
      <c r="E25" s="2268">
        <f t="shared" ref="E25" si="31">E26+E27</f>
        <v>0</v>
      </c>
      <c r="F25" s="2266">
        <f t="shared" ref="F25" si="32">F26+F27</f>
        <v>0</v>
      </c>
      <c r="G25" s="2268">
        <f t="shared" ref="G25" si="33">G26+G27</f>
        <v>0</v>
      </c>
      <c r="H25" s="2266">
        <f t="shared" ref="H25" si="34">H26+H27</f>
        <v>0</v>
      </c>
      <c r="I25" s="2268">
        <f t="shared" ref="I25" si="35">I26+I27</f>
        <v>0</v>
      </c>
      <c r="J25" s="2266">
        <f t="shared" ref="J25" si="36">J26+J27</f>
        <v>0</v>
      </c>
      <c r="K25" s="2268">
        <f t="shared" ref="K25" si="37">K26+K27</f>
        <v>0</v>
      </c>
      <c r="L25" s="2266">
        <f t="shared" ref="L25" si="38">L26+L27</f>
        <v>0</v>
      </c>
      <c r="M25" s="2268">
        <f t="shared" ref="M25" si="39">M26+M27</f>
        <v>0</v>
      </c>
      <c r="N25" s="2266">
        <f t="shared" ref="N25" si="40">N26+N27</f>
        <v>0</v>
      </c>
      <c r="O25" s="2268">
        <f t="shared" ref="O25" si="41">O26+O27</f>
        <v>0</v>
      </c>
      <c r="P25" s="2266">
        <f t="shared" ref="P25" si="42">P26+P27</f>
        <v>0</v>
      </c>
      <c r="Q25" s="2271">
        <f>Q27</f>
        <v>0</v>
      </c>
      <c r="R25" s="2271">
        <f>R26</f>
        <v>0</v>
      </c>
      <c r="S25" s="2271">
        <f t="shared" ref="S25" si="43">S26+S27</f>
        <v>0</v>
      </c>
      <c r="T25" s="2271">
        <f>T27</f>
        <v>0</v>
      </c>
      <c r="U25" s="2268">
        <f>U26</f>
        <v>0</v>
      </c>
      <c r="V25" s="2247"/>
    </row>
    <row r="26" spans="1:22" s="1537" customFormat="1" ht="15" customHeight="1">
      <c r="A26" s="2251">
        <v>20</v>
      </c>
      <c r="B26" s="3403" t="s">
        <v>6826</v>
      </c>
      <c r="C26" s="2252" t="s">
        <v>6815</v>
      </c>
      <c r="D26" s="2260"/>
      <c r="E26" s="2261"/>
      <c r="F26" s="2260"/>
      <c r="G26" s="2261"/>
      <c r="H26" s="2260"/>
      <c r="I26" s="2261"/>
      <c r="J26" s="2260"/>
      <c r="K26" s="2261"/>
      <c r="L26" s="2260"/>
      <c r="M26" s="2261"/>
      <c r="N26" s="2260"/>
      <c r="O26" s="2261"/>
      <c r="P26" s="2266">
        <f>D26+F26+H26+J26+L26+N26</f>
        <v>0</v>
      </c>
      <c r="Q26" s="2274" t="s">
        <v>510</v>
      </c>
      <c r="R26" s="2262"/>
      <c r="S26" s="2271">
        <f>E26+G26+I26+K26+M26+O26</f>
        <v>0</v>
      </c>
      <c r="T26" s="2274" t="s">
        <v>510</v>
      </c>
      <c r="U26" s="2268">
        <f>S26-R26</f>
        <v>0</v>
      </c>
      <c r="V26" s="2247"/>
    </row>
    <row r="27" spans="1:22" s="1537" customFormat="1" ht="15" customHeight="1">
      <c r="A27" s="2251">
        <v>21</v>
      </c>
      <c r="B27" s="3403"/>
      <c r="C27" s="2252" t="s">
        <v>6816</v>
      </c>
      <c r="D27" s="2260"/>
      <c r="E27" s="2261"/>
      <c r="F27" s="2260"/>
      <c r="G27" s="2261"/>
      <c r="H27" s="2260"/>
      <c r="I27" s="2261"/>
      <c r="J27" s="2260"/>
      <c r="K27" s="2261"/>
      <c r="L27" s="2260"/>
      <c r="M27" s="2261"/>
      <c r="N27" s="2260"/>
      <c r="O27" s="2261"/>
      <c r="P27" s="2266">
        <f>D27+F27+H27+J27+L27+N27</f>
        <v>0</v>
      </c>
      <c r="Q27" s="2262"/>
      <c r="R27" s="2274" t="s">
        <v>510</v>
      </c>
      <c r="S27" s="2271">
        <f>E27+G27+I27+K27+M27+O27</f>
        <v>0</v>
      </c>
      <c r="T27" s="2271">
        <f>S27-Q27</f>
        <v>0</v>
      </c>
      <c r="U27" s="2276" t="s">
        <v>510</v>
      </c>
      <c r="V27" s="2247"/>
    </row>
    <row r="28" spans="1:22" s="1537" customFormat="1" ht="15" customHeight="1">
      <c r="A28" s="2251">
        <v>22</v>
      </c>
      <c r="B28" s="3401" t="s">
        <v>6828</v>
      </c>
      <c r="C28" s="3402"/>
      <c r="D28" s="2266">
        <f>D29+D30</f>
        <v>0</v>
      </c>
      <c r="E28" s="2268">
        <f t="shared" ref="E28" si="44">E29+E30</f>
        <v>0</v>
      </c>
      <c r="F28" s="2266">
        <f t="shared" ref="F28" si="45">F29+F30</f>
        <v>0</v>
      </c>
      <c r="G28" s="2268">
        <f t="shared" ref="G28" si="46">G29+G30</f>
        <v>0</v>
      </c>
      <c r="H28" s="2266">
        <f t="shared" ref="H28" si="47">H29+H30</f>
        <v>0</v>
      </c>
      <c r="I28" s="2268">
        <f t="shared" ref="I28" si="48">I29+I30</f>
        <v>0</v>
      </c>
      <c r="J28" s="2266">
        <f t="shared" ref="J28" si="49">J29+J30</f>
        <v>0</v>
      </c>
      <c r="K28" s="2268">
        <f t="shared" ref="K28" si="50">K29+K30</f>
        <v>0</v>
      </c>
      <c r="L28" s="2266">
        <f t="shared" ref="L28" si="51">L29+L30</f>
        <v>0</v>
      </c>
      <c r="M28" s="2268">
        <f t="shared" ref="M28" si="52">M29+M30</f>
        <v>0</v>
      </c>
      <c r="N28" s="2266">
        <f t="shared" ref="N28" si="53">N29+N30</f>
        <v>0</v>
      </c>
      <c r="O28" s="2268">
        <f t="shared" ref="O28" si="54">O29+O30</f>
        <v>0</v>
      </c>
      <c r="P28" s="2266">
        <f t="shared" ref="P28" si="55">P29+P30</f>
        <v>0</v>
      </c>
      <c r="Q28" s="2271">
        <f>Q30</f>
        <v>0</v>
      </c>
      <c r="R28" s="2271">
        <f>R29</f>
        <v>0</v>
      </c>
      <c r="S28" s="2271">
        <f t="shared" ref="S28" si="56">S29+S30</f>
        <v>0</v>
      </c>
      <c r="T28" s="2271">
        <f>T30</f>
        <v>0</v>
      </c>
      <c r="U28" s="2268">
        <f>U29</f>
        <v>0</v>
      </c>
      <c r="V28" s="2247"/>
    </row>
    <row r="29" spans="1:22" s="1537" customFormat="1" ht="15" customHeight="1">
      <c r="A29" s="2251">
        <v>23</v>
      </c>
      <c r="B29" s="3403" t="s">
        <v>6826</v>
      </c>
      <c r="C29" s="2252" t="s">
        <v>6815</v>
      </c>
      <c r="D29" s="2260"/>
      <c r="E29" s="2261"/>
      <c r="F29" s="2260"/>
      <c r="G29" s="2261"/>
      <c r="H29" s="2260"/>
      <c r="I29" s="2261"/>
      <c r="J29" s="2260"/>
      <c r="K29" s="2261"/>
      <c r="L29" s="2260"/>
      <c r="M29" s="2261"/>
      <c r="N29" s="2260"/>
      <c r="O29" s="2261"/>
      <c r="P29" s="2266">
        <f>D29+F29+H29+J29+L29+N29</f>
        <v>0</v>
      </c>
      <c r="Q29" s="2274" t="s">
        <v>510</v>
      </c>
      <c r="R29" s="2262"/>
      <c r="S29" s="2271">
        <f>E29+G29+I29+K29+M29+O29</f>
        <v>0</v>
      </c>
      <c r="T29" s="2274" t="s">
        <v>510</v>
      </c>
      <c r="U29" s="2268">
        <f>S29-R29</f>
        <v>0</v>
      </c>
      <c r="V29" s="2247"/>
    </row>
    <row r="30" spans="1:22" s="1537" customFormat="1" ht="15" customHeight="1">
      <c r="A30" s="2251">
        <v>24</v>
      </c>
      <c r="B30" s="3403"/>
      <c r="C30" s="2252" t="s">
        <v>6816</v>
      </c>
      <c r="D30" s="2260"/>
      <c r="E30" s="2261"/>
      <c r="F30" s="2260"/>
      <c r="G30" s="2261"/>
      <c r="H30" s="2260"/>
      <c r="I30" s="2261"/>
      <c r="J30" s="2260"/>
      <c r="K30" s="2261"/>
      <c r="L30" s="2260"/>
      <c r="M30" s="2261"/>
      <c r="N30" s="2260"/>
      <c r="O30" s="2261"/>
      <c r="P30" s="2266">
        <f>D30+F30+H30+J30+L30+N30</f>
        <v>0</v>
      </c>
      <c r="Q30" s="2262"/>
      <c r="R30" s="2274" t="s">
        <v>510</v>
      </c>
      <c r="S30" s="2271">
        <f>E30+G30+I30+K30+M30+O30</f>
        <v>0</v>
      </c>
      <c r="T30" s="2271">
        <f>S30-Q30</f>
        <v>0</v>
      </c>
      <c r="U30" s="2276" t="s">
        <v>510</v>
      </c>
      <c r="V30" s="2247"/>
    </row>
    <row r="31" spans="1:22" s="1537" customFormat="1" ht="15" customHeight="1">
      <c r="A31" s="2251">
        <v>25</v>
      </c>
      <c r="B31" s="3401" t="s">
        <v>6829</v>
      </c>
      <c r="C31" s="3402"/>
      <c r="D31" s="2266">
        <f>D32+D33</f>
        <v>0</v>
      </c>
      <c r="E31" s="2268">
        <f t="shared" ref="E31" si="57">E32+E33</f>
        <v>0</v>
      </c>
      <c r="F31" s="2266">
        <f t="shared" ref="F31" si="58">F32+F33</f>
        <v>0</v>
      </c>
      <c r="G31" s="2268">
        <f t="shared" ref="G31" si="59">G32+G33</f>
        <v>0</v>
      </c>
      <c r="H31" s="2266">
        <f t="shared" ref="H31" si="60">H32+H33</f>
        <v>0</v>
      </c>
      <c r="I31" s="2268">
        <f t="shared" ref="I31" si="61">I32+I33</f>
        <v>0</v>
      </c>
      <c r="J31" s="2266">
        <f t="shared" ref="J31" si="62">J32+J33</f>
        <v>0</v>
      </c>
      <c r="K31" s="2268">
        <f t="shared" ref="K31" si="63">K32+K33</f>
        <v>0</v>
      </c>
      <c r="L31" s="2266">
        <f t="shared" ref="L31" si="64">L32+L33</f>
        <v>0</v>
      </c>
      <c r="M31" s="2268">
        <f t="shared" ref="M31" si="65">M32+M33</f>
        <v>0</v>
      </c>
      <c r="N31" s="2266">
        <f t="shared" ref="N31" si="66">N32+N33</f>
        <v>0</v>
      </c>
      <c r="O31" s="2268">
        <f t="shared" ref="O31" si="67">O32+O33</f>
        <v>0</v>
      </c>
      <c r="P31" s="2266">
        <f t="shared" ref="P31" si="68">P32+P33</f>
        <v>0</v>
      </c>
      <c r="Q31" s="2271">
        <f>Q33</f>
        <v>0</v>
      </c>
      <c r="R31" s="2271">
        <f>R32</f>
        <v>0</v>
      </c>
      <c r="S31" s="2271">
        <f t="shared" ref="S31" si="69">S32+S33</f>
        <v>0</v>
      </c>
      <c r="T31" s="2271">
        <f>T33</f>
        <v>0</v>
      </c>
      <c r="U31" s="2268">
        <f>U32</f>
        <v>0</v>
      </c>
      <c r="V31" s="2247"/>
    </row>
    <row r="32" spans="1:22" s="1537" customFormat="1" ht="15" customHeight="1">
      <c r="A32" s="2251">
        <v>26</v>
      </c>
      <c r="B32" s="3403" t="s">
        <v>6826</v>
      </c>
      <c r="C32" s="2252" t="s">
        <v>6815</v>
      </c>
      <c r="D32" s="2260"/>
      <c r="E32" s="2261"/>
      <c r="F32" s="2260"/>
      <c r="G32" s="2261"/>
      <c r="H32" s="2260"/>
      <c r="I32" s="2261"/>
      <c r="J32" s="2260"/>
      <c r="K32" s="2261"/>
      <c r="L32" s="2260"/>
      <c r="M32" s="2261"/>
      <c r="N32" s="2260"/>
      <c r="O32" s="2261"/>
      <c r="P32" s="2266">
        <f>D32+F32+H32+J32+L32+N32</f>
        <v>0</v>
      </c>
      <c r="Q32" s="2274" t="s">
        <v>510</v>
      </c>
      <c r="R32" s="2262"/>
      <c r="S32" s="2271">
        <f>E32+G32+I32+K32+M32+O32</f>
        <v>0</v>
      </c>
      <c r="T32" s="2274" t="s">
        <v>510</v>
      </c>
      <c r="U32" s="2268">
        <f>S32-R32</f>
        <v>0</v>
      </c>
      <c r="V32" s="2247"/>
    </row>
    <row r="33" spans="1:22" s="1537" customFormat="1" ht="15" customHeight="1">
      <c r="A33" s="2251">
        <v>27</v>
      </c>
      <c r="B33" s="3403"/>
      <c r="C33" s="2252" t="s">
        <v>6816</v>
      </c>
      <c r="D33" s="2260"/>
      <c r="E33" s="2261"/>
      <c r="F33" s="2260"/>
      <c r="G33" s="2261"/>
      <c r="H33" s="2260"/>
      <c r="I33" s="2261"/>
      <c r="J33" s="2260"/>
      <c r="K33" s="2261"/>
      <c r="L33" s="2260"/>
      <c r="M33" s="2261"/>
      <c r="N33" s="2260"/>
      <c r="O33" s="2261"/>
      <c r="P33" s="2266">
        <f>D33+F33+H33+J33+L33+N33</f>
        <v>0</v>
      </c>
      <c r="Q33" s="2262"/>
      <c r="R33" s="2274" t="s">
        <v>510</v>
      </c>
      <c r="S33" s="2271">
        <f>E33+G33+I33+K33+M33+O33</f>
        <v>0</v>
      </c>
      <c r="T33" s="2271">
        <f>S33-Q33</f>
        <v>0</v>
      </c>
      <c r="U33" s="2276" t="s">
        <v>510</v>
      </c>
      <c r="V33" s="2247"/>
    </row>
    <row r="34" spans="1:22" s="1537" customFormat="1" ht="18" customHeight="1">
      <c r="A34" s="2248">
        <v>28</v>
      </c>
      <c r="B34" s="3404" t="s">
        <v>6830</v>
      </c>
      <c r="C34" s="3405"/>
      <c r="D34" s="2255">
        <f>D22+D25+D28+D31</f>
        <v>0</v>
      </c>
      <c r="E34" s="2256">
        <f t="shared" ref="E34:U34" si="70">E22+E25+E28+E31</f>
        <v>0</v>
      </c>
      <c r="F34" s="2255">
        <f t="shared" si="70"/>
        <v>0</v>
      </c>
      <c r="G34" s="2256">
        <f t="shared" si="70"/>
        <v>0</v>
      </c>
      <c r="H34" s="2255">
        <f t="shared" si="70"/>
        <v>0</v>
      </c>
      <c r="I34" s="2256">
        <f t="shared" si="70"/>
        <v>0</v>
      </c>
      <c r="J34" s="2255">
        <f t="shared" si="70"/>
        <v>0</v>
      </c>
      <c r="K34" s="2256">
        <f t="shared" si="70"/>
        <v>0</v>
      </c>
      <c r="L34" s="2255">
        <f t="shared" si="70"/>
        <v>0</v>
      </c>
      <c r="M34" s="2256">
        <f t="shared" si="70"/>
        <v>0</v>
      </c>
      <c r="N34" s="2255">
        <f t="shared" si="70"/>
        <v>0</v>
      </c>
      <c r="O34" s="2256">
        <f t="shared" si="70"/>
        <v>0</v>
      </c>
      <c r="P34" s="2255">
        <f t="shared" si="70"/>
        <v>0</v>
      </c>
      <c r="Q34" s="2263">
        <f t="shared" si="70"/>
        <v>0</v>
      </c>
      <c r="R34" s="2263">
        <f t="shared" si="70"/>
        <v>0</v>
      </c>
      <c r="S34" s="2263">
        <f t="shared" si="70"/>
        <v>0</v>
      </c>
      <c r="T34" s="2263">
        <f t="shared" si="70"/>
        <v>0</v>
      </c>
      <c r="U34" s="2256">
        <f t="shared" si="70"/>
        <v>0</v>
      </c>
      <c r="V34" s="2246"/>
    </row>
    <row r="35" spans="1:22">
      <c r="A35" s="2071"/>
      <c r="B35" s="2243"/>
      <c r="C35" s="2071"/>
      <c r="D35" s="2071"/>
      <c r="E35" s="2071"/>
      <c r="F35" s="2071"/>
      <c r="G35" s="2071"/>
      <c r="H35" s="2071"/>
      <c r="I35" s="2015"/>
      <c r="J35" s="2071"/>
      <c r="K35" s="2071"/>
      <c r="L35" s="2071"/>
      <c r="M35" s="2071"/>
      <c r="N35" s="2243"/>
      <c r="O35" s="2243"/>
      <c r="P35" s="2071"/>
      <c r="Q35" s="2243"/>
      <c r="R35" s="2071"/>
      <c r="S35" s="2071"/>
      <c r="T35" s="2071"/>
      <c r="U35" s="2071"/>
      <c r="V35" s="2071"/>
    </row>
    <row r="36" spans="1:22">
      <c r="B36" s="2560" t="s">
        <v>7428</v>
      </c>
      <c r="C36" s="3429" t="s">
        <v>7429</v>
      </c>
      <c r="D36" s="3429"/>
      <c r="E36" s="3429"/>
    </row>
    <row r="37" spans="1:22">
      <c r="B37" s="2561" t="s">
        <v>7430</v>
      </c>
      <c r="C37" s="3430" t="s">
        <v>7431</v>
      </c>
      <c r="D37" s="3430"/>
      <c r="E37" s="3430"/>
    </row>
    <row r="38" spans="1:22">
      <c r="B38" s="2561" t="s">
        <v>1944</v>
      </c>
      <c r="C38" s="3430" t="s">
        <v>7432</v>
      </c>
      <c r="D38" s="3430"/>
      <c r="E38" s="3430"/>
    </row>
    <row r="39" spans="1:22">
      <c r="B39" s="2561" t="s">
        <v>7433</v>
      </c>
      <c r="C39" s="3430" t="s">
        <v>7434</v>
      </c>
      <c r="D39" s="3430"/>
      <c r="E39" s="3430"/>
    </row>
    <row r="40" spans="1:22">
      <c r="B40" s="2561" t="s">
        <v>7435</v>
      </c>
      <c r="C40" s="3430" t="s">
        <v>7436</v>
      </c>
      <c r="D40" s="3430"/>
      <c r="E40" s="3430"/>
    </row>
    <row r="41" spans="1:22">
      <c r="B41" s="2561" t="s">
        <v>7437</v>
      </c>
      <c r="C41" s="3430" t="s">
        <v>7438</v>
      </c>
      <c r="D41" s="3430"/>
      <c r="E41" s="3430"/>
    </row>
    <row r="42" spans="1:22">
      <c r="B42" s="2561" t="s">
        <v>1946</v>
      </c>
      <c r="C42" s="3430" t="s">
        <v>7439</v>
      </c>
      <c r="D42" s="3430"/>
      <c r="E42" s="3430"/>
    </row>
    <row r="43" spans="1:22">
      <c r="B43" s="2561" t="s">
        <v>7440</v>
      </c>
      <c r="C43" s="3430" t="s">
        <v>7441</v>
      </c>
      <c r="D43" s="3430"/>
      <c r="E43" s="3430"/>
    </row>
    <row r="44" spans="1:22">
      <c r="B44" s="2561" t="s">
        <v>7442</v>
      </c>
      <c r="C44" s="3430" t="s">
        <v>7443</v>
      </c>
      <c r="D44" s="3430"/>
      <c r="E44" s="3430"/>
    </row>
    <row r="45" spans="1:22">
      <c r="B45" s="2561" t="s">
        <v>7444</v>
      </c>
      <c r="C45" s="3430" t="s">
        <v>7445</v>
      </c>
      <c r="D45" s="3430"/>
      <c r="E45" s="3430"/>
    </row>
    <row r="46" spans="1:22">
      <c r="B46" s="2561" t="s">
        <v>7446</v>
      </c>
      <c r="C46" s="3430" t="s">
        <v>7447</v>
      </c>
      <c r="D46" s="3430"/>
      <c r="E46" s="3430"/>
    </row>
    <row r="47" spans="1:22">
      <c r="B47" s="2561" t="s">
        <v>7448</v>
      </c>
      <c r="C47" s="3430" t="s">
        <v>7449</v>
      </c>
      <c r="D47" s="3430"/>
      <c r="E47" s="3430"/>
    </row>
    <row r="48" spans="1:22">
      <c r="B48" s="2561" t="s">
        <v>1950</v>
      </c>
      <c r="C48" s="3430" t="s">
        <v>7450</v>
      </c>
      <c r="D48" s="3430"/>
      <c r="E48" s="3430"/>
    </row>
    <row r="49" spans="2:5">
      <c r="B49" s="2561" t="s">
        <v>7451</v>
      </c>
      <c r="C49" s="3430" t="s">
        <v>7452</v>
      </c>
      <c r="D49" s="3430"/>
      <c r="E49" s="3430"/>
    </row>
    <row r="50" spans="2:5">
      <c r="B50" s="2561" t="s">
        <v>7453</v>
      </c>
      <c r="C50" s="3430" t="s">
        <v>7454</v>
      </c>
      <c r="D50" s="3430"/>
      <c r="E50" s="3430"/>
    </row>
    <row r="51" spans="2:5">
      <c r="B51" s="2561" t="s">
        <v>7455</v>
      </c>
      <c r="C51" s="3430" t="s">
        <v>7456</v>
      </c>
      <c r="D51" s="3430"/>
      <c r="E51" s="3430"/>
    </row>
    <row r="52" spans="2:5">
      <c r="B52" s="2561" t="s">
        <v>7457</v>
      </c>
      <c r="C52" s="3430" t="s">
        <v>7458</v>
      </c>
      <c r="D52" s="3430"/>
      <c r="E52" s="3430"/>
    </row>
    <row r="53" spans="2:5">
      <c r="B53" s="2561" t="s">
        <v>7459</v>
      </c>
      <c r="C53" s="3430" t="s">
        <v>7460</v>
      </c>
      <c r="D53" s="3430"/>
      <c r="E53" s="3430"/>
    </row>
    <row r="54" spans="2:5">
      <c r="B54" s="2561" t="s">
        <v>7461</v>
      </c>
      <c r="C54" s="3430" t="s">
        <v>7462</v>
      </c>
      <c r="D54" s="3430"/>
      <c r="E54" s="3430"/>
    </row>
    <row r="55" spans="2:5">
      <c r="B55" s="2561" t="s">
        <v>1966</v>
      </c>
      <c r="C55" s="3430" t="s">
        <v>7463</v>
      </c>
      <c r="D55" s="3430"/>
      <c r="E55" s="3430"/>
    </row>
    <row r="56" spans="2:5">
      <c r="B56" s="2561" t="s">
        <v>1682</v>
      </c>
      <c r="C56" s="3430" t="s">
        <v>7464</v>
      </c>
      <c r="D56" s="3430"/>
      <c r="E56" s="3430"/>
    </row>
    <row r="57" spans="2:5">
      <c r="B57" s="2561" t="s">
        <v>7465</v>
      </c>
      <c r="C57" s="3430" t="s">
        <v>7466</v>
      </c>
      <c r="D57" s="3430"/>
      <c r="E57" s="3430"/>
    </row>
    <row r="58" spans="2:5">
      <c r="B58" s="2561" t="s">
        <v>7467</v>
      </c>
      <c r="C58" s="3430" t="s">
        <v>7468</v>
      </c>
      <c r="D58" s="3430"/>
      <c r="E58" s="3430"/>
    </row>
    <row r="59" spans="2:5">
      <c r="B59" s="2561" t="s">
        <v>2695</v>
      </c>
      <c r="C59" s="3430" t="s">
        <v>7469</v>
      </c>
      <c r="D59" s="3430"/>
      <c r="E59" s="3430"/>
    </row>
    <row r="60" spans="2:5">
      <c r="B60" s="2561" t="s">
        <v>7470</v>
      </c>
      <c r="C60" s="3430" t="s">
        <v>7471</v>
      </c>
      <c r="D60" s="3430"/>
      <c r="E60" s="3430"/>
    </row>
    <row r="61" spans="2:5">
      <c r="B61" s="2561" t="s">
        <v>7472</v>
      </c>
      <c r="C61" s="3430" t="s">
        <v>7473</v>
      </c>
      <c r="D61" s="3430"/>
      <c r="E61" s="3430"/>
    </row>
    <row r="62" spans="2:5">
      <c r="B62" s="2561" t="s">
        <v>7474</v>
      </c>
      <c r="C62" s="3430" t="s">
        <v>7475</v>
      </c>
      <c r="D62" s="3430"/>
      <c r="E62" s="3430"/>
    </row>
    <row r="63" spans="2:5">
      <c r="B63" s="2561" t="s">
        <v>1974</v>
      </c>
      <c r="C63" s="3430" t="s">
        <v>7476</v>
      </c>
      <c r="D63" s="3430"/>
      <c r="E63" s="3430"/>
    </row>
    <row r="64" spans="2:5">
      <c r="B64" s="2561" t="s">
        <v>1976</v>
      </c>
      <c r="C64" s="3430" t="s">
        <v>7477</v>
      </c>
      <c r="D64" s="3430"/>
      <c r="E64" s="3430"/>
    </row>
    <row r="65" spans="2:5">
      <c r="B65" s="2561" t="s">
        <v>7478</v>
      </c>
      <c r="C65" s="3430" t="s">
        <v>7479</v>
      </c>
      <c r="D65" s="3430"/>
      <c r="E65" s="3430"/>
    </row>
    <row r="66" spans="2:5">
      <c r="B66" s="2561" t="s">
        <v>7480</v>
      </c>
      <c r="C66" s="3430" t="s">
        <v>7481</v>
      </c>
      <c r="D66" s="3430"/>
      <c r="E66" s="3430"/>
    </row>
    <row r="67" spans="2:5">
      <c r="B67" s="2561" t="s">
        <v>7482</v>
      </c>
      <c r="C67" s="3430" t="s">
        <v>7483</v>
      </c>
      <c r="D67" s="3430"/>
      <c r="E67" s="3430"/>
    </row>
    <row r="68" spans="2:5">
      <c r="B68" s="2561" t="s">
        <v>7484</v>
      </c>
      <c r="C68" s="3430" t="s">
        <v>7485</v>
      </c>
      <c r="D68" s="3430"/>
      <c r="E68" s="3430"/>
    </row>
    <row r="69" spans="2:5">
      <c r="B69" s="2561" t="s">
        <v>7486</v>
      </c>
      <c r="C69" s="3430" t="s">
        <v>7487</v>
      </c>
      <c r="D69" s="3430"/>
      <c r="E69" s="3430"/>
    </row>
    <row r="70" spans="2:5">
      <c r="B70" s="2561" t="s">
        <v>1980</v>
      </c>
      <c r="C70" s="3430" t="s">
        <v>7488</v>
      </c>
      <c r="D70" s="3430"/>
      <c r="E70" s="3430"/>
    </row>
    <row r="71" spans="2:5">
      <c r="B71" s="2561" t="s">
        <v>1683</v>
      </c>
      <c r="C71" s="3430" t="s">
        <v>7489</v>
      </c>
      <c r="D71" s="3430"/>
      <c r="E71" s="3430"/>
    </row>
    <row r="72" spans="2:5">
      <c r="B72" s="2561" t="s">
        <v>7490</v>
      </c>
      <c r="C72" s="3430" t="s">
        <v>7491</v>
      </c>
      <c r="D72" s="3430"/>
      <c r="E72" s="3430"/>
    </row>
    <row r="73" spans="2:5">
      <c r="B73" s="2561" t="s">
        <v>1985</v>
      </c>
      <c r="C73" s="3430" t="s">
        <v>7492</v>
      </c>
      <c r="D73" s="3430"/>
      <c r="E73" s="3430"/>
    </row>
    <row r="74" spans="2:5">
      <c r="B74" s="2561" t="s">
        <v>7493</v>
      </c>
      <c r="C74" s="3430" t="s">
        <v>7494</v>
      </c>
      <c r="D74" s="3430"/>
      <c r="E74" s="3430"/>
    </row>
    <row r="75" spans="2:5">
      <c r="B75" s="2561" t="s">
        <v>1987</v>
      </c>
      <c r="C75" s="3430" t="s">
        <v>7495</v>
      </c>
      <c r="D75" s="3430"/>
      <c r="E75" s="3430"/>
    </row>
    <row r="76" spans="2:5">
      <c r="B76" s="2561" t="s">
        <v>7496</v>
      </c>
      <c r="C76" s="3430" t="s">
        <v>7497</v>
      </c>
      <c r="D76" s="3430"/>
      <c r="E76" s="3430"/>
    </row>
    <row r="77" spans="2:5">
      <c r="B77" s="2561" t="s">
        <v>7498</v>
      </c>
      <c r="C77" s="3430" t="s">
        <v>7499</v>
      </c>
      <c r="D77" s="3430"/>
      <c r="E77" s="3430"/>
    </row>
    <row r="78" spans="2:5">
      <c r="B78" s="2561" t="s">
        <v>1991</v>
      </c>
      <c r="C78" s="3430" t="s">
        <v>7500</v>
      </c>
      <c r="D78" s="3430"/>
      <c r="E78" s="3430"/>
    </row>
    <row r="79" spans="2:5">
      <c r="B79" s="2561" t="s">
        <v>7501</v>
      </c>
      <c r="C79" s="3430" t="s">
        <v>7502</v>
      </c>
      <c r="D79" s="3430"/>
      <c r="E79" s="3430"/>
    </row>
    <row r="80" spans="2:5">
      <c r="B80" s="2561" t="s">
        <v>1684</v>
      </c>
      <c r="C80" s="3430" t="s">
        <v>7503</v>
      </c>
      <c r="D80" s="3430"/>
      <c r="E80" s="3430"/>
    </row>
    <row r="81" spans="2:5">
      <c r="B81" s="2561" t="s">
        <v>1996</v>
      </c>
      <c r="C81" s="3430" t="s">
        <v>7504</v>
      </c>
      <c r="D81" s="3430"/>
      <c r="E81" s="3430"/>
    </row>
    <row r="82" spans="2:5">
      <c r="B82" s="2561" t="s">
        <v>1998</v>
      </c>
      <c r="C82" s="3430" t="s">
        <v>7505</v>
      </c>
      <c r="D82" s="3430"/>
      <c r="E82" s="3430"/>
    </row>
    <row r="83" spans="2:5">
      <c r="B83" s="2561" t="s">
        <v>7506</v>
      </c>
      <c r="C83" s="3430" t="s">
        <v>7507</v>
      </c>
      <c r="D83" s="3430"/>
      <c r="E83" s="3430"/>
    </row>
    <row r="84" spans="2:5">
      <c r="B84" s="2561" t="s">
        <v>2006</v>
      </c>
      <c r="C84" s="3430" t="s">
        <v>7508</v>
      </c>
      <c r="D84" s="3430"/>
      <c r="E84" s="3430"/>
    </row>
    <row r="85" spans="2:5">
      <c r="B85" s="2561" t="s">
        <v>7509</v>
      </c>
      <c r="C85" s="3430" t="s">
        <v>7510</v>
      </c>
      <c r="D85" s="3430"/>
      <c r="E85" s="3430"/>
    </row>
    <row r="86" spans="2:5">
      <c r="B86" s="2561" t="s">
        <v>7511</v>
      </c>
      <c r="C86" s="3430" t="s">
        <v>7512</v>
      </c>
      <c r="D86" s="3430"/>
      <c r="E86" s="3430"/>
    </row>
    <row r="87" spans="2:5">
      <c r="B87" s="2561" t="s">
        <v>7513</v>
      </c>
      <c r="C87" s="3430" t="s">
        <v>7514</v>
      </c>
      <c r="D87" s="3430"/>
      <c r="E87" s="3430"/>
    </row>
    <row r="88" spans="2:5">
      <c r="B88" s="2561" t="s">
        <v>2022</v>
      </c>
      <c r="C88" s="3430" t="s">
        <v>7515</v>
      </c>
      <c r="D88" s="3430"/>
      <c r="E88" s="3430"/>
    </row>
    <row r="89" spans="2:5">
      <c r="B89" s="2561" t="s">
        <v>7516</v>
      </c>
      <c r="C89" s="3430" t="s">
        <v>7517</v>
      </c>
      <c r="D89" s="3430"/>
      <c r="E89" s="3430"/>
    </row>
    <row r="90" spans="2:5">
      <c r="B90" s="2561" t="s">
        <v>7518</v>
      </c>
      <c r="C90" s="3430" t="s">
        <v>7519</v>
      </c>
      <c r="D90" s="3430"/>
      <c r="E90" s="3430"/>
    </row>
    <row r="91" spans="2:5">
      <c r="B91" s="2561" t="s">
        <v>7520</v>
      </c>
      <c r="C91" s="3430" t="s">
        <v>7521</v>
      </c>
      <c r="D91" s="3430"/>
      <c r="E91" s="3430"/>
    </row>
    <row r="92" spans="2:5">
      <c r="B92" s="2561" t="s">
        <v>7522</v>
      </c>
      <c r="C92" s="3430" t="s">
        <v>7523</v>
      </c>
      <c r="D92" s="3430"/>
      <c r="E92" s="3430"/>
    </row>
    <row r="93" spans="2:5">
      <c r="B93" s="2561" t="s">
        <v>2764</v>
      </c>
      <c r="C93" s="3430" t="s">
        <v>7524</v>
      </c>
      <c r="D93" s="3430"/>
      <c r="E93" s="3430"/>
    </row>
    <row r="94" spans="2:5">
      <c r="B94" s="2561" t="s">
        <v>2026</v>
      </c>
      <c r="C94" s="3430" t="s">
        <v>7525</v>
      </c>
      <c r="D94" s="3430"/>
      <c r="E94" s="3430"/>
    </row>
    <row r="95" spans="2:5">
      <c r="B95" s="2561" t="s">
        <v>7526</v>
      </c>
      <c r="C95" s="3430" t="s">
        <v>7527</v>
      </c>
      <c r="D95" s="3430"/>
      <c r="E95" s="3430"/>
    </row>
    <row r="96" spans="2:5">
      <c r="B96" s="2561" t="s">
        <v>7528</v>
      </c>
      <c r="C96" s="3430" t="s">
        <v>7529</v>
      </c>
      <c r="D96" s="3430"/>
      <c r="E96" s="3430"/>
    </row>
    <row r="97" spans="2:5">
      <c r="B97" s="2561" t="s">
        <v>7530</v>
      </c>
      <c r="C97" s="3430" t="s">
        <v>7531</v>
      </c>
      <c r="D97" s="3430"/>
      <c r="E97" s="3430"/>
    </row>
    <row r="98" spans="2:5">
      <c r="B98" s="2561" t="s">
        <v>2030</v>
      </c>
      <c r="C98" s="3430" t="s">
        <v>7532</v>
      </c>
      <c r="D98" s="3430"/>
      <c r="E98" s="3430"/>
    </row>
    <row r="99" spans="2:5">
      <c r="B99" s="2561" t="s">
        <v>7533</v>
      </c>
      <c r="C99" s="3430" t="s">
        <v>7534</v>
      </c>
      <c r="D99" s="3430"/>
      <c r="E99" s="3430"/>
    </row>
    <row r="100" spans="2:5">
      <c r="B100" s="2561" t="s">
        <v>2050</v>
      </c>
      <c r="C100" s="3430" t="s">
        <v>7535</v>
      </c>
      <c r="D100" s="3430"/>
      <c r="E100" s="3430"/>
    </row>
    <row r="101" spans="2:5">
      <c r="B101" s="2561" t="s">
        <v>7536</v>
      </c>
      <c r="C101" s="3430" t="s">
        <v>7537</v>
      </c>
      <c r="D101" s="3430"/>
      <c r="E101" s="3430"/>
    </row>
    <row r="102" spans="2:5">
      <c r="B102" s="2561" t="s">
        <v>2052</v>
      </c>
      <c r="C102" s="3430" t="s">
        <v>7538</v>
      </c>
      <c r="D102" s="3430"/>
      <c r="E102" s="3430"/>
    </row>
    <row r="103" spans="2:5">
      <c r="B103" s="2561" t="s">
        <v>7539</v>
      </c>
      <c r="C103" s="3430" t="s">
        <v>7540</v>
      </c>
      <c r="D103" s="3430"/>
      <c r="E103" s="3430"/>
    </row>
    <row r="104" spans="2:5">
      <c r="B104" s="2561" t="s">
        <v>2054</v>
      </c>
      <c r="C104" s="3430" t="s">
        <v>7541</v>
      </c>
      <c r="D104" s="3430"/>
      <c r="E104" s="3430"/>
    </row>
    <row r="105" spans="2:5">
      <c r="B105" s="2561" t="s">
        <v>7542</v>
      </c>
      <c r="C105" s="3430" t="s">
        <v>7543</v>
      </c>
      <c r="D105" s="3430"/>
      <c r="E105" s="3430"/>
    </row>
    <row r="106" spans="2:5">
      <c r="B106" s="2561" t="s">
        <v>7544</v>
      </c>
      <c r="C106" s="3430" t="s">
        <v>7545</v>
      </c>
      <c r="D106" s="3430"/>
      <c r="E106" s="3430"/>
    </row>
    <row r="107" spans="2:5">
      <c r="B107" s="2561" t="s">
        <v>7546</v>
      </c>
      <c r="C107" s="3430" t="s">
        <v>7547</v>
      </c>
      <c r="D107" s="3430"/>
      <c r="E107" s="3430"/>
    </row>
    <row r="108" spans="2:5">
      <c r="B108" s="2561" t="s">
        <v>7548</v>
      </c>
      <c r="C108" s="3430" t="s">
        <v>7549</v>
      </c>
      <c r="D108" s="3430"/>
      <c r="E108" s="3430"/>
    </row>
    <row r="109" spans="2:5">
      <c r="B109" s="2561" t="s">
        <v>7550</v>
      </c>
      <c r="C109" s="3430" t="s">
        <v>7551</v>
      </c>
      <c r="D109" s="3430"/>
      <c r="E109" s="3430"/>
    </row>
    <row r="110" spans="2:5">
      <c r="B110" s="2561" t="s">
        <v>7552</v>
      </c>
      <c r="C110" s="3430" t="s">
        <v>7553</v>
      </c>
      <c r="D110" s="3430"/>
      <c r="E110" s="3430"/>
    </row>
    <row r="111" spans="2:5">
      <c r="B111" s="2561" t="s">
        <v>2058</v>
      </c>
      <c r="C111" s="3430" t="s">
        <v>7554</v>
      </c>
      <c r="D111" s="3430"/>
      <c r="E111" s="3430"/>
    </row>
    <row r="112" spans="2:5">
      <c r="B112" s="2561" t="s">
        <v>7555</v>
      </c>
      <c r="C112" s="3430" t="s">
        <v>7556</v>
      </c>
      <c r="D112" s="3430"/>
      <c r="E112" s="3430"/>
    </row>
    <row r="113" spans="2:5">
      <c r="B113" s="2561" t="s">
        <v>7557</v>
      </c>
      <c r="C113" s="3430" t="s">
        <v>7558</v>
      </c>
      <c r="D113" s="3430"/>
      <c r="E113" s="3430"/>
    </row>
    <row r="114" spans="2:5">
      <c r="B114" s="2561" t="s">
        <v>7559</v>
      </c>
      <c r="C114" s="3430" t="s">
        <v>7560</v>
      </c>
      <c r="D114" s="3430"/>
      <c r="E114" s="3430"/>
    </row>
    <row r="115" spans="2:5">
      <c r="B115" s="2561" t="s">
        <v>2060</v>
      </c>
      <c r="C115" s="3430" t="s">
        <v>7561</v>
      </c>
      <c r="D115" s="3430"/>
      <c r="E115" s="3430"/>
    </row>
    <row r="116" spans="2:5">
      <c r="B116" s="2561" t="s">
        <v>7562</v>
      </c>
      <c r="C116" s="3430" t="s">
        <v>7563</v>
      </c>
      <c r="D116" s="3430"/>
      <c r="E116" s="3430"/>
    </row>
    <row r="117" spans="2:5">
      <c r="B117" s="2561" t="s">
        <v>7564</v>
      </c>
      <c r="C117" s="3430" t="s">
        <v>7565</v>
      </c>
      <c r="D117" s="3430"/>
      <c r="E117" s="3430"/>
    </row>
    <row r="118" spans="2:5">
      <c r="B118" s="2561" t="s">
        <v>2062</v>
      </c>
      <c r="C118" s="3430" t="s">
        <v>7566</v>
      </c>
      <c r="D118" s="3430"/>
      <c r="E118" s="3430"/>
    </row>
    <row r="119" spans="2:5">
      <c r="B119" s="2561" t="s">
        <v>7567</v>
      </c>
      <c r="C119" s="3430" t="s">
        <v>7568</v>
      </c>
      <c r="D119" s="3430"/>
      <c r="E119" s="3430"/>
    </row>
    <row r="120" spans="2:5">
      <c r="B120" s="2561" t="s">
        <v>7569</v>
      </c>
      <c r="C120" s="3430" t="s">
        <v>7570</v>
      </c>
      <c r="D120" s="3430"/>
      <c r="E120" s="3430"/>
    </row>
    <row r="121" spans="2:5">
      <c r="B121" s="2561" t="s">
        <v>7571</v>
      </c>
      <c r="C121" s="3430" t="s">
        <v>7572</v>
      </c>
      <c r="D121" s="3430"/>
      <c r="E121" s="3430"/>
    </row>
    <row r="122" spans="2:5">
      <c r="B122" s="2561" t="s">
        <v>2064</v>
      </c>
      <c r="C122" s="3430" t="s">
        <v>7573</v>
      </c>
      <c r="D122" s="3430"/>
      <c r="E122" s="3430"/>
    </row>
    <row r="123" spans="2:5">
      <c r="B123" s="2561" t="s">
        <v>7574</v>
      </c>
      <c r="C123" s="3430" t="s">
        <v>7575</v>
      </c>
      <c r="D123" s="3430"/>
      <c r="E123" s="3430"/>
    </row>
    <row r="124" spans="2:5">
      <c r="B124" s="2561" t="s">
        <v>7576</v>
      </c>
      <c r="C124" s="3430" t="s">
        <v>7577</v>
      </c>
      <c r="D124" s="3430"/>
      <c r="E124" s="3430"/>
    </row>
    <row r="125" spans="2:5">
      <c r="B125" s="2561" t="s">
        <v>7578</v>
      </c>
      <c r="C125" s="3430" t="s">
        <v>7579</v>
      </c>
      <c r="D125" s="3430"/>
      <c r="E125" s="3430"/>
    </row>
    <row r="126" spans="2:5">
      <c r="B126" s="2561" t="s">
        <v>7580</v>
      </c>
      <c r="C126" s="3430" t="s">
        <v>7581</v>
      </c>
      <c r="D126" s="3430"/>
      <c r="E126" s="3430"/>
    </row>
    <row r="127" spans="2:5">
      <c r="B127" s="2561" t="s">
        <v>7582</v>
      </c>
      <c r="C127" s="3430" t="s">
        <v>7583</v>
      </c>
      <c r="D127" s="3430"/>
      <c r="E127" s="3430"/>
    </row>
    <row r="128" spans="2:5">
      <c r="B128" s="2561" t="s">
        <v>7584</v>
      </c>
      <c r="C128" s="3430" t="s">
        <v>7585</v>
      </c>
      <c r="D128" s="3430"/>
      <c r="E128" s="3430"/>
    </row>
    <row r="129" spans="2:5">
      <c r="B129" s="2561" t="s">
        <v>2068</v>
      </c>
      <c r="C129" s="3430" t="s">
        <v>7586</v>
      </c>
      <c r="D129" s="3430"/>
      <c r="E129" s="3430"/>
    </row>
    <row r="130" spans="2:5">
      <c r="B130" s="2561" t="s">
        <v>7587</v>
      </c>
      <c r="C130" s="3430" t="s">
        <v>7588</v>
      </c>
      <c r="D130" s="3430"/>
      <c r="E130" s="3430"/>
    </row>
    <row r="131" spans="2:5">
      <c r="B131" s="2561" t="s">
        <v>7589</v>
      </c>
      <c r="C131" s="3430" t="s">
        <v>7590</v>
      </c>
      <c r="D131" s="3430"/>
      <c r="E131" s="3430"/>
    </row>
    <row r="132" spans="2:5">
      <c r="B132" s="2561" t="s">
        <v>7591</v>
      </c>
      <c r="C132" s="3430" t="s">
        <v>7592</v>
      </c>
      <c r="D132" s="3430"/>
      <c r="E132" s="3430"/>
    </row>
    <row r="133" spans="2:5">
      <c r="B133" s="2561" t="s">
        <v>2072</v>
      </c>
      <c r="C133" s="3430" t="s">
        <v>7593</v>
      </c>
      <c r="D133" s="3430"/>
      <c r="E133" s="3430"/>
    </row>
    <row r="134" spans="2:5">
      <c r="B134" s="2561" t="s">
        <v>7594</v>
      </c>
      <c r="C134" s="3430" t="s">
        <v>7595</v>
      </c>
      <c r="D134" s="3430"/>
      <c r="E134" s="3430"/>
    </row>
    <row r="135" spans="2:5">
      <c r="B135" s="2561" t="s">
        <v>2074</v>
      </c>
      <c r="C135" s="3430" t="s">
        <v>7596</v>
      </c>
      <c r="D135" s="3430"/>
      <c r="E135" s="3430"/>
    </row>
    <row r="136" spans="2:5">
      <c r="B136" s="2561" t="s">
        <v>7597</v>
      </c>
      <c r="C136" s="3430" t="s">
        <v>7598</v>
      </c>
      <c r="D136" s="3430"/>
      <c r="E136" s="3430"/>
    </row>
    <row r="137" spans="2:5">
      <c r="B137" s="2561" t="s">
        <v>2076</v>
      </c>
      <c r="C137" s="3430" t="s">
        <v>7599</v>
      </c>
      <c r="D137" s="3430"/>
      <c r="E137" s="3430"/>
    </row>
    <row r="138" spans="2:5">
      <c r="B138" s="2561" t="s">
        <v>7600</v>
      </c>
      <c r="C138" s="3430" t="s">
        <v>7601</v>
      </c>
      <c r="D138" s="3430"/>
      <c r="E138" s="3430"/>
    </row>
    <row r="139" spans="2:5">
      <c r="B139" s="2561" t="s">
        <v>7602</v>
      </c>
      <c r="C139" s="3430" t="s">
        <v>7603</v>
      </c>
      <c r="D139" s="3430"/>
      <c r="E139" s="3430"/>
    </row>
    <row r="140" spans="2:5">
      <c r="B140" s="2561" t="s">
        <v>7604</v>
      </c>
      <c r="C140" s="3430" t="s">
        <v>7605</v>
      </c>
      <c r="D140" s="3430"/>
      <c r="E140" s="3430"/>
    </row>
    <row r="141" spans="2:5">
      <c r="B141" s="2561" t="s">
        <v>7606</v>
      </c>
      <c r="C141" s="3430" t="s">
        <v>7607</v>
      </c>
      <c r="D141" s="3430"/>
      <c r="E141" s="3430"/>
    </row>
    <row r="142" spans="2:5">
      <c r="B142" s="2561" t="s">
        <v>7608</v>
      </c>
      <c r="C142" s="3430" t="s">
        <v>7609</v>
      </c>
      <c r="D142" s="3430"/>
      <c r="E142" s="3430"/>
    </row>
    <row r="143" spans="2:5">
      <c r="B143" s="2561" t="s">
        <v>2080</v>
      </c>
      <c r="C143" s="3430" t="s">
        <v>7610</v>
      </c>
      <c r="D143" s="3430"/>
      <c r="E143" s="3430"/>
    </row>
    <row r="144" spans="2:5">
      <c r="B144" s="2561" t="s">
        <v>7611</v>
      </c>
      <c r="C144" s="3430" t="s">
        <v>7612</v>
      </c>
      <c r="D144" s="3430"/>
      <c r="E144" s="3430"/>
    </row>
    <row r="145" spans="2:5">
      <c r="B145" s="2561" t="s">
        <v>7613</v>
      </c>
      <c r="C145" s="3430" t="s">
        <v>7614</v>
      </c>
      <c r="D145" s="3430"/>
      <c r="E145" s="3430"/>
    </row>
    <row r="146" spans="2:5">
      <c r="B146" s="2561" t="s">
        <v>7615</v>
      </c>
      <c r="C146" s="3430" t="s">
        <v>7616</v>
      </c>
      <c r="D146" s="3430"/>
      <c r="E146" s="3430"/>
    </row>
    <row r="147" spans="2:5">
      <c r="B147" s="2561" t="s">
        <v>7617</v>
      </c>
      <c r="C147" s="3430" t="s">
        <v>7618</v>
      </c>
      <c r="D147" s="3430"/>
      <c r="E147" s="3430"/>
    </row>
    <row r="148" spans="2:5">
      <c r="B148" s="2561" t="s">
        <v>7619</v>
      </c>
      <c r="C148" s="3430" t="s">
        <v>7620</v>
      </c>
      <c r="D148" s="3430"/>
      <c r="E148" s="3430"/>
    </row>
    <row r="149" spans="2:5">
      <c r="B149" s="2561" t="s">
        <v>2084</v>
      </c>
      <c r="C149" s="3430" t="s">
        <v>7621</v>
      </c>
      <c r="D149" s="3430"/>
      <c r="E149" s="3430"/>
    </row>
    <row r="150" spans="2:5">
      <c r="B150" s="2561" t="s">
        <v>7622</v>
      </c>
      <c r="C150" s="3430" t="s">
        <v>7623</v>
      </c>
      <c r="D150" s="3430"/>
      <c r="E150" s="3430"/>
    </row>
    <row r="151" spans="2:5">
      <c r="B151" s="2561" t="s">
        <v>7624</v>
      </c>
      <c r="C151" s="3430" t="s">
        <v>7625</v>
      </c>
      <c r="D151" s="3430"/>
      <c r="E151" s="3430"/>
    </row>
    <row r="152" spans="2:5">
      <c r="B152" s="2561" t="s">
        <v>7626</v>
      </c>
      <c r="C152" s="3430" t="s">
        <v>7627</v>
      </c>
      <c r="D152" s="3430"/>
      <c r="E152" s="3430"/>
    </row>
    <row r="153" spans="2:5">
      <c r="B153" s="2561" t="s">
        <v>7628</v>
      </c>
      <c r="C153" s="3430" t="s">
        <v>7629</v>
      </c>
      <c r="D153" s="3430"/>
      <c r="E153" s="3430"/>
    </row>
    <row r="154" spans="2:5">
      <c r="B154" s="2561" t="s">
        <v>7630</v>
      </c>
      <c r="C154" s="3430" t="s">
        <v>7631</v>
      </c>
      <c r="D154" s="3430"/>
      <c r="E154" s="3430"/>
    </row>
    <row r="155" spans="2:5">
      <c r="B155" s="2561" t="s">
        <v>7632</v>
      </c>
      <c r="C155" s="3430" t="s">
        <v>7633</v>
      </c>
      <c r="D155" s="3430"/>
      <c r="E155" s="3430"/>
    </row>
    <row r="156" spans="2:5">
      <c r="B156" s="2561" t="s">
        <v>7634</v>
      </c>
      <c r="C156" s="3430" t="s">
        <v>7635</v>
      </c>
      <c r="D156" s="3430"/>
      <c r="E156" s="3430"/>
    </row>
    <row r="157" spans="2:5">
      <c r="B157" s="2561" t="s">
        <v>7636</v>
      </c>
      <c r="C157" s="3430" t="s">
        <v>7637</v>
      </c>
      <c r="D157" s="3430"/>
      <c r="E157" s="3430"/>
    </row>
    <row r="158" spans="2:5">
      <c r="B158" s="2561" t="s">
        <v>7638</v>
      </c>
      <c r="C158" s="3430" t="s">
        <v>7639</v>
      </c>
      <c r="D158" s="3430"/>
      <c r="E158" s="3430"/>
    </row>
    <row r="159" spans="2:5">
      <c r="B159" s="2561" t="s">
        <v>2090</v>
      </c>
      <c r="C159" s="3430" t="s">
        <v>7640</v>
      </c>
      <c r="D159" s="3430"/>
      <c r="E159" s="3430"/>
    </row>
    <row r="160" spans="2:5">
      <c r="B160" s="2561" t="s">
        <v>7641</v>
      </c>
      <c r="C160" s="3430" t="s">
        <v>7642</v>
      </c>
      <c r="D160" s="3430"/>
      <c r="E160" s="3430"/>
    </row>
    <row r="161" spans="2:5">
      <c r="B161" s="2561" t="s">
        <v>7643</v>
      </c>
      <c r="C161" s="3430" t="s">
        <v>7644</v>
      </c>
      <c r="D161" s="3430"/>
      <c r="E161" s="3430"/>
    </row>
    <row r="162" spans="2:5">
      <c r="B162" s="2561" t="s">
        <v>7645</v>
      </c>
      <c r="C162" s="3430" t="s">
        <v>7646</v>
      </c>
      <c r="D162" s="3430"/>
      <c r="E162" s="3430"/>
    </row>
    <row r="163" spans="2:5">
      <c r="B163" s="2561" t="s">
        <v>7647</v>
      </c>
      <c r="C163" s="3430" t="s">
        <v>7648</v>
      </c>
      <c r="D163" s="3430"/>
      <c r="E163" s="3430"/>
    </row>
    <row r="164" spans="2:5">
      <c r="B164" s="2561" t="s">
        <v>7649</v>
      </c>
      <c r="C164" s="3430" t="s">
        <v>7650</v>
      </c>
      <c r="D164" s="3430"/>
      <c r="E164" s="3430"/>
    </row>
    <row r="165" spans="2:5">
      <c r="B165" s="2561" t="s">
        <v>2222</v>
      </c>
      <c r="C165" s="3430" t="s">
        <v>7651</v>
      </c>
      <c r="D165" s="3430"/>
      <c r="E165" s="3430"/>
    </row>
    <row r="166" spans="2:5">
      <c r="B166" s="2561" t="s">
        <v>7652</v>
      </c>
      <c r="C166" s="3430" t="s">
        <v>7653</v>
      </c>
      <c r="D166" s="3430"/>
      <c r="E166" s="3430"/>
    </row>
    <row r="167" spans="2:5">
      <c r="B167" s="2561" t="s">
        <v>7654</v>
      </c>
      <c r="C167" s="3430" t="s">
        <v>7655</v>
      </c>
      <c r="D167" s="3430"/>
      <c r="E167" s="3430"/>
    </row>
    <row r="168" spans="2:5">
      <c r="B168" s="2561" t="s">
        <v>2978</v>
      </c>
      <c r="C168" s="3430" t="s">
        <v>7656</v>
      </c>
      <c r="D168" s="3430"/>
      <c r="E168" s="3430"/>
    </row>
    <row r="169" spans="2:5">
      <c r="B169" s="2561" t="s">
        <v>7657</v>
      </c>
      <c r="C169" s="3430" t="s">
        <v>7658</v>
      </c>
      <c r="D169" s="3430"/>
      <c r="E169" s="3430"/>
    </row>
    <row r="170" spans="2:5">
      <c r="B170" s="2561" t="s">
        <v>2228</v>
      </c>
      <c r="C170" s="3430" t="s">
        <v>7659</v>
      </c>
      <c r="D170" s="3430"/>
      <c r="E170" s="3430"/>
    </row>
    <row r="171" spans="2:5">
      <c r="B171" s="2561" t="s">
        <v>7660</v>
      </c>
      <c r="C171" s="3430" t="s">
        <v>7661</v>
      </c>
      <c r="D171" s="3430"/>
      <c r="E171" s="3430"/>
    </row>
    <row r="172" spans="2:5">
      <c r="B172" s="2561" t="s">
        <v>2230</v>
      </c>
      <c r="C172" s="3430" t="s">
        <v>7662</v>
      </c>
      <c r="D172" s="3430"/>
      <c r="E172" s="3430"/>
    </row>
  </sheetData>
  <mergeCells count="186">
    <mergeCell ref="C171:E171"/>
    <mergeCell ref="C172:E172"/>
    <mergeCell ref="C166:E166"/>
    <mergeCell ref="C167:E167"/>
    <mergeCell ref="C168:E168"/>
    <mergeCell ref="C169:E169"/>
    <mergeCell ref="C170:E170"/>
    <mergeCell ref="C161:E161"/>
    <mergeCell ref="C162:E162"/>
    <mergeCell ref="C163:E163"/>
    <mergeCell ref="C164:E164"/>
    <mergeCell ref="C165:E165"/>
    <mergeCell ref="C156:E156"/>
    <mergeCell ref="C157:E157"/>
    <mergeCell ref="C158:E158"/>
    <mergeCell ref="C159:E159"/>
    <mergeCell ref="C160:E160"/>
    <mergeCell ref="C151:E151"/>
    <mergeCell ref="C152:E152"/>
    <mergeCell ref="C153:E153"/>
    <mergeCell ref="C154:E154"/>
    <mergeCell ref="C155:E155"/>
    <mergeCell ref="C146:E146"/>
    <mergeCell ref="C147:E147"/>
    <mergeCell ref="C148:E148"/>
    <mergeCell ref="C149:E149"/>
    <mergeCell ref="C150:E150"/>
    <mergeCell ref="C141:E141"/>
    <mergeCell ref="C142:E142"/>
    <mergeCell ref="C143:E143"/>
    <mergeCell ref="C144:E144"/>
    <mergeCell ref="C145:E145"/>
    <mergeCell ref="C136:E136"/>
    <mergeCell ref="C137:E137"/>
    <mergeCell ref="C138:E138"/>
    <mergeCell ref="C139:E139"/>
    <mergeCell ref="C140:E140"/>
    <mergeCell ref="C131:E131"/>
    <mergeCell ref="C132:E132"/>
    <mergeCell ref="C133:E133"/>
    <mergeCell ref="C134:E134"/>
    <mergeCell ref="C135:E135"/>
    <mergeCell ref="C126:E126"/>
    <mergeCell ref="C127:E127"/>
    <mergeCell ref="C128:E128"/>
    <mergeCell ref="C129:E129"/>
    <mergeCell ref="C130:E130"/>
    <mergeCell ref="C121:E121"/>
    <mergeCell ref="C122:E122"/>
    <mergeCell ref="C123:E123"/>
    <mergeCell ref="C124:E124"/>
    <mergeCell ref="C125:E125"/>
    <mergeCell ref="C116:E116"/>
    <mergeCell ref="C117:E117"/>
    <mergeCell ref="C118:E118"/>
    <mergeCell ref="C119:E119"/>
    <mergeCell ref="C120:E120"/>
    <mergeCell ref="C111:E111"/>
    <mergeCell ref="C112:E112"/>
    <mergeCell ref="C113:E113"/>
    <mergeCell ref="C114:E114"/>
    <mergeCell ref="C115:E115"/>
    <mergeCell ref="C106:E106"/>
    <mergeCell ref="C107:E107"/>
    <mergeCell ref="C108:E108"/>
    <mergeCell ref="C109:E109"/>
    <mergeCell ref="C110:E110"/>
    <mergeCell ref="C101:E101"/>
    <mergeCell ref="C102:E102"/>
    <mergeCell ref="C103:E103"/>
    <mergeCell ref="C104:E104"/>
    <mergeCell ref="C105:E105"/>
    <mergeCell ref="C96:E96"/>
    <mergeCell ref="C97:E97"/>
    <mergeCell ref="C98:E98"/>
    <mergeCell ref="C99:E99"/>
    <mergeCell ref="C100:E100"/>
    <mergeCell ref="C91:E91"/>
    <mergeCell ref="C92:E92"/>
    <mergeCell ref="C93:E93"/>
    <mergeCell ref="C94:E94"/>
    <mergeCell ref="C95:E95"/>
    <mergeCell ref="C86:E86"/>
    <mergeCell ref="C87:E87"/>
    <mergeCell ref="C88:E88"/>
    <mergeCell ref="C89:E89"/>
    <mergeCell ref="C90:E90"/>
    <mergeCell ref="C81:E81"/>
    <mergeCell ref="C82:E82"/>
    <mergeCell ref="C83:E83"/>
    <mergeCell ref="C84:E84"/>
    <mergeCell ref="C85:E85"/>
    <mergeCell ref="C76:E76"/>
    <mergeCell ref="C77:E77"/>
    <mergeCell ref="C78:E78"/>
    <mergeCell ref="C79:E79"/>
    <mergeCell ref="C80:E80"/>
    <mergeCell ref="C71:E71"/>
    <mergeCell ref="C72:E72"/>
    <mergeCell ref="C73:E73"/>
    <mergeCell ref="C74:E74"/>
    <mergeCell ref="C75:E75"/>
    <mergeCell ref="C66:E66"/>
    <mergeCell ref="C67:E67"/>
    <mergeCell ref="C68:E68"/>
    <mergeCell ref="C69:E69"/>
    <mergeCell ref="C70:E70"/>
    <mergeCell ref="C61:E61"/>
    <mergeCell ref="C62:E62"/>
    <mergeCell ref="C63:E63"/>
    <mergeCell ref="C64:E64"/>
    <mergeCell ref="C65:E65"/>
    <mergeCell ref="C56:E56"/>
    <mergeCell ref="C57:E57"/>
    <mergeCell ref="C58:E58"/>
    <mergeCell ref="C59:E59"/>
    <mergeCell ref="C60:E60"/>
    <mergeCell ref="C51:E51"/>
    <mergeCell ref="C52:E52"/>
    <mergeCell ref="C53:E53"/>
    <mergeCell ref="C54:E54"/>
    <mergeCell ref="C55:E55"/>
    <mergeCell ref="C46:E46"/>
    <mergeCell ref="C47:E47"/>
    <mergeCell ref="C48:E48"/>
    <mergeCell ref="C49:E49"/>
    <mergeCell ref="C50:E50"/>
    <mergeCell ref="C41:E41"/>
    <mergeCell ref="C42:E42"/>
    <mergeCell ref="C43:E43"/>
    <mergeCell ref="C44:E44"/>
    <mergeCell ref="C45:E45"/>
    <mergeCell ref="C36:E36"/>
    <mergeCell ref="C37:E37"/>
    <mergeCell ref="C38:E38"/>
    <mergeCell ref="C39:E39"/>
    <mergeCell ref="C40:E40"/>
    <mergeCell ref="V3:V6"/>
    <mergeCell ref="D4:D5"/>
    <mergeCell ref="E4:E5"/>
    <mergeCell ref="F4:F5"/>
    <mergeCell ref="G4:G5"/>
    <mergeCell ref="H4:H5"/>
    <mergeCell ref="I4:I5"/>
    <mergeCell ref="P4:P5"/>
    <mergeCell ref="J4:J5"/>
    <mergeCell ref="K4:K5"/>
    <mergeCell ref="T4:T5"/>
    <mergeCell ref="U4:U5"/>
    <mergeCell ref="B7:C7"/>
    <mergeCell ref="B8:B9"/>
    <mergeCell ref="B10:C10"/>
    <mergeCell ref="B11:B12"/>
    <mergeCell ref="B13:C13"/>
    <mergeCell ref="B14:C14"/>
    <mergeCell ref="B15:B16"/>
    <mergeCell ref="A2:U2"/>
    <mergeCell ref="A3:A6"/>
    <mergeCell ref="D3:E3"/>
    <mergeCell ref="F3:G3"/>
    <mergeCell ref="H3:I3"/>
    <mergeCell ref="J3:K3"/>
    <mergeCell ref="L3:M3"/>
    <mergeCell ref="P3:U3"/>
    <mergeCell ref="L4:L5"/>
    <mergeCell ref="M4:M5"/>
    <mergeCell ref="N4:N5"/>
    <mergeCell ref="O4:O5"/>
    <mergeCell ref="N3:O3"/>
    <mergeCell ref="Q4:Q5"/>
    <mergeCell ref="R4:R5"/>
    <mergeCell ref="S4:S5"/>
    <mergeCell ref="B3:C6"/>
    <mergeCell ref="B17:C17"/>
    <mergeCell ref="B18:B19"/>
    <mergeCell ref="B20:C20"/>
    <mergeCell ref="B21:U21"/>
    <mergeCell ref="B22:C22"/>
    <mergeCell ref="B23:B24"/>
    <mergeCell ref="B25:C25"/>
    <mergeCell ref="B26:B27"/>
    <mergeCell ref="B34:C34"/>
    <mergeCell ref="B28:C28"/>
    <mergeCell ref="B29:B30"/>
    <mergeCell ref="B31:C31"/>
    <mergeCell ref="B32:B33"/>
  </mergeCells>
  <phoneticPr fontId="51" type="noConversion"/>
  <dataValidations count="1">
    <dataValidation type="list" allowBlank="1" showInputMessage="1" showErrorMessage="1" sqref="B15:B16">
      <formula1>"重要行业小微,其他企业"</formula1>
    </dataValidation>
  </dataValidations>
  <hyperlinks>
    <hyperlink ref="W10" location="A105080资产折旧、摊销情况及纳税调整明细表!A1" display="A105080资产折旧、摊销情况及纳税调整明细表!A1"/>
    <hyperlink ref="W11" location="固资折旧!A1" display="固资折旧!A1"/>
    <hyperlink ref="W13" location="折旧测算!A1" display="折旧测算!A1"/>
  </hyperlinks>
  <printOptions horizontalCentered="1"/>
  <pageMargins left="0.78740157480314998" right="0.35433070866141703" top="0.511811023622047" bottom="0.11811023622047198" header="0.511811023622047" footer="0.511811023622047"/>
  <pageSetup paperSize="9" scale="90" orientation="landscape" useFirstPageNumber="1" r:id="rId1"/>
  <headerFooter alignWithMargins="0"/>
</worksheet>
</file>

<file path=xl/worksheets/sheet4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61">
    <tabColor rgb="FFFFFF00"/>
  </sheetPr>
  <dimension ref="A1:I19"/>
  <sheetViews>
    <sheetView workbookViewId="0">
      <selection sqref="A1:E1"/>
    </sheetView>
  </sheetViews>
  <sheetFormatPr defaultRowHeight="15.6"/>
  <cols>
    <col min="1" max="1" width="5.19921875" style="1558" customWidth="1"/>
    <col min="2" max="2" width="46.5" style="1558" customWidth="1"/>
    <col min="3" max="5" width="12.3984375" style="1558" customWidth="1"/>
    <col min="6" max="6" width="23.5" style="1558" customWidth="1"/>
    <col min="7" max="8" width="9" style="1558"/>
    <col min="9" max="9" width="42" style="1558" customWidth="1"/>
    <col min="10" max="256" width="9" style="1558"/>
    <col min="257" max="257" width="5.19921875" style="1558" customWidth="1"/>
    <col min="258" max="258" width="46.5" style="1558" customWidth="1"/>
    <col min="259" max="260" width="9.3984375" style="1558" customWidth="1"/>
    <col min="261" max="261" width="10.19921875" style="1558" customWidth="1"/>
    <col min="262" max="262" width="23.5" style="1558" customWidth="1"/>
    <col min="263" max="264" width="9" style="1558"/>
    <col min="265" max="265" width="42" style="1558" customWidth="1"/>
    <col min="266" max="512" width="9" style="1558"/>
    <col min="513" max="513" width="5.19921875" style="1558" customWidth="1"/>
    <col min="514" max="514" width="46.5" style="1558" customWidth="1"/>
    <col min="515" max="516" width="9.3984375" style="1558" customWidth="1"/>
    <col min="517" max="517" width="10.19921875" style="1558" customWidth="1"/>
    <col min="518" max="518" width="23.5" style="1558" customWidth="1"/>
    <col min="519" max="520" width="9" style="1558"/>
    <col min="521" max="521" width="42" style="1558" customWidth="1"/>
    <col min="522" max="768" width="9" style="1558"/>
    <col min="769" max="769" width="5.19921875" style="1558" customWidth="1"/>
    <col min="770" max="770" width="46.5" style="1558" customWidth="1"/>
    <col min="771" max="772" width="9.3984375" style="1558" customWidth="1"/>
    <col min="773" max="773" width="10.19921875" style="1558" customWidth="1"/>
    <col min="774" max="774" width="23.5" style="1558" customWidth="1"/>
    <col min="775" max="776" width="9" style="1558"/>
    <col min="777" max="777" width="42" style="1558" customWidth="1"/>
    <col min="778" max="1024" width="9" style="1558"/>
    <col min="1025" max="1025" width="5.19921875" style="1558" customWidth="1"/>
    <col min="1026" max="1026" width="46.5" style="1558" customWidth="1"/>
    <col min="1027" max="1028" width="9.3984375" style="1558" customWidth="1"/>
    <col min="1029" max="1029" width="10.19921875" style="1558" customWidth="1"/>
    <col min="1030" max="1030" width="23.5" style="1558" customWidth="1"/>
    <col min="1031" max="1032" width="9" style="1558"/>
    <col min="1033" max="1033" width="42" style="1558" customWidth="1"/>
    <col min="1034" max="1280" width="9" style="1558"/>
    <col min="1281" max="1281" width="5.19921875" style="1558" customWidth="1"/>
    <col min="1282" max="1282" width="46.5" style="1558" customWidth="1"/>
    <col min="1283" max="1284" width="9.3984375" style="1558" customWidth="1"/>
    <col min="1285" max="1285" width="10.19921875" style="1558" customWidth="1"/>
    <col min="1286" max="1286" width="23.5" style="1558" customWidth="1"/>
    <col min="1287" max="1288" width="9" style="1558"/>
    <col min="1289" max="1289" width="42" style="1558" customWidth="1"/>
    <col min="1290" max="1536" width="9" style="1558"/>
    <col min="1537" max="1537" width="5.19921875" style="1558" customWidth="1"/>
    <col min="1538" max="1538" width="46.5" style="1558" customWidth="1"/>
    <col min="1539" max="1540" width="9.3984375" style="1558" customWidth="1"/>
    <col min="1541" max="1541" width="10.19921875" style="1558" customWidth="1"/>
    <col min="1542" max="1542" width="23.5" style="1558" customWidth="1"/>
    <col min="1543" max="1544" width="9" style="1558"/>
    <col min="1545" max="1545" width="42" style="1558" customWidth="1"/>
    <col min="1546" max="1792" width="9" style="1558"/>
    <col min="1793" max="1793" width="5.19921875" style="1558" customWidth="1"/>
    <col min="1794" max="1794" width="46.5" style="1558" customWidth="1"/>
    <col min="1795" max="1796" width="9.3984375" style="1558" customWidth="1"/>
    <col min="1797" max="1797" width="10.19921875" style="1558" customWidth="1"/>
    <col min="1798" max="1798" width="23.5" style="1558" customWidth="1"/>
    <col min="1799" max="1800" width="9" style="1558"/>
    <col min="1801" max="1801" width="42" style="1558" customWidth="1"/>
    <col min="1802" max="2048" width="9" style="1558"/>
    <col min="2049" max="2049" width="5.19921875" style="1558" customWidth="1"/>
    <col min="2050" max="2050" width="46.5" style="1558" customWidth="1"/>
    <col min="2051" max="2052" width="9.3984375" style="1558" customWidth="1"/>
    <col min="2053" max="2053" width="10.19921875" style="1558" customWidth="1"/>
    <col min="2054" max="2054" width="23.5" style="1558" customWidth="1"/>
    <col min="2055" max="2056" width="9" style="1558"/>
    <col min="2057" max="2057" width="42" style="1558" customWidth="1"/>
    <col min="2058" max="2304" width="9" style="1558"/>
    <col min="2305" max="2305" width="5.19921875" style="1558" customWidth="1"/>
    <col min="2306" max="2306" width="46.5" style="1558" customWidth="1"/>
    <col min="2307" max="2308" width="9.3984375" style="1558" customWidth="1"/>
    <col min="2309" max="2309" width="10.19921875" style="1558" customWidth="1"/>
    <col min="2310" max="2310" width="23.5" style="1558" customWidth="1"/>
    <col min="2311" max="2312" width="9" style="1558"/>
    <col min="2313" max="2313" width="42" style="1558" customWidth="1"/>
    <col min="2314" max="2560" width="9" style="1558"/>
    <col min="2561" max="2561" width="5.19921875" style="1558" customWidth="1"/>
    <col min="2562" max="2562" width="46.5" style="1558" customWidth="1"/>
    <col min="2563" max="2564" width="9.3984375" style="1558" customWidth="1"/>
    <col min="2565" max="2565" width="10.19921875" style="1558" customWidth="1"/>
    <col min="2566" max="2566" width="23.5" style="1558" customWidth="1"/>
    <col min="2567" max="2568" width="9" style="1558"/>
    <col min="2569" max="2569" width="42" style="1558" customWidth="1"/>
    <col min="2570" max="2816" width="9" style="1558"/>
    <col min="2817" max="2817" width="5.19921875" style="1558" customWidth="1"/>
    <col min="2818" max="2818" width="46.5" style="1558" customWidth="1"/>
    <col min="2819" max="2820" width="9.3984375" style="1558" customWidth="1"/>
    <col min="2821" max="2821" width="10.19921875" style="1558" customWidth="1"/>
    <col min="2822" max="2822" width="23.5" style="1558" customWidth="1"/>
    <col min="2823" max="2824" width="9" style="1558"/>
    <col min="2825" max="2825" width="42" style="1558" customWidth="1"/>
    <col min="2826" max="3072" width="9" style="1558"/>
    <col min="3073" max="3073" width="5.19921875" style="1558" customWidth="1"/>
    <col min="3074" max="3074" width="46.5" style="1558" customWidth="1"/>
    <col min="3075" max="3076" width="9.3984375" style="1558" customWidth="1"/>
    <col min="3077" max="3077" width="10.19921875" style="1558" customWidth="1"/>
    <col min="3078" max="3078" width="23.5" style="1558" customWidth="1"/>
    <col min="3079" max="3080" width="9" style="1558"/>
    <col min="3081" max="3081" width="42" style="1558" customWidth="1"/>
    <col min="3082" max="3328" width="9" style="1558"/>
    <col min="3329" max="3329" width="5.19921875" style="1558" customWidth="1"/>
    <col min="3330" max="3330" width="46.5" style="1558" customWidth="1"/>
    <col min="3331" max="3332" width="9.3984375" style="1558" customWidth="1"/>
    <col min="3333" max="3333" width="10.19921875" style="1558" customWidth="1"/>
    <col min="3334" max="3334" width="23.5" style="1558" customWidth="1"/>
    <col min="3335" max="3336" width="9" style="1558"/>
    <col min="3337" max="3337" width="42" style="1558" customWidth="1"/>
    <col min="3338" max="3584" width="9" style="1558"/>
    <col min="3585" max="3585" width="5.19921875" style="1558" customWidth="1"/>
    <col min="3586" max="3586" width="46.5" style="1558" customWidth="1"/>
    <col min="3587" max="3588" width="9.3984375" style="1558" customWidth="1"/>
    <col min="3589" max="3589" width="10.19921875" style="1558" customWidth="1"/>
    <col min="3590" max="3590" width="23.5" style="1558" customWidth="1"/>
    <col min="3591" max="3592" width="9" style="1558"/>
    <col min="3593" max="3593" width="42" style="1558" customWidth="1"/>
    <col min="3594" max="3840" width="9" style="1558"/>
    <col min="3841" max="3841" width="5.19921875" style="1558" customWidth="1"/>
    <col min="3842" max="3842" width="46.5" style="1558" customWidth="1"/>
    <col min="3843" max="3844" width="9.3984375" style="1558" customWidth="1"/>
    <col min="3845" max="3845" width="10.19921875" style="1558" customWidth="1"/>
    <col min="3846" max="3846" width="23.5" style="1558" customWidth="1"/>
    <col min="3847" max="3848" width="9" style="1558"/>
    <col min="3849" max="3849" width="42" style="1558" customWidth="1"/>
    <col min="3850" max="4096" width="9" style="1558"/>
    <col min="4097" max="4097" width="5.19921875" style="1558" customWidth="1"/>
    <col min="4098" max="4098" width="46.5" style="1558" customWidth="1"/>
    <col min="4099" max="4100" width="9.3984375" style="1558" customWidth="1"/>
    <col min="4101" max="4101" width="10.19921875" style="1558" customWidth="1"/>
    <col min="4102" max="4102" width="23.5" style="1558" customWidth="1"/>
    <col min="4103" max="4104" width="9" style="1558"/>
    <col min="4105" max="4105" width="42" style="1558" customWidth="1"/>
    <col min="4106" max="4352" width="9" style="1558"/>
    <col min="4353" max="4353" width="5.19921875" style="1558" customWidth="1"/>
    <col min="4354" max="4354" width="46.5" style="1558" customWidth="1"/>
    <col min="4355" max="4356" width="9.3984375" style="1558" customWidth="1"/>
    <col min="4357" max="4357" width="10.19921875" style="1558" customWidth="1"/>
    <col min="4358" max="4358" width="23.5" style="1558" customWidth="1"/>
    <col min="4359" max="4360" width="9" style="1558"/>
    <col min="4361" max="4361" width="42" style="1558" customWidth="1"/>
    <col min="4362" max="4608" width="9" style="1558"/>
    <col min="4609" max="4609" width="5.19921875" style="1558" customWidth="1"/>
    <col min="4610" max="4610" width="46.5" style="1558" customWidth="1"/>
    <col min="4611" max="4612" width="9.3984375" style="1558" customWidth="1"/>
    <col min="4613" max="4613" width="10.19921875" style="1558" customWidth="1"/>
    <col min="4614" max="4614" width="23.5" style="1558" customWidth="1"/>
    <col min="4615" max="4616" width="9" style="1558"/>
    <col min="4617" max="4617" width="42" style="1558" customWidth="1"/>
    <col min="4618" max="4864" width="9" style="1558"/>
    <col min="4865" max="4865" width="5.19921875" style="1558" customWidth="1"/>
    <col min="4866" max="4866" width="46.5" style="1558" customWidth="1"/>
    <col min="4867" max="4868" width="9.3984375" style="1558" customWidth="1"/>
    <col min="4869" max="4869" width="10.19921875" style="1558" customWidth="1"/>
    <col min="4870" max="4870" width="23.5" style="1558" customWidth="1"/>
    <col min="4871" max="4872" width="9" style="1558"/>
    <col min="4873" max="4873" width="42" style="1558" customWidth="1"/>
    <col min="4874" max="5120" width="9" style="1558"/>
    <col min="5121" max="5121" width="5.19921875" style="1558" customWidth="1"/>
    <col min="5122" max="5122" width="46.5" style="1558" customWidth="1"/>
    <col min="5123" max="5124" width="9.3984375" style="1558" customWidth="1"/>
    <col min="5125" max="5125" width="10.19921875" style="1558" customWidth="1"/>
    <col min="5126" max="5126" width="23.5" style="1558" customWidth="1"/>
    <col min="5127" max="5128" width="9" style="1558"/>
    <col min="5129" max="5129" width="42" style="1558" customWidth="1"/>
    <col min="5130" max="5376" width="9" style="1558"/>
    <col min="5377" max="5377" width="5.19921875" style="1558" customWidth="1"/>
    <col min="5378" max="5378" width="46.5" style="1558" customWidth="1"/>
    <col min="5379" max="5380" width="9.3984375" style="1558" customWidth="1"/>
    <col min="5381" max="5381" width="10.19921875" style="1558" customWidth="1"/>
    <col min="5382" max="5382" width="23.5" style="1558" customWidth="1"/>
    <col min="5383" max="5384" width="9" style="1558"/>
    <col min="5385" max="5385" width="42" style="1558" customWidth="1"/>
    <col min="5386" max="5632" width="9" style="1558"/>
    <col min="5633" max="5633" width="5.19921875" style="1558" customWidth="1"/>
    <col min="5634" max="5634" width="46.5" style="1558" customWidth="1"/>
    <col min="5635" max="5636" width="9.3984375" style="1558" customWidth="1"/>
    <col min="5637" max="5637" width="10.19921875" style="1558" customWidth="1"/>
    <col min="5638" max="5638" width="23.5" style="1558" customWidth="1"/>
    <col min="5639" max="5640" width="9" style="1558"/>
    <col min="5641" max="5641" width="42" style="1558" customWidth="1"/>
    <col min="5642" max="5888" width="9" style="1558"/>
    <col min="5889" max="5889" width="5.19921875" style="1558" customWidth="1"/>
    <col min="5890" max="5890" width="46.5" style="1558" customWidth="1"/>
    <col min="5891" max="5892" width="9.3984375" style="1558" customWidth="1"/>
    <col min="5893" max="5893" width="10.19921875" style="1558" customWidth="1"/>
    <col min="5894" max="5894" width="23.5" style="1558" customWidth="1"/>
    <col min="5895" max="5896" width="9" style="1558"/>
    <col min="5897" max="5897" width="42" style="1558" customWidth="1"/>
    <col min="5898" max="6144" width="9" style="1558"/>
    <col min="6145" max="6145" width="5.19921875" style="1558" customWidth="1"/>
    <col min="6146" max="6146" width="46.5" style="1558" customWidth="1"/>
    <col min="6147" max="6148" width="9.3984375" style="1558" customWidth="1"/>
    <col min="6149" max="6149" width="10.19921875" style="1558" customWidth="1"/>
    <col min="6150" max="6150" width="23.5" style="1558" customWidth="1"/>
    <col min="6151" max="6152" width="9" style="1558"/>
    <col min="6153" max="6153" width="42" style="1558" customWidth="1"/>
    <col min="6154" max="6400" width="9" style="1558"/>
    <col min="6401" max="6401" width="5.19921875" style="1558" customWidth="1"/>
    <col min="6402" max="6402" width="46.5" style="1558" customWidth="1"/>
    <col min="6403" max="6404" width="9.3984375" style="1558" customWidth="1"/>
    <col min="6405" max="6405" width="10.19921875" style="1558" customWidth="1"/>
    <col min="6406" max="6406" width="23.5" style="1558" customWidth="1"/>
    <col min="6407" max="6408" width="9" style="1558"/>
    <col min="6409" max="6409" width="42" style="1558" customWidth="1"/>
    <col min="6410" max="6656" width="9" style="1558"/>
    <col min="6657" max="6657" width="5.19921875" style="1558" customWidth="1"/>
    <col min="6658" max="6658" width="46.5" style="1558" customWidth="1"/>
    <col min="6659" max="6660" width="9.3984375" style="1558" customWidth="1"/>
    <col min="6661" max="6661" width="10.19921875" style="1558" customWidth="1"/>
    <col min="6662" max="6662" width="23.5" style="1558" customWidth="1"/>
    <col min="6663" max="6664" width="9" style="1558"/>
    <col min="6665" max="6665" width="42" style="1558" customWidth="1"/>
    <col min="6666" max="6912" width="9" style="1558"/>
    <col min="6913" max="6913" width="5.19921875" style="1558" customWidth="1"/>
    <col min="6914" max="6914" width="46.5" style="1558" customWidth="1"/>
    <col min="6915" max="6916" width="9.3984375" style="1558" customWidth="1"/>
    <col min="6917" max="6917" width="10.19921875" style="1558" customWidth="1"/>
    <col min="6918" max="6918" width="23.5" style="1558" customWidth="1"/>
    <col min="6919" max="6920" width="9" style="1558"/>
    <col min="6921" max="6921" width="42" style="1558" customWidth="1"/>
    <col min="6922" max="7168" width="9" style="1558"/>
    <col min="7169" max="7169" width="5.19921875" style="1558" customWidth="1"/>
    <col min="7170" max="7170" width="46.5" style="1558" customWidth="1"/>
    <col min="7171" max="7172" width="9.3984375" style="1558" customWidth="1"/>
    <col min="7173" max="7173" width="10.19921875" style="1558" customWidth="1"/>
    <col min="7174" max="7174" width="23.5" style="1558" customWidth="1"/>
    <col min="7175" max="7176" width="9" style="1558"/>
    <col min="7177" max="7177" width="42" style="1558" customWidth="1"/>
    <col min="7178" max="7424" width="9" style="1558"/>
    <col min="7425" max="7425" width="5.19921875" style="1558" customWidth="1"/>
    <col min="7426" max="7426" width="46.5" style="1558" customWidth="1"/>
    <col min="7427" max="7428" width="9.3984375" style="1558" customWidth="1"/>
    <col min="7429" max="7429" width="10.19921875" style="1558" customWidth="1"/>
    <col min="7430" max="7430" width="23.5" style="1558" customWidth="1"/>
    <col min="7431" max="7432" width="9" style="1558"/>
    <col min="7433" max="7433" width="42" style="1558" customWidth="1"/>
    <col min="7434" max="7680" width="9" style="1558"/>
    <col min="7681" max="7681" width="5.19921875" style="1558" customWidth="1"/>
    <col min="7682" max="7682" width="46.5" style="1558" customWidth="1"/>
    <col min="7683" max="7684" width="9.3984375" style="1558" customWidth="1"/>
    <col min="7685" max="7685" width="10.19921875" style="1558" customWidth="1"/>
    <col min="7686" max="7686" width="23.5" style="1558" customWidth="1"/>
    <col min="7687" max="7688" width="9" style="1558"/>
    <col min="7689" max="7689" width="42" style="1558" customWidth="1"/>
    <col min="7690" max="7936" width="9" style="1558"/>
    <col min="7937" max="7937" width="5.19921875" style="1558" customWidth="1"/>
    <col min="7938" max="7938" width="46.5" style="1558" customWidth="1"/>
    <col min="7939" max="7940" width="9.3984375" style="1558" customWidth="1"/>
    <col min="7941" max="7941" width="10.19921875" style="1558" customWidth="1"/>
    <col min="7942" max="7942" width="23.5" style="1558" customWidth="1"/>
    <col min="7943" max="7944" width="9" style="1558"/>
    <col min="7945" max="7945" width="42" style="1558" customWidth="1"/>
    <col min="7946" max="8192" width="9" style="1558"/>
    <col min="8193" max="8193" width="5.19921875" style="1558" customWidth="1"/>
    <col min="8194" max="8194" width="46.5" style="1558" customWidth="1"/>
    <col min="8195" max="8196" width="9.3984375" style="1558" customWidth="1"/>
    <col min="8197" max="8197" width="10.19921875" style="1558" customWidth="1"/>
    <col min="8198" max="8198" width="23.5" style="1558" customWidth="1"/>
    <col min="8199" max="8200" width="9" style="1558"/>
    <col min="8201" max="8201" width="42" style="1558" customWidth="1"/>
    <col min="8202" max="8448" width="9" style="1558"/>
    <col min="8449" max="8449" width="5.19921875" style="1558" customWidth="1"/>
    <col min="8450" max="8450" width="46.5" style="1558" customWidth="1"/>
    <col min="8451" max="8452" width="9.3984375" style="1558" customWidth="1"/>
    <col min="8453" max="8453" width="10.19921875" style="1558" customWidth="1"/>
    <col min="8454" max="8454" width="23.5" style="1558" customWidth="1"/>
    <col min="8455" max="8456" width="9" style="1558"/>
    <col min="8457" max="8457" width="42" style="1558" customWidth="1"/>
    <col min="8458" max="8704" width="9" style="1558"/>
    <col min="8705" max="8705" width="5.19921875" style="1558" customWidth="1"/>
    <col min="8706" max="8706" width="46.5" style="1558" customWidth="1"/>
    <col min="8707" max="8708" width="9.3984375" style="1558" customWidth="1"/>
    <col min="8709" max="8709" width="10.19921875" style="1558" customWidth="1"/>
    <col min="8710" max="8710" width="23.5" style="1558" customWidth="1"/>
    <col min="8711" max="8712" width="9" style="1558"/>
    <col min="8713" max="8713" width="42" style="1558" customWidth="1"/>
    <col min="8714" max="8960" width="9" style="1558"/>
    <col min="8961" max="8961" width="5.19921875" style="1558" customWidth="1"/>
    <col min="8962" max="8962" width="46.5" style="1558" customWidth="1"/>
    <col min="8963" max="8964" width="9.3984375" style="1558" customWidth="1"/>
    <col min="8965" max="8965" width="10.19921875" style="1558" customWidth="1"/>
    <col min="8966" max="8966" width="23.5" style="1558" customWidth="1"/>
    <col min="8967" max="8968" width="9" style="1558"/>
    <col min="8969" max="8969" width="42" style="1558" customWidth="1"/>
    <col min="8970" max="9216" width="9" style="1558"/>
    <col min="9217" max="9217" width="5.19921875" style="1558" customWidth="1"/>
    <col min="9218" max="9218" width="46.5" style="1558" customWidth="1"/>
    <col min="9219" max="9220" width="9.3984375" style="1558" customWidth="1"/>
    <col min="9221" max="9221" width="10.19921875" style="1558" customWidth="1"/>
    <col min="9222" max="9222" width="23.5" style="1558" customWidth="1"/>
    <col min="9223" max="9224" width="9" style="1558"/>
    <col min="9225" max="9225" width="42" style="1558" customWidth="1"/>
    <col min="9226" max="9472" width="9" style="1558"/>
    <col min="9473" max="9473" width="5.19921875" style="1558" customWidth="1"/>
    <col min="9474" max="9474" width="46.5" style="1558" customWidth="1"/>
    <col min="9475" max="9476" width="9.3984375" style="1558" customWidth="1"/>
    <col min="9477" max="9477" width="10.19921875" style="1558" customWidth="1"/>
    <col min="9478" max="9478" width="23.5" style="1558" customWidth="1"/>
    <col min="9479" max="9480" width="9" style="1558"/>
    <col min="9481" max="9481" width="42" style="1558" customWidth="1"/>
    <col min="9482" max="9728" width="9" style="1558"/>
    <col min="9729" max="9729" width="5.19921875" style="1558" customWidth="1"/>
    <col min="9730" max="9730" width="46.5" style="1558" customWidth="1"/>
    <col min="9731" max="9732" width="9.3984375" style="1558" customWidth="1"/>
    <col min="9733" max="9733" width="10.19921875" style="1558" customWidth="1"/>
    <col min="9734" max="9734" width="23.5" style="1558" customWidth="1"/>
    <col min="9735" max="9736" width="9" style="1558"/>
    <col min="9737" max="9737" width="42" style="1558" customWidth="1"/>
    <col min="9738" max="9984" width="9" style="1558"/>
    <col min="9985" max="9985" width="5.19921875" style="1558" customWidth="1"/>
    <col min="9986" max="9986" width="46.5" style="1558" customWidth="1"/>
    <col min="9987" max="9988" width="9.3984375" style="1558" customWidth="1"/>
    <col min="9989" max="9989" width="10.19921875" style="1558" customWidth="1"/>
    <col min="9990" max="9990" width="23.5" style="1558" customWidth="1"/>
    <col min="9991" max="9992" width="9" style="1558"/>
    <col min="9993" max="9993" width="42" style="1558" customWidth="1"/>
    <col min="9994" max="10240" width="9" style="1558"/>
    <col min="10241" max="10241" width="5.19921875" style="1558" customWidth="1"/>
    <col min="10242" max="10242" width="46.5" style="1558" customWidth="1"/>
    <col min="10243" max="10244" width="9.3984375" style="1558" customWidth="1"/>
    <col min="10245" max="10245" width="10.19921875" style="1558" customWidth="1"/>
    <col min="10246" max="10246" width="23.5" style="1558" customWidth="1"/>
    <col min="10247" max="10248" width="9" style="1558"/>
    <col min="10249" max="10249" width="42" style="1558" customWidth="1"/>
    <col min="10250" max="10496" width="9" style="1558"/>
    <col min="10497" max="10497" width="5.19921875" style="1558" customWidth="1"/>
    <col min="10498" max="10498" width="46.5" style="1558" customWidth="1"/>
    <col min="10499" max="10500" width="9.3984375" style="1558" customWidth="1"/>
    <col min="10501" max="10501" width="10.19921875" style="1558" customWidth="1"/>
    <col min="10502" max="10502" width="23.5" style="1558" customWidth="1"/>
    <col min="10503" max="10504" width="9" style="1558"/>
    <col min="10505" max="10505" width="42" style="1558" customWidth="1"/>
    <col min="10506" max="10752" width="9" style="1558"/>
    <col min="10753" max="10753" width="5.19921875" style="1558" customWidth="1"/>
    <col min="10754" max="10754" width="46.5" style="1558" customWidth="1"/>
    <col min="10755" max="10756" width="9.3984375" style="1558" customWidth="1"/>
    <col min="10757" max="10757" width="10.19921875" style="1558" customWidth="1"/>
    <col min="10758" max="10758" width="23.5" style="1558" customWidth="1"/>
    <col min="10759" max="10760" width="9" style="1558"/>
    <col min="10761" max="10761" width="42" style="1558" customWidth="1"/>
    <col min="10762" max="11008" width="9" style="1558"/>
    <col min="11009" max="11009" width="5.19921875" style="1558" customWidth="1"/>
    <col min="11010" max="11010" width="46.5" style="1558" customWidth="1"/>
    <col min="11011" max="11012" width="9.3984375" style="1558" customWidth="1"/>
    <col min="11013" max="11013" width="10.19921875" style="1558" customWidth="1"/>
    <col min="11014" max="11014" width="23.5" style="1558" customWidth="1"/>
    <col min="11015" max="11016" width="9" style="1558"/>
    <col min="11017" max="11017" width="42" style="1558" customWidth="1"/>
    <col min="11018" max="11264" width="9" style="1558"/>
    <col min="11265" max="11265" width="5.19921875" style="1558" customWidth="1"/>
    <col min="11266" max="11266" width="46.5" style="1558" customWidth="1"/>
    <col min="11267" max="11268" width="9.3984375" style="1558" customWidth="1"/>
    <col min="11269" max="11269" width="10.19921875" style="1558" customWidth="1"/>
    <col min="11270" max="11270" width="23.5" style="1558" customWidth="1"/>
    <col min="11271" max="11272" width="9" style="1558"/>
    <col min="11273" max="11273" width="42" style="1558" customWidth="1"/>
    <col min="11274" max="11520" width="9" style="1558"/>
    <col min="11521" max="11521" width="5.19921875" style="1558" customWidth="1"/>
    <col min="11522" max="11522" width="46.5" style="1558" customWidth="1"/>
    <col min="11523" max="11524" width="9.3984375" style="1558" customWidth="1"/>
    <col min="11525" max="11525" width="10.19921875" style="1558" customWidth="1"/>
    <col min="11526" max="11526" width="23.5" style="1558" customWidth="1"/>
    <col min="11527" max="11528" width="9" style="1558"/>
    <col min="11529" max="11529" width="42" style="1558" customWidth="1"/>
    <col min="11530" max="11776" width="9" style="1558"/>
    <col min="11777" max="11777" width="5.19921875" style="1558" customWidth="1"/>
    <col min="11778" max="11778" width="46.5" style="1558" customWidth="1"/>
    <col min="11779" max="11780" width="9.3984375" style="1558" customWidth="1"/>
    <col min="11781" max="11781" width="10.19921875" style="1558" customWidth="1"/>
    <col min="11782" max="11782" width="23.5" style="1558" customWidth="1"/>
    <col min="11783" max="11784" width="9" style="1558"/>
    <col min="11785" max="11785" width="42" style="1558" customWidth="1"/>
    <col min="11786" max="12032" width="9" style="1558"/>
    <col min="12033" max="12033" width="5.19921875" style="1558" customWidth="1"/>
    <col min="12034" max="12034" width="46.5" style="1558" customWidth="1"/>
    <col min="12035" max="12036" width="9.3984375" style="1558" customWidth="1"/>
    <col min="12037" max="12037" width="10.19921875" style="1558" customWidth="1"/>
    <col min="12038" max="12038" width="23.5" style="1558" customWidth="1"/>
    <col min="12039" max="12040" width="9" style="1558"/>
    <col min="12041" max="12041" width="42" style="1558" customWidth="1"/>
    <col min="12042" max="12288" width="9" style="1558"/>
    <col min="12289" max="12289" width="5.19921875" style="1558" customWidth="1"/>
    <col min="12290" max="12290" width="46.5" style="1558" customWidth="1"/>
    <col min="12291" max="12292" width="9.3984375" style="1558" customWidth="1"/>
    <col min="12293" max="12293" width="10.19921875" style="1558" customWidth="1"/>
    <col min="12294" max="12294" width="23.5" style="1558" customWidth="1"/>
    <col min="12295" max="12296" width="9" style="1558"/>
    <col min="12297" max="12297" width="42" style="1558" customWidth="1"/>
    <col min="12298" max="12544" width="9" style="1558"/>
    <col min="12545" max="12545" width="5.19921875" style="1558" customWidth="1"/>
    <col min="12546" max="12546" width="46.5" style="1558" customWidth="1"/>
    <col min="12547" max="12548" width="9.3984375" style="1558" customWidth="1"/>
    <col min="12549" max="12549" width="10.19921875" style="1558" customWidth="1"/>
    <col min="12550" max="12550" width="23.5" style="1558" customWidth="1"/>
    <col min="12551" max="12552" width="9" style="1558"/>
    <col min="12553" max="12553" width="42" style="1558" customWidth="1"/>
    <col min="12554" max="12800" width="9" style="1558"/>
    <col min="12801" max="12801" width="5.19921875" style="1558" customWidth="1"/>
    <col min="12802" max="12802" width="46.5" style="1558" customWidth="1"/>
    <col min="12803" max="12804" width="9.3984375" style="1558" customWidth="1"/>
    <col min="12805" max="12805" width="10.19921875" style="1558" customWidth="1"/>
    <col min="12806" max="12806" width="23.5" style="1558" customWidth="1"/>
    <col min="12807" max="12808" width="9" style="1558"/>
    <col min="12809" max="12809" width="42" style="1558" customWidth="1"/>
    <col min="12810" max="13056" width="9" style="1558"/>
    <col min="13057" max="13057" width="5.19921875" style="1558" customWidth="1"/>
    <col min="13058" max="13058" width="46.5" style="1558" customWidth="1"/>
    <col min="13059" max="13060" width="9.3984375" style="1558" customWidth="1"/>
    <col min="13061" max="13061" width="10.19921875" style="1558" customWidth="1"/>
    <col min="13062" max="13062" width="23.5" style="1558" customWidth="1"/>
    <col min="13063" max="13064" width="9" style="1558"/>
    <col min="13065" max="13065" width="42" style="1558" customWidth="1"/>
    <col min="13066" max="13312" width="9" style="1558"/>
    <col min="13313" max="13313" width="5.19921875" style="1558" customWidth="1"/>
    <col min="13314" max="13314" width="46.5" style="1558" customWidth="1"/>
    <col min="13315" max="13316" width="9.3984375" style="1558" customWidth="1"/>
    <col min="13317" max="13317" width="10.19921875" style="1558" customWidth="1"/>
    <col min="13318" max="13318" width="23.5" style="1558" customWidth="1"/>
    <col min="13319" max="13320" width="9" style="1558"/>
    <col min="13321" max="13321" width="42" style="1558" customWidth="1"/>
    <col min="13322" max="13568" width="9" style="1558"/>
    <col min="13569" max="13569" width="5.19921875" style="1558" customWidth="1"/>
    <col min="13570" max="13570" width="46.5" style="1558" customWidth="1"/>
    <col min="13571" max="13572" width="9.3984375" style="1558" customWidth="1"/>
    <col min="13573" max="13573" width="10.19921875" style="1558" customWidth="1"/>
    <col min="13574" max="13574" width="23.5" style="1558" customWidth="1"/>
    <col min="13575" max="13576" width="9" style="1558"/>
    <col min="13577" max="13577" width="42" style="1558" customWidth="1"/>
    <col min="13578" max="13824" width="9" style="1558"/>
    <col min="13825" max="13825" width="5.19921875" style="1558" customWidth="1"/>
    <col min="13826" max="13826" width="46.5" style="1558" customWidth="1"/>
    <col min="13827" max="13828" width="9.3984375" style="1558" customWidth="1"/>
    <col min="13829" max="13829" width="10.19921875" style="1558" customWidth="1"/>
    <col min="13830" max="13830" width="23.5" style="1558" customWidth="1"/>
    <col min="13831" max="13832" width="9" style="1558"/>
    <col min="13833" max="13833" width="42" style="1558" customWidth="1"/>
    <col min="13834" max="14080" width="9" style="1558"/>
    <col min="14081" max="14081" width="5.19921875" style="1558" customWidth="1"/>
    <col min="14082" max="14082" width="46.5" style="1558" customWidth="1"/>
    <col min="14083" max="14084" width="9.3984375" style="1558" customWidth="1"/>
    <col min="14085" max="14085" width="10.19921875" style="1558" customWidth="1"/>
    <col min="14086" max="14086" width="23.5" style="1558" customWidth="1"/>
    <col min="14087" max="14088" width="9" style="1558"/>
    <col min="14089" max="14089" width="42" style="1558" customWidth="1"/>
    <col min="14090" max="14336" width="9" style="1558"/>
    <col min="14337" max="14337" width="5.19921875" style="1558" customWidth="1"/>
    <col min="14338" max="14338" width="46.5" style="1558" customWidth="1"/>
    <col min="14339" max="14340" width="9.3984375" style="1558" customWidth="1"/>
    <col min="14341" max="14341" width="10.19921875" style="1558" customWidth="1"/>
    <col min="14342" max="14342" width="23.5" style="1558" customWidth="1"/>
    <col min="14343" max="14344" width="9" style="1558"/>
    <col min="14345" max="14345" width="42" style="1558" customWidth="1"/>
    <col min="14346" max="14592" width="9" style="1558"/>
    <col min="14593" max="14593" width="5.19921875" style="1558" customWidth="1"/>
    <col min="14594" max="14594" width="46.5" style="1558" customWidth="1"/>
    <col min="14595" max="14596" width="9.3984375" style="1558" customWidth="1"/>
    <col min="14597" max="14597" width="10.19921875" style="1558" customWidth="1"/>
    <col min="14598" max="14598" width="23.5" style="1558" customWidth="1"/>
    <col min="14599" max="14600" width="9" style="1558"/>
    <col min="14601" max="14601" width="42" style="1558" customWidth="1"/>
    <col min="14602" max="14848" width="9" style="1558"/>
    <col min="14849" max="14849" width="5.19921875" style="1558" customWidth="1"/>
    <col min="14850" max="14850" width="46.5" style="1558" customWidth="1"/>
    <col min="14851" max="14852" width="9.3984375" style="1558" customWidth="1"/>
    <col min="14853" max="14853" width="10.19921875" style="1558" customWidth="1"/>
    <col min="14854" max="14854" width="23.5" style="1558" customWidth="1"/>
    <col min="14855" max="14856" width="9" style="1558"/>
    <col min="14857" max="14857" width="42" style="1558" customWidth="1"/>
    <col min="14858" max="15104" width="9" style="1558"/>
    <col min="15105" max="15105" width="5.19921875" style="1558" customWidth="1"/>
    <col min="15106" max="15106" width="46.5" style="1558" customWidth="1"/>
    <col min="15107" max="15108" width="9.3984375" style="1558" customWidth="1"/>
    <col min="15109" max="15109" width="10.19921875" style="1558" customWidth="1"/>
    <col min="15110" max="15110" width="23.5" style="1558" customWidth="1"/>
    <col min="15111" max="15112" width="9" style="1558"/>
    <col min="15113" max="15113" width="42" style="1558" customWidth="1"/>
    <col min="15114" max="15360" width="9" style="1558"/>
    <col min="15361" max="15361" width="5.19921875" style="1558" customWidth="1"/>
    <col min="15362" max="15362" width="46.5" style="1558" customWidth="1"/>
    <col min="15363" max="15364" width="9.3984375" style="1558" customWidth="1"/>
    <col min="15365" max="15365" width="10.19921875" style="1558" customWidth="1"/>
    <col min="15366" max="15366" width="23.5" style="1558" customWidth="1"/>
    <col min="15367" max="15368" width="9" style="1558"/>
    <col min="15369" max="15369" width="42" style="1558" customWidth="1"/>
    <col min="15370" max="15616" width="9" style="1558"/>
    <col min="15617" max="15617" width="5.19921875" style="1558" customWidth="1"/>
    <col min="15618" max="15618" width="46.5" style="1558" customWidth="1"/>
    <col min="15619" max="15620" width="9.3984375" style="1558" customWidth="1"/>
    <col min="15621" max="15621" width="10.19921875" style="1558" customWidth="1"/>
    <col min="15622" max="15622" width="23.5" style="1558" customWidth="1"/>
    <col min="15623" max="15624" width="9" style="1558"/>
    <col min="15625" max="15625" width="42" style="1558" customWidth="1"/>
    <col min="15626" max="15872" width="9" style="1558"/>
    <col min="15873" max="15873" width="5.19921875" style="1558" customWidth="1"/>
    <col min="15874" max="15874" width="46.5" style="1558" customWidth="1"/>
    <col min="15875" max="15876" width="9.3984375" style="1558" customWidth="1"/>
    <col min="15877" max="15877" width="10.19921875" style="1558" customWidth="1"/>
    <col min="15878" max="15878" width="23.5" style="1558" customWidth="1"/>
    <col min="15879" max="15880" width="9" style="1558"/>
    <col min="15881" max="15881" width="42" style="1558" customWidth="1"/>
    <col min="15882" max="16128" width="9" style="1558"/>
    <col min="16129" max="16129" width="5.19921875" style="1558" customWidth="1"/>
    <col min="16130" max="16130" width="46.5" style="1558" customWidth="1"/>
    <col min="16131" max="16132" width="9.3984375" style="1558" customWidth="1"/>
    <col min="16133" max="16133" width="10.19921875" style="1558" customWidth="1"/>
    <col min="16134" max="16134" width="23.5" style="1558" customWidth="1"/>
    <col min="16135" max="16136" width="9" style="1558"/>
    <col min="16137" max="16137" width="42" style="1558" customWidth="1"/>
    <col min="16138" max="16384" width="9" style="1558"/>
  </cols>
  <sheetData>
    <row r="1" spans="1:9" s="1566" customFormat="1" ht="20.100000000000001" customHeight="1">
      <c r="A1" s="3438"/>
      <c r="B1" s="3438"/>
      <c r="C1" s="3438"/>
      <c r="D1" s="3438"/>
      <c r="E1" s="3438"/>
      <c r="F1" s="1994" t="str">
        <f>"索引号："&amp;档案索引!A40</f>
        <v>索引号：2A-20</v>
      </c>
    </row>
    <row r="2" spans="1:9" s="1567" customFormat="1" ht="25.5" customHeight="1">
      <c r="A2" s="3379" t="s">
        <v>5929</v>
      </c>
      <c r="B2" s="3379"/>
      <c r="C2" s="3379"/>
      <c r="D2" s="3379"/>
      <c r="E2" s="3439"/>
      <c r="F2" s="1824"/>
    </row>
    <row r="3" spans="1:9" s="1560" customFormat="1" ht="14.25" customHeight="1">
      <c r="A3" s="3377" t="s">
        <v>1854</v>
      </c>
      <c r="B3" s="3377" t="s">
        <v>5360</v>
      </c>
      <c r="C3" s="1817" t="s">
        <v>1851</v>
      </c>
      <c r="D3" s="1817" t="s">
        <v>1852</v>
      </c>
      <c r="E3" s="1810" t="s">
        <v>5152</v>
      </c>
      <c r="F3" s="3377" t="s">
        <v>5153</v>
      </c>
    </row>
    <row r="4" spans="1:9" s="1560" customFormat="1" ht="14.25" customHeight="1">
      <c r="A4" s="3377"/>
      <c r="B4" s="3377"/>
      <c r="C4" s="1810">
        <v>1</v>
      </c>
      <c r="D4" s="1810" t="s">
        <v>5361</v>
      </c>
      <c r="E4" s="1825" t="s">
        <v>5362</v>
      </c>
      <c r="F4" s="3377"/>
    </row>
    <row r="5" spans="1:9" s="1560" customFormat="1" ht="14.25" customHeight="1">
      <c r="A5" s="1826">
        <v>1</v>
      </c>
      <c r="B5" s="1821" t="s">
        <v>5363</v>
      </c>
      <c r="C5" s="2077">
        <f>SUM(C6:C12)</f>
        <v>0</v>
      </c>
      <c r="D5" s="2077">
        <f t="shared" ref="D5:E5" si="0">SUM(D6:D12)</f>
        <v>0</v>
      </c>
      <c r="E5" s="2077">
        <f t="shared" si="0"/>
        <v>0</v>
      </c>
      <c r="F5" s="1973"/>
    </row>
    <row r="6" spans="1:9" s="1560" customFormat="1" ht="26.25" customHeight="1">
      <c r="A6" s="1827">
        <v>2</v>
      </c>
      <c r="B6" s="1815" t="s">
        <v>5364</v>
      </c>
      <c r="C6" s="2088"/>
      <c r="D6" s="2088"/>
      <c r="E6" s="2080">
        <f>C6-D6</f>
        <v>0</v>
      </c>
      <c r="F6" s="1973"/>
      <c r="I6" s="1568" t="s">
        <v>5365</v>
      </c>
    </row>
    <row r="7" spans="1:9" s="1560" customFormat="1" ht="14.25" customHeight="1">
      <c r="A7" s="1826">
        <v>3</v>
      </c>
      <c r="B7" s="1821" t="s">
        <v>5366</v>
      </c>
      <c r="C7" s="2079"/>
      <c r="D7" s="2079"/>
      <c r="E7" s="2080">
        <f t="shared" ref="E7:E12" si="1">C7-D7</f>
        <v>0</v>
      </c>
      <c r="F7" s="1974"/>
    </row>
    <row r="8" spans="1:9" s="1560" customFormat="1" ht="14.25" customHeight="1">
      <c r="A8" s="1826">
        <v>4</v>
      </c>
      <c r="B8" s="1821" t="s">
        <v>5367</v>
      </c>
      <c r="C8" s="2079"/>
      <c r="D8" s="2079"/>
      <c r="E8" s="2080">
        <f t="shared" si="1"/>
        <v>0</v>
      </c>
      <c r="F8" s="1973"/>
    </row>
    <row r="9" spans="1:9" s="1560" customFormat="1" ht="27" customHeight="1">
      <c r="A9" s="1827">
        <v>5</v>
      </c>
      <c r="B9" s="1815" t="s">
        <v>5368</v>
      </c>
      <c r="C9" s="2088"/>
      <c r="D9" s="2088"/>
      <c r="E9" s="2080">
        <f t="shared" si="1"/>
        <v>0</v>
      </c>
      <c r="F9" s="1973"/>
    </row>
    <row r="10" spans="1:9" s="1560" customFormat="1" ht="27" customHeight="1">
      <c r="A10" s="1827">
        <v>6</v>
      </c>
      <c r="B10" s="1815" t="s">
        <v>5369</v>
      </c>
      <c r="C10" s="2088"/>
      <c r="D10" s="2088"/>
      <c r="E10" s="2080">
        <f t="shared" si="1"/>
        <v>0</v>
      </c>
      <c r="F10" s="1973"/>
      <c r="G10" s="1675" t="s">
        <v>6446</v>
      </c>
    </row>
    <row r="11" spans="1:9" s="1560" customFormat="1" ht="14.25" customHeight="1">
      <c r="A11" s="1826">
        <v>7</v>
      </c>
      <c r="B11" s="1821" t="s">
        <v>5370</v>
      </c>
      <c r="C11" s="2078"/>
      <c r="D11" s="2078"/>
      <c r="E11" s="2080">
        <f t="shared" si="1"/>
        <v>0</v>
      </c>
      <c r="F11" s="1973"/>
    </row>
    <row r="12" spans="1:9" s="1560" customFormat="1" ht="14.25" customHeight="1">
      <c r="A12" s="1826">
        <v>8</v>
      </c>
      <c r="B12" s="1821" t="s">
        <v>5371</v>
      </c>
      <c r="C12" s="2078"/>
      <c r="D12" s="2078"/>
      <c r="E12" s="2080">
        <f t="shared" si="1"/>
        <v>0</v>
      </c>
      <c r="F12" s="1973"/>
      <c r="G12" s="1771" t="s">
        <v>6450</v>
      </c>
    </row>
    <row r="13" spans="1:9" s="1560" customFormat="1" ht="89.25" customHeight="1">
      <c r="A13" s="1826">
        <v>9</v>
      </c>
      <c r="B13" s="1821" t="s">
        <v>5372</v>
      </c>
      <c r="C13" s="2074">
        <f>'资产损失（专项申报）税前扣除审核表'!C25</f>
        <v>0</v>
      </c>
      <c r="D13" s="2074">
        <f>'资产损失（专项申报）税前扣除审核表'!G25</f>
        <v>0</v>
      </c>
      <c r="E13" s="2074">
        <f>'资产损失（专项申报）税前扣除审核表'!H25</f>
        <v>0</v>
      </c>
      <c r="F13" s="1975" t="s">
        <v>5373</v>
      </c>
      <c r="I13" s="1568"/>
    </row>
    <row r="14" spans="1:9" s="1560" customFormat="1" ht="93" customHeight="1">
      <c r="A14" s="1817">
        <v>10</v>
      </c>
      <c r="B14" s="1820" t="s">
        <v>5374</v>
      </c>
      <c r="C14" s="2074">
        <f>'资产损失（专项申报）税前扣除审核表'!C6</f>
        <v>0</v>
      </c>
      <c r="D14" s="2074">
        <f>'资产损失（专项申报）税前扣除审核表'!G6</f>
        <v>0</v>
      </c>
      <c r="E14" s="2074">
        <f>'资产损失（专项申报）税前扣除审核表'!H6</f>
        <v>0</v>
      </c>
      <c r="F14" s="1975" t="s">
        <v>5375</v>
      </c>
      <c r="I14" s="1568"/>
    </row>
    <row r="15" spans="1:9" s="1560" customFormat="1" ht="82.5" customHeight="1">
      <c r="A15" s="1817">
        <v>11</v>
      </c>
      <c r="B15" s="1811" t="s">
        <v>5376</v>
      </c>
      <c r="C15" s="2074">
        <f>'资产损失（专项申报）税前扣除审核表'!C11</f>
        <v>0</v>
      </c>
      <c r="D15" s="2074">
        <f>'资产损失（专项申报）税前扣除审核表'!G11</f>
        <v>0</v>
      </c>
      <c r="E15" s="2074">
        <f>'资产损失（专项申报）税前扣除审核表'!H11</f>
        <v>0</v>
      </c>
      <c r="F15" s="1975" t="s">
        <v>5377</v>
      </c>
      <c r="I15" s="1568"/>
    </row>
    <row r="16" spans="1:9" s="1560" customFormat="1" ht="29.4" customHeight="1">
      <c r="A16" s="1817">
        <v>12</v>
      </c>
      <c r="B16" s="1820" t="s">
        <v>5378</v>
      </c>
      <c r="C16" s="2074">
        <f>'资产损失（专项申报）税前扣除审核表'!C16</f>
        <v>0</v>
      </c>
      <c r="D16" s="2074">
        <f>'资产损失（专项申报）税前扣除审核表'!G16</f>
        <v>0</v>
      </c>
      <c r="E16" s="2074">
        <f>'资产损失（专项申报）税前扣除审核表'!H16</f>
        <v>0</v>
      </c>
      <c r="F16" s="1975" t="s">
        <v>5379</v>
      </c>
      <c r="I16" s="1568"/>
    </row>
    <row r="17" spans="1:9" s="1560" customFormat="1" ht="49.2" customHeight="1">
      <c r="A17" s="1817">
        <v>13</v>
      </c>
      <c r="B17" s="1820" t="s">
        <v>5380</v>
      </c>
      <c r="C17" s="2074">
        <f>'资产损失（专项申报）税前扣除审核表'!C21</f>
        <v>0</v>
      </c>
      <c r="D17" s="2074">
        <f>'资产损失（专项申报）税前扣除审核表'!G21</f>
        <v>0</v>
      </c>
      <c r="E17" s="2074">
        <f>'资产损失（专项申报）税前扣除审核表'!H21</f>
        <v>0</v>
      </c>
      <c r="F17" s="1975" t="s">
        <v>5381</v>
      </c>
      <c r="I17" s="1568"/>
    </row>
    <row r="18" spans="1:9" s="1560" customFormat="1" ht="110.25" customHeight="1">
      <c r="A18" s="1826">
        <v>14</v>
      </c>
      <c r="B18" s="1820" t="s">
        <v>5382</v>
      </c>
      <c r="C18" s="2077">
        <f>C5+C13</f>
        <v>0</v>
      </c>
      <c r="D18" s="2077">
        <f t="shared" ref="D18:E18" si="2">D5+D13</f>
        <v>0</v>
      </c>
      <c r="E18" s="2077">
        <f t="shared" si="2"/>
        <v>0</v>
      </c>
      <c r="F18" s="1975" t="s">
        <v>5383</v>
      </c>
      <c r="I18" s="1568"/>
    </row>
    <row r="19" spans="1:9" ht="12.75" customHeight="1">
      <c r="A19" s="1994"/>
      <c r="B19" s="1994"/>
      <c r="C19" s="1994"/>
      <c r="D19" s="1994"/>
      <c r="E19" s="1994"/>
      <c r="F19" s="1994"/>
    </row>
  </sheetData>
  <mergeCells count="5">
    <mergeCell ref="A1:E1"/>
    <mergeCell ref="A2:E2"/>
    <mergeCell ref="A3:A4"/>
    <mergeCell ref="B3:B4"/>
    <mergeCell ref="F3:F4"/>
  </mergeCells>
  <phoneticPr fontId="51" type="noConversion"/>
  <hyperlinks>
    <hyperlink ref="G10" location="A105090资产损失税前扣除及纳税调整明细表!A1" display="A105090资产损失税前扣除及纳税调整明细表!A1"/>
    <hyperlink ref="G12" location="A105120特殊行业准备金纳税调整明细表!A1" display="A105120特殊行业准备金纳税调整明细表!A1"/>
  </hyperlinks>
  <printOptions horizontalCentered="1"/>
  <pageMargins left="0.78740157480314998" right="0.35433070866141703" top="0.511811023622047" bottom="0.11811023622047198" header="0.511811023622047" footer="0.511811023622047"/>
  <pageSetup paperSize="9" orientation="landscape" r:id="rId1"/>
  <headerFooter alignWithMargins="0"/>
</worksheet>
</file>

<file path=xl/worksheets/sheet4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62">
    <tabColor rgb="FFFFFF00"/>
  </sheetPr>
  <dimension ref="A1:J26"/>
  <sheetViews>
    <sheetView workbookViewId="0">
      <selection activeCell="E8" sqref="E8"/>
    </sheetView>
  </sheetViews>
  <sheetFormatPr defaultRowHeight="15.6"/>
  <cols>
    <col min="1" max="1" width="5.19921875" style="1570" customWidth="1"/>
    <col min="2" max="2" width="24.5" style="1576" customWidth="1"/>
    <col min="3" max="3" width="11.09765625" style="1570" customWidth="1"/>
    <col min="4" max="4" width="11" style="1570" customWidth="1"/>
    <col min="5" max="6" width="10.59765625" style="1570" customWidth="1"/>
    <col min="7" max="7" width="10.5" style="1570" customWidth="1"/>
    <col min="8" max="8" width="12.3984375" style="1570" customWidth="1"/>
    <col min="9" max="9" width="23.8984375" style="1570" customWidth="1"/>
    <col min="10" max="10" width="46.8984375" style="1570" customWidth="1"/>
    <col min="11" max="256" width="9" style="1570"/>
    <col min="257" max="257" width="5.19921875" style="1570" customWidth="1"/>
    <col min="258" max="258" width="24.5" style="1570" customWidth="1"/>
    <col min="259" max="259" width="11.09765625" style="1570" customWidth="1"/>
    <col min="260" max="260" width="11" style="1570" customWidth="1"/>
    <col min="261" max="262" width="10.59765625" style="1570" customWidth="1"/>
    <col min="263" max="263" width="10.5" style="1570" customWidth="1"/>
    <col min="264" max="264" width="12.3984375" style="1570" customWidth="1"/>
    <col min="265" max="265" width="23.8984375" style="1570" customWidth="1"/>
    <col min="266" max="266" width="46.8984375" style="1570" customWidth="1"/>
    <col min="267" max="512" width="9" style="1570"/>
    <col min="513" max="513" width="5.19921875" style="1570" customWidth="1"/>
    <col min="514" max="514" width="24.5" style="1570" customWidth="1"/>
    <col min="515" max="515" width="11.09765625" style="1570" customWidth="1"/>
    <col min="516" max="516" width="11" style="1570" customWidth="1"/>
    <col min="517" max="518" width="10.59765625" style="1570" customWidth="1"/>
    <col min="519" max="519" width="10.5" style="1570" customWidth="1"/>
    <col min="520" max="520" width="12.3984375" style="1570" customWidth="1"/>
    <col min="521" max="521" width="23.8984375" style="1570" customWidth="1"/>
    <col min="522" max="522" width="46.8984375" style="1570" customWidth="1"/>
    <col min="523" max="768" width="9" style="1570"/>
    <col min="769" max="769" width="5.19921875" style="1570" customWidth="1"/>
    <col min="770" max="770" width="24.5" style="1570" customWidth="1"/>
    <col min="771" max="771" width="11.09765625" style="1570" customWidth="1"/>
    <col min="772" max="772" width="11" style="1570" customWidth="1"/>
    <col min="773" max="774" width="10.59765625" style="1570" customWidth="1"/>
    <col min="775" max="775" width="10.5" style="1570" customWidth="1"/>
    <col min="776" max="776" width="12.3984375" style="1570" customWidth="1"/>
    <col min="777" max="777" width="23.8984375" style="1570" customWidth="1"/>
    <col min="778" max="778" width="46.8984375" style="1570" customWidth="1"/>
    <col min="779" max="1024" width="9" style="1570"/>
    <col min="1025" max="1025" width="5.19921875" style="1570" customWidth="1"/>
    <col min="1026" max="1026" width="24.5" style="1570" customWidth="1"/>
    <col min="1027" max="1027" width="11.09765625" style="1570" customWidth="1"/>
    <col min="1028" max="1028" width="11" style="1570" customWidth="1"/>
    <col min="1029" max="1030" width="10.59765625" style="1570" customWidth="1"/>
    <col min="1031" max="1031" width="10.5" style="1570" customWidth="1"/>
    <col min="1032" max="1032" width="12.3984375" style="1570" customWidth="1"/>
    <col min="1033" max="1033" width="23.8984375" style="1570" customWidth="1"/>
    <col min="1034" max="1034" width="46.8984375" style="1570" customWidth="1"/>
    <col min="1035" max="1280" width="9" style="1570"/>
    <col min="1281" max="1281" width="5.19921875" style="1570" customWidth="1"/>
    <col min="1282" max="1282" width="24.5" style="1570" customWidth="1"/>
    <col min="1283" max="1283" width="11.09765625" style="1570" customWidth="1"/>
    <col min="1284" max="1284" width="11" style="1570" customWidth="1"/>
    <col min="1285" max="1286" width="10.59765625" style="1570" customWidth="1"/>
    <col min="1287" max="1287" width="10.5" style="1570" customWidth="1"/>
    <col min="1288" max="1288" width="12.3984375" style="1570" customWidth="1"/>
    <col min="1289" max="1289" width="23.8984375" style="1570" customWidth="1"/>
    <col min="1290" max="1290" width="46.8984375" style="1570" customWidth="1"/>
    <col min="1291" max="1536" width="9" style="1570"/>
    <col min="1537" max="1537" width="5.19921875" style="1570" customWidth="1"/>
    <col min="1538" max="1538" width="24.5" style="1570" customWidth="1"/>
    <col min="1539" max="1539" width="11.09765625" style="1570" customWidth="1"/>
    <col min="1540" max="1540" width="11" style="1570" customWidth="1"/>
    <col min="1541" max="1542" width="10.59765625" style="1570" customWidth="1"/>
    <col min="1543" max="1543" width="10.5" style="1570" customWidth="1"/>
    <col min="1544" max="1544" width="12.3984375" style="1570" customWidth="1"/>
    <col min="1545" max="1545" width="23.8984375" style="1570" customWidth="1"/>
    <col min="1546" max="1546" width="46.8984375" style="1570" customWidth="1"/>
    <col min="1547" max="1792" width="9" style="1570"/>
    <col min="1793" max="1793" width="5.19921875" style="1570" customWidth="1"/>
    <col min="1794" max="1794" width="24.5" style="1570" customWidth="1"/>
    <col min="1795" max="1795" width="11.09765625" style="1570" customWidth="1"/>
    <col min="1796" max="1796" width="11" style="1570" customWidth="1"/>
    <col min="1797" max="1798" width="10.59765625" style="1570" customWidth="1"/>
    <col min="1799" max="1799" width="10.5" style="1570" customWidth="1"/>
    <col min="1800" max="1800" width="12.3984375" style="1570" customWidth="1"/>
    <col min="1801" max="1801" width="23.8984375" style="1570" customWidth="1"/>
    <col min="1802" max="1802" width="46.8984375" style="1570" customWidth="1"/>
    <col min="1803" max="2048" width="9" style="1570"/>
    <col min="2049" max="2049" width="5.19921875" style="1570" customWidth="1"/>
    <col min="2050" max="2050" width="24.5" style="1570" customWidth="1"/>
    <col min="2051" max="2051" width="11.09765625" style="1570" customWidth="1"/>
    <col min="2052" max="2052" width="11" style="1570" customWidth="1"/>
    <col min="2053" max="2054" width="10.59765625" style="1570" customWidth="1"/>
    <col min="2055" max="2055" width="10.5" style="1570" customWidth="1"/>
    <col min="2056" max="2056" width="12.3984375" style="1570" customWidth="1"/>
    <col min="2057" max="2057" width="23.8984375" style="1570" customWidth="1"/>
    <col min="2058" max="2058" width="46.8984375" style="1570" customWidth="1"/>
    <col min="2059" max="2304" width="9" style="1570"/>
    <col min="2305" max="2305" width="5.19921875" style="1570" customWidth="1"/>
    <col min="2306" max="2306" width="24.5" style="1570" customWidth="1"/>
    <col min="2307" max="2307" width="11.09765625" style="1570" customWidth="1"/>
    <col min="2308" max="2308" width="11" style="1570" customWidth="1"/>
    <col min="2309" max="2310" width="10.59765625" style="1570" customWidth="1"/>
    <col min="2311" max="2311" width="10.5" style="1570" customWidth="1"/>
    <col min="2312" max="2312" width="12.3984375" style="1570" customWidth="1"/>
    <col min="2313" max="2313" width="23.8984375" style="1570" customWidth="1"/>
    <col min="2314" max="2314" width="46.8984375" style="1570" customWidth="1"/>
    <col min="2315" max="2560" width="9" style="1570"/>
    <col min="2561" max="2561" width="5.19921875" style="1570" customWidth="1"/>
    <col min="2562" max="2562" width="24.5" style="1570" customWidth="1"/>
    <col min="2563" max="2563" width="11.09765625" style="1570" customWidth="1"/>
    <col min="2564" max="2564" width="11" style="1570" customWidth="1"/>
    <col min="2565" max="2566" width="10.59765625" style="1570" customWidth="1"/>
    <col min="2567" max="2567" width="10.5" style="1570" customWidth="1"/>
    <col min="2568" max="2568" width="12.3984375" style="1570" customWidth="1"/>
    <col min="2569" max="2569" width="23.8984375" style="1570" customWidth="1"/>
    <col min="2570" max="2570" width="46.8984375" style="1570" customWidth="1"/>
    <col min="2571" max="2816" width="9" style="1570"/>
    <col min="2817" max="2817" width="5.19921875" style="1570" customWidth="1"/>
    <col min="2818" max="2818" width="24.5" style="1570" customWidth="1"/>
    <col min="2819" max="2819" width="11.09765625" style="1570" customWidth="1"/>
    <col min="2820" max="2820" width="11" style="1570" customWidth="1"/>
    <col min="2821" max="2822" width="10.59765625" style="1570" customWidth="1"/>
    <col min="2823" max="2823" width="10.5" style="1570" customWidth="1"/>
    <col min="2824" max="2824" width="12.3984375" style="1570" customWidth="1"/>
    <col min="2825" max="2825" width="23.8984375" style="1570" customWidth="1"/>
    <col min="2826" max="2826" width="46.8984375" style="1570" customWidth="1"/>
    <col min="2827" max="3072" width="9" style="1570"/>
    <col min="3073" max="3073" width="5.19921875" style="1570" customWidth="1"/>
    <col min="3074" max="3074" width="24.5" style="1570" customWidth="1"/>
    <col min="3075" max="3075" width="11.09765625" style="1570" customWidth="1"/>
    <col min="3076" max="3076" width="11" style="1570" customWidth="1"/>
    <col min="3077" max="3078" width="10.59765625" style="1570" customWidth="1"/>
    <col min="3079" max="3079" width="10.5" style="1570" customWidth="1"/>
    <col min="3080" max="3080" width="12.3984375" style="1570" customWidth="1"/>
    <col min="3081" max="3081" width="23.8984375" style="1570" customWidth="1"/>
    <col min="3082" max="3082" width="46.8984375" style="1570" customWidth="1"/>
    <col min="3083" max="3328" width="9" style="1570"/>
    <col min="3329" max="3329" width="5.19921875" style="1570" customWidth="1"/>
    <col min="3330" max="3330" width="24.5" style="1570" customWidth="1"/>
    <col min="3331" max="3331" width="11.09765625" style="1570" customWidth="1"/>
    <col min="3332" max="3332" width="11" style="1570" customWidth="1"/>
    <col min="3333" max="3334" width="10.59765625" style="1570" customWidth="1"/>
    <col min="3335" max="3335" width="10.5" style="1570" customWidth="1"/>
    <col min="3336" max="3336" width="12.3984375" style="1570" customWidth="1"/>
    <col min="3337" max="3337" width="23.8984375" style="1570" customWidth="1"/>
    <col min="3338" max="3338" width="46.8984375" style="1570" customWidth="1"/>
    <col min="3339" max="3584" width="9" style="1570"/>
    <col min="3585" max="3585" width="5.19921875" style="1570" customWidth="1"/>
    <col min="3586" max="3586" width="24.5" style="1570" customWidth="1"/>
    <col min="3587" max="3587" width="11.09765625" style="1570" customWidth="1"/>
    <col min="3588" max="3588" width="11" style="1570" customWidth="1"/>
    <col min="3589" max="3590" width="10.59765625" style="1570" customWidth="1"/>
    <col min="3591" max="3591" width="10.5" style="1570" customWidth="1"/>
    <col min="3592" max="3592" width="12.3984375" style="1570" customWidth="1"/>
    <col min="3593" max="3593" width="23.8984375" style="1570" customWidth="1"/>
    <col min="3594" max="3594" width="46.8984375" style="1570" customWidth="1"/>
    <col min="3595" max="3840" width="9" style="1570"/>
    <col min="3841" max="3841" width="5.19921875" style="1570" customWidth="1"/>
    <col min="3842" max="3842" width="24.5" style="1570" customWidth="1"/>
    <col min="3843" max="3843" width="11.09765625" style="1570" customWidth="1"/>
    <col min="3844" max="3844" width="11" style="1570" customWidth="1"/>
    <col min="3845" max="3846" width="10.59765625" style="1570" customWidth="1"/>
    <col min="3847" max="3847" width="10.5" style="1570" customWidth="1"/>
    <col min="3848" max="3848" width="12.3984375" style="1570" customWidth="1"/>
    <col min="3849" max="3849" width="23.8984375" style="1570" customWidth="1"/>
    <col min="3850" max="3850" width="46.8984375" style="1570" customWidth="1"/>
    <col min="3851" max="4096" width="9" style="1570"/>
    <col min="4097" max="4097" width="5.19921875" style="1570" customWidth="1"/>
    <col min="4098" max="4098" width="24.5" style="1570" customWidth="1"/>
    <col min="4099" max="4099" width="11.09765625" style="1570" customWidth="1"/>
    <col min="4100" max="4100" width="11" style="1570" customWidth="1"/>
    <col min="4101" max="4102" width="10.59765625" style="1570" customWidth="1"/>
    <col min="4103" max="4103" width="10.5" style="1570" customWidth="1"/>
    <col min="4104" max="4104" width="12.3984375" style="1570" customWidth="1"/>
    <col min="4105" max="4105" width="23.8984375" style="1570" customWidth="1"/>
    <col min="4106" max="4106" width="46.8984375" style="1570" customWidth="1"/>
    <col min="4107" max="4352" width="9" style="1570"/>
    <col min="4353" max="4353" width="5.19921875" style="1570" customWidth="1"/>
    <col min="4354" max="4354" width="24.5" style="1570" customWidth="1"/>
    <col min="4355" max="4355" width="11.09765625" style="1570" customWidth="1"/>
    <col min="4356" max="4356" width="11" style="1570" customWidth="1"/>
    <col min="4357" max="4358" width="10.59765625" style="1570" customWidth="1"/>
    <col min="4359" max="4359" width="10.5" style="1570" customWidth="1"/>
    <col min="4360" max="4360" width="12.3984375" style="1570" customWidth="1"/>
    <col min="4361" max="4361" width="23.8984375" style="1570" customWidth="1"/>
    <col min="4362" max="4362" width="46.8984375" style="1570" customWidth="1"/>
    <col min="4363" max="4608" width="9" style="1570"/>
    <col min="4609" max="4609" width="5.19921875" style="1570" customWidth="1"/>
    <col min="4610" max="4610" width="24.5" style="1570" customWidth="1"/>
    <col min="4611" max="4611" width="11.09765625" style="1570" customWidth="1"/>
    <col min="4612" max="4612" width="11" style="1570" customWidth="1"/>
    <col min="4613" max="4614" width="10.59765625" style="1570" customWidth="1"/>
    <col min="4615" max="4615" width="10.5" style="1570" customWidth="1"/>
    <col min="4616" max="4616" width="12.3984375" style="1570" customWidth="1"/>
    <col min="4617" max="4617" width="23.8984375" style="1570" customWidth="1"/>
    <col min="4618" max="4618" width="46.8984375" style="1570" customWidth="1"/>
    <col min="4619" max="4864" width="9" style="1570"/>
    <col min="4865" max="4865" width="5.19921875" style="1570" customWidth="1"/>
    <col min="4866" max="4866" width="24.5" style="1570" customWidth="1"/>
    <col min="4867" max="4867" width="11.09765625" style="1570" customWidth="1"/>
    <col min="4868" max="4868" width="11" style="1570" customWidth="1"/>
    <col min="4869" max="4870" width="10.59765625" style="1570" customWidth="1"/>
    <col min="4871" max="4871" width="10.5" style="1570" customWidth="1"/>
    <col min="4872" max="4872" width="12.3984375" style="1570" customWidth="1"/>
    <col min="4873" max="4873" width="23.8984375" style="1570" customWidth="1"/>
    <col min="4874" max="4874" width="46.8984375" style="1570" customWidth="1"/>
    <col min="4875" max="5120" width="9" style="1570"/>
    <col min="5121" max="5121" width="5.19921875" style="1570" customWidth="1"/>
    <col min="5122" max="5122" width="24.5" style="1570" customWidth="1"/>
    <col min="5123" max="5123" width="11.09765625" style="1570" customWidth="1"/>
    <col min="5124" max="5124" width="11" style="1570" customWidth="1"/>
    <col min="5125" max="5126" width="10.59765625" style="1570" customWidth="1"/>
    <col min="5127" max="5127" width="10.5" style="1570" customWidth="1"/>
    <col min="5128" max="5128" width="12.3984375" style="1570" customWidth="1"/>
    <col min="5129" max="5129" width="23.8984375" style="1570" customWidth="1"/>
    <col min="5130" max="5130" width="46.8984375" style="1570" customWidth="1"/>
    <col min="5131" max="5376" width="9" style="1570"/>
    <col min="5377" max="5377" width="5.19921875" style="1570" customWidth="1"/>
    <col min="5378" max="5378" width="24.5" style="1570" customWidth="1"/>
    <col min="5379" max="5379" width="11.09765625" style="1570" customWidth="1"/>
    <col min="5380" max="5380" width="11" style="1570" customWidth="1"/>
    <col min="5381" max="5382" width="10.59765625" style="1570" customWidth="1"/>
    <col min="5383" max="5383" width="10.5" style="1570" customWidth="1"/>
    <col min="5384" max="5384" width="12.3984375" style="1570" customWidth="1"/>
    <col min="5385" max="5385" width="23.8984375" style="1570" customWidth="1"/>
    <col min="5386" max="5386" width="46.8984375" style="1570" customWidth="1"/>
    <col min="5387" max="5632" width="9" style="1570"/>
    <col min="5633" max="5633" width="5.19921875" style="1570" customWidth="1"/>
    <col min="5634" max="5634" width="24.5" style="1570" customWidth="1"/>
    <col min="5635" max="5635" width="11.09765625" style="1570" customWidth="1"/>
    <col min="5636" max="5636" width="11" style="1570" customWidth="1"/>
    <col min="5637" max="5638" width="10.59765625" style="1570" customWidth="1"/>
    <col min="5639" max="5639" width="10.5" style="1570" customWidth="1"/>
    <col min="5640" max="5640" width="12.3984375" style="1570" customWidth="1"/>
    <col min="5641" max="5641" width="23.8984375" style="1570" customWidth="1"/>
    <col min="5642" max="5642" width="46.8984375" style="1570" customWidth="1"/>
    <col min="5643" max="5888" width="9" style="1570"/>
    <col min="5889" max="5889" width="5.19921875" style="1570" customWidth="1"/>
    <col min="5890" max="5890" width="24.5" style="1570" customWidth="1"/>
    <col min="5891" max="5891" width="11.09765625" style="1570" customWidth="1"/>
    <col min="5892" max="5892" width="11" style="1570" customWidth="1"/>
    <col min="5893" max="5894" width="10.59765625" style="1570" customWidth="1"/>
    <col min="5895" max="5895" width="10.5" style="1570" customWidth="1"/>
    <col min="5896" max="5896" width="12.3984375" style="1570" customWidth="1"/>
    <col min="5897" max="5897" width="23.8984375" style="1570" customWidth="1"/>
    <col min="5898" max="5898" width="46.8984375" style="1570" customWidth="1"/>
    <col min="5899" max="6144" width="9" style="1570"/>
    <col min="6145" max="6145" width="5.19921875" style="1570" customWidth="1"/>
    <col min="6146" max="6146" width="24.5" style="1570" customWidth="1"/>
    <col min="6147" max="6147" width="11.09765625" style="1570" customWidth="1"/>
    <col min="6148" max="6148" width="11" style="1570" customWidth="1"/>
    <col min="6149" max="6150" width="10.59765625" style="1570" customWidth="1"/>
    <col min="6151" max="6151" width="10.5" style="1570" customWidth="1"/>
    <col min="6152" max="6152" width="12.3984375" style="1570" customWidth="1"/>
    <col min="6153" max="6153" width="23.8984375" style="1570" customWidth="1"/>
    <col min="6154" max="6154" width="46.8984375" style="1570" customWidth="1"/>
    <col min="6155" max="6400" width="9" style="1570"/>
    <col min="6401" max="6401" width="5.19921875" style="1570" customWidth="1"/>
    <col min="6402" max="6402" width="24.5" style="1570" customWidth="1"/>
    <col min="6403" max="6403" width="11.09765625" style="1570" customWidth="1"/>
    <col min="6404" max="6404" width="11" style="1570" customWidth="1"/>
    <col min="6405" max="6406" width="10.59765625" style="1570" customWidth="1"/>
    <col min="6407" max="6407" width="10.5" style="1570" customWidth="1"/>
    <col min="6408" max="6408" width="12.3984375" style="1570" customWidth="1"/>
    <col min="6409" max="6409" width="23.8984375" style="1570" customWidth="1"/>
    <col min="6410" max="6410" width="46.8984375" style="1570" customWidth="1"/>
    <col min="6411" max="6656" width="9" style="1570"/>
    <col min="6657" max="6657" width="5.19921875" style="1570" customWidth="1"/>
    <col min="6658" max="6658" width="24.5" style="1570" customWidth="1"/>
    <col min="6659" max="6659" width="11.09765625" style="1570" customWidth="1"/>
    <col min="6660" max="6660" width="11" style="1570" customWidth="1"/>
    <col min="6661" max="6662" width="10.59765625" style="1570" customWidth="1"/>
    <col min="6663" max="6663" width="10.5" style="1570" customWidth="1"/>
    <col min="6664" max="6664" width="12.3984375" style="1570" customWidth="1"/>
    <col min="6665" max="6665" width="23.8984375" style="1570" customWidth="1"/>
    <col min="6666" max="6666" width="46.8984375" style="1570" customWidth="1"/>
    <col min="6667" max="6912" width="9" style="1570"/>
    <col min="6913" max="6913" width="5.19921875" style="1570" customWidth="1"/>
    <col min="6914" max="6914" width="24.5" style="1570" customWidth="1"/>
    <col min="6915" max="6915" width="11.09765625" style="1570" customWidth="1"/>
    <col min="6916" max="6916" width="11" style="1570" customWidth="1"/>
    <col min="6917" max="6918" width="10.59765625" style="1570" customWidth="1"/>
    <col min="6919" max="6919" width="10.5" style="1570" customWidth="1"/>
    <col min="6920" max="6920" width="12.3984375" style="1570" customWidth="1"/>
    <col min="6921" max="6921" width="23.8984375" style="1570" customWidth="1"/>
    <col min="6922" max="6922" width="46.8984375" style="1570" customWidth="1"/>
    <col min="6923" max="7168" width="9" style="1570"/>
    <col min="7169" max="7169" width="5.19921875" style="1570" customWidth="1"/>
    <col min="7170" max="7170" width="24.5" style="1570" customWidth="1"/>
    <col min="7171" max="7171" width="11.09765625" style="1570" customWidth="1"/>
    <col min="7172" max="7172" width="11" style="1570" customWidth="1"/>
    <col min="7173" max="7174" width="10.59765625" style="1570" customWidth="1"/>
    <col min="7175" max="7175" width="10.5" style="1570" customWidth="1"/>
    <col min="7176" max="7176" width="12.3984375" style="1570" customWidth="1"/>
    <col min="7177" max="7177" width="23.8984375" style="1570" customWidth="1"/>
    <col min="7178" max="7178" width="46.8984375" style="1570" customWidth="1"/>
    <col min="7179" max="7424" width="9" style="1570"/>
    <col min="7425" max="7425" width="5.19921875" style="1570" customWidth="1"/>
    <col min="7426" max="7426" width="24.5" style="1570" customWidth="1"/>
    <col min="7427" max="7427" width="11.09765625" style="1570" customWidth="1"/>
    <col min="7428" max="7428" width="11" style="1570" customWidth="1"/>
    <col min="7429" max="7430" width="10.59765625" style="1570" customWidth="1"/>
    <col min="7431" max="7431" width="10.5" style="1570" customWidth="1"/>
    <col min="7432" max="7432" width="12.3984375" style="1570" customWidth="1"/>
    <col min="7433" max="7433" width="23.8984375" style="1570" customWidth="1"/>
    <col min="7434" max="7434" width="46.8984375" style="1570" customWidth="1"/>
    <col min="7435" max="7680" width="9" style="1570"/>
    <col min="7681" max="7681" width="5.19921875" style="1570" customWidth="1"/>
    <col min="7682" max="7682" width="24.5" style="1570" customWidth="1"/>
    <col min="7683" max="7683" width="11.09765625" style="1570" customWidth="1"/>
    <col min="7684" max="7684" width="11" style="1570" customWidth="1"/>
    <col min="7685" max="7686" width="10.59765625" style="1570" customWidth="1"/>
    <col min="7687" max="7687" width="10.5" style="1570" customWidth="1"/>
    <col min="7688" max="7688" width="12.3984375" style="1570" customWidth="1"/>
    <col min="7689" max="7689" width="23.8984375" style="1570" customWidth="1"/>
    <col min="7690" max="7690" width="46.8984375" style="1570" customWidth="1"/>
    <col min="7691" max="7936" width="9" style="1570"/>
    <col min="7937" max="7937" width="5.19921875" style="1570" customWidth="1"/>
    <col min="7938" max="7938" width="24.5" style="1570" customWidth="1"/>
    <col min="7939" max="7939" width="11.09765625" style="1570" customWidth="1"/>
    <col min="7940" max="7940" width="11" style="1570" customWidth="1"/>
    <col min="7941" max="7942" width="10.59765625" style="1570" customWidth="1"/>
    <col min="7943" max="7943" width="10.5" style="1570" customWidth="1"/>
    <col min="7944" max="7944" width="12.3984375" style="1570" customWidth="1"/>
    <col min="7945" max="7945" width="23.8984375" style="1570" customWidth="1"/>
    <col min="7946" max="7946" width="46.8984375" style="1570" customWidth="1"/>
    <col min="7947" max="8192" width="9" style="1570"/>
    <col min="8193" max="8193" width="5.19921875" style="1570" customWidth="1"/>
    <col min="8194" max="8194" width="24.5" style="1570" customWidth="1"/>
    <col min="8195" max="8195" width="11.09765625" style="1570" customWidth="1"/>
    <col min="8196" max="8196" width="11" style="1570" customWidth="1"/>
    <col min="8197" max="8198" width="10.59765625" style="1570" customWidth="1"/>
    <col min="8199" max="8199" width="10.5" style="1570" customWidth="1"/>
    <col min="8200" max="8200" width="12.3984375" style="1570" customWidth="1"/>
    <col min="8201" max="8201" width="23.8984375" style="1570" customWidth="1"/>
    <col min="8202" max="8202" width="46.8984375" style="1570" customWidth="1"/>
    <col min="8203" max="8448" width="9" style="1570"/>
    <col min="8449" max="8449" width="5.19921875" style="1570" customWidth="1"/>
    <col min="8450" max="8450" width="24.5" style="1570" customWidth="1"/>
    <col min="8451" max="8451" width="11.09765625" style="1570" customWidth="1"/>
    <col min="8452" max="8452" width="11" style="1570" customWidth="1"/>
    <col min="8453" max="8454" width="10.59765625" style="1570" customWidth="1"/>
    <col min="8455" max="8455" width="10.5" style="1570" customWidth="1"/>
    <col min="8456" max="8456" width="12.3984375" style="1570" customWidth="1"/>
    <col min="8457" max="8457" width="23.8984375" style="1570" customWidth="1"/>
    <col min="8458" max="8458" width="46.8984375" style="1570" customWidth="1"/>
    <col min="8459" max="8704" width="9" style="1570"/>
    <col min="8705" max="8705" width="5.19921875" style="1570" customWidth="1"/>
    <col min="8706" max="8706" width="24.5" style="1570" customWidth="1"/>
    <col min="8707" max="8707" width="11.09765625" style="1570" customWidth="1"/>
    <col min="8708" max="8708" width="11" style="1570" customWidth="1"/>
    <col min="8709" max="8710" width="10.59765625" style="1570" customWidth="1"/>
    <col min="8711" max="8711" width="10.5" style="1570" customWidth="1"/>
    <col min="8712" max="8712" width="12.3984375" style="1570" customWidth="1"/>
    <col min="8713" max="8713" width="23.8984375" style="1570" customWidth="1"/>
    <col min="8714" max="8714" width="46.8984375" style="1570" customWidth="1"/>
    <col min="8715" max="8960" width="9" style="1570"/>
    <col min="8961" max="8961" width="5.19921875" style="1570" customWidth="1"/>
    <col min="8962" max="8962" width="24.5" style="1570" customWidth="1"/>
    <col min="8963" max="8963" width="11.09765625" style="1570" customWidth="1"/>
    <col min="8964" max="8964" width="11" style="1570" customWidth="1"/>
    <col min="8965" max="8966" width="10.59765625" style="1570" customWidth="1"/>
    <col min="8967" max="8967" width="10.5" style="1570" customWidth="1"/>
    <col min="8968" max="8968" width="12.3984375" style="1570" customWidth="1"/>
    <col min="8969" max="8969" width="23.8984375" style="1570" customWidth="1"/>
    <col min="8970" max="8970" width="46.8984375" style="1570" customWidth="1"/>
    <col min="8971" max="9216" width="9" style="1570"/>
    <col min="9217" max="9217" width="5.19921875" style="1570" customWidth="1"/>
    <col min="9218" max="9218" width="24.5" style="1570" customWidth="1"/>
    <col min="9219" max="9219" width="11.09765625" style="1570" customWidth="1"/>
    <col min="9220" max="9220" width="11" style="1570" customWidth="1"/>
    <col min="9221" max="9222" width="10.59765625" style="1570" customWidth="1"/>
    <col min="9223" max="9223" width="10.5" style="1570" customWidth="1"/>
    <col min="9224" max="9224" width="12.3984375" style="1570" customWidth="1"/>
    <col min="9225" max="9225" width="23.8984375" style="1570" customWidth="1"/>
    <col min="9226" max="9226" width="46.8984375" style="1570" customWidth="1"/>
    <col min="9227" max="9472" width="9" style="1570"/>
    <col min="9473" max="9473" width="5.19921875" style="1570" customWidth="1"/>
    <col min="9474" max="9474" width="24.5" style="1570" customWidth="1"/>
    <col min="9475" max="9475" width="11.09765625" style="1570" customWidth="1"/>
    <col min="9476" max="9476" width="11" style="1570" customWidth="1"/>
    <col min="9477" max="9478" width="10.59765625" style="1570" customWidth="1"/>
    <col min="9479" max="9479" width="10.5" style="1570" customWidth="1"/>
    <col min="9480" max="9480" width="12.3984375" style="1570" customWidth="1"/>
    <col min="9481" max="9481" width="23.8984375" style="1570" customWidth="1"/>
    <col min="9482" max="9482" width="46.8984375" style="1570" customWidth="1"/>
    <col min="9483" max="9728" width="9" style="1570"/>
    <col min="9729" max="9729" width="5.19921875" style="1570" customWidth="1"/>
    <col min="9730" max="9730" width="24.5" style="1570" customWidth="1"/>
    <col min="9731" max="9731" width="11.09765625" style="1570" customWidth="1"/>
    <col min="9732" max="9732" width="11" style="1570" customWidth="1"/>
    <col min="9733" max="9734" width="10.59765625" style="1570" customWidth="1"/>
    <col min="9735" max="9735" width="10.5" style="1570" customWidth="1"/>
    <col min="9736" max="9736" width="12.3984375" style="1570" customWidth="1"/>
    <col min="9737" max="9737" width="23.8984375" style="1570" customWidth="1"/>
    <col min="9738" max="9738" width="46.8984375" style="1570" customWidth="1"/>
    <col min="9739" max="9984" width="9" style="1570"/>
    <col min="9985" max="9985" width="5.19921875" style="1570" customWidth="1"/>
    <col min="9986" max="9986" width="24.5" style="1570" customWidth="1"/>
    <col min="9987" max="9987" width="11.09765625" style="1570" customWidth="1"/>
    <col min="9988" max="9988" width="11" style="1570" customWidth="1"/>
    <col min="9989" max="9990" width="10.59765625" style="1570" customWidth="1"/>
    <col min="9991" max="9991" width="10.5" style="1570" customWidth="1"/>
    <col min="9992" max="9992" width="12.3984375" style="1570" customWidth="1"/>
    <col min="9993" max="9993" width="23.8984375" style="1570" customWidth="1"/>
    <col min="9994" max="9994" width="46.8984375" style="1570" customWidth="1"/>
    <col min="9995" max="10240" width="9" style="1570"/>
    <col min="10241" max="10241" width="5.19921875" style="1570" customWidth="1"/>
    <col min="10242" max="10242" width="24.5" style="1570" customWidth="1"/>
    <col min="10243" max="10243" width="11.09765625" style="1570" customWidth="1"/>
    <col min="10244" max="10244" width="11" style="1570" customWidth="1"/>
    <col min="10245" max="10246" width="10.59765625" style="1570" customWidth="1"/>
    <col min="10247" max="10247" width="10.5" style="1570" customWidth="1"/>
    <col min="10248" max="10248" width="12.3984375" style="1570" customWidth="1"/>
    <col min="10249" max="10249" width="23.8984375" style="1570" customWidth="1"/>
    <col min="10250" max="10250" width="46.8984375" style="1570" customWidth="1"/>
    <col min="10251" max="10496" width="9" style="1570"/>
    <col min="10497" max="10497" width="5.19921875" style="1570" customWidth="1"/>
    <col min="10498" max="10498" width="24.5" style="1570" customWidth="1"/>
    <col min="10499" max="10499" width="11.09765625" style="1570" customWidth="1"/>
    <col min="10500" max="10500" width="11" style="1570" customWidth="1"/>
    <col min="10501" max="10502" width="10.59765625" style="1570" customWidth="1"/>
    <col min="10503" max="10503" width="10.5" style="1570" customWidth="1"/>
    <col min="10504" max="10504" width="12.3984375" style="1570" customWidth="1"/>
    <col min="10505" max="10505" width="23.8984375" style="1570" customWidth="1"/>
    <col min="10506" max="10506" width="46.8984375" style="1570" customWidth="1"/>
    <col min="10507" max="10752" width="9" style="1570"/>
    <col min="10753" max="10753" width="5.19921875" style="1570" customWidth="1"/>
    <col min="10754" max="10754" width="24.5" style="1570" customWidth="1"/>
    <col min="10755" max="10755" width="11.09765625" style="1570" customWidth="1"/>
    <col min="10756" max="10756" width="11" style="1570" customWidth="1"/>
    <col min="10757" max="10758" width="10.59765625" style="1570" customWidth="1"/>
    <col min="10759" max="10759" width="10.5" style="1570" customWidth="1"/>
    <col min="10760" max="10760" width="12.3984375" style="1570" customWidth="1"/>
    <col min="10761" max="10761" width="23.8984375" style="1570" customWidth="1"/>
    <col min="10762" max="10762" width="46.8984375" style="1570" customWidth="1"/>
    <col min="10763" max="11008" width="9" style="1570"/>
    <col min="11009" max="11009" width="5.19921875" style="1570" customWidth="1"/>
    <col min="11010" max="11010" width="24.5" style="1570" customWidth="1"/>
    <col min="11011" max="11011" width="11.09765625" style="1570" customWidth="1"/>
    <col min="11012" max="11012" width="11" style="1570" customWidth="1"/>
    <col min="11013" max="11014" width="10.59765625" style="1570" customWidth="1"/>
    <col min="11015" max="11015" width="10.5" style="1570" customWidth="1"/>
    <col min="11016" max="11016" width="12.3984375" style="1570" customWidth="1"/>
    <col min="11017" max="11017" width="23.8984375" style="1570" customWidth="1"/>
    <col min="11018" max="11018" width="46.8984375" style="1570" customWidth="1"/>
    <col min="11019" max="11264" width="9" style="1570"/>
    <col min="11265" max="11265" width="5.19921875" style="1570" customWidth="1"/>
    <col min="11266" max="11266" width="24.5" style="1570" customWidth="1"/>
    <col min="11267" max="11267" width="11.09765625" style="1570" customWidth="1"/>
    <col min="11268" max="11268" width="11" style="1570" customWidth="1"/>
    <col min="11269" max="11270" width="10.59765625" style="1570" customWidth="1"/>
    <col min="11271" max="11271" width="10.5" style="1570" customWidth="1"/>
    <col min="11272" max="11272" width="12.3984375" style="1570" customWidth="1"/>
    <col min="11273" max="11273" width="23.8984375" style="1570" customWidth="1"/>
    <col min="11274" max="11274" width="46.8984375" style="1570" customWidth="1"/>
    <col min="11275" max="11520" width="9" style="1570"/>
    <col min="11521" max="11521" width="5.19921875" style="1570" customWidth="1"/>
    <col min="11522" max="11522" width="24.5" style="1570" customWidth="1"/>
    <col min="11523" max="11523" width="11.09765625" style="1570" customWidth="1"/>
    <col min="11524" max="11524" width="11" style="1570" customWidth="1"/>
    <col min="11525" max="11526" width="10.59765625" style="1570" customWidth="1"/>
    <col min="11527" max="11527" width="10.5" style="1570" customWidth="1"/>
    <col min="11528" max="11528" width="12.3984375" style="1570" customWidth="1"/>
    <col min="11529" max="11529" width="23.8984375" style="1570" customWidth="1"/>
    <col min="11530" max="11530" width="46.8984375" style="1570" customWidth="1"/>
    <col min="11531" max="11776" width="9" style="1570"/>
    <col min="11777" max="11777" width="5.19921875" style="1570" customWidth="1"/>
    <col min="11778" max="11778" width="24.5" style="1570" customWidth="1"/>
    <col min="11779" max="11779" width="11.09765625" style="1570" customWidth="1"/>
    <col min="11780" max="11780" width="11" style="1570" customWidth="1"/>
    <col min="11781" max="11782" width="10.59765625" style="1570" customWidth="1"/>
    <col min="11783" max="11783" width="10.5" style="1570" customWidth="1"/>
    <col min="11784" max="11784" width="12.3984375" style="1570" customWidth="1"/>
    <col min="11785" max="11785" width="23.8984375" style="1570" customWidth="1"/>
    <col min="11786" max="11786" width="46.8984375" style="1570" customWidth="1"/>
    <col min="11787" max="12032" width="9" style="1570"/>
    <col min="12033" max="12033" width="5.19921875" style="1570" customWidth="1"/>
    <col min="12034" max="12034" width="24.5" style="1570" customWidth="1"/>
    <col min="12035" max="12035" width="11.09765625" style="1570" customWidth="1"/>
    <col min="12036" max="12036" width="11" style="1570" customWidth="1"/>
    <col min="12037" max="12038" width="10.59765625" style="1570" customWidth="1"/>
    <col min="12039" max="12039" width="10.5" style="1570" customWidth="1"/>
    <col min="12040" max="12040" width="12.3984375" style="1570" customWidth="1"/>
    <col min="12041" max="12041" width="23.8984375" style="1570" customWidth="1"/>
    <col min="12042" max="12042" width="46.8984375" style="1570" customWidth="1"/>
    <col min="12043" max="12288" width="9" style="1570"/>
    <col min="12289" max="12289" width="5.19921875" style="1570" customWidth="1"/>
    <col min="12290" max="12290" width="24.5" style="1570" customWidth="1"/>
    <col min="12291" max="12291" width="11.09765625" style="1570" customWidth="1"/>
    <col min="12292" max="12292" width="11" style="1570" customWidth="1"/>
    <col min="12293" max="12294" width="10.59765625" style="1570" customWidth="1"/>
    <col min="12295" max="12295" width="10.5" style="1570" customWidth="1"/>
    <col min="12296" max="12296" width="12.3984375" style="1570" customWidth="1"/>
    <col min="12297" max="12297" width="23.8984375" style="1570" customWidth="1"/>
    <col min="12298" max="12298" width="46.8984375" style="1570" customWidth="1"/>
    <col min="12299" max="12544" width="9" style="1570"/>
    <col min="12545" max="12545" width="5.19921875" style="1570" customWidth="1"/>
    <col min="12546" max="12546" width="24.5" style="1570" customWidth="1"/>
    <col min="12547" max="12547" width="11.09765625" style="1570" customWidth="1"/>
    <col min="12548" max="12548" width="11" style="1570" customWidth="1"/>
    <col min="12549" max="12550" width="10.59765625" style="1570" customWidth="1"/>
    <col min="12551" max="12551" width="10.5" style="1570" customWidth="1"/>
    <col min="12552" max="12552" width="12.3984375" style="1570" customWidth="1"/>
    <col min="12553" max="12553" width="23.8984375" style="1570" customWidth="1"/>
    <col min="12554" max="12554" width="46.8984375" style="1570" customWidth="1"/>
    <col min="12555" max="12800" width="9" style="1570"/>
    <col min="12801" max="12801" width="5.19921875" style="1570" customWidth="1"/>
    <col min="12802" max="12802" width="24.5" style="1570" customWidth="1"/>
    <col min="12803" max="12803" width="11.09765625" style="1570" customWidth="1"/>
    <col min="12804" max="12804" width="11" style="1570" customWidth="1"/>
    <col min="12805" max="12806" width="10.59765625" style="1570" customWidth="1"/>
    <col min="12807" max="12807" width="10.5" style="1570" customWidth="1"/>
    <col min="12808" max="12808" width="12.3984375" style="1570" customWidth="1"/>
    <col min="12809" max="12809" width="23.8984375" style="1570" customWidth="1"/>
    <col min="12810" max="12810" width="46.8984375" style="1570" customWidth="1"/>
    <col min="12811" max="13056" width="9" style="1570"/>
    <col min="13057" max="13057" width="5.19921875" style="1570" customWidth="1"/>
    <col min="13058" max="13058" width="24.5" style="1570" customWidth="1"/>
    <col min="13059" max="13059" width="11.09765625" style="1570" customWidth="1"/>
    <col min="13060" max="13060" width="11" style="1570" customWidth="1"/>
    <col min="13061" max="13062" width="10.59765625" style="1570" customWidth="1"/>
    <col min="13063" max="13063" width="10.5" style="1570" customWidth="1"/>
    <col min="13064" max="13064" width="12.3984375" style="1570" customWidth="1"/>
    <col min="13065" max="13065" width="23.8984375" style="1570" customWidth="1"/>
    <col min="13066" max="13066" width="46.8984375" style="1570" customWidth="1"/>
    <col min="13067" max="13312" width="9" style="1570"/>
    <col min="13313" max="13313" width="5.19921875" style="1570" customWidth="1"/>
    <col min="13314" max="13314" width="24.5" style="1570" customWidth="1"/>
    <col min="13315" max="13315" width="11.09765625" style="1570" customWidth="1"/>
    <col min="13316" max="13316" width="11" style="1570" customWidth="1"/>
    <col min="13317" max="13318" width="10.59765625" style="1570" customWidth="1"/>
    <col min="13319" max="13319" width="10.5" style="1570" customWidth="1"/>
    <col min="13320" max="13320" width="12.3984375" style="1570" customWidth="1"/>
    <col min="13321" max="13321" width="23.8984375" style="1570" customWidth="1"/>
    <col min="13322" max="13322" width="46.8984375" style="1570" customWidth="1"/>
    <col min="13323" max="13568" width="9" style="1570"/>
    <col min="13569" max="13569" width="5.19921875" style="1570" customWidth="1"/>
    <col min="13570" max="13570" width="24.5" style="1570" customWidth="1"/>
    <col min="13571" max="13571" width="11.09765625" style="1570" customWidth="1"/>
    <col min="13572" max="13572" width="11" style="1570" customWidth="1"/>
    <col min="13573" max="13574" width="10.59765625" style="1570" customWidth="1"/>
    <col min="13575" max="13575" width="10.5" style="1570" customWidth="1"/>
    <col min="13576" max="13576" width="12.3984375" style="1570" customWidth="1"/>
    <col min="13577" max="13577" width="23.8984375" style="1570" customWidth="1"/>
    <col min="13578" max="13578" width="46.8984375" style="1570" customWidth="1"/>
    <col min="13579" max="13824" width="9" style="1570"/>
    <col min="13825" max="13825" width="5.19921875" style="1570" customWidth="1"/>
    <col min="13826" max="13826" width="24.5" style="1570" customWidth="1"/>
    <col min="13827" max="13827" width="11.09765625" style="1570" customWidth="1"/>
    <col min="13828" max="13828" width="11" style="1570" customWidth="1"/>
    <col min="13829" max="13830" width="10.59765625" style="1570" customWidth="1"/>
    <col min="13831" max="13831" width="10.5" style="1570" customWidth="1"/>
    <col min="13832" max="13832" width="12.3984375" style="1570" customWidth="1"/>
    <col min="13833" max="13833" width="23.8984375" style="1570" customWidth="1"/>
    <col min="13834" max="13834" width="46.8984375" style="1570" customWidth="1"/>
    <col min="13835" max="14080" width="9" style="1570"/>
    <col min="14081" max="14081" width="5.19921875" style="1570" customWidth="1"/>
    <col min="14082" max="14082" width="24.5" style="1570" customWidth="1"/>
    <col min="14083" max="14083" width="11.09765625" style="1570" customWidth="1"/>
    <col min="14084" max="14084" width="11" style="1570" customWidth="1"/>
    <col min="14085" max="14086" width="10.59765625" style="1570" customWidth="1"/>
    <col min="14087" max="14087" width="10.5" style="1570" customWidth="1"/>
    <col min="14088" max="14088" width="12.3984375" style="1570" customWidth="1"/>
    <col min="14089" max="14089" width="23.8984375" style="1570" customWidth="1"/>
    <col min="14090" max="14090" width="46.8984375" style="1570" customWidth="1"/>
    <col min="14091" max="14336" width="9" style="1570"/>
    <col min="14337" max="14337" width="5.19921875" style="1570" customWidth="1"/>
    <col min="14338" max="14338" width="24.5" style="1570" customWidth="1"/>
    <col min="14339" max="14339" width="11.09765625" style="1570" customWidth="1"/>
    <col min="14340" max="14340" width="11" style="1570" customWidth="1"/>
    <col min="14341" max="14342" width="10.59765625" style="1570" customWidth="1"/>
    <col min="14343" max="14343" width="10.5" style="1570" customWidth="1"/>
    <col min="14344" max="14344" width="12.3984375" style="1570" customWidth="1"/>
    <col min="14345" max="14345" width="23.8984375" style="1570" customWidth="1"/>
    <col min="14346" max="14346" width="46.8984375" style="1570" customWidth="1"/>
    <col min="14347" max="14592" width="9" style="1570"/>
    <col min="14593" max="14593" width="5.19921875" style="1570" customWidth="1"/>
    <col min="14594" max="14594" width="24.5" style="1570" customWidth="1"/>
    <col min="14595" max="14595" width="11.09765625" style="1570" customWidth="1"/>
    <col min="14596" max="14596" width="11" style="1570" customWidth="1"/>
    <col min="14597" max="14598" width="10.59765625" style="1570" customWidth="1"/>
    <col min="14599" max="14599" width="10.5" style="1570" customWidth="1"/>
    <col min="14600" max="14600" width="12.3984375" style="1570" customWidth="1"/>
    <col min="14601" max="14601" width="23.8984375" style="1570" customWidth="1"/>
    <col min="14602" max="14602" width="46.8984375" style="1570" customWidth="1"/>
    <col min="14603" max="14848" width="9" style="1570"/>
    <col min="14849" max="14849" width="5.19921875" style="1570" customWidth="1"/>
    <col min="14850" max="14850" width="24.5" style="1570" customWidth="1"/>
    <col min="14851" max="14851" width="11.09765625" style="1570" customWidth="1"/>
    <col min="14852" max="14852" width="11" style="1570" customWidth="1"/>
    <col min="14853" max="14854" width="10.59765625" style="1570" customWidth="1"/>
    <col min="14855" max="14855" width="10.5" style="1570" customWidth="1"/>
    <col min="14856" max="14856" width="12.3984375" style="1570" customWidth="1"/>
    <col min="14857" max="14857" width="23.8984375" style="1570" customWidth="1"/>
    <col min="14858" max="14858" width="46.8984375" style="1570" customWidth="1"/>
    <col min="14859" max="15104" width="9" style="1570"/>
    <col min="15105" max="15105" width="5.19921875" style="1570" customWidth="1"/>
    <col min="15106" max="15106" width="24.5" style="1570" customWidth="1"/>
    <col min="15107" max="15107" width="11.09765625" style="1570" customWidth="1"/>
    <col min="15108" max="15108" width="11" style="1570" customWidth="1"/>
    <col min="15109" max="15110" width="10.59765625" style="1570" customWidth="1"/>
    <col min="15111" max="15111" width="10.5" style="1570" customWidth="1"/>
    <col min="15112" max="15112" width="12.3984375" style="1570" customWidth="1"/>
    <col min="15113" max="15113" width="23.8984375" style="1570" customWidth="1"/>
    <col min="15114" max="15114" width="46.8984375" style="1570" customWidth="1"/>
    <col min="15115" max="15360" width="9" style="1570"/>
    <col min="15361" max="15361" width="5.19921875" style="1570" customWidth="1"/>
    <col min="15362" max="15362" width="24.5" style="1570" customWidth="1"/>
    <col min="15363" max="15363" width="11.09765625" style="1570" customWidth="1"/>
    <col min="15364" max="15364" width="11" style="1570" customWidth="1"/>
    <col min="15365" max="15366" width="10.59765625" style="1570" customWidth="1"/>
    <col min="15367" max="15367" width="10.5" style="1570" customWidth="1"/>
    <col min="15368" max="15368" width="12.3984375" style="1570" customWidth="1"/>
    <col min="15369" max="15369" width="23.8984375" style="1570" customWidth="1"/>
    <col min="15370" max="15370" width="46.8984375" style="1570" customWidth="1"/>
    <col min="15371" max="15616" width="9" style="1570"/>
    <col min="15617" max="15617" width="5.19921875" style="1570" customWidth="1"/>
    <col min="15618" max="15618" width="24.5" style="1570" customWidth="1"/>
    <col min="15619" max="15619" width="11.09765625" style="1570" customWidth="1"/>
    <col min="15620" max="15620" width="11" style="1570" customWidth="1"/>
    <col min="15621" max="15622" width="10.59765625" style="1570" customWidth="1"/>
    <col min="15623" max="15623" width="10.5" style="1570" customWidth="1"/>
    <col min="15624" max="15624" width="12.3984375" style="1570" customWidth="1"/>
    <col min="15625" max="15625" width="23.8984375" style="1570" customWidth="1"/>
    <col min="15626" max="15626" width="46.8984375" style="1570" customWidth="1"/>
    <col min="15627" max="15872" width="9" style="1570"/>
    <col min="15873" max="15873" width="5.19921875" style="1570" customWidth="1"/>
    <col min="15874" max="15874" width="24.5" style="1570" customWidth="1"/>
    <col min="15875" max="15875" width="11.09765625" style="1570" customWidth="1"/>
    <col min="15876" max="15876" width="11" style="1570" customWidth="1"/>
    <col min="15877" max="15878" width="10.59765625" style="1570" customWidth="1"/>
    <col min="15879" max="15879" width="10.5" style="1570" customWidth="1"/>
    <col min="15880" max="15880" width="12.3984375" style="1570" customWidth="1"/>
    <col min="15881" max="15881" width="23.8984375" style="1570" customWidth="1"/>
    <col min="15882" max="15882" width="46.8984375" style="1570" customWidth="1"/>
    <col min="15883" max="16128" width="9" style="1570"/>
    <col min="16129" max="16129" width="5.19921875" style="1570" customWidth="1"/>
    <col min="16130" max="16130" width="24.5" style="1570" customWidth="1"/>
    <col min="16131" max="16131" width="11.09765625" style="1570" customWidth="1"/>
    <col min="16132" max="16132" width="11" style="1570" customWidth="1"/>
    <col min="16133" max="16134" width="10.59765625" style="1570" customWidth="1"/>
    <col min="16135" max="16135" width="10.5" style="1570" customWidth="1"/>
    <col min="16136" max="16136" width="12.3984375" style="1570" customWidth="1"/>
    <col min="16137" max="16137" width="23.8984375" style="1570" customWidth="1"/>
    <col min="16138" max="16138" width="46.8984375" style="1570" customWidth="1"/>
    <col min="16139" max="16384" width="9" style="1570"/>
  </cols>
  <sheetData>
    <row r="1" spans="1:10" ht="20.100000000000001" customHeight="1">
      <c r="A1" s="3378"/>
      <c r="B1" s="3378"/>
      <c r="C1" s="3378"/>
      <c r="D1" s="3378"/>
      <c r="E1" s="3378"/>
      <c r="F1" s="3378"/>
      <c r="G1" s="3378"/>
      <c r="H1" s="3378"/>
      <c r="I1" s="2174" t="str">
        <f>"索引号："&amp;档案索引!A41</f>
        <v>索引号：2A-21</v>
      </c>
    </row>
    <row r="2" spans="1:10" ht="25.5" customHeight="1">
      <c r="A2" s="3379" t="s">
        <v>5930</v>
      </c>
      <c r="B2" s="3379"/>
      <c r="C2" s="3379"/>
      <c r="D2" s="3379"/>
      <c r="E2" s="3379"/>
      <c r="F2" s="3379"/>
      <c r="G2" s="3379"/>
      <c r="H2" s="3379"/>
      <c r="I2" s="1828"/>
    </row>
    <row r="3" spans="1:10" ht="14.25" customHeight="1">
      <c r="A3" s="3380" t="s">
        <v>646</v>
      </c>
      <c r="B3" s="3377" t="s">
        <v>5386</v>
      </c>
      <c r="C3" s="3385" t="s">
        <v>1629</v>
      </c>
      <c r="D3" s="3385" t="s">
        <v>5387</v>
      </c>
      <c r="E3" s="3385" t="s">
        <v>5388</v>
      </c>
      <c r="F3" s="3385" t="s">
        <v>1256</v>
      </c>
      <c r="G3" s="3385" t="s">
        <v>1301</v>
      </c>
      <c r="H3" s="3385" t="s">
        <v>5389</v>
      </c>
      <c r="I3" s="3385" t="s">
        <v>5390</v>
      </c>
    </row>
    <row r="4" spans="1:10" ht="14.25" customHeight="1">
      <c r="A4" s="3381"/>
      <c r="B4" s="3377"/>
      <c r="C4" s="3385"/>
      <c r="D4" s="3385"/>
      <c r="E4" s="3385"/>
      <c r="F4" s="3385"/>
      <c r="G4" s="3385"/>
      <c r="H4" s="3385"/>
      <c r="I4" s="3385"/>
    </row>
    <row r="5" spans="1:10" ht="14.25" customHeight="1">
      <c r="A5" s="3382"/>
      <c r="B5" s="1829">
        <v>1</v>
      </c>
      <c r="C5" s="1829">
        <v>2</v>
      </c>
      <c r="D5" s="1829">
        <v>3</v>
      </c>
      <c r="E5" s="1829">
        <v>4</v>
      </c>
      <c r="F5" s="1829">
        <v>5</v>
      </c>
      <c r="G5" s="1830" t="s">
        <v>5391</v>
      </c>
      <c r="H5" s="1830" t="s">
        <v>5392</v>
      </c>
      <c r="I5" s="1976"/>
    </row>
    <row r="6" spans="1:10" ht="50.25" customHeight="1">
      <c r="A6" s="1829">
        <v>1</v>
      </c>
      <c r="B6" s="1831" t="s">
        <v>5393</v>
      </c>
      <c r="C6" s="2077">
        <f>SUM(C7:C10)</f>
        <v>0</v>
      </c>
      <c r="D6" s="2077">
        <f t="shared" ref="D6:F6" si="0">SUM(D7:D10)</f>
        <v>0</v>
      </c>
      <c r="E6" s="2077">
        <f t="shared" si="0"/>
        <v>0</v>
      </c>
      <c r="F6" s="2077">
        <f t="shared" si="0"/>
        <v>0</v>
      </c>
      <c r="G6" s="2077">
        <f>F6-D6-E6</f>
        <v>0</v>
      </c>
      <c r="H6" s="2077">
        <f>C6-G6</f>
        <v>0</v>
      </c>
      <c r="I6" s="1972" t="s">
        <v>5394</v>
      </c>
      <c r="J6" s="1653"/>
    </row>
    <row r="7" spans="1:10" ht="14.25" customHeight="1">
      <c r="A7" s="1829">
        <v>2</v>
      </c>
      <c r="B7" s="1573"/>
      <c r="C7" s="2079"/>
      <c r="D7" s="2079"/>
      <c r="E7" s="2079"/>
      <c r="F7" s="2079"/>
      <c r="G7" s="2077">
        <f t="shared" ref="G7:G24" si="1">F7-D7-E7</f>
        <v>0</v>
      </c>
      <c r="H7" s="2077">
        <f t="shared" ref="H7:H24" si="2">C7-G7</f>
        <v>0</v>
      </c>
      <c r="I7" s="1972"/>
      <c r="J7" s="1675" t="s">
        <v>6446</v>
      </c>
    </row>
    <row r="8" spans="1:10" ht="14.25" customHeight="1">
      <c r="A8" s="1829">
        <v>3</v>
      </c>
      <c r="B8" s="1573"/>
      <c r="C8" s="2079"/>
      <c r="D8" s="2079"/>
      <c r="E8" s="2079"/>
      <c r="F8" s="2079"/>
      <c r="G8" s="2077">
        <f t="shared" si="1"/>
        <v>0</v>
      </c>
      <c r="H8" s="2077">
        <f t="shared" si="2"/>
        <v>0</v>
      </c>
      <c r="I8" s="1972"/>
    </row>
    <row r="9" spans="1:10" ht="14.25" customHeight="1">
      <c r="A9" s="1829">
        <v>4</v>
      </c>
      <c r="B9" s="1573"/>
      <c r="C9" s="2079"/>
      <c r="D9" s="2079"/>
      <c r="E9" s="2079"/>
      <c r="F9" s="2079"/>
      <c r="G9" s="2077">
        <f t="shared" si="1"/>
        <v>0</v>
      </c>
      <c r="H9" s="2077">
        <f t="shared" si="2"/>
        <v>0</v>
      </c>
      <c r="I9" s="1972"/>
      <c r="J9" s="1771" t="s">
        <v>6448</v>
      </c>
    </row>
    <row r="10" spans="1:10" ht="14.25" customHeight="1">
      <c r="A10" s="1829">
        <v>5</v>
      </c>
      <c r="B10" s="1574"/>
      <c r="C10" s="2079"/>
      <c r="D10" s="2079"/>
      <c r="E10" s="2079"/>
      <c r="F10" s="2079"/>
      <c r="G10" s="2077">
        <f t="shared" si="1"/>
        <v>0</v>
      </c>
      <c r="H10" s="2077">
        <f t="shared" si="2"/>
        <v>0</v>
      </c>
      <c r="I10" s="1972"/>
    </row>
    <row r="11" spans="1:10" ht="88.5" customHeight="1">
      <c r="A11" s="1829">
        <v>6</v>
      </c>
      <c r="B11" s="1831" t="s">
        <v>5395</v>
      </c>
      <c r="C11" s="2077">
        <f>SUM(C12:C15)</f>
        <v>0</v>
      </c>
      <c r="D11" s="2077">
        <f t="shared" ref="D11" si="3">SUM(D12:D15)</f>
        <v>0</v>
      </c>
      <c r="E11" s="2077">
        <f t="shared" ref="E11" si="4">SUM(E12:E15)</f>
        <v>0</v>
      </c>
      <c r="F11" s="2077">
        <f t="shared" ref="F11" si="5">SUM(F12:F15)</f>
        <v>0</v>
      </c>
      <c r="G11" s="2077">
        <f t="shared" si="1"/>
        <v>0</v>
      </c>
      <c r="H11" s="2077">
        <f t="shared" si="2"/>
        <v>0</v>
      </c>
      <c r="I11" s="1972" t="s">
        <v>5396</v>
      </c>
      <c r="J11" s="1575"/>
    </row>
    <row r="12" spans="1:10" ht="14.25" customHeight="1">
      <c r="A12" s="1829">
        <v>7</v>
      </c>
      <c r="B12" s="1573"/>
      <c r="C12" s="2079"/>
      <c r="D12" s="2079"/>
      <c r="E12" s="2079"/>
      <c r="F12" s="2079"/>
      <c r="G12" s="2077">
        <f t="shared" si="1"/>
        <v>0</v>
      </c>
      <c r="H12" s="2077">
        <f t="shared" si="2"/>
        <v>0</v>
      </c>
      <c r="I12" s="1972"/>
    </row>
    <row r="13" spans="1:10" ht="14.25" customHeight="1">
      <c r="A13" s="1829">
        <v>8</v>
      </c>
      <c r="B13" s="1573"/>
      <c r="C13" s="2079"/>
      <c r="D13" s="2079"/>
      <c r="E13" s="2079"/>
      <c r="F13" s="2079"/>
      <c r="G13" s="2077">
        <f t="shared" si="1"/>
        <v>0</v>
      </c>
      <c r="H13" s="2077">
        <f t="shared" si="2"/>
        <v>0</v>
      </c>
      <c r="I13" s="1972"/>
    </row>
    <row r="14" spans="1:10" ht="14.25" customHeight="1">
      <c r="A14" s="1829">
        <v>9</v>
      </c>
      <c r="B14" s="1573"/>
      <c r="C14" s="2079"/>
      <c r="D14" s="2079"/>
      <c r="E14" s="2079"/>
      <c r="F14" s="2079"/>
      <c r="G14" s="2077">
        <f t="shared" si="1"/>
        <v>0</v>
      </c>
      <c r="H14" s="2077">
        <f t="shared" si="2"/>
        <v>0</v>
      </c>
      <c r="I14" s="1972"/>
    </row>
    <row r="15" spans="1:10" ht="14.25" customHeight="1">
      <c r="A15" s="1829">
        <v>10</v>
      </c>
      <c r="B15" s="1574"/>
      <c r="C15" s="2079"/>
      <c r="D15" s="2079"/>
      <c r="E15" s="2079"/>
      <c r="F15" s="2079"/>
      <c r="G15" s="2077">
        <f t="shared" si="1"/>
        <v>0</v>
      </c>
      <c r="H15" s="2077">
        <f t="shared" si="2"/>
        <v>0</v>
      </c>
      <c r="I15" s="1972"/>
    </row>
    <row r="16" spans="1:10" ht="91.5" customHeight="1">
      <c r="A16" s="1829">
        <v>11</v>
      </c>
      <c r="B16" s="1831" t="s">
        <v>5397</v>
      </c>
      <c r="C16" s="2077">
        <f>SUM(C17:C20)</f>
        <v>0</v>
      </c>
      <c r="D16" s="2077">
        <f t="shared" ref="D16" si="6">SUM(D17:D20)</f>
        <v>0</v>
      </c>
      <c r="E16" s="2077">
        <f t="shared" ref="E16" si="7">SUM(E17:E20)</f>
        <v>0</v>
      </c>
      <c r="F16" s="2077">
        <f t="shared" ref="F16" si="8">SUM(F17:F20)</f>
        <v>0</v>
      </c>
      <c r="G16" s="2077">
        <f t="shared" si="1"/>
        <v>0</v>
      </c>
      <c r="H16" s="2077">
        <f t="shared" si="2"/>
        <v>0</v>
      </c>
      <c r="I16" s="1972" t="s">
        <v>5398</v>
      </c>
      <c r="J16" s="1575"/>
    </row>
    <row r="17" spans="1:10" ht="14.25" customHeight="1">
      <c r="A17" s="1829">
        <v>12</v>
      </c>
      <c r="B17" s="1573"/>
      <c r="C17" s="2079"/>
      <c r="D17" s="2079"/>
      <c r="E17" s="2079"/>
      <c r="F17" s="2079"/>
      <c r="G17" s="2077">
        <f t="shared" si="1"/>
        <v>0</v>
      </c>
      <c r="H17" s="2077">
        <f t="shared" si="2"/>
        <v>0</v>
      </c>
      <c r="I17" s="1972"/>
    </row>
    <row r="18" spans="1:10" ht="14.25" customHeight="1">
      <c r="A18" s="1829">
        <v>13</v>
      </c>
      <c r="B18" s="1573"/>
      <c r="C18" s="2079"/>
      <c r="D18" s="2079"/>
      <c r="E18" s="2079"/>
      <c r="F18" s="2079"/>
      <c r="G18" s="2077">
        <f t="shared" si="1"/>
        <v>0</v>
      </c>
      <c r="H18" s="2077">
        <f t="shared" si="2"/>
        <v>0</v>
      </c>
      <c r="I18" s="1972"/>
    </row>
    <row r="19" spans="1:10" ht="14.25" customHeight="1">
      <c r="A19" s="1829">
        <v>14</v>
      </c>
      <c r="B19" s="1573"/>
      <c r="C19" s="2079"/>
      <c r="D19" s="2079"/>
      <c r="E19" s="2079"/>
      <c r="F19" s="2079"/>
      <c r="G19" s="2077">
        <f t="shared" si="1"/>
        <v>0</v>
      </c>
      <c r="H19" s="2077">
        <f t="shared" si="2"/>
        <v>0</v>
      </c>
      <c r="I19" s="1972"/>
    </row>
    <row r="20" spans="1:10" ht="14.25" customHeight="1">
      <c r="A20" s="1829">
        <v>15</v>
      </c>
      <c r="B20" s="1574"/>
      <c r="C20" s="2079"/>
      <c r="D20" s="2079"/>
      <c r="E20" s="2079"/>
      <c r="F20" s="2079"/>
      <c r="G20" s="2077">
        <f t="shared" si="1"/>
        <v>0</v>
      </c>
      <c r="H20" s="2077">
        <f t="shared" si="2"/>
        <v>0</v>
      </c>
      <c r="I20" s="1972"/>
    </row>
    <row r="21" spans="1:10" ht="86.25" customHeight="1">
      <c r="A21" s="1829">
        <v>16</v>
      </c>
      <c r="B21" s="1831" t="s">
        <v>5399</v>
      </c>
      <c r="C21" s="2077">
        <f>SUM(C22:C24)</f>
        <v>0</v>
      </c>
      <c r="D21" s="2077">
        <f t="shared" ref="D21:F21" si="9">SUM(D22:D24)</f>
        <v>0</v>
      </c>
      <c r="E21" s="2077">
        <f t="shared" si="9"/>
        <v>0</v>
      </c>
      <c r="F21" s="2077">
        <f t="shared" si="9"/>
        <v>0</v>
      </c>
      <c r="G21" s="2077">
        <f t="shared" si="1"/>
        <v>0</v>
      </c>
      <c r="H21" s="2077">
        <f t="shared" si="2"/>
        <v>0</v>
      </c>
      <c r="I21" s="1972" t="s">
        <v>5400</v>
      </c>
      <c r="J21" s="1575"/>
    </row>
    <row r="22" spans="1:10" ht="14.25" customHeight="1">
      <c r="A22" s="1829">
        <v>17</v>
      </c>
      <c r="B22" s="1573"/>
      <c r="C22" s="2079"/>
      <c r="D22" s="2079"/>
      <c r="E22" s="2079"/>
      <c r="F22" s="2079"/>
      <c r="G22" s="2077">
        <f t="shared" si="1"/>
        <v>0</v>
      </c>
      <c r="H22" s="2077">
        <f t="shared" si="2"/>
        <v>0</v>
      </c>
      <c r="I22" s="1972"/>
    </row>
    <row r="23" spans="1:10" ht="14.25" customHeight="1">
      <c r="A23" s="1829">
        <v>18</v>
      </c>
      <c r="B23" s="1573"/>
      <c r="C23" s="2079"/>
      <c r="D23" s="2079"/>
      <c r="E23" s="2079"/>
      <c r="F23" s="2079"/>
      <c r="G23" s="2077">
        <f t="shared" si="1"/>
        <v>0</v>
      </c>
      <c r="H23" s="2077">
        <f t="shared" si="2"/>
        <v>0</v>
      </c>
      <c r="I23" s="1972"/>
    </row>
    <row r="24" spans="1:10" ht="14.25" customHeight="1">
      <c r="A24" s="1829">
        <v>19</v>
      </c>
      <c r="B24" s="1574"/>
      <c r="C24" s="2079"/>
      <c r="D24" s="2079"/>
      <c r="E24" s="2079"/>
      <c r="F24" s="2079"/>
      <c r="G24" s="2077">
        <f t="shared" si="1"/>
        <v>0</v>
      </c>
      <c r="H24" s="2077">
        <f t="shared" si="2"/>
        <v>0</v>
      </c>
      <c r="I24" s="1972"/>
    </row>
    <row r="25" spans="1:10" ht="87.75" customHeight="1">
      <c r="A25" s="1829">
        <v>20</v>
      </c>
      <c r="B25" s="1831" t="s">
        <v>5401</v>
      </c>
      <c r="C25" s="2077">
        <f>C6+C11+C16+C21</f>
        <v>0</v>
      </c>
      <c r="D25" s="2077">
        <f t="shared" ref="D25:H25" si="10">D6+D11+D16+D21</f>
        <v>0</v>
      </c>
      <c r="E25" s="2077">
        <f t="shared" si="10"/>
        <v>0</v>
      </c>
      <c r="F25" s="2077">
        <f t="shared" si="10"/>
        <v>0</v>
      </c>
      <c r="G25" s="2077">
        <f t="shared" si="10"/>
        <v>0</v>
      </c>
      <c r="H25" s="2077">
        <f t="shared" si="10"/>
        <v>0</v>
      </c>
      <c r="I25" s="1972" t="s">
        <v>5402</v>
      </c>
      <c r="J25" s="1575"/>
    </row>
    <row r="26" spans="1:10">
      <c r="A26" s="2017"/>
      <c r="B26" s="2018"/>
      <c r="C26" s="2017"/>
      <c r="D26" s="2017"/>
      <c r="E26" s="2017"/>
      <c r="F26" s="2017"/>
      <c r="G26" s="2017"/>
      <c r="H26" s="2017"/>
      <c r="I26" s="2017"/>
    </row>
  </sheetData>
  <mergeCells count="11">
    <mergeCell ref="I3:I4"/>
    <mergeCell ref="A1:H1"/>
    <mergeCell ref="A2:H2"/>
    <mergeCell ref="A3:A5"/>
    <mergeCell ref="B3:B4"/>
    <mergeCell ref="C3:C4"/>
    <mergeCell ref="D3:D4"/>
    <mergeCell ref="E3:E4"/>
    <mergeCell ref="F3:F4"/>
    <mergeCell ref="G3:G4"/>
    <mergeCell ref="H3:H4"/>
  </mergeCells>
  <phoneticPr fontId="51" type="noConversion"/>
  <hyperlinks>
    <hyperlink ref="J9" location="'A105091资产损失（专项申报）税前扣除及纳税调整明细表'!A1" display="'A105091资产损失（专项申报）税前扣除及纳税调整明细表'!A1"/>
    <hyperlink ref="J7" location="A105090资产损失税前扣除及纳税调整明细表!A1" display="A105090资产损失税前扣除及纳税调整明细表!A1"/>
  </hyperlinks>
  <printOptions horizontalCentered="1"/>
  <pageMargins left="0.78740157480314998" right="0.35433070866141703" top="0.511811023622047" bottom="0.11811023622047198" header="0.511811023622047" footer="0.511811023622047"/>
  <pageSetup paperSize="9" orientation="landscape" r:id="rId1"/>
  <headerFooter alignWithMargins="0"/>
</worksheet>
</file>

<file path=xl/worksheets/sheet4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63">
    <tabColor rgb="FFFFFF00"/>
  </sheetPr>
  <dimension ref="A1:K32"/>
  <sheetViews>
    <sheetView workbookViewId="0">
      <selection activeCell="I14" sqref="I14"/>
    </sheetView>
  </sheetViews>
  <sheetFormatPr defaultRowHeight="15.6"/>
  <cols>
    <col min="1" max="1" width="5.19921875" style="1558" customWidth="1"/>
    <col min="2" max="2" width="27.09765625" style="1558" customWidth="1"/>
    <col min="3" max="9" width="11.5" style="1558" customWidth="1"/>
    <col min="10" max="10" width="14.5" style="1558" customWidth="1"/>
    <col min="11" max="11" width="15.19921875" style="1558" customWidth="1"/>
    <col min="12" max="256" width="9" style="1558"/>
    <col min="257" max="257" width="5.19921875" style="1558" customWidth="1"/>
    <col min="258" max="258" width="34.69921875" style="1558" customWidth="1"/>
    <col min="259" max="259" width="8.69921875" style="1558" customWidth="1"/>
    <col min="260" max="260" width="9" style="1558"/>
    <col min="261" max="261" width="9.8984375" style="1558" customWidth="1"/>
    <col min="262" max="263" width="8.19921875" style="1558" customWidth="1"/>
    <col min="264" max="264" width="9.8984375" style="1558" customWidth="1"/>
    <col min="265" max="265" width="7.5" style="1558" customWidth="1"/>
    <col min="266" max="266" width="14.5" style="1558" customWidth="1"/>
    <col min="267" max="267" width="15.19921875" style="1558" customWidth="1"/>
    <col min="268" max="512" width="9" style="1558"/>
    <col min="513" max="513" width="5.19921875" style="1558" customWidth="1"/>
    <col min="514" max="514" width="34.69921875" style="1558" customWidth="1"/>
    <col min="515" max="515" width="8.69921875" style="1558" customWidth="1"/>
    <col min="516" max="516" width="9" style="1558"/>
    <col min="517" max="517" width="9.8984375" style="1558" customWidth="1"/>
    <col min="518" max="519" width="8.19921875" style="1558" customWidth="1"/>
    <col min="520" max="520" width="9.8984375" style="1558" customWidth="1"/>
    <col min="521" max="521" width="7.5" style="1558" customWidth="1"/>
    <col min="522" max="522" width="14.5" style="1558" customWidth="1"/>
    <col min="523" max="523" width="15.19921875" style="1558" customWidth="1"/>
    <col min="524" max="768" width="9" style="1558"/>
    <col min="769" max="769" width="5.19921875" style="1558" customWidth="1"/>
    <col min="770" max="770" width="34.69921875" style="1558" customWidth="1"/>
    <col min="771" max="771" width="8.69921875" style="1558" customWidth="1"/>
    <col min="772" max="772" width="9" style="1558"/>
    <col min="773" max="773" width="9.8984375" style="1558" customWidth="1"/>
    <col min="774" max="775" width="8.19921875" style="1558" customWidth="1"/>
    <col min="776" max="776" width="9.8984375" style="1558" customWidth="1"/>
    <col min="777" max="777" width="7.5" style="1558" customWidth="1"/>
    <col min="778" max="778" width="14.5" style="1558" customWidth="1"/>
    <col min="779" max="779" width="15.19921875" style="1558" customWidth="1"/>
    <col min="780" max="1024" width="9" style="1558"/>
    <col min="1025" max="1025" width="5.19921875" style="1558" customWidth="1"/>
    <col min="1026" max="1026" width="34.69921875" style="1558" customWidth="1"/>
    <col min="1027" max="1027" width="8.69921875" style="1558" customWidth="1"/>
    <col min="1028" max="1028" width="9" style="1558"/>
    <col min="1029" max="1029" width="9.8984375" style="1558" customWidth="1"/>
    <col min="1030" max="1031" width="8.19921875" style="1558" customWidth="1"/>
    <col min="1032" max="1032" width="9.8984375" style="1558" customWidth="1"/>
    <col min="1033" max="1033" width="7.5" style="1558" customWidth="1"/>
    <col min="1034" max="1034" width="14.5" style="1558" customWidth="1"/>
    <col min="1035" max="1035" width="15.19921875" style="1558" customWidth="1"/>
    <col min="1036" max="1280" width="9" style="1558"/>
    <col min="1281" max="1281" width="5.19921875" style="1558" customWidth="1"/>
    <col min="1282" max="1282" width="34.69921875" style="1558" customWidth="1"/>
    <col min="1283" max="1283" width="8.69921875" style="1558" customWidth="1"/>
    <col min="1284" max="1284" width="9" style="1558"/>
    <col min="1285" max="1285" width="9.8984375" style="1558" customWidth="1"/>
    <col min="1286" max="1287" width="8.19921875" style="1558" customWidth="1"/>
    <col min="1288" max="1288" width="9.8984375" style="1558" customWidth="1"/>
    <col min="1289" max="1289" width="7.5" style="1558" customWidth="1"/>
    <col min="1290" max="1290" width="14.5" style="1558" customWidth="1"/>
    <col min="1291" max="1291" width="15.19921875" style="1558" customWidth="1"/>
    <col min="1292" max="1536" width="9" style="1558"/>
    <col min="1537" max="1537" width="5.19921875" style="1558" customWidth="1"/>
    <col min="1538" max="1538" width="34.69921875" style="1558" customWidth="1"/>
    <col min="1539" max="1539" width="8.69921875" style="1558" customWidth="1"/>
    <col min="1540" max="1540" width="9" style="1558"/>
    <col min="1541" max="1541" width="9.8984375" style="1558" customWidth="1"/>
    <col min="1542" max="1543" width="8.19921875" style="1558" customWidth="1"/>
    <col min="1544" max="1544" width="9.8984375" style="1558" customWidth="1"/>
    <col min="1545" max="1545" width="7.5" style="1558" customWidth="1"/>
    <col min="1546" max="1546" width="14.5" style="1558" customWidth="1"/>
    <col min="1547" max="1547" width="15.19921875" style="1558" customWidth="1"/>
    <col min="1548" max="1792" width="9" style="1558"/>
    <col min="1793" max="1793" width="5.19921875" style="1558" customWidth="1"/>
    <col min="1794" max="1794" width="34.69921875" style="1558" customWidth="1"/>
    <col min="1795" max="1795" width="8.69921875" style="1558" customWidth="1"/>
    <col min="1796" max="1796" width="9" style="1558"/>
    <col min="1797" max="1797" width="9.8984375" style="1558" customWidth="1"/>
    <col min="1798" max="1799" width="8.19921875" style="1558" customWidth="1"/>
    <col min="1800" max="1800" width="9.8984375" style="1558" customWidth="1"/>
    <col min="1801" max="1801" width="7.5" style="1558" customWidth="1"/>
    <col min="1802" max="1802" width="14.5" style="1558" customWidth="1"/>
    <col min="1803" max="1803" width="15.19921875" style="1558" customWidth="1"/>
    <col min="1804" max="2048" width="9" style="1558"/>
    <col min="2049" max="2049" width="5.19921875" style="1558" customWidth="1"/>
    <col min="2050" max="2050" width="34.69921875" style="1558" customWidth="1"/>
    <col min="2051" max="2051" width="8.69921875" style="1558" customWidth="1"/>
    <col min="2052" max="2052" width="9" style="1558"/>
    <col min="2053" max="2053" width="9.8984375" style="1558" customWidth="1"/>
    <col min="2054" max="2055" width="8.19921875" style="1558" customWidth="1"/>
    <col min="2056" max="2056" width="9.8984375" style="1558" customWidth="1"/>
    <col min="2057" max="2057" width="7.5" style="1558" customWidth="1"/>
    <col min="2058" max="2058" width="14.5" style="1558" customWidth="1"/>
    <col min="2059" max="2059" width="15.19921875" style="1558" customWidth="1"/>
    <col min="2060" max="2304" width="9" style="1558"/>
    <col min="2305" max="2305" width="5.19921875" style="1558" customWidth="1"/>
    <col min="2306" max="2306" width="34.69921875" style="1558" customWidth="1"/>
    <col min="2307" max="2307" width="8.69921875" style="1558" customWidth="1"/>
    <col min="2308" max="2308" width="9" style="1558"/>
    <col min="2309" max="2309" width="9.8984375" style="1558" customWidth="1"/>
    <col min="2310" max="2311" width="8.19921875" style="1558" customWidth="1"/>
    <col min="2312" max="2312" width="9.8984375" style="1558" customWidth="1"/>
    <col min="2313" max="2313" width="7.5" style="1558" customWidth="1"/>
    <col min="2314" max="2314" width="14.5" style="1558" customWidth="1"/>
    <col min="2315" max="2315" width="15.19921875" style="1558" customWidth="1"/>
    <col min="2316" max="2560" width="9" style="1558"/>
    <col min="2561" max="2561" width="5.19921875" style="1558" customWidth="1"/>
    <col min="2562" max="2562" width="34.69921875" style="1558" customWidth="1"/>
    <col min="2563" max="2563" width="8.69921875" style="1558" customWidth="1"/>
    <col min="2564" max="2564" width="9" style="1558"/>
    <col min="2565" max="2565" width="9.8984375" style="1558" customWidth="1"/>
    <col min="2566" max="2567" width="8.19921875" style="1558" customWidth="1"/>
    <col min="2568" max="2568" width="9.8984375" style="1558" customWidth="1"/>
    <col min="2569" max="2569" width="7.5" style="1558" customWidth="1"/>
    <col min="2570" max="2570" width="14.5" style="1558" customWidth="1"/>
    <col min="2571" max="2571" width="15.19921875" style="1558" customWidth="1"/>
    <col min="2572" max="2816" width="9" style="1558"/>
    <col min="2817" max="2817" width="5.19921875" style="1558" customWidth="1"/>
    <col min="2818" max="2818" width="34.69921875" style="1558" customWidth="1"/>
    <col min="2819" max="2819" width="8.69921875" style="1558" customWidth="1"/>
    <col min="2820" max="2820" width="9" style="1558"/>
    <col min="2821" max="2821" width="9.8984375" style="1558" customWidth="1"/>
    <col min="2822" max="2823" width="8.19921875" style="1558" customWidth="1"/>
    <col min="2824" max="2824" width="9.8984375" style="1558" customWidth="1"/>
    <col min="2825" max="2825" width="7.5" style="1558" customWidth="1"/>
    <col min="2826" max="2826" width="14.5" style="1558" customWidth="1"/>
    <col min="2827" max="2827" width="15.19921875" style="1558" customWidth="1"/>
    <col min="2828" max="3072" width="9" style="1558"/>
    <col min="3073" max="3073" width="5.19921875" style="1558" customWidth="1"/>
    <col min="3074" max="3074" width="34.69921875" style="1558" customWidth="1"/>
    <col min="3075" max="3075" width="8.69921875" style="1558" customWidth="1"/>
    <col min="3076" max="3076" width="9" style="1558"/>
    <col min="3077" max="3077" width="9.8984375" style="1558" customWidth="1"/>
    <col min="3078" max="3079" width="8.19921875" style="1558" customWidth="1"/>
    <col min="3080" max="3080" width="9.8984375" style="1558" customWidth="1"/>
    <col min="3081" max="3081" width="7.5" style="1558" customWidth="1"/>
    <col min="3082" max="3082" width="14.5" style="1558" customWidth="1"/>
    <col min="3083" max="3083" width="15.19921875" style="1558" customWidth="1"/>
    <col min="3084" max="3328" width="9" style="1558"/>
    <col min="3329" max="3329" width="5.19921875" style="1558" customWidth="1"/>
    <col min="3330" max="3330" width="34.69921875" style="1558" customWidth="1"/>
    <col min="3331" max="3331" width="8.69921875" style="1558" customWidth="1"/>
    <col min="3332" max="3332" width="9" style="1558"/>
    <col min="3333" max="3333" width="9.8984375" style="1558" customWidth="1"/>
    <col min="3334" max="3335" width="8.19921875" style="1558" customWidth="1"/>
    <col min="3336" max="3336" width="9.8984375" style="1558" customWidth="1"/>
    <col min="3337" max="3337" width="7.5" style="1558" customWidth="1"/>
    <col min="3338" max="3338" width="14.5" style="1558" customWidth="1"/>
    <col min="3339" max="3339" width="15.19921875" style="1558" customWidth="1"/>
    <col min="3340" max="3584" width="9" style="1558"/>
    <col min="3585" max="3585" width="5.19921875" style="1558" customWidth="1"/>
    <col min="3586" max="3586" width="34.69921875" style="1558" customWidth="1"/>
    <col min="3587" max="3587" width="8.69921875" style="1558" customWidth="1"/>
    <col min="3588" max="3588" width="9" style="1558"/>
    <col min="3589" max="3589" width="9.8984375" style="1558" customWidth="1"/>
    <col min="3590" max="3591" width="8.19921875" style="1558" customWidth="1"/>
    <col min="3592" max="3592" width="9.8984375" style="1558" customWidth="1"/>
    <col min="3593" max="3593" width="7.5" style="1558" customWidth="1"/>
    <col min="3594" max="3594" width="14.5" style="1558" customWidth="1"/>
    <col min="3595" max="3595" width="15.19921875" style="1558" customWidth="1"/>
    <col min="3596" max="3840" width="9" style="1558"/>
    <col min="3841" max="3841" width="5.19921875" style="1558" customWidth="1"/>
    <col min="3842" max="3842" width="34.69921875" style="1558" customWidth="1"/>
    <col min="3843" max="3843" width="8.69921875" style="1558" customWidth="1"/>
    <col min="3844" max="3844" width="9" style="1558"/>
    <col min="3845" max="3845" width="9.8984375" style="1558" customWidth="1"/>
    <col min="3846" max="3847" width="8.19921875" style="1558" customWidth="1"/>
    <col min="3848" max="3848" width="9.8984375" style="1558" customWidth="1"/>
    <col min="3849" max="3849" width="7.5" style="1558" customWidth="1"/>
    <col min="3850" max="3850" width="14.5" style="1558" customWidth="1"/>
    <col min="3851" max="3851" width="15.19921875" style="1558" customWidth="1"/>
    <col min="3852" max="4096" width="9" style="1558"/>
    <col min="4097" max="4097" width="5.19921875" style="1558" customWidth="1"/>
    <col min="4098" max="4098" width="34.69921875" style="1558" customWidth="1"/>
    <col min="4099" max="4099" width="8.69921875" style="1558" customWidth="1"/>
    <col min="4100" max="4100" width="9" style="1558"/>
    <col min="4101" max="4101" width="9.8984375" style="1558" customWidth="1"/>
    <col min="4102" max="4103" width="8.19921875" style="1558" customWidth="1"/>
    <col min="4104" max="4104" width="9.8984375" style="1558" customWidth="1"/>
    <col min="4105" max="4105" width="7.5" style="1558" customWidth="1"/>
    <col min="4106" max="4106" width="14.5" style="1558" customWidth="1"/>
    <col min="4107" max="4107" width="15.19921875" style="1558" customWidth="1"/>
    <col min="4108" max="4352" width="9" style="1558"/>
    <col min="4353" max="4353" width="5.19921875" style="1558" customWidth="1"/>
    <col min="4354" max="4354" width="34.69921875" style="1558" customWidth="1"/>
    <col min="4355" max="4355" width="8.69921875" style="1558" customWidth="1"/>
    <col min="4356" max="4356" width="9" style="1558"/>
    <col min="4357" max="4357" width="9.8984375" style="1558" customWidth="1"/>
    <col min="4358" max="4359" width="8.19921875" style="1558" customWidth="1"/>
    <col min="4360" max="4360" width="9.8984375" style="1558" customWidth="1"/>
    <col min="4361" max="4361" width="7.5" style="1558" customWidth="1"/>
    <col min="4362" max="4362" width="14.5" style="1558" customWidth="1"/>
    <col min="4363" max="4363" width="15.19921875" style="1558" customWidth="1"/>
    <col min="4364" max="4608" width="9" style="1558"/>
    <col min="4609" max="4609" width="5.19921875" style="1558" customWidth="1"/>
    <col min="4610" max="4610" width="34.69921875" style="1558" customWidth="1"/>
    <col min="4611" max="4611" width="8.69921875" style="1558" customWidth="1"/>
    <col min="4612" max="4612" width="9" style="1558"/>
    <col min="4613" max="4613" width="9.8984375" style="1558" customWidth="1"/>
    <col min="4614" max="4615" width="8.19921875" style="1558" customWidth="1"/>
    <col min="4616" max="4616" width="9.8984375" style="1558" customWidth="1"/>
    <col min="4617" max="4617" width="7.5" style="1558" customWidth="1"/>
    <col min="4618" max="4618" width="14.5" style="1558" customWidth="1"/>
    <col min="4619" max="4619" width="15.19921875" style="1558" customWidth="1"/>
    <col min="4620" max="4864" width="9" style="1558"/>
    <col min="4865" max="4865" width="5.19921875" style="1558" customWidth="1"/>
    <col min="4866" max="4866" width="34.69921875" style="1558" customWidth="1"/>
    <col min="4867" max="4867" width="8.69921875" style="1558" customWidth="1"/>
    <col min="4868" max="4868" width="9" style="1558"/>
    <col min="4869" max="4869" width="9.8984375" style="1558" customWidth="1"/>
    <col min="4870" max="4871" width="8.19921875" style="1558" customWidth="1"/>
    <col min="4872" max="4872" width="9.8984375" style="1558" customWidth="1"/>
    <col min="4873" max="4873" width="7.5" style="1558" customWidth="1"/>
    <col min="4874" max="4874" width="14.5" style="1558" customWidth="1"/>
    <col min="4875" max="4875" width="15.19921875" style="1558" customWidth="1"/>
    <col min="4876" max="5120" width="9" style="1558"/>
    <col min="5121" max="5121" width="5.19921875" style="1558" customWidth="1"/>
    <col min="5122" max="5122" width="34.69921875" style="1558" customWidth="1"/>
    <col min="5123" max="5123" width="8.69921875" style="1558" customWidth="1"/>
    <col min="5124" max="5124" width="9" style="1558"/>
    <col min="5125" max="5125" width="9.8984375" style="1558" customWidth="1"/>
    <col min="5126" max="5127" width="8.19921875" style="1558" customWidth="1"/>
    <col min="5128" max="5128" width="9.8984375" style="1558" customWidth="1"/>
    <col min="5129" max="5129" width="7.5" style="1558" customWidth="1"/>
    <col min="5130" max="5130" width="14.5" style="1558" customWidth="1"/>
    <col min="5131" max="5131" width="15.19921875" style="1558" customWidth="1"/>
    <col min="5132" max="5376" width="9" style="1558"/>
    <col min="5377" max="5377" width="5.19921875" style="1558" customWidth="1"/>
    <col min="5378" max="5378" width="34.69921875" style="1558" customWidth="1"/>
    <col min="5379" max="5379" width="8.69921875" style="1558" customWidth="1"/>
    <col min="5380" max="5380" width="9" style="1558"/>
    <col min="5381" max="5381" width="9.8984375" style="1558" customWidth="1"/>
    <col min="5382" max="5383" width="8.19921875" style="1558" customWidth="1"/>
    <col min="5384" max="5384" width="9.8984375" style="1558" customWidth="1"/>
    <col min="5385" max="5385" width="7.5" style="1558" customWidth="1"/>
    <col min="5386" max="5386" width="14.5" style="1558" customWidth="1"/>
    <col min="5387" max="5387" width="15.19921875" style="1558" customWidth="1"/>
    <col min="5388" max="5632" width="9" style="1558"/>
    <col min="5633" max="5633" width="5.19921875" style="1558" customWidth="1"/>
    <col min="5634" max="5634" width="34.69921875" style="1558" customWidth="1"/>
    <col min="5635" max="5635" width="8.69921875" style="1558" customWidth="1"/>
    <col min="5636" max="5636" width="9" style="1558"/>
    <col min="5637" max="5637" width="9.8984375" style="1558" customWidth="1"/>
    <col min="5638" max="5639" width="8.19921875" style="1558" customWidth="1"/>
    <col min="5640" max="5640" width="9.8984375" style="1558" customWidth="1"/>
    <col min="5641" max="5641" width="7.5" style="1558" customWidth="1"/>
    <col min="5642" max="5642" width="14.5" style="1558" customWidth="1"/>
    <col min="5643" max="5643" width="15.19921875" style="1558" customWidth="1"/>
    <col min="5644" max="5888" width="9" style="1558"/>
    <col min="5889" max="5889" width="5.19921875" style="1558" customWidth="1"/>
    <col min="5890" max="5890" width="34.69921875" style="1558" customWidth="1"/>
    <col min="5891" max="5891" width="8.69921875" style="1558" customWidth="1"/>
    <col min="5892" max="5892" width="9" style="1558"/>
    <col min="5893" max="5893" width="9.8984375" style="1558" customWidth="1"/>
    <col min="5894" max="5895" width="8.19921875" style="1558" customWidth="1"/>
    <col min="5896" max="5896" width="9.8984375" style="1558" customWidth="1"/>
    <col min="5897" max="5897" width="7.5" style="1558" customWidth="1"/>
    <col min="5898" max="5898" width="14.5" style="1558" customWidth="1"/>
    <col min="5899" max="5899" width="15.19921875" style="1558" customWidth="1"/>
    <col min="5900" max="6144" width="9" style="1558"/>
    <col min="6145" max="6145" width="5.19921875" style="1558" customWidth="1"/>
    <col min="6146" max="6146" width="34.69921875" style="1558" customWidth="1"/>
    <col min="6147" max="6147" width="8.69921875" style="1558" customWidth="1"/>
    <col min="6148" max="6148" width="9" style="1558"/>
    <col min="6149" max="6149" width="9.8984375" style="1558" customWidth="1"/>
    <col min="6150" max="6151" width="8.19921875" style="1558" customWidth="1"/>
    <col min="6152" max="6152" width="9.8984375" style="1558" customWidth="1"/>
    <col min="6153" max="6153" width="7.5" style="1558" customWidth="1"/>
    <col min="6154" max="6154" width="14.5" style="1558" customWidth="1"/>
    <col min="6155" max="6155" width="15.19921875" style="1558" customWidth="1"/>
    <col min="6156" max="6400" width="9" style="1558"/>
    <col min="6401" max="6401" width="5.19921875" style="1558" customWidth="1"/>
    <col min="6402" max="6402" width="34.69921875" style="1558" customWidth="1"/>
    <col min="6403" max="6403" width="8.69921875" style="1558" customWidth="1"/>
    <col min="6404" max="6404" width="9" style="1558"/>
    <col min="6405" max="6405" width="9.8984375" style="1558" customWidth="1"/>
    <col min="6406" max="6407" width="8.19921875" style="1558" customWidth="1"/>
    <col min="6408" max="6408" width="9.8984375" style="1558" customWidth="1"/>
    <col min="6409" max="6409" width="7.5" style="1558" customWidth="1"/>
    <col min="6410" max="6410" width="14.5" style="1558" customWidth="1"/>
    <col min="6411" max="6411" width="15.19921875" style="1558" customWidth="1"/>
    <col min="6412" max="6656" width="9" style="1558"/>
    <col min="6657" max="6657" width="5.19921875" style="1558" customWidth="1"/>
    <col min="6658" max="6658" width="34.69921875" style="1558" customWidth="1"/>
    <col min="6659" max="6659" width="8.69921875" style="1558" customWidth="1"/>
    <col min="6660" max="6660" width="9" style="1558"/>
    <col min="6661" max="6661" width="9.8984375" style="1558" customWidth="1"/>
    <col min="6662" max="6663" width="8.19921875" style="1558" customWidth="1"/>
    <col min="6664" max="6664" width="9.8984375" style="1558" customWidth="1"/>
    <col min="6665" max="6665" width="7.5" style="1558" customWidth="1"/>
    <col min="6666" max="6666" width="14.5" style="1558" customWidth="1"/>
    <col min="6667" max="6667" width="15.19921875" style="1558" customWidth="1"/>
    <col min="6668" max="6912" width="9" style="1558"/>
    <col min="6913" max="6913" width="5.19921875" style="1558" customWidth="1"/>
    <col min="6914" max="6914" width="34.69921875" style="1558" customWidth="1"/>
    <col min="6915" max="6915" width="8.69921875" style="1558" customWidth="1"/>
    <col min="6916" max="6916" width="9" style="1558"/>
    <col min="6917" max="6917" width="9.8984375" style="1558" customWidth="1"/>
    <col min="6918" max="6919" width="8.19921875" style="1558" customWidth="1"/>
    <col min="6920" max="6920" width="9.8984375" style="1558" customWidth="1"/>
    <col min="6921" max="6921" width="7.5" style="1558" customWidth="1"/>
    <col min="6922" max="6922" width="14.5" style="1558" customWidth="1"/>
    <col min="6923" max="6923" width="15.19921875" style="1558" customWidth="1"/>
    <col min="6924" max="7168" width="9" style="1558"/>
    <col min="7169" max="7169" width="5.19921875" style="1558" customWidth="1"/>
    <col min="7170" max="7170" width="34.69921875" style="1558" customWidth="1"/>
    <col min="7171" max="7171" width="8.69921875" style="1558" customWidth="1"/>
    <col min="7172" max="7172" width="9" style="1558"/>
    <col min="7173" max="7173" width="9.8984375" style="1558" customWidth="1"/>
    <col min="7174" max="7175" width="8.19921875" style="1558" customWidth="1"/>
    <col min="7176" max="7176" width="9.8984375" style="1558" customWidth="1"/>
    <col min="7177" max="7177" width="7.5" style="1558" customWidth="1"/>
    <col min="7178" max="7178" width="14.5" style="1558" customWidth="1"/>
    <col min="7179" max="7179" width="15.19921875" style="1558" customWidth="1"/>
    <col min="7180" max="7424" width="9" style="1558"/>
    <col min="7425" max="7425" width="5.19921875" style="1558" customWidth="1"/>
    <col min="7426" max="7426" width="34.69921875" style="1558" customWidth="1"/>
    <col min="7427" max="7427" width="8.69921875" style="1558" customWidth="1"/>
    <col min="7428" max="7428" width="9" style="1558"/>
    <col min="7429" max="7429" width="9.8984375" style="1558" customWidth="1"/>
    <col min="7430" max="7431" width="8.19921875" style="1558" customWidth="1"/>
    <col min="7432" max="7432" width="9.8984375" style="1558" customWidth="1"/>
    <col min="7433" max="7433" width="7.5" style="1558" customWidth="1"/>
    <col min="7434" max="7434" width="14.5" style="1558" customWidth="1"/>
    <col min="7435" max="7435" width="15.19921875" style="1558" customWidth="1"/>
    <col min="7436" max="7680" width="9" style="1558"/>
    <col min="7681" max="7681" width="5.19921875" style="1558" customWidth="1"/>
    <col min="7682" max="7682" width="34.69921875" style="1558" customWidth="1"/>
    <col min="7683" max="7683" width="8.69921875" style="1558" customWidth="1"/>
    <col min="7684" max="7684" width="9" style="1558"/>
    <col min="7685" max="7685" width="9.8984375" style="1558" customWidth="1"/>
    <col min="7686" max="7687" width="8.19921875" style="1558" customWidth="1"/>
    <col min="7688" max="7688" width="9.8984375" style="1558" customWidth="1"/>
    <col min="7689" max="7689" width="7.5" style="1558" customWidth="1"/>
    <col min="7690" max="7690" width="14.5" style="1558" customWidth="1"/>
    <col min="7691" max="7691" width="15.19921875" style="1558" customWidth="1"/>
    <col min="7692" max="7936" width="9" style="1558"/>
    <col min="7937" max="7937" width="5.19921875" style="1558" customWidth="1"/>
    <col min="7938" max="7938" width="34.69921875" style="1558" customWidth="1"/>
    <col min="7939" max="7939" width="8.69921875" style="1558" customWidth="1"/>
    <col min="7940" max="7940" width="9" style="1558"/>
    <col min="7941" max="7941" width="9.8984375" style="1558" customWidth="1"/>
    <col min="7942" max="7943" width="8.19921875" style="1558" customWidth="1"/>
    <col min="7944" max="7944" width="9.8984375" style="1558" customWidth="1"/>
    <col min="7945" max="7945" width="7.5" style="1558" customWidth="1"/>
    <col min="7946" max="7946" width="14.5" style="1558" customWidth="1"/>
    <col min="7947" max="7947" width="15.19921875" style="1558" customWidth="1"/>
    <col min="7948" max="8192" width="9" style="1558"/>
    <col min="8193" max="8193" width="5.19921875" style="1558" customWidth="1"/>
    <col min="8194" max="8194" width="34.69921875" style="1558" customWidth="1"/>
    <col min="8195" max="8195" width="8.69921875" style="1558" customWidth="1"/>
    <col min="8196" max="8196" width="9" style="1558"/>
    <col min="8197" max="8197" width="9.8984375" style="1558" customWidth="1"/>
    <col min="8198" max="8199" width="8.19921875" style="1558" customWidth="1"/>
    <col min="8200" max="8200" width="9.8984375" style="1558" customWidth="1"/>
    <col min="8201" max="8201" width="7.5" style="1558" customWidth="1"/>
    <col min="8202" max="8202" width="14.5" style="1558" customWidth="1"/>
    <col min="8203" max="8203" width="15.19921875" style="1558" customWidth="1"/>
    <col min="8204" max="8448" width="9" style="1558"/>
    <col min="8449" max="8449" width="5.19921875" style="1558" customWidth="1"/>
    <col min="8450" max="8450" width="34.69921875" style="1558" customWidth="1"/>
    <col min="8451" max="8451" width="8.69921875" style="1558" customWidth="1"/>
    <col min="8452" max="8452" width="9" style="1558"/>
    <col min="8453" max="8453" width="9.8984375" style="1558" customWidth="1"/>
    <col min="8454" max="8455" width="8.19921875" style="1558" customWidth="1"/>
    <col min="8456" max="8456" width="9.8984375" style="1558" customWidth="1"/>
    <col min="8457" max="8457" width="7.5" style="1558" customWidth="1"/>
    <col min="8458" max="8458" width="14.5" style="1558" customWidth="1"/>
    <col min="8459" max="8459" width="15.19921875" style="1558" customWidth="1"/>
    <col min="8460" max="8704" width="9" style="1558"/>
    <col min="8705" max="8705" width="5.19921875" style="1558" customWidth="1"/>
    <col min="8706" max="8706" width="34.69921875" style="1558" customWidth="1"/>
    <col min="8707" max="8707" width="8.69921875" style="1558" customWidth="1"/>
    <col min="8708" max="8708" width="9" style="1558"/>
    <col min="8709" max="8709" width="9.8984375" style="1558" customWidth="1"/>
    <col min="8710" max="8711" width="8.19921875" style="1558" customWidth="1"/>
    <col min="8712" max="8712" width="9.8984375" style="1558" customWidth="1"/>
    <col min="8713" max="8713" width="7.5" style="1558" customWidth="1"/>
    <col min="8714" max="8714" width="14.5" style="1558" customWidth="1"/>
    <col min="8715" max="8715" width="15.19921875" style="1558" customWidth="1"/>
    <col min="8716" max="8960" width="9" style="1558"/>
    <col min="8961" max="8961" width="5.19921875" style="1558" customWidth="1"/>
    <col min="8962" max="8962" width="34.69921875" style="1558" customWidth="1"/>
    <col min="8963" max="8963" width="8.69921875" style="1558" customWidth="1"/>
    <col min="8964" max="8964" width="9" style="1558"/>
    <col min="8965" max="8965" width="9.8984375" style="1558" customWidth="1"/>
    <col min="8966" max="8967" width="8.19921875" style="1558" customWidth="1"/>
    <col min="8968" max="8968" width="9.8984375" style="1558" customWidth="1"/>
    <col min="8969" max="8969" width="7.5" style="1558" customWidth="1"/>
    <col min="8970" max="8970" width="14.5" style="1558" customWidth="1"/>
    <col min="8971" max="8971" width="15.19921875" style="1558" customWidth="1"/>
    <col min="8972" max="9216" width="9" style="1558"/>
    <col min="9217" max="9217" width="5.19921875" style="1558" customWidth="1"/>
    <col min="9218" max="9218" width="34.69921875" style="1558" customWidth="1"/>
    <col min="9219" max="9219" width="8.69921875" style="1558" customWidth="1"/>
    <col min="9220" max="9220" width="9" style="1558"/>
    <col min="9221" max="9221" width="9.8984375" style="1558" customWidth="1"/>
    <col min="9222" max="9223" width="8.19921875" style="1558" customWidth="1"/>
    <col min="9224" max="9224" width="9.8984375" style="1558" customWidth="1"/>
    <col min="9225" max="9225" width="7.5" style="1558" customWidth="1"/>
    <col min="9226" max="9226" width="14.5" style="1558" customWidth="1"/>
    <col min="9227" max="9227" width="15.19921875" style="1558" customWidth="1"/>
    <col min="9228" max="9472" width="9" style="1558"/>
    <col min="9473" max="9473" width="5.19921875" style="1558" customWidth="1"/>
    <col min="9474" max="9474" width="34.69921875" style="1558" customWidth="1"/>
    <col min="9475" max="9475" width="8.69921875" style="1558" customWidth="1"/>
    <col min="9476" max="9476" width="9" style="1558"/>
    <col min="9477" max="9477" width="9.8984375" style="1558" customWidth="1"/>
    <col min="9478" max="9479" width="8.19921875" style="1558" customWidth="1"/>
    <col min="9480" max="9480" width="9.8984375" style="1558" customWidth="1"/>
    <col min="9481" max="9481" width="7.5" style="1558" customWidth="1"/>
    <col min="9482" max="9482" width="14.5" style="1558" customWidth="1"/>
    <col min="9483" max="9483" width="15.19921875" style="1558" customWidth="1"/>
    <col min="9484" max="9728" width="9" style="1558"/>
    <col min="9729" max="9729" width="5.19921875" style="1558" customWidth="1"/>
    <col min="9730" max="9730" width="34.69921875" style="1558" customWidth="1"/>
    <col min="9731" max="9731" width="8.69921875" style="1558" customWidth="1"/>
    <col min="9732" max="9732" width="9" style="1558"/>
    <col min="9733" max="9733" width="9.8984375" style="1558" customWidth="1"/>
    <col min="9734" max="9735" width="8.19921875" style="1558" customWidth="1"/>
    <col min="9736" max="9736" width="9.8984375" style="1558" customWidth="1"/>
    <col min="9737" max="9737" width="7.5" style="1558" customWidth="1"/>
    <col min="9738" max="9738" width="14.5" style="1558" customWidth="1"/>
    <col min="9739" max="9739" width="15.19921875" style="1558" customWidth="1"/>
    <col min="9740" max="9984" width="9" style="1558"/>
    <col min="9985" max="9985" width="5.19921875" style="1558" customWidth="1"/>
    <col min="9986" max="9986" width="34.69921875" style="1558" customWidth="1"/>
    <col min="9987" max="9987" width="8.69921875" style="1558" customWidth="1"/>
    <col min="9988" max="9988" width="9" style="1558"/>
    <col min="9989" max="9989" width="9.8984375" style="1558" customWidth="1"/>
    <col min="9990" max="9991" width="8.19921875" style="1558" customWidth="1"/>
    <col min="9992" max="9992" width="9.8984375" style="1558" customWidth="1"/>
    <col min="9993" max="9993" width="7.5" style="1558" customWidth="1"/>
    <col min="9994" max="9994" width="14.5" style="1558" customWidth="1"/>
    <col min="9995" max="9995" width="15.19921875" style="1558" customWidth="1"/>
    <col min="9996" max="10240" width="9" style="1558"/>
    <col min="10241" max="10241" width="5.19921875" style="1558" customWidth="1"/>
    <col min="10242" max="10242" width="34.69921875" style="1558" customWidth="1"/>
    <col min="10243" max="10243" width="8.69921875" style="1558" customWidth="1"/>
    <col min="10244" max="10244" width="9" style="1558"/>
    <col min="10245" max="10245" width="9.8984375" style="1558" customWidth="1"/>
    <col min="10246" max="10247" width="8.19921875" style="1558" customWidth="1"/>
    <col min="10248" max="10248" width="9.8984375" style="1558" customWidth="1"/>
    <col min="10249" max="10249" width="7.5" style="1558" customWidth="1"/>
    <col min="10250" max="10250" width="14.5" style="1558" customWidth="1"/>
    <col min="10251" max="10251" width="15.19921875" style="1558" customWidth="1"/>
    <col min="10252" max="10496" width="9" style="1558"/>
    <col min="10497" max="10497" width="5.19921875" style="1558" customWidth="1"/>
    <col min="10498" max="10498" width="34.69921875" style="1558" customWidth="1"/>
    <col min="10499" max="10499" width="8.69921875" style="1558" customWidth="1"/>
    <col min="10500" max="10500" width="9" style="1558"/>
    <col min="10501" max="10501" width="9.8984375" style="1558" customWidth="1"/>
    <col min="10502" max="10503" width="8.19921875" style="1558" customWidth="1"/>
    <col min="10504" max="10504" width="9.8984375" style="1558" customWidth="1"/>
    <col min="10505" max="10505" width="7.5" style="1558" customWidth="1"/>
    <col min="10506" max="10506" width="14.5" style="1558" customWidth="1"/>
    <col min="10507" max="10507" width="15.19921875" style="1558" customWidth="1"/>
    <col min="10508" max="10752" width="9" style="1558"/>
    <col min="10753" max="10753" width="5.19921875" style="1558" customWidth="1"/>
    <col min="10754" max="10754" width="34.69921875" style="1558" customWidth="1"/>
    <col min="10755" max="10755" width="8.69921875" style="1558" customWidth="1"/>
    <col min="10756" max="10756" width="9" style="1558"/>
    <col min="10757" max="10757" width="9.8984375" style="1558" customWidth="1"/>
    <col min="10758" max="10759" width="8.19921875" style="1558" customWidth="1"/>
    <col min="10760" max="10760" width="9.8984375" style="1558" customWidth="1"/>
    <col min="10761" max="10761" width="7.5" style="1558" customWidth="1"/>
    <col min="10762" max="10762" width="14.5" style="1558" customWidth="1"/>
    <col min="10763" max="10763" width="15.19921875" style="1558" customWidth="1"/>
    <col min="10764" max="11008" width="9" style="1558"/>
    <col min="11009" max="11009" width="5.19921875" style="1558" customWidth="1"/>
    <col min="11010" max="11010" width="34.69921875" style="1558" customWidth="1"/>
    <col min="11011" max="11011" width="8.69921875" style="1558" customWidth="1"/>
    <col min="11012" max="11012" width="9" style="1558"/>
    <col min="11013" max="11013" width="9.8984375" style="1558" customWidth="1"/>
    <col min="11014" max="11015" width="8.19921875" style="1558" customWidth="1"/>
    <col min="11016" max="11016" width="9.8984375" style="1558" customWidth="1"/>
    <col min="11017" max="11017" width="7.5" style="1558" customWidth="1"/>
    <col min="11018" max="11018" width="14.5" style="1558" customWidth="1"/>
    <col min="11019" max="11019" width="15.19921875" style="1558" customWidth="1"/>
    <col min="11020" max="11264" width="9" style="1558"/>
    <col min="11265" max="11265" width="5.19921875" style="1558" customWidth="1"/>
    <col min="11266" max="11266" width="34.69921875" style="1558" customWidth="1"/>
    <col min="11267" max="11267" width="8.69921875" style="1558" customWidth="1"/>
    <col min="11268" max="11268" width="9" style="1558"/>
    <col min="11269" max="11269" width="9.8984375" style="1558" customWidth="1"/>
    <col min="11270" max="11271" width="8.19921875" style="1558" customWidth="1"/>
    <col min="11272" max="11272" width="9.8984375" style="1558" customWidth="1"/>
    <col min="11273" max="11273" width="7.5" style="1558" customWidth="1"/>
    <col min="11274" max="11274" width="14.5" style="1558" customWidth="1"/>
    <col min="11275" max="11275" width="15.19921875" style="1558" customWidth="1"/>
    <col min="11276" max="11520" width="9" style="1558"/>
    <col min="11521" max="11521" width="5.19921875" style="1558" customWidth="1"/>
    <col min="11522" max="11522" width="34.69921875" style="1558" customWidth="1"/>
    <col min="11523" max="11523" width="8.69921875" style="1558" customWidth="1"/>
    <col min="11524" max="11524" width="9" style="1558"/>
    <col min="11525" max="11525" width="9.8984375" style="1558" customWidth="1"/>
    <col min="11526" max="11527" width="8.19921875" style="1558" customWidth="1"/>
    <col min="11528" max="11528" width="9.8984375" style="1558" customWidth="1"/>
    <col min="11529" max="11529" width="7.5" style="1558" customWidth="1"/>
    <col min="11530" max="11530" width="14.5" style="1558" customWidth="1"/>
    <col min="11531" max="11531" width="15.19921875" style="1558" customWidth="1"/>
    <col min="11532" max="11776" width="9" style="1558"/>
    <col min="11777" max="11777" width="5.19921875" style="1558" customWidth="1"/>
    <col min="11778" max="11778" width="34.69921875" style="1558" customWidth="1"/>
    <col min="11779" max="11779" width="8.69921875" style="1558" customWidth="1"/>
    <col min="11780" max="11780" width="9" style="1558"/>
    <col min="11781" max="11781" width="9.8984375" style="1558" customWidth="1"/>
    <col min="11782" max="11783" width="8.19921875" style="1558" customWidth="1"/>
    <col min="11784" max="11784" width="9.8984375" style="1558" customWidth="1"/>
    <col min="11785" max="11785" width="7.5" style="1558" customWidth="1"/>
    <col min="11786" max="11786" width="14.5" style="1558" customWidth="1"/>
    <col min="11787" max="11787" width="15.19921875" style="1558" customWidth="1"/>
    <col min="11788" max="12032" width="9" style="1558"/>
    <col min="12033" max="12033" width="5.19921875" style="1558" customWidth="1"/>
    <col min="12034" max="12034" width="34.69921875" style="1558" customWidth="1"/>
    <col min="12035" max="12035" width="8.69921875" style="1558" customWidth="1"/>
    <col min="12036" max="12036" width="9" style="1558"/>
    <col min="12037" max="12037" width="9.8984375" style="1558" customWidth="1"/>
    <col min="12038" max="12039" width="8.19921875" style="1558" customWidth="1"/>
    <col min="12040" max="12040" width="9.8984375" style="1558" customWidth="1"/>
    <col min="12041" max="12041" width="7.5" style="1558" customWidth="1"/>
    <col min="12042" max="12042" width="14.5" style="1558" customWidth="1"/>
    <col min="12043" max="12043" width="15.19921875" style="1558" customWidth="1"/>
    <col min="12044" max="12288" width="9" style="1558"/>
    <col min="12289" max="12289" width="5.19921875" style="1558" customWidth="1"/>
    <col min="12290" max="12290" width="34.69921875" style="1558" customWidth="1"/>
    <col min="12291" max="12291" width="8.69921875" style="1558" customWidth="1"/>
    <col min="12292" max="12292" width="9" style="1558"/>
    <col min="12293" max="12293" width="9.8984375" style="1558" customWidth="1"/>
    <col min="12294" max="12295" width="8.19921875" style="1558" customWidth="1"/>
    <col min="12296" max="12296" width="9.8984375" style="1558" customWidth="1"/>
    <col min="12297" max="12297" width="7.5" style="1558" customWidth="1"/>
    <col min="12298" max="12298" width="14.5" style="1558" customWidth="1"/>
    <col min="12299" max="12299" width="15.19921875" style="1558" customWidth="1"/>
    <col min="12300" max="12544" width="9" style="1558"/>
    <col min="12545" max="12545" width="5.19921875" style="1558" customWidth="1"/>
    <col min="12546" max="12546" width="34.69921875" style="1558" customWidth="1"/>
    <col min="12547" max="12547" width="8.69921875" style="1558" customWidth="1"/>
    <col min="12548" max="12548" width="9" style="1558"/>
    <col min="12549" max="12549" width="9.8984375" style="1558" customWidth="1"/>
    <col min="12550" max="12551" width="8.19921875" style="1558" customWidth="1"/>
    <col min="12552" max="12552" width="9.8984375" style="1558" customWidth="1"/>
    <col min="12553" max="12553" width="7.5" style="1558" customWidth="1"/>
    <col min="12554" max="12554" width="14.5" style="1558" customWidth="1"/>
    <col min="12555" max="12555" width="15.19921875" style="1558" customWidth="1"/>
    <col min="12556" max="12800" width="9" style="1558"/>
    <col min="12801" max="12801" width="5.19921875" style="1558" customWidth="1"/>
    <col min="12802" max="12802" width="34.69921875" style="1558" customWidth="1"/>
    <col min="12803" max="12803" width="8.69921875" style="1558" customWidth="1"/>
    <col min="12804" max="12804" width="9" style="1558"/>
    <col min="12805" max="12805" width="9.8984375" style="1558" customWidth="1"/>
    <col min="12806" max="12807" width="8.19921875" style="1558" customWidth="1"/>
    <col min="12808" max="12808" width="9.8984375" style="1558" customWidth="1"/>
    <col min="12809" max="12809" width="7.5" style="1558" customWidth="1"/>
    <col min="12810" max="12810" width="14.5" style="1558" customWidth="1"/>
    <col min="12811" max="12811" width="15.19921875" style="1558" customWidth="1"/>
    <col min="12812" max="13056" width="9" style="1558"/>
    <col min="13057" max="13057" width="5.19921875" style="1558" customWidth="1"/>
    <col min="13058" max="13058" width="34.69921875" style="1558" customWidth="1"/>
    <col min="13059" max="13059" width="8.69921875" style="1558" customWidth="1"/>
    <col min="13060" max="13060" width="9" style="1558"/>
    <col min="13061" max="13061" width="9.8984375" style="1558" customWidth="1"/>
    <col min="13062" max="13063" width="8.19921875" style="1558" customWidth="1"/>
    <col min="13064" max="13064" width="9.8984375" style="1558" customWidth="1"/>
    <col min="13065" max="13065" width="7.5" style="1558" customWidth="1"/>
    <col min="13066" max="13066" width="14.5" style="1558" customWidth="1"/>
    <col min="13067" max="13067" width="15.19921875" style="1558" customWidth="1"/>
    <col min="13068" max="13312" width="9" style="1558"/>
    <col min="13313" max="13313" width="5.19921875" style="1558" customWidth="1"/>
    <col min="13314" max="13314" width="34.69921875" style="1558" customWidth="1"/>
    <col min="13315" max="13315" width="8.69921875" style="1558" customWidth="1"/>
    <col min="13316" max="13316" width="9" style="1558"/>
    <col min="13317" max="13317" width="9.8984375" style="1558" customWidth="1"/>
    <col min="13318" max="13319" width="8.19921875" style="1558" customWidth="1"/>
    <col min="13320" max="13320" width="9.8984375" style="1558" customWidth="1"/>
    <col min="13321" max="13321" width="7.5" style="1558" customWidth="1"/>
    <col min="13322" max="13322" width="14.5" style="1558" customWidth="1"/>
    <col min="13323" max="13323" width="15.19921875" style="1558" customWidth="1"/>
    <col min="13324" max="13568" width="9" style="1558"/>
    <col min="13569" max="13569" width="5.19921875" style="1558" customWidth="1"/>
    <col min="13570" max="13570" width="34.69921875" style="1558" customWidth="1"/>
    <col min="13571" max="13571" width="8.69921875" style="1558" customWidth="1"/>
    <col min="13572" max="13572" width="9" style="1558"/>
    <col min="13573" max="13573" width="9.8984375" style="1558" customWidth="1"/>
    <col min="13574" max="13575" width="8.19921875" style="1558" customWidth="1"/>
    <col min="13576" max="13576" width="9.8984375" style="1558" customWidth="1"/>
    <col min="13577" max="13577" width="7.5" style="1558" customWidth="1"/>
    <col min="13578" max="13578" width="14.5" style="1558" customWidth="1"/>
    <col min="13579" max="13579" width="15.19921875" style="1558" customWidth="1"/>
    <col min="13580" max="13824" width="9" style="1558"/>
    <col min="13825" max="13825" width="5.19921875" style="1558" customWidth="1"/>
    <col min="13826" max="13826" width="34.69921875" style="1558" customWidth="1"/>
    <col min="13827" max="13827" width="8.69921875" style="1558" customWidth="1"/>
    <col min="13828" max="13828" width="9" style="1558"/>
    <col min="13829" max="13829" width="9.8984375" style="1558" customWidth="1"/>
    <col min="13830" max="13831" width="8.19921875" style="1558" customWidth="1"/>
    <col min="13832" max="13832" width="9.8984375" style="1558" customWidth="1"/>
    <col min="13833" max="13833" width="7.5" style="1558" customWidth="1"/>
    <col min="13834" max="13834" width="14.5" style="1558" customWidth="1"/>
    <col min="13835" max="13835" width="15.19921875" style="1558" customWidth="1"/>
    <col min="13836" max="14080" width="9" style="1558"/>
    <col min="14081" max="14081" width="5.19921875" style="1558" customWidth="1"/>
    <col min="14082" max="14082" width="34.69921875" style="1558" customWidth="1"/>
    <col min="14083" max="14083" width="8.69921875" style="1558" customWidth="1"/>
    <col min="14084" max="14084" width="9" style="1558"/>
    <col min="14085" max="14085" width="9.8984375" style="1558" customWidth="1"/>
    <col min="14086" max="14087" width="8.19921875" style="1558" customWidth="1"/>
    <col min="14088" max="14088" width="9.8984375" style="1558" customWidth="1"/>
    <col min="14089" max="14089" width="7.5" style="1558" customWidth="1"/>
    <col min="14090" max="14090" width="14.5" style="1558" customWidth="1"/>
    <col min="14091" max="14091" width="15.19921875" style="1558" customWidth="1"/>
    <col min="14092" max="14336" width="9" style="1558"/>
    <col min="14337" max="14337" width="5.19921875" style="1558" customWidth="1"/>
    <col min="14338" max="14338" width="34.69921875" style="1558" customWidth="1"/>
    <col min="14339" max="14339" width="8.69921875" style="1558" customWidth="1"/>
    <col min="14340" max="14340" width="9" style="1558"/>
    <col min="14341" max="14341" width="9.8984375" style="1558" customWidth="1"/>
    <col min="14342" max="14343" width="8.19921875" style="1558" customWidth="1"/>
    <col min="14344" max="14344" width="9.8984375" style="1558" customWidth="1"/>
    <col min="14345" max="14345" width="7.5" style="1558" customWidth="1"/>
    <col min="14346" max="14346" width="14.5" style="1558" customWidth="1"/>
    <col min="14347" max="14347" width="15.19921875" style="1558" customWidth="1"/>
    <col min="14348" max="14592" width="9" style="1558"/>
    <col min="14593" max="14593" width="5.19921875" style="1558" customWidth="1"/>
    <col min="14594" max="14594" width="34.69921875" style="1558" customWidth="1"/>
    <col min="14595" max="14595" width="8.69921875" style="1558" customWidth="1"/>
    <col min="14596" max="14596" width="9" style="1558"/>
    <col min="14597" max="14597" width="9.8984375" style="1558" customWidth="1"/>
    <col min="14598" max="14599" width="8.19921875" style="1558" customWidth="1"/>
    <col min="14600" max="14600" width="9.8984375" style="1558" customWidth="1"/>
    <col min="14601" max="14601" width="7.5" style="1558" customWidth="1"/>
    <col min="14602" max="14602" width="14.5" style="1558" customWidth="1"/>
    <col min="14603" max="14603" width="15.19921875" style="1558" customWidth="1"/>
    <col min="14604" max="14848" width="9" style="1558"/>
    <col min="14849" max="14849" width="5.19921875" style="1558" customWidth="1"/>
    <col min="14850" max="14850" width="34.69921875" style="1558" customWidth="1"/>
    <col min="14851" max="14851" width="8.69921875" style="1558" customWidth="1"/>
    <col min="14852" max="14852" width="9" style="1558"/>
    <col min="14853" max="14853" width="9.8984375" style="1558" customWidth="1"/>
    <col min="14854" max="14855" width="8.19921875" style="1558" customWidth="1"/>
    <col min="14856" max="14856" width="9.8984375" style="1558" customWidth="1"/>
    <col min="14857" max="14857" width="7.5" style="1558" customWidth="1"/>
    <col min="14858" max="14858" width="14.5" style="1558" customWidth="1"/>
    <col min="14859" max="14859" width="15.19921875" style="1558" customWidth="1"/>
    <col min="14860" max="15104" width="9" style="1558"/>
    <col min="15105" max="15105" width="5.19921875" style="1558" customWidth="1"/>
    <col min="15106" max="15106" width="34.69921875" style="1558" customWidth="1"/>
    <col min="15107" max="15107" width="8.69921875" style="1558" customWidth="1"/>
    <col min="15108" max="15108" width="9" style="1558"/>
    <col min="15109" max="15109" width="9.8984375" style="1558" customWidth="1"/>
    <col min="15110" max="15111" width="8.19921875" style="1558" customWidth="1"/>
    <col min="15112" max="15112" width="9.8984375" style="1558" customWidth="1"/>
    <col min="15113" max="15113" width="7.5" style="1558" customWidth="1"/>
    <col min="15114" max="15114" width="14.5" style="1558" customWidth="1"/>
    <col min="15115" max="15115" width="15.19921875" style="1558" customWidth="1"/>
    <col min="15116" max="15360" width="9" style="1558"/>
    <col min="15361" max="15361" width="5.19921875" style="1558" customWidth="1"/>
    <col min="15362" max="15362" width="34.69921875" style="1558" customWidth="1"/>
    <col min="15363" max="15363" width="8.69921875" style="1558" customWidth="1"/>
    <col min="15364" max="15364" width="9" style="1558"/>
    <col min="15365" max="15365" width="9.8984375" style="1558" customWidth="1"/>
    <col min="15366" max="15367" width="8.19921875" style="1558" customWidth="1"/>
    <col min="15368" max="15368" width="9.8984375" style="1558" customWidth="1"/>
    <col min="15369" max="15369" width="7.5" style="1558" customWidth="1"/>
    <col min="15370" max="15370" width="14.5" style="1558" customWidth="1"/>
    <col min="15371" max="15371" width="15.19921875" style="1558" customWidth="1"/>
    <col min="15372" max="15616" width="9" style="1558"/>
    <col min="15617" max="15617" width="5.19921875" style="1558" customWidth="1"/>
    <col min="15618" max="15618" width="34.69921875" style="1558" customWidth="1"/>
    <col min="15619" max="15619" width="8.69921875" style="1558" customWidth="1"/>
    <col min="15620" max="15620" width="9" style="1558"/>
    <col min="15621" max="15621" width="9.8984375" style="1558" customWidth="1"/>
    <col min="15622" max="15623" width="8.19921875" style="1558" customWidth="1"/>
    <col min="15624" max="15624" width="9.8984375" style="1558" customWidth="1"/>
    <col min="15625" max="15625" width="7.5" style="1558" customWidth="1"/>
    <col min="15626" max="15626" width="14.5" style="1558" customWidth="1"/>
    <col min="15627" max="15627" width="15.19921875" style="1558" customWidth="1"/>
    <col min="15628" max="15872" width="9" style="1558"/>
    <col min="15873" max="15873" width="5.19921875" style="1558" customWidth="1"/>
    <col min="15874" max="15874" width="34.69921875" style="1558" customWidth="1"/>
    <col min="15875" max="15875" width="8.69921875" style="1558" customWidth="1"/>
    <col min="15876" max="15876" width="9" style="1558"/>
    <col min="15877" max="15877" width="9.8984375" style="1558" customWidth="1"/>
    <col min="15878" max="15879" width="8.19921875" style="1558" customWidth="1"/>
    <col min="15880" max="15880" width="9.8984375" style="1558" customWidth="1"/>
    <col min="15881" max="15881" width="7.5" style="1558" customWidth="1"/>
    <col min="15882" max="15882" width="14.5" style="1558" customWidth="1"/>
    <col min="15883" max="15883" width="15.19921875" style="1558" customWidth="1"/>
    <col min="15884" max="16128" width="9" style="1558"/>
    <col min="16129" max="16129" width="5.19921875" style="1558" customWidth="1"/>
    <col min="16130" max="16130" width="34.69921875" style="1558" customWidth="1"/>
    <col min="16131" max="16131" width="8.69921875" style="1558" customWidth="1"/>
    <col min="16132" max="16132" width="9" style="1558"/>
    <col min="16133" max="16133" width="9.8984375" style="1558" customWidth="1"/>
    <col min="16134" max="16135" width="8.19921875" style="1558" customWidth="1"/>
    <col min="16136" max="16136" width="9.8984375" style="1558" customWidth="1"/>
    <col min="16137" max="16137" width="7.5" style="1558" customWidth="1"/>
    <col min="16138" max="16138" width="14.5" style="1558" customWidth="1"/>
    <col min="16139" max="16139" width="15.19921875" style="1558" customWidth="1"/>
    <col min="16140" max="16384" width="9" style="1558"/>
  </cols>
  <sheetData>
    <row r="1" spans="1:11" ht="20.100000000000001" customHeight="1">
      <c r="A1" s="3440"/>
      <c r="B1" s="3440"/>
      <c r="C1" s="3440"/>
      <c r="D1" s="3440"/>
      <c r="E1" s="3440"/>
      <c r="F1" s="3440"/>
      <c r="G1" s="3440"/>
      <c r="H1" s="3440"/>
      <c r="I1" s="3440"/>
      <c r="J1" s="1994" t="str">
        <f>"索引号："&amp;档案索引!A42</f>
        <v>索引号：2A-22</v>
      </c>
    </row>
    <row r="2" spans="1:11" ht="25.5" customHeight="1">
      <c r="A2" s="3379" t="s">
        <v>5931</v>
      </c>
      <c r="B2" s="3379"/>
      <c r="C2" s="3379"/>
      <c r="D2" s="3379"/>
      <c r="E2" s="3379"/>
      <c r="F2" s="3379"/>
      <c r="G2" s="3379"/>
      <c r="H2" s="3379"/>
      <c r="I2" s="3379"/>
      <c r="J2" s="1832"/>
    </row>
    <row r="3" spans="1:11" ht="14.25" customHeight="1">
      <c r="A3" s="3380" t="s">
        <v>1854</v>
      </c>
      <c r="B3" s="3380" t="s">
        <v>1075</v>
      </c>
      <c r="C3" s="3377" t="s">
        <v>5405</v>
      </c>
      <c r="D3" s="3377"/>
      <c r="E3" s="3377"/>
      <c r="F3" s="3377" t="s">
        <v>5406</v>
      </c>
      <c r="G3" s="3377"/>
      <c r="H3" s="3377"/>
      <c r="I3" s="3383" t="s">
        <v>5152</v>
      </c>
      <c r="J3" s="3383" t="s">
        <v>5153</v>
      </c>
    </row>
    <row r="4" spans="1:11" ht="14.25" customHeight="1">
      <c r="A4" s="3381"/>
      <c r="B4" s="3381"/>
      <c r="C4" s="1810" t="s">
        <v>2343</v>
      </c>
      <c r="D4" s="1810" t="s">
        <v>1852</v>
      </c>
      <c r="E4" s="1810" t="s">
        <v>5152</v>
      </c>
      <c r="F4" s="1810" t="s">
        <v>2343</v>
      </c>
      <c r="G4" s="1810" t="s">
        <v>1852</v>
      </c>
      <c r="H4" s="1810" t="s">
        <v>5152</v>
      </c>
      <c r="I4" s="3384"/>
      <c r="J4" s="3384"/>
    </row>
    <row r="5" spans="1:11" ht="14.25" customHeight="1">
      <c r="A5" s="3382"/>
      <c r="B5" s="3382"/>
      <c r="C5" s="1810">
        <v>1</v>
      </c>
      <c r="D5" s="1810">
        <v>2</v>
      </c>
      <c r="E5" s="1810" t="s">
        <v>5407</v>
      </c>
      <c r="F5" s="1810">
        <v>4</v>
      </c>
      <c r="G5" s="1810">
        <v>5</v>
      </c>
      <c r="H5" s="1810" t="s">
        <v>5408</v>
      </c>
      <c r="I5" s="1810" t="s">
        <v>5409</v>
      </c>
      <c r="J5" s="1971"/>
    </row>
    <row r="6" spans="1:11" ht="14.25" customHeight="1">
      <c r="A6" s="1810">
        <v>1</v>
      </c>
      <c r="B6" s="1821" t="s">
        <v>5410</v>
      </c>
      <c r="C6" s="2078"/>
      <c r="D6" s="2078"/>
      <c r="E6" s="2077">
        <f>D6-C6</f>
        <v>0</v>
      </c>
      <c r="F6" s="2078"/>
      <c r="G6" s="2078"/>
      <c r="H6" s="2077">
        <f>G6-F6</f>
        <v>0</v>
      </c>
      <c r="I6" s="2077">
        <f>E6+H6</f>
        <v>0</v>
      </c>
      <c r="J6" s="1971"/>
    </row>
    <row r="7" spans="1:11" ht="14.25" customHeight="1">
      <c r="A7" s="1810">
        <v>2</v>
      </c>
      <c r="B7" s="1821" t="s">
        <v>5411</v>
      </c>
      <c r="C7" s="2078"/>
      <c r="D7" s="2078"/>
      <c r="E7" s="2077">
        <f t="shared" ref="E7:E18" si="0">D7-C7</f>
        <v>0</v>
      </c>
      <c r="F7" s="2078"/>
      <c r="G7" s="2078"/>
      <c r="H7" s="2077">
        <f t="shared" ref="H7:H18" si="1">G7-F7</f>
        <v>0</v>
      </c>
      <c r="I7" s="2077">
        <f t="shared" ref="I7:I18" si="2">E7+H7</f>
        <v>0</v>
      </c>
      <c r="J7" s="1971"/>
    </row>
    <row r="8" spans="1:11" ht="14.25" customHeight="1">
      <c r="A8" s="1810">
        <v>3</v>
      </c>
      <c r="B8" s="1821" t="s">
        <v>5412</v>
      </c>
      <c r="C8" s="2078"/>
      <c r="D8" s="2078"/>
      <c r="E8" s="2077">
        <f t="shared" si="0"/>
        <v>0</v>
      </c>
      <c r="F8" s="2078"/>
      <c r="G8" s="2078"/>
      <c r="H8" s="2077">
        <f t="shared" si="1"/>
        <v>0</v>
      </c>
      <c r="I8" s="2077">
        <f t="shared" si="2"/>
        <v>0</v>
      </c>
      <c r="J8" s="1971"/>
    </row>
    <row r="9" spans="1:11" ht="14.25" customHeight="1">
      <c r="A9" s="1810">
        <v>4</v>
      </c>
      <c r="B9" s="1821" t="s">
        <v>5413</v>
      </c>
      <c r="C9" s="2078"/>
      <c r="D9" s="2078"/>
      <c r="E9" s="2077">
        <f t="shared" si="0"/>
        <v>0</v>
      </c>
      <c r="F9" s="2078"/>
      <c r="G9" s="2078"/>
      <c r="H9" s="2077">
        <f t="shared" si="1"/>
        <v>0</v>
      </c>
      <c r="I9" s="2077">
        <f t="shared" si="2"/>
        <v>0</v>
      </c>
      <c r="J9" s="1971"/>
    </row>
    <row r="10" spans="1:11" ht="14.25" customHeight="1">
      <c r="A10" s="1810">
        <v>5</v>
      </c>
      <c r="B10" s="1821" t="s">
        <v>5414</v>
      </c>
      <c r="C10" s="2078"/>
      <c r="D10" s="2078"/>
      <c r="E10" s="2077">
        <f t="shared" si="0"/>
        <v>0</v>
      </c>
      <c r="F10" s="2078"/>
      <c r="G10" s="2078"/>
      <c r="H10" s="2077">
        <f t="shared" si="1"/>
        <v>0</v>
      </c>
      <c r="I10" s="2077">
        <f t="shared" si="2"/>
        <v>0</v>
      </c>
      <c r="J10" s="1971"/>
    </row>
    <row r="11" spans="1:11" ht="14.25" customHeight="1">
      <c r="A11" s="1810">
        <v>6</v>
      </c>
      <c r="B11" s="1821" t="s">
        <v>5415</v>
      </c>
      <c r="C11" s="2078"/>
      <c r="D11" s="2078"/>
      <c r="E11" s="2077">
        <f t="shared" si="0"/>
        <v>0</v>
      </c>
      <c r="F11" s="2078"/>
      <c r="G11" s="2078"/>
      <c r="H11" s="2077">
        <f t="shared" si="1"/>
        <v>0</v>
      </c>
      <c r="I11" s="2077">
        <f t="shared" si="2"/>
        <v>0</v>
      </c>
      <c r="J11" s="1971"/>
    </row>
    <row r="12" spans="1:11" ht="14.25" customHeight="1">
      <c r="A12" s="1810">
        <v>7</v>
      </c>
      <c r="B12" s="1821" t="s">
        <v>5416</v>
      </c>
      <c r="C12" s="2078"/>
      <c r="D12" s="2078"/>
      <c r="E12" s="2077">
        <f t="shared" si="0"/>
        <v>0</v>
      </c>
      <c r="F12" s="2078"/>
      <c r="G12" s="2078"/>
      <c r="H12" s="2077">
        <f t="shared" si="1"/>
        <v>0</v>
      </c>
      <c r="I12" s="2077">
        <f t="shared" si="2"/>
        <v>0</v>
      </c>
      <c r="J12" s="1971"/>
      <c r="K12" s="1675" t="s">
        <v>6451</v>
      </c>
    </row>
    <row r="13" spans="1:11" ht="14.25" customHeight="1">
      <c r="A13" s="1810">
        <v>8</v>
      </c>
      <c r="B13" s="1821" t="s">
        <v>5417</v>
      </c>
      <c r="C13" s="2078"/>
      <c r="D13" s="2078"/>
      <c r="E13" s="2077">
        <f t="shared" si="0"/>
        <v>0</v>
      </c>
      <c r="F13" s="2078"/>
      <c r="G13" s="2078"/>
      <c r="H13" s="2077">
        <f t="shared" si="1"/>
        <v>0</v>
      </c>
      <c r="I13" s="2077">
        <f t="shared" si="2"/>
        <v>0</v>
      </c>
      <c r="J13" s="1971"/>
    </row>
    <row r="14" spans="1:11" ht="14.25" customHeight="1">
      <c r="A14" s="1810">
        <v>9</v>
      </c>
      <c r="B14" s="1821" t="s">
        <v>5418</v>
      </c>
      <c r="C14" s="2078"/>
      <c r="D14" s="2078"/>
      <c r="E14" s="2077">
        <f t="shared" si="0"/>
        <v>0</v>
      </c>
      <c r="F14" s="2078"/>
      <c r="G14" s="2078"/>
      <c r="H14" s="2077">
        <f t="shared" si="1"/>
        <v>0</v>
      </c>
      <c r="I14" s="2077">
        <f t="shared" si="2"/>
        <v>0</v>
      </c>
      <c r="J14" s="1971"/>
    </row>
    <row r="15" spans="1:11" ht="14.25" customHeight="1">
      <c r="A15" s="1810">
        <v>10</v>
      </c>
      <c r="B15" s="1821" t="s">
        <v>5419</v>
      </c>
      <c r="C15" s="2078"/>
      <c r="D15" s="2078"/>
      <c r="E15" s="2077">
        <f t="shared" si="0"/>
        <v>0</v>
      </c>
      <c r="F15" s="2078"/>
      <c r="G15" s="2078"/>
      <c r="H15" s="2077">
        <f t="shared" si="1"/>
        <v>0</v>
      </c>
      <c r="I15" s="2077">
        <f t="shared" si="2"/>
        <v>0</v>
      </c>
      <c r="J15" s="1971"/>
    </row>
    <row r="16" spans="1:11" ht="14.25" customHeight="1">
      <c r="A16" s="1810">
        <v>11</v>
      </c>
      <c r="B16" s="1821" t="s">
        <v>5420</v>
      </c>
      <c r="C16" s="2078"/>
      <c r="D16" s="2078"/>
      <c r="E16" s="2077">
        <f t="shared" si="0"/>
        <v>0</v>
      </c>
      <c r="F16" s="2078"/>
      <c r="G16" s="2078"/>
      <c r="H16" s="2077">
        <f t="shared" si="1"/>
        <v>0</v>
      </c>
      <c r="I16" s="2077">
        <f t="shared" si="2"/>
        <v>0</v>
      </c>
      <c r="J16" s="1971"/>
    </row>
    <row r="17" spans="1:11" ht="14.25" customHeight="1">
      <c r="A17" s="1810">
        <v>12</v>
      </c>
      <c r="B17" s="1821" t="s">
        <v>5421</v>
      </c>
      <c r="C17" s="2078"/>
      <c r="D17" s="2078"/>
      <c r="E17" s="2077">
        <f t="shared" si="0"/>
        <v>0</v>
      </c>
      <c r="F17" s="2078"/>
      <c r="G17" s="2078"/>
      <c r="H17" s="2077">
        <f t="shared" si="1"/>
        <v>0</v>
      </c>
      <c r="I17" s="2077">
        <f t="shared" si="2"/>
        <v>0</v>
      </c>
      <c r="J17" s="1971"/>
    </row>
    <row r="18" spans="1:11" s="1569" customFormat="1" ht="14.25" customHeight="1">
      <c r="A18" s="1810">
        <v>13</v>
      </c>
      <c r="B18" s="1821" t="s">
        <v>5422</v>
      </c>
      <c r="C18" s="2078"/>
      <c r="D18" s="2078"/>
      <c r="E18" s="2077">
        <f t="shared" si="0"/>
        <v>0</v>
      </c>
      <c r="F18" s="2078"/>
      <c r="G18" s="2078"/>
      <c r="H18" s="2077">
        <f t="shared" si="1"/>
        <v>0</v>
      </c>
      <c r="I18" s="2077">
        <f t="shared" si="2"/>
        <v>0</v>
      </c>
      <c r="J18" s="1977"/>
    </row>
    <row r="19" spans="1:11" ht="42" customHeight="1">
      <c r="A19" s="1810">
        <v>14</v>
      </c>
      <c r="B19" s="1821" t="s">
        <v>5423</v>
      </c>
      <c r="C19" s="2077">
        <f>C6+C9+C11+C13+C16+C17</f>
        <v>0</v>
      </c>
      <c r="D19" s="2077">
        <f t="shared" ref="D19:I19" si="3">D6+D9+D11+D13+D16+D17</f>
        <v>0</v>
      </c>
      <c r="E19" s="2077">
        <f t="shared" si="3"/>
        <v>0</v>
      </c>
      <c r="F19" s="2077">
        <f t="shared" si="3"/>
        <v>0</v>
      </c>
      <c r="G19" s="2077">
        <f t="shared" si="3"/>
        <v>0</v>
      </c>
      <c r="H19" s="2077">
        <f t="shared" si="3"/>
        <v>0</v>
      </c>
      <c r="I19" s="2077">
        <f t="shared" si="3"/>
        <v>0</v>
      </c>
      <c r="J19" s="1821" t="s">
        <v>5424</v>
      </c>
      <c r="K19" s="1568"/>
    </row>
    <row r="20" spans="1:11">
      <c r="A20" s="2163"/>
      <c r="B20" s="2163"/>
      <c r="C20" s="2163"/>
      <c r="D20" s="2163"/>
      <c r="E20" s="2163"/>
      <c r="F20" s="2163"/>
      <c r="G20" s="2163"/>
      <c r="H20" s="2163"/>
      <c r="I20" s="2163"/>
      <c r="J20" s="2163"/>
    </row>
    <row r="21" spans="1:11">
      <c r="A21" s="2163"/>
      <c r="B21" s="2163"/>
      <c r="C21" s="2163"/>
      <c r="D21" s="2163"/>
      <c r="E21" s="2163"/>
      <c r="F21" s="2163"/>
      <c r="G21" s="2163"/>
      <c r="H21" s="2163"/>
      <c r="I21" s="2163"/>
      <c r="J21" s="2163"/>
    </row>
    <row r="22" spans="1:11">
      <c r="A22" s="3441"/>
      <c r="B22" s="3441"/>
      <c r="C22" s="3441"/>
      <c r="D22" s="3441"/>
      <c r="E22" s="3441"/>
      <c r="F22" s="3441"/>
      <c r="G22" s="3441"/>
      <c r="H22" s="3441"/>
      <c r="I22" s="3441"/>
      <c r="J22" s="3441"/>
    </row>
    <row r="23" spans="1:11">
      <c r="A23" s="3441"/>
      <c r="B23" s="3441"/>
      <c r="C23" s="3441"/>
      <c r="D23" s="3441"/>
      <c r="E23" s="3441"/>
      <c r="F23" s="3441"/>
      <c r="G23" s="3441"/>
      <c r="H23" s="3441"/>
      <c r="I23" s="3441"/>
      <c r="J23" s="3441"/>
    </row>
    <row r="24" spans="1:11">
      <c r="A24" s="3441"/>
      <c r="B24" s="3441"/>
      <c r="C24" s="3441"/>
      <c r="D24" s="3441"/>
      <c r="E24" s="3441"/>
      <c r="F24" s="3441"/>
      <c r="G24" s="3441"/>
      <c r="H24" s="3441"/>
      <c r="I24" s="3441"/>
      <c r="J24" s="3441"/>
    </row>
    <row r="25" spans="1:11">
      <c r="A25" s="3441"/>
      <c r="B25" s="3441"/>
      <c r="C25" s="3441"/>
      <c r="D25" s="3441"/>
      <c r="E25" s="3441"/>
      <c r="F25" s="3441"/>
      <c r="G25" s="3441"/>
      <c r="H25" s="3441"/>
      <c r="I25" s="3441"/>
      <c r="J25" s="3441"/>
    </row>
    <row r="26" spans="1:11">
      <c r="A26" s="3441"/>
      <c r="B26" s="3441"/>
      <c r="C26" s="3441"/>
      <c r="D26" s="3441"/>
      <c r="E26" s="3441"/>
      <c r="F26" s="3441"/>
      <c r="G26" s="3441"/>
      <c r="H26" s="3441"/>
      <c r="I26" s="3441"/>
      <c r="J26" s="3441"/>
    </row>
    <row r="27" spans="1:11">
      <c r="A27" s="3441"/>
      <c r="B27" s="3441"/>
      <c r="C27" s="3441"/>
      <c r="D27" s="3441"/>
      <c r="E27" s="3441"/>
      <c r="F27" s="3441"/>
      <c r="G27" s="3441"/>
      <c r="H27" s="3441"/>
      <c r="I27" s="3441"/>
      <c r="J27" s="3441"/>
    </row>
    <row r="28" spans="1:11">
      <c r="A28" s="3441"/>
      <c r="B28" s="3441"/>
      <c r="C28" s="3441"/>
      <c r="D28" s="3441"/>
      <c r="E28" s="3441"/>
      <c r="F28" s="3441"/>
      <c r="G28" s="3441"/>
      <c r="H28" s="3441"/>
      <c r="I28" s="3441"/>
      <c r="J28" s="3441"/>
    </row>
    <row r="29" spans="1:11">
      <c r="A29" s="3441"/>
      <c r="B29" s="3441"/>
      <c r="C29" s="3441"/>
      <c r="D29" s="3441"/>
      <c r="E29" s="3441"/>
      <c r="F29" s="3441"/>
      <c r="G29" s="3441"/>
      <c r="H29" s="3441"/>
      <c r="I29" s="3441"/>
      <c r="J29" s="3441"/>
    </row>
    <row r="30" spans="1:11">
      <c r="A30" s="3441"/>
      <c r="B30" s="3441"/>
      <c r="C30" s="3441"/>
      <c r="D30" s="3441"/>
      <c r="E30" s="3441"/>
      <c r="F30" s="3441"/>
      <c r="G30" s="3441"/>
      <c r="H30" s="3441"/>
      <c r="I30" s="3441"/>
      <c r="J30" s="3441"/>
    </row>
    <row r="31" spans="1:11">
      <c r="A31" s="3441"/>
      <c r="B31" s="3441"/>
      <c r="C31" s="3441"/>
      <c r="D31" s="3441"/>
      <c r="E31" s="3441"/>
      <c r="F31" s="3441"/>
      <c r="G31" s="3441"/>
      <c r="H31" s="3441"/>
      <c r="I31" s="3441"/>
      <c r="J31" s="3441"/>
    </row>
    <row r="32" spans="1:11">
      <c r="A32" s="3441"/>
      <c r="B32" s="3441"/>
      <c r="C32" s="3441"/>
      <c r="D32" s="3441"/>
      <c r="E32" s="3441"/>
      <c r="F32" s="3441"/>
      <c r="G32" s="3441"/>
      <c r="H32" s="3441"/>
      <c r="I32" s="3441"/>
      <c r="J32" s="3441"/>
    </row>
  </sheetData>
  <mergeCells count="19">
    <mergeCell ref="J3:J4"/>
    <mergeCell ref="A32:J32"/>
    <mergeCell ref="A22:J22"/>
    <mergeCell ref="A23:J23"/>
    <mergeCell ref="A24:J24"/>
    <mergeCell ref="A25:J25"/>
    <mergeCell ref="A26:J26"/>
    <mergeCell ref="A27:J27"/>
    <mergeCell ref="A28:J28"/>
    <mergeCell ref="A29:J29"/>
    <mergeCell ref="A30:J30"/>
    <mergeCell ref="A31:J31"/>
    <mergeCell ref="A1:I1"/>
    <mergeCell ref="A2:I2"/>
    <mergeCell ref="A3:A5"/>
    <mergeCell ref="B3:B5"/>
    <mergeCell ref="C3:E3"/>
    <mergeCell ref="F3:H3"/>
    <mergeCell ref="I3:I4"/>
  </mergeCells>
  <phoneticPr fontId="51" type="noConversion"/>
  <hyperlinks>
    <hyperlink ref="K12" location="A105100企业重组纳税调整明细表!A1" display="A105100企业重组纳税调整明细表!A1"/>
  </hyperlinks>
  <printOptions horizontalCentered="1"/>
  <pageMargins left="0.78740157480314998" right="0.35433070866141703" top="0.511811023622047" bottom="0.11811023622047198" header="0.511811023622047" footer="0.511811023622047"/>
  <pageSetup paperSize="9" orientation="landscape" r:id="rId1"/>
  <headerFooter alignWithMargins="0"/>
</worksheet>
</file>

<file path=xl/worksheets/sheet4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64">
    <tabColor rgb="FFFFFF00"/>
  </sheetPr>
  <dimension ref="A1:I31"/>
  <sheetViews>
    <sheetView workbookViewId="0">
      <selection activeCell="A7" sqref="A7"/>
    </sheetView>
  </sheetViews>
  <sheetFormatPr defaultRowHeight="15.6"/>
  <cols>
    <col min="1" max="1" width="5.19921875" style="1555" customWidth="1"/>
    <col min="2" max="2" width="47.59765625" style="1650" customWidth="1"/>
    <col min="3" max="3" width="12.3984375" style="1555" customWidth="1"/>
    <col min="4" max="4" width="18" style="1555" customWidth="1"/>
    <col min="5" max="5" width="29.09765625" style="1555" customWidth="1"/>
    <col min="6" max="256" width="9" style="1555"/>
    <col min="257" max="257" width="5.19921875" style="1555" customWidth="1"/>
    <col min="258" max="258" width="47.59765625" style="1555" customWidth="1"/>
    <col min="259" max="259" width="8.09765625" style="1555" customWidth="1"/>
    <col min="260" max="260" width="18" style="1555" customWidth="1"/>
    <col min="261" max="261" width="29.09765625" style="1555" customWidth="1"/>
    <col min="262" max="512" width="9" style="1555"/>
    <col min="513" max="513" width="5.19921875" style="1555" customWidth="1"/>
    <col min="514" max="514" width="47.59765625" style="1555" customWidth="1"/>
    <col min="515" max="515" width="8.09765625" style="1555" customWidth="1"/>
    <col min="516" max="516" width="18" style="1555" customWidth="1"/>
    <col min="517" max="517" width="29.09765625" style="1555" customWidth="1"/>
    <col min="518" max="768" width="9" style="1555"/>
    <col min="769" max="769" width="5.19921875" style="1555" customWidth="1"/>
    <col min="770" max="770" width="47.59765625" style="1555" customWidth="1"/>
    <col min="771" max="771" width="8.09765625" style="1555" customWidth="1"/>
    <col min="772" max="772" width="18" style="1555" customWidth="1"/>
    <col min="773" max="773" width="29.09765625" style="1555" customWidth="1"/>
    <col min="774" max="1024" width="9" style="1555"/>
    <col min="1025" max="1025" width="5.19921875" style="1555" customWidth="1"/>
    <col min="1026" max="1026" width="47.59765625" style="1555" customWidth="1"/>
    <col min="1027" max="1027" width="8.09765625" style="1555" customWidth="1"/>
    <col min="1028" max="1028" width="18" style="1555" customWidth="1"/>
    <col min="1029" max="1029" width="29.09765625" style="1555" customWidth="1"/>
    <col min="1030" max="1280" width="9" style="1555"/>
    <col min="1281" max="1281" width="5.19921875" style="1555" customWidth="1"/>
    <col min="1282" max="1282" width="47.59765625" style="1555" customWidth="1"/>
    <col min="1283" max="1283" width="8.09765625" style="1555" customWidth="1"/>
    <col min="1284" max="1284" width="18" style="1555" customWidth="1"/>
    <col min="1285" max="1285" width="29.09765625" style="1555" customWidth="1"/>
    <col min="1286" max="1536" width="9" style="1555"/>
    <col min="1537" max="1537" width="5.19921875" style="1555" customWidth="1"/>
    <col min="1538" max="1538" width="47.59765625" style="1555" customWidth="1"/>
    <col min="1539" max="1539" width="8.09765625" style="1555" customWidth="1"/>
    <col min="1540" max="1540" width="18" style="1555" customWidth="1"/>
    <col min="1541" max="1541" width="29.09765625" style="1555" customWidth="1"/>
    <col min="1542" max="1792" width="9" style="1555"/>
    <col min="1793" max="1793" width="5.19921875" style="1555" customWidth="1"/>
    <col min="1794" max="1794" width="47.59765625" style="1555" customWidth="1"/>
    <col min="1795" max="1795" width="8.09765625" style="1555" customWidth="1"/>
    <col min="1796" max="1796" width="18" style="1555" customWidth="1"/>
    <col min="1797" max="1797" width="29.09765625" style="1555" customWidth="1"/>
    <col min="1798" max="2048" width="9" style="1555"/>
    <col min="2049" max="2049" width="5.19921875" style="1555" customWidth="1"/>
    <col min="2050" max="2050" width="47.59765625" style="1555" customWidth="1"/>
    <col min="2051" max="2051" width="8.09765625" style="1555" customWidth="1"/>
    <col min="2052" max="2052" width="18" style="1555" customWidth="1"/>
    <col min="2053" max="2053" width="29.09765625" style="1555" customWidth="1"/>
    <col min="2054" max="2304" width="9" style="1555"/>
    <col min="2305" max="2305" width="5.19921875" style="1555" customWidth="1"/>
    <col min="2306" max="2306" width="47.59765625" style="1555" customWidth="1"/>
    <col min="2307" max="2307" width="8.09765625" style="1555" customWidth="1"/>
    <col min="2308" max="2308" width="18" style="1555" customWidth="1"/>
    <col min="2309" max="2309" width="29.09765625" style="1555" customWidth="1"/>
    <col min="2310" max="2560" width="9" style="1555"/>
    <col min="2561" max="2561" width="5.19921875" style="1555" customWidth="1"/>
    <col min="2562" max="2562" width="47.59765625" style="1555" customWidth="1"/>
    <col min="2563" max="2563" width="8.09765625" style="1555" customWidth="1"/>
    <col min="2564" max="2564" width="18" style="1555" customWidth="1"/>
    <col min="2565" max="2565" width="29.09765625" style="1555" customWidth="1"/>
    <col min="2566" max="2816" width="9" style="1555"/>
    <col min="2817" max="2817" width="5.19921875" style="1555" customWidth="1"/>
    <col min="2818" max="2818" width="47.59765625" style="1555" customWidth="1"/>
    <col min="2819" max="2819" width="8.09765625" style="1555" customWidth="1"/>
    <col min="2820" max="2820" width="18" style="1555" customWidth="1"/>
    <col min="2821" max="2821" width="29.09765625" style="1555" customWidth="1"/>
    <col min="2822" max="3072" width="9" style="1555"/>
    <col min="3073" max="3073" width="5.19921875" style="1555" customWidth="1"/>
    <col min="3074" max="3074" width="47.59765625" style="1555" customWidth="1"/>
    <col min="3075" max="3075" width="8.09765625" style="1555" customWidth="1"/>
    <col min="3076" max="3076" width="18" style="1555" customWidth="1"/>
    <col min="3077" max="3077" width="29.09765625" style="1555" customWidth="1"/>
    <col min="3078" max="3328" width="9" style="1555"/>
    <col min="3329" max="3329" width="5.19921875" style="1555" customWidth="1"/>
    <col min="3330" max="3330" width="47.59765625" style="1555" customWidth="1"/>
    <col min="3331" max="3331" width="8.09765625" style="1555" customWidth="1"/>
    <col min="3332" max="3332" width="18" style="1555" customWidth="1"/>
    <col min="3333" max="3333" width="29.09765625" style="1555" customWidth="1"/>
    <col min="3334" max="3584" width="9" style="1555"/>
    <col min="3585" max="3585" width="5.19921875" style="1555" customWidth="1"/>
    <col min="3586" max="3586" width="47.59765625" style="1555" customWidth="1"/>
    <col min="3587" max="3587" width="8.09765625" style="1555" customWidth="1"/>
    <col min="3588" max="3588" width="18" style="1555" customWidth="1"/>
    <col min="3589" max="3589" width="29.09765625" style="1555" customWidth="1"/>
    <col min="3590" max="3840" width="9" style="1555"/>
    <col min="3841" max="3841" width="5.19921875" style="1555" customWidth="1"/>
    <col min="3842" max="3842" width="47.59765625" style="1555" customWidth="1"/>
    <col min="3843" max="3843" width="8.09765625" style="1555" customWidth="1"/>
    <col min="3844" max="3844" width="18" style="1555" customWidth="1"/>
    <col min="3845" max="3845" width="29.09765625" style="1555" customWidth="1"/>
    <col min="3846" max="4096" width="9" style="1555"/>
    <col min="4097" max="4097" width="5.19921875" style="1555" customWidth="1"/>
    <col min="4098" max="4098" width="47.59765625" style="1555" customWidth="1"/>
    <col min="4099" max="4099" width="8.09765625" style="1555" customWidth="1"/>
    <col min="4100" max="4100" width="18" style="1555" customWidth="1"/>
    <col min="4101" max="4101" width="29.09765625" style="1555" customWidth="1"/>
    <col min="4102" max="4352" width="9" style="1555"/>
    <col min="4353" max="4353" width="5.19921875" style="1555" customWidth="1"/>
    <col min="4354" max="4354" width="47.59765625" style="1555" customWidth="1"/>
    <col min="4355" max="4355" width="8.09765625" style="1555" customWidth="1"/>
    <col min="4356" max="4356" width="18" style="1555" customWidth="1"/>
    <col min="4357" max="4357" width="29.09765625" style="1555" customWidth="1"/>
    <col min="4358" max="4608" width="9" style="1555"/>
    <col min="4609" max="4609" width="5.19921875" style="1555" customWidth="1"/>
    <col min="4610" max="4610" width="47.59765625" style="1555" customWidth="1"/>
    <col min="4611" max="4611" width="8.09765625" style="1555" customWidth="1"/>
    <col min="4612" max="4612" width="18" style="1555" customWidth="1"/>
    <col min="4613" max="4613" width="29.09765625" style="1555" customWidth="1"/>
    <col min="4614" max="4864" width="9" style="1555"/>
    <col min="4865" max="4865" width="5.19921875" style="1555" customWidth="1"/>
    <col min="4866" max="4866" width="47.59765625" style="1555" customWidth="1"/>
    <col min="4867" max="4867" width="8.09765625" style="1555" customWidth="1"/>
    <col min="4868" max="4868" width="18" style="1555" customWidth="1"/>
    <col min="4869" max="4869" width="29.09765625" style="1555" customWidth="1"/>
    <col min="4870" max="5120" width="9" style="1555"/>
    <col min="5121" max="5121" width="5.19921875" style="1555" customWidth="1"/>
    <col min="5122" max="5122" width="47.59765625" style="1555" customWidth="1"/>
    <col min="5123" max="5123" width="8.09765625" style="1555" customWidth="1"/>
    <col min="5124" max="5124" width="18" style="1555" customWidth="1"/>
    <col min="5125" max="5125" width="29.09765625" style="1555" customWidth="1"/>
    <col min="5126" max="5376" width="9" style="1555"/>
    <col min="5377" max="5377" width="5.19921875" style="1555" customWidth="1"/>
    <col min="5378" max="5378" width="47.59765625" style="1555" customWidth="1"/>
    <col min="5379" max="5379" width="8.09765625" style="1555" customWidth="1"/>
    <col min="5380" max="5380" width="18" style="1555" customWidth="1"/>
    <col min="5381" max="5381" width="29.09765625" style="1555" customWidth="1"/>
    <col min="5382" max="5632" width="9" style="1555"/>
    <col min="5633" max="5633" width="5.19921875" style="1555" customWidth="1"/>
    <col min="5634" max="5634" width="47.59765625" style="1555" customWidth="1"/>
    <col min="5635" max="5635" width="8.09765625" style="1555" customWidth="1"/>
    <col min="5636" max="5636" width="18" style="1555" customWidth="1"/>
    <col min="5637" max="5637" width="29.09765625" style="1555" customWidth="1"/>
    <col min="5638" max="5888" width="9" style="1555"/>
    <col min="5889" max="5889" width="5.19921875" style="1555" customWidth="1"/>
    <col min="5890" max="5890" width="47.59765625" style="1555" customWidth="1"/>
    <col min="5891" max="5891" width="8.09765625" style="1555" customWidth="1"/>
    <col min="5892" max="5892" width="18" style="1555" customWidth="1"/>
    <col min="5893" max="5893" width="29.09765625" style="1555" customWidth="1"/>
    <col min="5894" max="6144" width="9" style="1555"/>
    <col min="6145" max="6145" width="5.19921875" style="1555" customWidth="1"/>
    <col min="6146" max="6146" width="47.59765625" style="1555" customWidth="1"/>
    <col min="6147" max="6147" width="8.09765625" style="1555" customWidth="1"/>
    <col min="6148" max="6148" width="18" style="1555" customWidth="1"/>
    <col min="6149" max="6149" width="29.09765625" style="1555" customWidth="1"/>
    <col min="6150" max="6400" width="9" style="1555"/>
    <col min="6401" max="6401" width="5.19921875" style="1555" customWidth="1"/>
    <col min="6402" max="6402" width="47.59765625" style="1555" customWidth="1"/>
    <col min="6403" max="6403" width="8.09765625" style="1555" customWidth="1"/>
    <col min="6404" max="6404" width="18" style="1555" customWidth="1"/>
    <col min="6405" max="6405" width="29.09765625" style="1555" customWidth="1"/>
    <col min="6406" max="6656" width="9" style="1555"/>
    <col min="6657" max="6657" width="5.19921875" style="1555" customWidth="1"/>
    <col min="6658" max="6658" width="47.59765625" style="1555" customWidth="1"/>
    <col min="6659" max="6659" width="8.09765625" style="1555" customWidth="1"/>
    <col min="6660" max="6660" width="18" style="1555" customWidth="1"/>
    <col min="6661" max="6661" width="29.09765625" style="1555" customWidth="1"/>
    <col min="6662" max="6912" width="9" style="1555"/>
    <col min="6913" max="6913" width="5.19921875" style="1555" customWidth="1"/>
    <col min="6914" max="6914" width="47.59765625" style="1555" customWidth="1"/>
    <col min="6915" max="6915" width="8.09765625" style="1555" customWidth="1"/>
    <col min="6916" max="6916" width="18" style="1555" customWidth="1"/>
    <col min="6917" max="6917" width="29.09765625" style="1555" customWidth="1"/>
    <col min="6918" max="7168" width="9" style="1555"/>
    <col min="7169" max="7169" width="5.19921875" style="1555" customWidth="1"/>
    <col min="7170" max="7170" width="47.59765625" style="1555" customWidth="1"/>
    <col min="7171" max="7171" width="8.09765625" style="1555" customWidth="1"/>
    <col min="7172" max="7172" width="18" style="1555" customWidth="1"/>
    <col min="7173" max="7173" width="29.09765625" style="1555" customWidth="1"/>
    <col min="7174" max="7424" width="9" style="1555"/>
    <col min="7425" max="7425" width="5.19921875" style="1555" customWidth="1"/>
    <col min="7426" max="7426" width="47.59765625" style="1555" customWidth="1"/>
    <col min="7427" max="7427" width="8.09765625" style="1555" customWidth="1"/>
    <col min="7428" max="7428" width="18" style="1555" customWidth="1"/>
    <col min="7429" max="7429" width="29.09765625" style="1555" customWidth="1"/>
    <col min="7430" max="7680" width="9" style="1555"/>
    <col min="7681" max="7681" width="5.19921875" style="1555" customWidth="1"/>
    <col min="7682" max="7682" width="47.59765625" style="1555" customWidth="1"/>
    <col min="7683" max="7683" width="8.09765625" style="1555" customWidth="1"/>
    <col min="7684" max="7684" width="18" style="1555" customWidth="1"/>
    <col min="7685" max="7685" width="29.09765625" style="1555" customWidth="1"/>
    <col min="7686" max="7936" width="9" style="1555"/>
    <col min="7937" max="7937" width="5.19921875" style="1555" customWidth="1"/>
    <col min="7938" max="7938" width="47.59765625" style="1555" customWidth="1"/>
    <col min="7939" max="7939" width="8.09765625" style="1555" customWidth="1"/>
    <col min="7940" max="7940" width="18" style="1555" customWidth="1"/>
    <col min="7941" max="7941" width="29.09765625" style="1555" customWidth="1"/>
    <col min="7942" max="8192" width="9" style="1555"/>
    <col min="8193" max="8193" width="5.19921875" style="1555" customWidth="1"/>
    <col min="8194" max="8194" width="47.59765625" style="1555" customWidth="1"/>
    <col min="8195" max="8195" width="8.09765625" style="1555" customWidth="1"/>
    <col min="8196" max="8196" width="18" style="1555" customWidth="1"/>
    <col min="8197" max="8197" width="29.09765625" style="1555" customWidth="1"/>
    <col min="8198" max="8448" width="9" style="1555"/>
    <col min="8449" max="8449" width="5.19921875" style="1555" customWidth="1"/>
    <col min="8450" max="8450" width="47.59765625" style="1555" customWidth="1"/>
    <col min="8451" max="8451" width="8.09765625" style="1555" customWidth="1"/>
    <col min="8452" max="8452" width="18" style="1555" customWidth="1"/>
    <col min="8453" max="8453" width="29.09765625" style="1555" customWidth="1"/>
    <col min="8454" max="8704" width="9" style="1555"/>
    <col min="8705" max="8705" width="5.19921875" style="1555" customWidth="1"/>
    <col min="8706" max="8706" width="47.59765625" style="1555" customWidth="1"/>
    <col min="8707" max="8707" width="8.09765625" style="1555" customWidth="1"/>
    <col min="8708" max="8708" width="18" style="1555" customWidth="1"/>
    <col min="8709" max="8709" width="29.09765625" style="1555" customWidth="1"/>
    <col min="8710" max="8960" width="9" style="1555"/>
    <col min="8961" max="8961" width="5.19921875" style="1555" customWidth="1"/>
    <col min="8962" max="8962" width="47.59765625" style="1555" customWidth="1"/>
    <col min="8963" max="8963" width="8.09765625" style="1555" customWidth="1"/>
    <col min="8964" max="8964" width="18" style="1555" customWidth="1"/>
    <col min="8965" max="8965" width="29.09765625" style="1555" customWidth="1"/>
    <col min="8966" max="9216" width="9" style="1555"/>
    <col min="9217" max="9217" width="5.19921875" style="1555" customWidth="1"/>
    <col min="9218" max="9218" width="47.59765625" style="1555" customWidth="1"/>
    <col min="9219" max="9219" width="8.09765625" style="1555" customWidth="1"/>
    <col min="9220" max="9220" width="18" style="1555" customWidth="1"/>
    <col min="9221" max="9221" width="29.09765625" style="1555" customWidth="1"/>
    <col min="9222" max="9472" width="9" style="1555"/>
    <col min="9473" max="9473" width="5.19921875" style="1555" customWidth="1"/>
    <col min="9474" max="9474" width="47.59765625" style="1555" customWidth="1"/>
    <col min="9475" max="9475" width="8.09765625" style="1555" customWidth="1"/>
    <col min="9476" max="9476" width="18" style="1555" customWidth="1"/>
    <col min="9477" max="9477" width="29.09765625" style="1555" customWidth="1"/>
    <col min="9478" max="9728" width="9" style="1555"/>
    <col min="9729" max="9729" width="5.19921875" style="1555" customWidth="1"/>
    <col min="9730" max="9730" width="47.59765625" style="1555" customWidth="1"/>
    <col min="9731" max="9731" width="8.09765625" style="1555" customWidth="1"/>
    <col min="9732" max="9732" width="18" style="1555" customWidth="1"/>
    <col min="9733" max="9733" width="29.09765625" style="1555" customWidth="1"/>
    <col min="9734" max="9984" width="9" style="1555"/>
    <col min="9985" max="9985" width="5.19921875" style="1555" customWidth="1"/>
    <col min="9986" max="9986" width="47.59765625" style="1555" customWidth="1"/>
    <col min="9987" max="9987" width="8.09765625" style="1555" customWidth="1"/>
    <col min="9988" max="9988" width="18" style="1555" customWidth="1"/>
    <col min="9989" max="9989" width="29.09765625" style="1555" customWidth="1"/>
    <col min="9990" max="10240" width="9" style="1555"/>
    <col min="10241" max="10241" width="5.19921875" style="1555" customWidth="1"/>
    <col min="10242" max="10242" width="47.59765625" style="1555" customWidth="1"/>
    <col min="10243" max="10243" width="8.09765625" style="1555" customWidth="1"/>
    <col min="10244" max="10244" width="18" style="1555" customWidth="1"/>
    <col min="10245" max="10245" width="29.09765625" style="1555" customWidth="1"/>
    <col min="10246" max="10496" width="9" style="1555"/>
    <col min="10497" max="10497" width="5.19921875" style="1555" customWidth="1"/>
    <col min="10498" max="10498" width="47.59765625" style="1555" customWidth="1"/>
    <col min="10499" max="10499" width="8.09765625" style="1555" customWidth="1"/>
    <col min="10500" max="10500" width="18" style="1555" customWidth="1"/>
    <col min="10501" max="10501" width="29.09765625" style="1555" customWidth="1"/>
    <col min="10502" max="10752" width="9" style="1555"/>
    <col min="10753" max="10753" width="5.19921875" style="1555" customWidth="1"/>
    <col min="10754" max="10754" width="47.59765625" style="1555" customWidth="1"/>
    <col min="10755" max="10755" width="8.09765625" style="1555" customWidth="1"/>
    <col min="10756" max="10756" width="18" style="1555" customWidth="1"/>
    <col min="10757" max="10757" width="29.09765625" style="1555" customWidth="1"/>
    <col min="10758" max="11008" width="9" style="1555"/>
    <col min="11009" max="11009" width="5.19921875" style="1555" customWidth="1"/>
    <col min="11010" max="11010" width="47.59765625" style="1555" customWidth="1"/>
    <col min="11011" max="11011" width="8.09765625" style="1555" customWidth="1"/>
    <col min="11012" max="11012" width="18" style="1555" customWidth="1"/>
    <col min="11013" max="11013" width="29.09765625" style="1555" customWidth="1"/>
    <col min="11014" max="11264" width="9" style="1555"/>
    <col min="11265" max="11265" width="5.19921875" style="1555" customWidth="1"/>
    <col min="11266" max="11266" width="47.59765625" style="1555" customWidth="1"/>
    <col min="11267" max="11267" width="8.09765625" style="1555" customWidth="1"/>
    <col min="11268" max="11268" width="18" style="1555" customWidth="1"/>
    <col min="11269" max="11269" width="29.09765625" style="1555" customWidth="1"/>
    <col min="11270" max="11520" width="9" style="1555"/>
    <col min="11521" max="11521" width="5.19921875" style="1555" customWidth="1"/>
    <col min="11522" max="11522" width="47.59765625" style="1555" customWidth="1"/>
    <col min="11523" max="11523" width="8.09765625" style="1555" customWidth="1"/>
    <col min="11524" max="11524" width="18" style="1555" customWidth="1"/>
    <col min="11525" max="11525" width="29.09765625" style="1555" customWidth="1"/>
    <col min="11526" max="11776" width="9" style="1555"/>
    <col min="11777" max="11777" width="5.19921875" style="1555" customWidth="1"/>
    <col min="11778" max="11778" width="47.59765625" style="1555" customWidth="1"/>
    <col min="11779" max="11779" width="8.09765625" style="1555" customWidth="1"/>
    <col min="11780" max="11780" width="18" style="1555" customWidth="1"/>
    <col min="11781" max="11781" width="29.09765625" style="1555" customWidth="1"/>
    <col min="11782" max="12032" width="9" style="1555"/>
    <col min="12033" max="12033" width="5.19921875" style="1555" customWidth="1"/>
    <col min="12034" max="12034" width="47.59765625" style="1555" customWidth="1"/>
    <col min="12035" max="12035" width="8.09765625" style="1555" customWidth="1"/>
    <col min="12036" max="12036" width="18" style="1555" customWidth="1"/>
    <col min="12037" max="12037" width="29.09765625" style="1555" customWidth="1"/>
    <col min="12038" max="12288" width="9" style="1555"/>
    <col min="12289" max="12289" width="5.19921875" style="1555" customWidth="1"/>
    <col min="12290" max="12290" width="47.59765625" style="1555" customWidth="1"/>
    <col min="12291" max="12291" width="8.09765625" style="1555" customWidth="1"/>
    <col min="12292" max="12292" width="18" style="1555" customWidth="1"/>
    <col min="12293" max="12293" width="29.09765625" style="1555" customWidth="1"/>
    <col min="12294" max="12544" width="9" style="1555"/>
    <col min="12545" max="12545" width="5.19921875" style="1555" customWidth="1"/>
    <col min="12546" max="12546" width="47.59765625" style="1555" customWidth="1"/>
    <col min="12547" max="12547" width="8.09765625" style="1555" customWidth="1"/>
    <col min="12548" max="12548" width="18" style="1555" customWidth="1"/>
    <col min="12549" max="12549" width="29.09765625" style="1555" customWidth="1"/>
    <col min="12550" max="12800" width="9" style="1555"/>
    <col min="12801" max="12801" width="5.19921875" style="1555" customWidth="1"/>
    <col min="12802" max="12802" width="47.59765625" style="1555" customWidth="1"/>
    <col min="12803" max="12803" width="8.09765625" style="1555" customWidth="1"/>
    <col min="12804" max="12804" width="18" style="1555" customWidth="1"/>
    <col min="12805" max="12805" width="29.09765625" style="1555" customWidth="1"/>
    <col min="12806" max="13056" width="9" style="1555"/>
    <col min="13057" max="13057" width="5.19921875" style="1555" customWidth="1"/>
    <col min="13058" max="13058" width="47.59765625" style="1555" customWidth="1"/>
    <col min="13059" max="13059" width="8.09765625" style="1555" customWidth="1"/>
    <col min="13060" max="13060" width="18" style="1555" customWidth="1"/>
    <col min="13061" max="13061" width="29.09765625" style="1555" customWidth="1"/>
    <col min="13062" max="13312" width="9" style="1555"/>
    <col min="13313" max="13313" width="5.19921875" style="1555" customWidth="1"/>
    <col min="13314" max="13314" width="47.59765625" style="1555" customWidth="1"/>
    <col min="13315" max="13315" width="8.09765625" style="1555" customWidth="1"/>
    <col min="13316" max="13316" width="18" style="1555" customWidth="1"/>
    <col min="13317" max="13317" width="29.09765625" style="1555" customWidth="1"/>
    <col min="13318" max="13568" width="9" style="1555"/>
    <col min="13569" max="13569" width="5.19921875" style="1555" customWidth="1"/>
    <col min="13570" max="13570" width="47.59765625" style="1555" customWidth="1"/>
    <col min="13571" max="13571" width="8.09765625" style="1555" customWidth="1"/>
    <col min="13572" max="13572" width="18" style="1555" customWidth="1"/>
    <col min="13573" max="13573" width="29.09765625" style="1555" customWidth="1"/>
    <col min="13574" max="13824" width="9" style="1555"/>
    <col min="13825" max="13825" width="5.19921875" style="1555" customWidth="1"/>
    <col min="13826" max="13826" width="47.59765625" style="1555" customWidth="1"/>
    <col min="13827" max="13827" width="8.09765625" style="1555" customWidth="1"/>
    <col min="13828" max="13828" width="18" style="1555" customWidth="1"/>
    <col min="13829" max="13829" width="29.09765625" style="1555" customWidth="1"/>
    <col min="13830" max="14080" width="9" style="1555"/>
    <col min="14081" max="14081" width="5.19921875" style="1555" customWidth="1"/>
    <col min="14082" max="14082" width="47.59765625" style="1555" customWidth="1"/>
    <col min="14083" max="14083" width="8.09765625" style="1555" customWidth="1"/>
    <col min="14084" max="14084" width="18" style="1555" customWidth="1"/>
    <col min="14085" max="14085" width="29.09765625" style="1555" customWidth="1"/>
    <col min="14086" max="14336" width="9" style="1555"/>
    <col min="14337" max="14337" width="5.19921875" style="1555" customWidth="1"/>
    <col min="14338" max="14338" width="47.59765625" style="1555" customWidth="1"/>
    <col min="14339" max="14339" width="8.09765625" style="1555" customWidth="1"/>
    <col min="14340" max="14340" width="18" style="1555" customWidth="1"/>
    <col min="14341" max="14341" width="29.09765625" style="1555" customWidth="1"/>
    <col min="14342" max="14592" width="9" style="1555"/>
    <col min="14593" max="14593" width="5.19921875" style="1555" customWidth="1"/>
    <col min="14594" max="14594" width="47.59765625" style="1555" customWidth="1"/>
    <col min="14595" max="14595" width="8.09765625" style="1555" customWidth="1"/>
    <col min="14596" max="14596" width="18" style="1555" customWidth="1"/>
    <col min="14597" max="14597" width="29.09765625" style="1555" customWidth="1"/>
    <col min="14598" max="14848" width="9" style="1555"/>
    <col min="14849" max="14849" width="5.19921875" style="1555" customWidth="1"/>
    <col min="14850" max="14850" width="47.59765625" style="1555" customWidth="1"/>
    <col min="14851" max="14851" width="8.09765625" style="1555" customWidth="1"/>
    <col min="14852" max="14852" width="18" style="1555" customWidth="1"/>
    <col min="14853" max="14853" width="29.09765625" style="1555" customWidth="1"/>
    <col min="14854" max="15104" width="9" style="1555"/>
    <col min="15105" max="15105" width="5.19921875" style="1555" customWidth="1"/>
    <col min="15106" max="15106" width="47.59765625" style="1555" customWidth="1"/>
    <col min="15107" max="15107" width="8.09765625" style="1555" customWidth="1"/>
    <col min="15108" max="15108" width="18" style="1555" customWidth="1"/>
    <col min="15109" max="15109" width="29.09765625" style="1555" customWidth="1"/>
    <col min="15110" max="15360" width="9" style="1555"/>
    <col min="15361" max="15361" width="5.19921875" style="1555" customWidth="1"/>
    <col min="15362" max="15362" width="47.59765625" style="1555" customWidth="1"/>
    <col min="15363" max="15363" width="8.09765625" style="1555" customWidth="1"/>
    <col min="15364" max="15364" width="18" style="1555" customWidth="1"/>
    <col min="15365" max="15365" width="29.09765625" style="1555" customWidth="1"/>
    <col min="15366" max="15616" width="9" style="1555"/>
    <col min="15617" max="15617" width="5.19921875" style="1555" customWidth="1"/>
    <col min="15618" max="15618" width="47.59765625" style="1555" customWidth="1"/>
    <col min="15619" max="15619" width="8.09765625" style="1555" customWidth="1"/>
    <col min="15620" max="15620" width="18" style="1555" customWidth="1"/>
    <col min="15621" max="15621" width="29.09765625" style="1555" customWidth="1"/>
    <col min="15622" max="15872" width="9" style="1555"/>
    <col min="15873" max="15873" width="5.19921875" style="1555" customWidth="1"/>
    <col min="15874" max="15874" width="47.59765625" style="1555" customWidth="1"/>
    <col min="15875" max="15875" width="8.09765625" style="1555" customWidth="1"/>
    <col min="15876" max="15876" width="18" style="1555" customWidth="1"/>
    <col min="15877" max="15877" width="29.09765625" style="1555" customWidth="1"/>
    <col min="15878" max="16128" width="9" style="1555"/>
    <col min="16129" max="16129" width="5.19921875" style="1555" customWidth="1"/>
    <col min="16130" max="16130" width="47.59765625" style="1555" customWidth="1"/>
    <col min="16131" max="16131" width="8.09765625" style="1555" customWidth="1"/>
    <col min="16132" max="16132" width="18" style="1555" customWidth="1"/>
    <col min="16133" max="16133" width="29.09765625" style="1555" customWidth="1"/>
    <col min="16134" max="16384" width="9" style="1555"/>
  </cols>
  <sheetData>
    <row r="1" spans="1:6" s="1650" customFormat="1" ht="20.100000000000001" customHeight="1">
      <c r="A1" s="3378"/>
      <c r="B1" s="3378"/>
      <c r="C1" s="3378"/>
      <c r="D1" s="2183" t="str">
        <f>"索引号："&amp;档案索引!A43</f>
        <v>索引号：2A-23</v>
      </c>
    </row>
    <row r="2" spans="1:6" ht="25.5" customHeight="1">
      <c r="A2" s="3442" t="s">
        <v>5932</v>
      </c>
      <c r="B2" s="3442"/>
      <c r="C2" s="3442"/>
      <c r="D2" s="1833"/>
    </row>
    <row r="3" spans="1:6" ht="14.25" customHeight="1">
      <c r="A3" s="1814" t="s">
        <v>1854</v>
      </c>
      <c r="B3" s="1814" t="s">
        <v>5427</v>
      </c>
      <c r="C3" s="1810" t="s">
        <v>558</v>
      </c>
      <c r="D3" s="1852" t="s">
        <v>5153</v>
      </c>
    </row>
    <row r="4" spans="1:6" ht="14.25" customHeight="1">
      <c r="A4" s="1810">
        <v>1</v>
      </c>
      <c r="B4" s="1820" t="s">
        <v>5428</v>
      </c>
      <c r="C4" s="2077">
        <f>C5+C11</f>
        <v>0</v>
      </c>
      <c r="D4" s="1923"/>
    </row>
    <row r="5" spans="1:6" ht="14.25" customHeight="1">
      <c r="A5" s="1810">
        <v>2</v>
      </c>
      <c r="B5" s="1820" t="s">
        <v>5429</v>
      </c>
      <c r="C5" s="2077">
        <f>SUM(C6:C10)</f>
        <v>0</v>
      </c>
      <c r="D5" s="1923"/>
      <c r="F5" s="1578"/>
    </row>
    <row r="6" spans="1:6" ht="14.25" customHeight="1">
      <c r="A6" s="1810">
        <v>3</v>
      </c>
      <c r="B6" s="1820" t="s">
        <v>5430</v>
      </c>
      <c r="C6" s="2079"/>
      <c r="D6" s="1923"/>
    </row>
    <row r="7" spans="1:6" ht="14.25" customHeight="1">
      <c r="A7" s="1810">
        <v>4</v>
      </c>
      <c r="B7" s="1820" t="s">
        <v>5431</v>
      </c>
      <c r="C7" s="2079"/>
      <c r="D7" s="1923"/>
    </row>
    <row r="8" spans="1:6" ht="14.25" customHeight="1">
      <c r="A8" s="1810">
        <v>5</v>
      </c>
      <c r="B8" s="1820" t="s">
        <v>5432</v>
      </c>
      <c r="C8" s="2079"/>
      <c r="D8" s="1923"/>
    </row>
    <row r="9" spans="1:6" ht="14.25" customHeight="1">
      <c r="A9" s="1810">
        <v>6</v>
      </c>
      <c r="B9" s="1820" t="s">
        <v>5433</v>
      </c>
      <c r="C9" s="2079"/>
      <c r="D9" s="1923"/>
    </row>
    <row r="10" spans="1:6" ht="14.25" customHeight="1">
      <c r="A10" s="1810">
        <v>7</v>
      </c>
      <c r="B10" s="1820" t="s">
        <v>5434</v>
      </c>
      <c r="C10" s="2079"/>
      <c r="D10" s="1923"/>
    </row>
    <row r="11" spans="1:6" ht="14.25" customHeight="1">
      <c r="A11" s="1810">
        <v>8</v>
      </c>
      <c r="B11" s="1820" t="s">
        <v>5435</v>
      </c>
      <c r="C11" s="2079"/>
      <c r="D11" s="1923"/>
    </row>
    <row r="12" spans="1:6" ht="14.25" customHeight="1">
      <c r="A12" s="1810">
        <v>9</v>
      </c>
      <c r="B12" s="1820" t="s">
        <v>5436</v>
      </c>
      <c r="C12" s="2077">
        <f>C13+C19</f>
        <v>0</v>
      </c>
      <c r="D12" s="1923"/>
    </row>
    <row r="13" spans="1:6" ht="14.25" customHeight="1">
      <c r="A13" s="1810">
        <v>10</v>
      </c>
      <c r="B13" s="1820" t="s">
        <v>5437</v>
      </c>
      <c r="C13" s="2077">
        <f>SUM(C14:C18)</f>
        <v>0</v>
      </c>
      <c r="D13" s="1923"/>
      <c r="E13" s="1675" t="s">
        <v>6453</v>
      </c>
    </row>
    <row r="14" spans="1:6" ht="14.25" customHeight="1">
      <c r="A14" s="1810">
        <v>11</v>
      </c>
      <c r="B14" s="1820" t="s">
        <v>5438</v>
      </c>
      <c r="C14" s="2079"/>
      <c r="D14" s="1923"/>
    </row>
    <row r="15" spans="1:6" ht="14.25" customHeight="1">
      <c r="A15" s="1810">
        <v>12</v>
      </c>
      <c r="B15" s="1820" t="s">
        <v>5439</v>
      </c>
      <c r="C15" s="2079"/>
      <c r="D15" s="1923"/>
    </row>
    <row r="16" spans="1:6" ht="14.25" customHeight="1">
      <c r="A16" s="1810">
        <v>13</v>
      </c>
      <c r="B16" s="1820" t="s">
        <v>5440</v>
      </c>
      <c r="C16" s="2079"/>
      <c r="D16" s="1923"/>
    </row>
    <row r="17" spans="1:9" ht="14.25" customHeight="1">
      <c r="A17" s="1810">
        <v>14</v>
      </c>
      <c r="B17" s="1820" t="s">
        <v>5441</v>
      </c>
      <c r="C17" s="2079"/>
      <c r="D17" s="1923"/>
    </row>
    <row r="18" spans="1:9" ht="14.25" customHeight="1">
      <c r="A18" s="1810">
        <v>15</v>
      </c>
      <c r="B18" s="1820" t="s">
        <v>5442</v>
      </c>
      <c r="C18" s="2079"/>
      <c r="D18" s="1923"/>
    </row>
    <row r="19" spans="1:9" ht="14.25" customHeight="1">
      <c r="A19" s="1810">
        <v>16</v>
      </c>
      <c r="B19" s="1820" t="s">
        <v>5443</v>
      </c>
      <c r="C19" s="2079"/>
      <c r="D19" s="1923"/>
    </row>
    <row r="20" spans="1:9" ht="14.25" customHeight="1">
      <c r="A20" s="1810">
        <v>17</v>
      </c>
      <c r="B20" s="1820" t="s">
        <v>5444</v>
      </c>
      <c r="C20" s="2077">
        <f>C4-C12</f>
        <v>0</v>
      </c>
      <c r="D20" s="1923"/>
    </row>
    <row r="21" spans="1:9" ht="14.25" customHeight="1">
      <c r="A21" s="1810">
        <v>18</v>
      </c>
      <c r="B21" s="1820" t="s">
        <v>5445</v>
      </c>
      <c r="C21" s="2077">
        <f>C22+C23+C24</f>
        <v>0</v>
      </c>
      <c r="D21" s="1923"/>
    </row>
    <row r="22" spans="1:9" s="1579" customFormat="1" ht="14.25" customHeight="1">
      <c r="A22" s="1810">
        <v>19</v>
      </c>
      <c r="B22" s="1820" t="s">
        <v>5446</v>
      </c>
      <c r="C22" s="2078"/>
      <c r="D22" s="1923"/>
    </row>
    <row r="23" spans="1:9" s="1579" customFormat="1" ht="14.25" customHeight="1">
      <c r="A23" s="1810">
        <v>20</v>
      </c>
      <c r="B23" s="1821" t="s">
        <v>5447</v>
      </c>
      <c r="C23" s="2078"/>
      <c r="D23" s="1923"/>
    </row>
    <row r="24" spans="1:9" s="1579" customFormat="1" ht="14.25" customHeight="1">
      <c r="A24" s="1810">
        <v>21</v>
      </c>
      <c r="B24" s="1821" t="s">
        <v>5448</v>
      </c>
      <c r="C24" s="2078"/>
      <c r="D24" s="1923"/>
    </row>
    <row r="25" spans="1:9" s="1579" customFormat="1" ht="14.25" customHeight="1">
      <c r="A25" s="1810">
        <v>22</v>
      </c>
      <c r="B25" s="1820" t="s">
        <v>5449</v>
      </c>
      <c r="C25" s="2078"/>
      <c r="D25" s="1923"/>
    </row>
    <row r="26" spans="1:9" s="1579" customFormat="1" ht="14.25" customHeight="1">
      <c r="A26" s="1810">
        <v>23</v>
      </c>
      <c r="B26" s="1820" t="s">
        <v>5450</v>
      </c>
      <c r="C26" s="2078"/>
      <c r="D26" s="1923"/>
    </row>
    <row r="27" spans="1:9" s="1579" customFormat="1" ht="55.5" customHeight="1">
      <c r="A27" s="1810">
        <v>24</v>
      </c>
      <c r="B27" s="1820" t="s">
        <v>5451</v>
      </c>
      <c r="C27" s="2077">
        <f>C21-C25-C26</f>
        <v>0</v>
      </c>
      <c r="D27" s="1821" t="s">
        <v>5452</v>
      </c>
      <c r="E27" s="1580"/>
    </row>
    <row r="28" spans="1:9" s="1552" customFormat="1" ht="14.25" customHeight="1">
      <c r="A28" s="2181"/>
      <c r="B28" s="2181"/>
      <c r="C28" s="2181"/>
      <c r="D28" s="2182"/>
      <c r="E28" s="1541"/>
      <c r="F28" s="1651"/>
      <c r="G28" s="1651"/>
      <c r="H28" s="1651"/>
      <c r="I28" s="1651"/>
    </row>
    <row r="29" spans="1:9">
      <c r="A29" s="2165"/>
      <c r="B29" s="2165"/>
      <c r="C29" s="2165"/>
      <c r="D29" s="2165"/>
    </row>
    <row r="30" spans="1:9">
      <c r="A30" s="3443"/>
      <c r="B30" s="3443"/>
      <c r="C30" s="3443"/>
      <c r="D30" s="3443"/>
    </row>
    <row r="31" spans="1:9">
      <c r="A31" s="3443"/>
      <c r="B31" s="3443"/>
      <c r="C31" s="3443"/>
      <c r="D31" s="3443"/>
    </row>
  </sheetData>
  <mergeCells count="4">
    <mergeCell ref="A1:C1"/>
    <mergeCell ref="A2:C2"/>
    <mergeCell ref="A31:D31"/>
    <mergeCell ref="A30:D30"/>
  </mergeCells>
  <phoneticPr fontId="51" type="noConversion"/>
  <hyperlinks>
    <hyperlink ref="E13" location="A105110政策性搬迁纳税调整明细表!A1" display="A105110政策性搬迁纳税调整明细表!A1"/>
  </hyperlinks>
  <printOptions horizontalCentered="1"/>
  <pageMargins left="0.78740157480314998" right="0.35433070866141703" top="0.511811023622047" bottom="0.11811023622047198" header="0.511811023622047" footer="0.511811023622047"/>
  <pageSetup paperSize="9" orientation="portrait" r:id="rId1"/>
  <headerFooter alignWithMargins="0"/>
</worksheet>
</file>

<file path=xl/worksheets/sheet5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65">
    <tabColor rgb="FFFFFF00"/>
  </sheetPr>
  <dimension ref="A1:J35"/>
  <sheetViews>
    <sheetView workbookViewId="0">
      <selection activeCell="D17" sqref="D17"/>
    </sheetView>
  </sheetViews>
  <sheetFormatPr defaultRowHeight="15.6"/>
  <cols>
    <col min="1" max="1" width="5.19921875" style="1651" customWidth="1"/>
    <col min="2" max="2" width="34.09765625" style="1651" customWidth="1"/>
    <col min="3" max="5" width="12.3984375" style="1651" customWidth="1"/>
    <col min="6" max="6" width="13.09765625" style="1651" customWidth="1"/>
    <col min="7" max="256" width="9" style="1651"/>
    <col min="257" max="257" width="5.19921875" style="1651" customWidth="1"/>
    <col min="258" max="258" width="34.09765625" style="1651" customWidth="1"/>
    <col min="259" max="259" width="8.59765625" style="1651" customWidth="1"/>
    <col min="260" max="260" width="8.5" style="1651" customWidth="1"/>
    <col min="261" max="261" width="8.69921875" style="1651" customWidth="1"/>
    <col min="262" max="262" width="13.09765625" style="1651" customWidth="1"/>
    <col min="263" max="512" width="9" style="1651"/>
    <col min="513" max="513" width="5.19921875" style="1651" customWidth="1"/>
    <col min="514" max="514" width="34.09765625" style="1651" customWidth="1"/>
    <col min="515" max="515" width="8.59765625" style="1651" customWidth="1"/>
    <col min="516" max="516" width="8.5" style="1651" customWidth="1"/>
    <col min="517" max="517" width="8.69921875" style="1651" customWidth="1"/>
    <col min="518" max="518" width="13.09765625" style="1651" customWidth="1"/>
    <col min="519" max="768" width="9" style="1651"/>
    <col min="769" max="769" width="5.19921875" style="1651" customWidth="1"/>
    <col min="770" max="770" width="34.09765625" style="1651" customWidth="1"/>
    <col min="771" max="771" width="8.59765625" style="1651" customWidth="1"/>
    <col min="772" max="772" width="8.5" style="1651" customWidth="1"/>
    <col min="773" max="773" width="8.69921875" style="1651" customWidth="1"/>
    <col min="774" max="774" width="13.09765625" style="1651" customWidth="1"/>
    <col min="775" max="1024" width="9" style="1651"/>
    <col min="1025" max="1025" width="5.19921875" style="1651" customWidth="1"/>
    <col min="1026" max="1026" width="34.09765625" style="1651" customWidth="1"/>
    <col min="1027" max="1027" width="8.59765625" style="1651" customWidth="1"/>
    <col min="1028" max="1028" width="8.5" style="1651" customWidth="1"/>
    <col min="1029" max="1029" width="8.69921875" style="1651" customWidth="1"/>
    <col min="1030" max="1030" width="13.09765625" style="1651" customWidth="1"/>
    <col min="1031" max="1280" width="9" style="1651"/>
    <col min="1281" max="1281" width="5.19921875" style="1651" customWidth="1"/>
    <col min="1282" max="1282" width="34.09765625" style="1651" customWidth="1"/>
    <col min="1283" max="1283" width="8.59765625" style="1651" customWidth="1"/>
    <col min="1284" max="1284" width="8.5" style="1651" customWidth="1"/>
    <col min="1285" max="1285" width="8.69921875" style="1651" customWidth="1"/>
    <col min="1286" max="1286" width="13.09765625" style="1651" customWidth="1"/>
    <col min="1287" max="1536" width="9" style="1651"/>
    <col min="1537" max="1537" width="5.19921875" style="1651" customWidth="1"/>
    <col min="1538" max="1538" width="34.09765625" style="1651" customWidth="1"/>
    <col min="1539" max="1539" width="8.59765625" style="1651" customWidth="1"/>
    <col min="1540" max="1540" width="8.5" style="1651" customWidth="1"/>
    <col min="1541" max="1541" width="8.69921875" style="1651" customWidth="1"/>
    <col min="1542" max="1542" width="13.09765625" style="1651" customWidth="1"/>
    <col min="1543" max="1792" width="9" style="1651"/>
    <col min="1793" max="1793" width="5.19921875" style="1651" customWidth="1"/>
    <col min="1794" max="1794" width="34.09765625" style="1651" customWidth="1"/>
    <col min="1795" max="1795" width="8.59765625" style="1651" customWidth="1"/>
    <col min="1796" max="1796" width="8.5" style="1651" customWidth="1"/>
    <col min="1797" max="1797" width="8.69921875" style="1651" customWidth="1"/>
    <col min="1798" max="1798" width="13.09765625" style="1651" customWidth="1"/>
    <col min="1799" max="2048" width="9" style="1651"/>
    <col min="2049" max="2049" width="5.19921875" style="1651" customWidth="1"/>
    <col min="2050" max="2050" width="34.09765625" style="1651" customWidth="1"/>
    <col min="2051" max="2051" width="8.59765625" style="1651" customWidth="1"/>
    <col min="2052" max="2052" width="8.5" style="1651" customWidth="1"/>
    <col min="2053" max="2053" width="8.69921875" style="1651" customWidth="1"/>
    <col min="2054" max="2054" width="13.09765625" style="1651" customWidth="1"/>
    <col min="2055" max="2304" width="9" style="1651"/>
    <col min="2305" max="2305" width="5.19921875" style="1651" customWidth="1"/>
    <col min="2306" max="2306" width="34.09765625" style="1651" customWidth="1"/>
    <col min="2307" max="2307" width="8.59765625" style="1651" customWidth="1"/>
    <col min="2308" max="2308" width="8.5" style="1651" customWidth="1"/>
    <col min="2309" max="2309" width="8.69921875" style="1651" customWidth="1"/>
    <col min="2310" max="2310" width="13.09765625" style="1651" customWidth="1"/>
    <col min="2311" max="2560" width="9" style="1651"/>
    <col min="2561" max="2561" width="5.19921875" style="1651" customWidth="1"/>
    <col min="2562" max="2562" width="34.09765625" style="1651" customWidth="1"/>
    <col min="2563" max="2563" width="8.59765625" style="1651" customWidth="1"/>
    <col min="2564" max="2564" width="8.5" style="1651" customWidth="1"/>
    <col min="2565" max="2565" width="8.69921875" style="1651" customWidth="1"/>
    <col min="2566" max="2566" width="13.09765625" style="1651" customWidth="1"/>
    <col min="2567" max="2816" width="9" style="1651"/>
    <col min="2817" max="2817" width="5.19921875" style="1651" customWidth="1"/>
    <col min="2818" max="2818" width="34.09765625" style="1651" customWidth="1"/>
    <col min="2819" max="2819" width="8.59765625" style="1651" customWidth="1"/>
    <col min="2820" max="2820" width="8.5" style="1651" customWidth="1"/>
    <col min="2821" max="2821" width="8.69921875" style="1651" customWidth="1"/>
    <col min="2822" max="2822" width="13.09765625" style="1651" customWidth="1"/>
    <col min="2823" max="3072" width="9" style="1651"/>
    <col min="3073" max="3073" width="5.19921875" style="1651" customWidth="1"/>
    <col min="3074" max="3074" width="34.09765625" style="1651" customWidth="1"/>
    <col min="3075" max="3075" width="8.59765625" style="1651" customWidth="1"/>
    <col min="3076" max="3076" width="8.5" style="1651" customWidth="1"/>
    <col min="3077" max="3077" width="8.69921875" style="1651" customWidth="1"/>
    <col min="3078" max="3078" width="13.09765625" style="1651" customWidth="1"/>
    <col min="3079" max="3328" width="9" style="1651"/>
    <col min="3329" max="3329" width="5.19921875" style="1651" customWidth="1"/>
    <col min="3330" max="3330" width="34.09765625" style="1651" customWidth="1"/>
    <col min="3331" max="3331" width="8.59765625" style="1651" customWidth="1"/>
    <col min="3332" max="3332" width="8.5" style="1651" customWidth="1"/>
    <col min="3333" max="3333" width="8.69921875" style="1651" customWidth="1"/>
    <col min="3334" max="3334" width="13.09765625" style="1651" customWidth="1"/>
    <col min="3335" max="3584" width="9" style="1651"/>
    <col min="3585" max="3585" width="5.19921875" style="1651" customWidth="1"/>
    <col min="3586" max="3586" width="34.09765625" style="1651" customWidth="1"/>
    <col min="3587" max="3587" width="8.59765625" style="1651" customWidth="1"/>
    <col min="3588" max="3588" width="8.5" style="1651" customWidth="1"/>
    <col min="3589" max="3589" width="8.69921875" style="1651" customWidth="1"/>
    <col min="3590" max="3590" width="13.09765625" style="1651" customWidth="1"/>
    <col min="3591" max="3840" width="9" style="1651"/>
    <col min="3841" max="3841" width="5.19921875" style="1651" customWidth="1"/>
    <col min="3842" max="3842" width="34.09765625" style="1651" customWidth="1"/>
    <col min="3843" max="3843" width="8.59765625" style="1651" customWidth="1"/>
    <col min="3844" max="3844" width="8.5" style="1651" customWidth="1"/>
    <col min="3845" max="3845" width="8.69921875" style="1651" customWidth="1"/>
    <col min="3846" max="3846" width="13.09765625" style="1651" customWidth="1"/>
    <col min="3847" max="4096" width="9" style="1651"/>
    <col min="4097" max="4097" width="5.19921875" style="1651" customWidth="1"/>
    <col min="4098" max="4098" width="34.09765625" style="1651" customWidth="1"/>
    <col min="4099" max="4099" width="8.59765625" style="1651" customWidth="1"/>
    <col min="4100" max="4100" width="8.5" style="1651" customWidth="1"/>
    <col min="4101" max="4101" width="8.69921875" style="1651" customWidth="1"/>
    <col min="4102" max="4102" width="13.09765625" style="1651" customWidth="1"/>
    <col min="4103" max="4352" width="9" style="1651"/>
    <col min="4353" max="4353" width="5.19921875" style="1651" customWidth="1"/>
    <col min="4354" max="4354" width="34.09765625" style="1651" customWidth="1"/>
    <col min="4355" max="4355" width="8.59765625" style="1651" customWidth="1"/>
    <col min="4356" max="4356" width="8.5" style="1651" customWidth="1"/>
    <col min="4357" max="4357" width="8.69921875" style="1651" customWidth="1"/>
    <col min="4358" max="4358" width="13.09765625" style="1651" customWidth="1"/>
    <col min="4359" max="4608" width="9" style="1651"/>
    <col min="4609" max="4609" width="5.19921875" style="1651" customWidth="1"/>
    <col min="4610" max="4610" width="34.09765625" style="1651" customWidth="1"/>
    <col min="4611" max="4611" width="8.59765625" style="1651" customWidth="1"/>
    <col min="4612" max="4612" width="8.5" style="1651" customWidth="1"/>
    <col min="4613" max="4613" width="8.69921875" style="1651" customWidth="1"/>
    <col min="4614" max="4614" width="13.09765625" style="1651" customWidth="1"/>
    <col min="4615" max="4864" width="9" style="1651"/>
    <col min="4865" max="4865" width="5.19921875" style="1651" customWidth="1"/>
    <col min="4866" max="4866" width="34.09765625" style="1651" customWidth="1"/>
    <col min="4867" max="4867" width="8.59765625" style="1651" customWidth="1"/>
    <col min="4868" max="4868" width="8.5" style="1651" customWidth="1"/>
    <col min="4869" max="4869" width="8.69921875" style="1651" customWidth="1"/>
    <col min="4870" max="4870" width="13.09765625" style="1651" customWidth="1"/>
    <col min="4871" max="5120" width="9" style="1651"/>
    <col min="5121" max="5121" width="5.19921875" style="1651" customWidth="1"/>
    <col min="5122" max="5122" width="34.09765625" style="1651" customWidth="1"/>
    <col min="5123" max="5123" width="8.59765625" style="1651" customWidth="1"/>
    <col min="5124" max="5124" width="8.5" style="1651" customWidth="1"/>
    <col min="5125" max="5125" width="8.69921875" style="1651" customWidth="1"/>
    <col min="5126" max="5126" width="13.09765625" style="1651" customWidth="1"/>
    <col min="5127" max="5376" width="9" style="1651"/>
    <col min="5377" max="5377" width="5.19921875" style="1651" customWidth="1"/>
    <col min="5378" max="5378" width="34.09765625" style="1651" customWidth="1"/>
    <col min="5379" max="5379" width="8.59765625" style="1651" customWidth="1"/>
    <col min="5380" max="5380" width="8.5" style="1651" customWidth="1"/>
    <col min="5381" max="5381" width="8.69921875" style="1651" customWidth="1"/>
    <col min="5382" max="5382" width="13.09765625" style="1651" customWidth="1"/>
    <col min="5383" max="5632" width="9" style="1651"/>
    <col min="5633" max="5633" width="5.19921875" style="1651" customWidth="1"/>
    <col min="5634" max="5634" width="34.09765625" style="1651" customWidth="1"/>
    <col min="5635" max="5635" width="8.59765625" style="1651" customWidth="1"/>
    <col min="5636" max="5636" width="8.5" style="1651" customWidth="1"/>
    <col min="5637" max="5637" width="8.69921875" style="1651" customWidth="1"/>
    <col min="5638" max="5638" width="13.09765625" style="1651" customWidth="1"/>
    <col min="5639" max="5888" width="9" style="1651"/>
    <col min="5889" max="5889" width="5.19921875" style="1651" customWidth="1"/>
    <col min="5890" max="5890" width="34.09765625" style="1651" customWidth="1"/>
    <col min="5891" max="5891" width="8.59765625" style="1651" customWidth="1"/>
    <col min="5892" max="5892" width="8.5" style="1651" customWidth="1"/>
    <col min="5893" max="5893" width="8.69921875" style="1651" customWidth="1"/>
    <col min="5894" max="5894" width="13.09765625" style="1651" customWidth="1"/>
    <col min="5895" max="6144" width="9" style="1651"/>
    <col min="6145" max="6145" width="5.19921875" style="1651" customWidth="1"/>
    <col min="6146" max="6146" width="34.09765625" style="1651" customWidth="1"/>
    <col min="6147" max="6147" width="8.59765625" style="1651" customWidth="1"/>
    <col min="6148" max="6148" width="8.5" style="1651" customWidth="1"/>
    <col min="6149" max="6149" width="8.69921875" style="1651" customWidth="1"/>
    <col min="6150" max="6150" width="13.09765625" style="1651" customWidth="1"/>
    <col min="6151" max="6400" width="9" style="1651"/>
    <col min="6401" max="6401" width="5.19921875" style="1651" customWidth="1"/>
    <col min="6402" max="6402" width="34.09765625" style="1651" customWidth="1"/>
    <col min="6403" max="6403" width="8.59765625" style="1651" customWidth="1"/>
    <col min="6404" max="6404" width="8.5" style="1651" customWidth="1"/>
    <col min="6405" max="6405" width="8.69921875" style="1651" customWidth="1"/>
    <col min="6406" max="6406" width="13.09765625" style="1651" customWidth="1"/>
    <col min="6407" max="6656" width="9" style="1651"/>
    <col min="6657" max="6657" width="5.19921875" style="1651" customWidth="1"/>
    <col min="6658" max="6658" width="34.09765625" style="1651" customWidth="1"/>
    <col min="6659" max="6659" width="8.59765625" style="1651" customWidth="1"/>
    <col min="6660" max="6660" width="8.5" style="1651" customWidth="1"/>
    <col min="6661" max="6661" width="8.69921875" style="1651" customWidth="1"/>
    <col min="6662" max="6662" width="13.09765625" style="1651" customWidth="1"/>
    <col min="6663" max="6912" width="9" style="1651"/>
    <col min="6913" max="6913" width="5.19921875" style="1651" customWidth="1"/>
    <col min="6914" max="6914" width="34.09765625" style="1651" customWidth="1"/>
    <col min="6915" max="6915" width="8.59765625" style="1651" customWidth="1"/>
    <col min="6916" max="6916" width="8.5" style="1651" customWidth="1"/>
    <col min="6917" max="6917" width="8.69921875" style="1651" customWidth="1"/>
    <col min="6918" max="6918" width="13.09765625" style="1651" customWidth="1"/>
    <col min="6919" max="7168" width="9" style="1651"/>
    <col min="7169" max="7169" width="5.19921875" style="1651" customWidth="1"/>
    <col min="7170" max="7170" width="34.09765625" style="1651" customWidth="1"/>
    <col min="7171" max="7171" width="8.59765625" style="1651" customWidth="1"/>
    <col min="7172" max="7172" width="8.5" style="1651" customWidth="1"/>
    <col min="7173" max="7173" width="8.69921875" style="1651" customWidth="1"/>
    <col min="7174" max="7174" width="13.09765625" style="1651" customWidth="1"/>
    <col min="7175" max="7424" width="9" style="1651"/>
    <col min="7425" max="7425" width="5.19921875" style="1651" customWidth="1"/>
    <col min="7426" max="7426" width="34.09765625" style="1651" customWidth="1"/>
    <col min="7427" max="7427" width="8.59765625" style="1651" customWidth="1"/>
    <col min="7428" max="7428" width="8.5" style="1651" customWidth="1"/>
    <col min="7429" max="7429" width="8.69921875" style="1651" customWidth="1"/>
    <col min="7430" max="7430" width="13.09765625" style="1651" customWidth="1"/>
    <col min="7431" max="7680" width="9" style="1651"/>
    <col min="7681" max="7681" width="5.19921875" style="1651" customWidth="1"/>
    <col min="7682" max="7682" width="34.09765625" style="1651" customWidth="1"/>
    <col min="7683" max="7683" width="8.59765625" style="1651" customWidth="1"/>
    <col min="7684" max="7684" width="8.5" style="1651" customWidth="1"/>
    <col min="7685" max="7685" width="8.69921875" style="1651" customWidth="1"/>
    <col min="7686" max="7686" width="13.09765625" style="1651" customWidth="1"/>
    <col min="7687" max="7936" width="9" style="1651"/>
    <col min="7937" max="7937" width="5.19921875" style="1651" customWidth="1"/>
    <col min="7938" max="7938" width="34.09765625" style="1651" customWidth="1"/>
    <col min="7939" max="7939" width="8.59765625" style="1651" customWidth="1"/>
    <col min="7940" max="7940" width="8.5" style="1651" customWidth="1"/>
    <col min="7941" max="7941" width="8.69921875" style="1651" customWidth="1"/>
    <col min="7942" max="7942" width="13.09765625" style="1651" customWidth="1"/>
    <col min="7943" max="8192" width="9" style="1651"/>
    <col min="8193" max="8193" width="5.19921875" style="1651" customWidth="1"/>
    <col min="8194" max="8194" width="34.09765625" style="1651" customWidth="1"/>
    <col min="8195" max="8195" width="8.59765625" style="1651" customWidth="1"/>
    <col min="8196" max="8196" width="8.5" style="1651" customWidth="1"/>
    <col min="8197" max="8197" width="8.69921875" style="1651" customWidth="1"/>
    <col min="8198" max="8198" width="13.09765625" style="1651" customWidth="1"/>
    <col min="8199" max="8448" width="9" style="1651"/>
    <col min="8449" max="8449" width="5.19921875" style="1651" customWidth="1"/>
    <col min="8450" max="8450" width="34.09765625" style="1651" customWidth="1"/>
    <col min="8451" max="8451" width="8.59765625" style="1651" customWidth="1"/>
    <col min="8452" max="8452" width="8.5" style="1651" customWidth="1"/>
    <col min="8453" max="8453" width="8.69921875" style="1651" customWidth="1"/>
    <col min="8454" max="8454" width="13.09765625" style="1651" customWidth="1"/>
    <col min="8455" max="8704" width="9" style="1651"/>
    <col min="8705" max="8705" width="5.19921875" style="1651" customWidth="1"/>
    <col min="8706" max="8706" width="34.09765625" style="1651" customWidth="1"/>
    <col min="8707" max="8707" width="8.59765625" style="1651" customWidth="1"/>
    <col min="8708" max="8708" width="8.5" style="1651" customWidth="1"/>
    <col min="8709" max="8709" width="8.69921875" style="1651" customWidth="1"/>
    <col min="8710" max="8710" width="13.09765625" style="1651" customWidth="1"/>
    <col min="8711" max="8960" width="9" style="1651"/>
    <col min="8961" max="8961" width="5.19921875" style="1651" customWidth="1"/>
    <col min="8962" max="8962" width="34.09765625" style="1651" customWidth="1"/>
    <col min="8963" max="8963" width="8.59765625" style="1651" customWidth="1"/>
    <col min="8964" max="8964" width="8.5" style="1651" customWidth="1"/>
    <col min="8965" max="8965" width="8.69921875" style="1651" customWidth="1"/>
    <col min="8966" max="8966" width="13.09765625" style="1651" customWidth="1"/>
    <col min="8967" max="9216" width="9" style="1651"/>
    <col min="9217" max="9217" width="5.19921875" style="1651" customWidth="1"/>
    <col min="9218" max="9218" width="34.09765625" style="1651" customWidth="1"/>
    <col min="9219" max="9219" width="8.59765625" style="1651" customWidth="1"/>
    <col min="9220" max="9220" width="8.5" style="1651" customWidth="1"/>
    <col min="9221" max="9221" width="8.69921875" style="1651" customWidth="1"/>
    <col min="9222" max="9222" width="13.09765625" style="1651" customWidth="1"/>
    <col min="9223" max="9472" width="9" style="1651"/>
    <col min="9473" max="9473" width="5.19921875" style="1651" customWidth="1"/>
    <col min="9474" max="9474" width="34.09765625" style="1651" customWidth="1"/>
    <col min="9475" max="9475" width="8.59765625" style="1651" customWidth="1"/>
    <col min="9476" max="9476" width="8.5" style="1651" customWidth="1"/>
    <col min="9477" max="9477" width="8.69921875" style="1651" customWidth="1"/>
    <col min="9478" max="9478" width="13.09765625" style="1651" customWidth="1"/>
    <col min="9479" max="9728" width="9" style="1651"/>
    <col min="9729" max="9729" width="5.19921875" style="1651" customWidth="1"/>
    <col min="9730" max="9730" width="34.09765625" style="1651" customWidth="1"/>
    <col min="9731" max="9731" width="8.59765625" style="1651" customWidth="1"/>
    <col min="9732" max="9732" width="8.5" style="1651" customWidth="1"/>
    <col min="9733" max="9733" width="8.69921875" style="1651" customWidth="1"/>
    <col min="9734" max="9734" width="13.09765625" style="1651" customWidth="1"/>
    <col min="9735" max="9984" width="9" style="1651"/>
    <col min="9985" max="9985" width="5.19921875" style="1651" customWidth="1"/>
    <col min="9986" max="9986" width="34.09765625" style="1651" customWidth="1"/>
    <col min="9987" max="9987" width="8.59765625" style="1651" customWidth="1"/>
    <col min="9988" max="9988" width="8.5" style="1651" customWidth="1"/>
    <col min="9989" max="9989" width="8.69921875" style="1651" customWidth="1"/>
    <col min="9990" max="9990" width="13.09765625" style="1651" customWidth="1"/>
    <col min="9991" max="10240" width="9" style="1651"/>
    <col min="10241" max="10241" width="5.19921875" style="1651" customWidth="1"/>
    <col min="10242" max="10242" width="34.09765625" style="1651" customWidth="1"/>
    <col min="10243" max="10243" width="8.59765625" style="1651" customWidth="1"/>
    <col min="10244" max="10244" width="8.5" style="1651" customWidth="1"/>
    <col min="10245" max="10245" width="8.69921875" style="1651" customWidth="1"/>
    <col min="10246" max="10246" width="13.09765625" style="1651" customWidth="1"/>
    <col min="10247" max="10496" width="9" style="1651"/>
    <col min="10497" max="10497" width="5.19921875" style="1651" customWidth="1"/>
    <col min="10498" max="10498" width="34.09765625" style="1651" customWidth="1"/>
    <col min="10499" max="10499" width="8.59765625" style="1651" customWidth="1"/>
    <col min="10500" max="10500" width="8.5" style="1651" customWidth="1"/>
    <col min="10501" max="10501" width="8.69921875" style="1651" customWidth="1"/>
    <col min="10502" max="10502" width="13.09765625" style="1651" customWidth="1"/>
    <col min="10503" max="10752" width="9" style="1651"/>
    <col min="10753" max="10753" width="5.19921875" style="1651" customWidth="1"/>
    <col min="10754" max="10754" width="34.09765625" style="1651" customWidth="1"/>
    <col min="10755" max="10755" width="8.59765625" style="1651" customWidth="1"/>
    <col min="10756" max="10756" width="8.5" style="1651" customWidth="1"/>
    <col min="10757" max="10757" width="8.69921875" style="1651" customWidth="1"/>
    <col min="10758" max="10758" width="13.09765625" style="1651" customWidth="1"/>
    <col min="10759" max="11008" width="9" style="1651"/>
    <col min="11009" max="11009" width="5.19921875" style="1651" customWidth="1"/>
    <col min="11010" max="11010" width="34.09765625" style="1651" customWidth="1"/>
    <col min="11011" max="11011" width="8.59765625" style="1651" customWidth="1"/>
    <col min="11012" max="11012" width="8.5" style="1651" customWidth="1"/>
    <col min="11013" max="11013" width="8.69921875" style="1651" customWidth="1"/>
    <col min="11014" max="11014" width="13.09765625" style="1651" customWidth="1"/>
    <col min="11015" max="11264" width="9" style="1651"/>
    <col min="11265" max="11265" width="5.19921875" style="1651" customWidth="1"/>
    <col min="11266" max="11266" width="34.09765625" style="1651" customWidth="1"/>
    <col min="11267" max="11267" width="8.59765625" style="1651" customWidth="1"/>
    <col min="11268" max="11268" width="8.5" style="1651" customWidth="1"/>
    <col min="11269" max="11269" width="8.69921875" style="1651" customWidth="1"/>
    <col min="11270" max="11270" width="13.09765625" style="1651" customWidth="1"/>
    <col min="11271" max="11520" width="9" style="1651"/>
    <col min="11521" max="11521" width="5.19921875" style="1651" customWidth="1"/>
    <col min="11522" max="11522" width="34.09765625" style="1651" customWidth="1"/>
    <col min="11523" max="11523" width="8.59765625" style="1651" customWidth="1"/>
    <col min="11524" max="11524" width="8.5" style="1651" customWidth="1"/>
    <col min="11525" max="11525" width="8.69921875" style="1651" customWidth="1"/>
    <col min="11526" max="11526" width="13.09765625" style="1651" customWidth="1"/>
    <col min="11527" max="11776" width="9" style="1651"/>
    <col min="11777" max="11777" width="5.19921875" style="1651" customWidth="1"/>
    <col min="11778" max="11778" width="34.09765625" style="1651" customWidth="1"/>
    <col min="11779" max="11779" width="8.59765625" style="1651" customWidth="1"/>
    <col min="11780" max="11780" width="8.5" style="1651" customWidth="1"/>
    <col min="11781" max="11781" width="8.69921875" style="1651" customWidth="1"/>
    <col min="11782" max="11782" width="13.09765625" style="1651" customWidth="1"/>
    <col min="11783" max="12032" width="9" style="1651"/>
    <col min="12033" max="12033" width="5.19921875" style="1651" customWidth="1"/>
    <col min="12034" max="12034" width="34.09765625" style="1651" customWidth="1"/>
    <col min="12035" max="12035" width="8.59765625" style="1651" customWidth="1"/>
    <col min="12036" max="12036" width="8.5" style="1651" customWidth="1"/>
    <col min="12037" max="12037" width="8.69921875" style="1651" customWidth="1"/>
    <col min="12038" max="12038" width="13.09765625" style="1651" customWidth="1"/>
    <col min="12039" max="12288" width="9" style="1651"/>
    <col min="12289" max="12289" width="5.19921875" style="1651" customWidth="1"/>
    <col min="12290" max="12290" width="34.09765625" style="1651" customWidth="1"/>
    <col min="12291" max="12291" width="8.59765625" style="1651" customWidth="1"/>
    <col min="12292" max="12292" width="8.5" style="1651" customWidth="1"/>
    <col min="12293" max="12293" width="8.69921875" style="1651" customWidth="1"/>
    <col min="12294" max="12294" width="13.09765625" style="1651" customWidth="1"/>
    <col min="12295" max="12544" width="9" style="1651"/>
    <col min="12545" max="12545" width="5.19921875" style="1651" customWidth="1"/>
    <col min="12546" max="12546" width="34.09765625" style="1651" customWidth="1"/>
    <col min="12547" max="12547" width="8.59765625" style="1651" customWidth="1"/>
    <col min="12548" max="12548" width="8.5" style="1651" customWidth="1"/>
    <col min="12549" max="12549" width="8.69921875" style="1651" customWidth="1"/>
    <col min="12550" max="12550" width="13.09765625" style="1651" customWidth="1"/>
    <col min="12551" max="12800" width="9" style="1651"/>
    <col min="12801" max="12801" width="5.19921875" style="1651" customWidth="1"/>
    <col min="12802" max="12802" width="34.09765625" style="1651" customWidth="1"/>
    <col min="12803" max="12803" width="8.59765625" style="1651" customWidth="1"/>
    <col min="12804" max="12804" width="8.5" style="1651" customWidth="1"/>
    <col min="12805" max="12805" width="8.69921875" style="1651" customWidth="1"/>
    <col min="12806" max="12806" width="13.09765625" style="1651" customWidth="1"/>
    <col min="12807" max="13056" width="9" style="1651"/>
    <col min="13057" max="13057" width="5.19921875" style="1651" customWidth="1"/>
    <col min="13058" max="13058" width="34.09765625" style="1651" customWidth="1"/>
    <col min="13059" max="13059" width="8.59765625" style="1651" customWidth="1"/>
    <col min="13060" max="13060" width="8.5" style="1651" customWidth="1"/>
    <col min="13061" max="13061" width="8.69921875" style="1651" customWidth="1"/>
    <col min="13062" max="13062" width="13.09765625" style="1651" customWidth="1"/>
    <col min="13063" max="13312" width="9" style="1651"/>
    <col min="13313" max="13313" width="5.19921875" style="1651" customWidth="1"/>
    <col min="13314" max="13314" width="34.09765625" style="1651" customWidth="1"/>
    <col min="13315" max="13315" width="8.59765625" style="1651" customWidth="1"/>
    <col min="13316" max="13316" width="8.5" style="1651" customWidth="1"/>
    <col min="13317" max="13317" width="8.69921875" style="1651" customWidth="1"/>
    <col min="13318" max="13318" width="13.09765625" style="1651" customWidth="1"/>
    <col min="13319" max="13568" width="9" style="1651"/>
    <col min="13569" max="13569" width="5.19921875" style="1651" customWidth="1"/>
    <col min="13570" max="13570" width="34.09765625" style="1651" customWidth="1"/>
    <col min="13571" max="13571" width="8.59765625" style="1651" customWidth="1"/>
    <col min="13572" max="13572" width="8.5" style="1651" customWidth="1"/>
    <col min="13573" max="13573" width="8.69921875" style="1651" customWidth="1"/>
    <col min="13574" max="13574" width="13.09765625" style="1651" customWidth="1"/>
    <col min="13575" max="13824" width="9" style="1651"/>
    <col min="13825" max="13825" width="5.19921875" style="1651" customWidth="1"/>
    <col min="13826" max="13826" width="34.09765625" style="1651" customWidth="1"/>
    <col min="13827" max="13827" width="8.59765625" style="1651" customWidth="1"/>
    <col min="13828" max="13828" width="8.5" style="1651" customWidth="1"/>
    <col min="13829" max="13829" width="8.69921875" style="1651" customWidth="1"/>
    <col min="13830" max="13830" width="13.09765625" style="1651" customWidth="1"/>
    <col min="13831" max="14080" width="9" style="1651"/>
    <col min="14081" max="14081" width="5.19921875" style="1651" customWidth="1"/>
    <col min="14082" max="14082" width="34.09765625" style="1651" customWidth="1"/>
    <col min="14083" max="14083" width="8.59765625" style="1651" customWidth="1"/>
    <col min="14084" max="14084" width="8.5" style="1651" customWidth="1"/>
    <col min="14085" max="14085" width="8.69921875" style="1651" customWidth="1"/>
    <col min="14086" max="14086" width="13.09765625" style="1651" customWidth="1"/>
    <col min="14087" max="14336" width="9" style="1651"/>
    <col min="14337" max="14337" width="5.19921875" style="1651" customWidth="1"/>
    <col min="14338" max="14338" width="34.09765625" style="1651" customWidth="1"/>
    <col min="14339" max="14339" width="8.59765625" style="1651" customWidth="1"/>
    <col min="14340" max="14340" width="8.5" style="1651" customWidth="1"/>
    <col min="14341" max="14341" width="8.69921875" style="1651" customWidth="1"/>
    <col min="14342" max="14342" width="13.09765625" style="1651" customWidth="1"/>
    <col min="14343" max="14592" width="9" style="1651"/>
    <col min="14593" max="14593" width="5.19921875" style="1651" customWidth="1"/>
    <col min="14594" max="14594" width="34.09765625" style="1651" customWidth="1"/>
    <col min="14595" max="14595" width="8.59765625" style="1651" customWidth="1"/>
    <col min="14596" max="14596" width="8.5" style="1651" customWidth="1"/>
    <col min="14597" max="14597" width="8.69921875" style="1651" customWidth="1"/>
    <col min="14598" max="14598" width="13.09765625" style="1651" customWidth="1"/>
    <col min="14599" max="14848" width="9" style="1651"/>
    <col min="14849" max="14849" width="5.19921875" style="1651" customWidth="1"/>
    <col min="14850" max="14850" width="34.09765625" style="1651" customWidth="1"/>
    <col min="14851" max="14851" width="8.59765625" style="1651" customWidth="1"/>
    <col min="14852" max="14852" width="8.5" style="1651" customWidth="1"/>
    <col min="14853" max="14853" width="8.69921875" style="1651" customWidth="1"/>
    <col min="14854" max="14854" width="13.09765625" style="1651" customWidth="1"/>
    <col min="14855" max="15104" width="9" style="1651"/>
    <col min="15105" max="15105" width="5.19921875" style="1651" customWidth="1"/>
    <col min="15106" max="15106" width="34.09765625" style="1651" customWidth="1"/>
    <col min="15107" max="15107" width="8.59765625" style="1651" customWidth="1"/>
    <col min="15108" max="15108" width="8.5" style="1651" customWidth="1"/>
    <col min="15109" max="15109" width="8.69921875" style="1651" customWidth="1"/>
    <col min="15110" max="15110" width="13.09765625" style="1651" customWidth="1"/>
    <col min="15111" max="15360" width="9" style="1651"/>
    <col min="15361" max="15361" width="5.19921875" style="1651" customWidth="1"/>
    <col min="15362" max="15362" width="34.09765625" style="1651" customWidth="1"/>
    <col min="15363" max="15363" width="8.59765625" style="1651" customWidth="1"/>
    <col min="15364" max="15364" width="8.5" style="1651" customWidth="1"/>
    <col min="15365" max="15365" width="8.69921875" style="1651" customWidth="1"/>
    <col min="15366" max="15366" width="13.09765625" style="1651" customWidth="1"/>
    <col min="15367" max="15616" width="9" style="1651"/>
    <col min="15617" max="15617" width="5.19921875" style="1651" customWidth="1"/>
    <col min="15618" max="15618" width="34.09765625" style="1651" customWidth="1"/>
    <col min="15619" max="15619" width="8.59765625" style="1651" customWidth="1"/>
    <col min="15620" max="15620" width="8.5" style="1651" customWidth="1"/>
    <col min="15621" max="15621" width="8.69921875" style="1651" customWidth="1"/>
    <col min="15622" max="15622" width="13.09765625" style="1651" customWidth="1"/>
    <col min="15623" max="15872" width="9" style="1651"/>
    <col min="15873" max="15873" width="5.19921875" style="1651" customWidth="1"/>
    <col min="15874" max="15874" width="34.09765625" style="1651" customWidth="1"/>
    <col min="15875" max="15875" width="8.59765625" style="1651" customWidth="1"/>
    <col min="15876" max="15876" width="8.5" style="1651" customWidth="1"/>
    <col min="15877" max="15877" width="8.69921875" style="1651" customWidth="1"/>
    <col min="15878" max="15878" width="13.09765625" style="1651" customWidth="1"/>
    <col min="15879" max="16128" width="9" style="1651"/>
    <col min="16129" max="16129" width="5.19921875" style="1651" customWidth="1"/>
    <col min="16130" max="16130" width="34.09765625" style="1651" customWidth="1"/>
    <col min="16131" max="16131" width="8.59765625" style="1651" customWidth="1"/>
    <col min="16132" max="16132" width="8.5" style="1651" customWidth="1"/>
    <col min="16133" max="16133" width="8.69921875" style="1651" customWidth="1"/>
    <col min="16134" max="16134" width="13.09765625" style="1651" customWidth="1"/>
    <col min="16135" max="16384" width="9" style="1651"/>
  </cols>
  <sheetData>
    <row r="1" spans="1:10" ht="20.100000000000001" customHeight="1">
      <c r="A1" s="3378"/>
      <c r="B1" s="3378"/>
      <c r="C1" s="3378"/>
      <c r="D1" s="3378"/>
      <c r="E1" s="3378"/>
      <c r="F1" s="2072" t="str">
        <f>"索引号："&amp;档案索引!A44</f>
        <v>索引号：2A-24</v>
      </c>
    </row>
    <row r="2" spans="1:10" ht="25.5" customHeight="1">
      <c r="A2" s="3379" t="s">
        <v>5933</v>
      </c>
      <c r="B2" s="3379"/>
      <c r="C2" s="3379"/>
      <c r="D2" s="3379"/>
      <c r="E2" s="3379"/>
      <c r="F2" s="1835"/>
    </row>
    <row r="3" spans="1:10" ht="14.25" customHeight="1">
      <c r="A3" s="3383" t="s">
        <v>2360</v>
      </c>
      <c r="B3" s="3380" t="s">
        <v>5081</v>
      </c>
      <c r="C3" s="1816" t="s">
        <v>1851</v>
      </c>
      <c r="D3" s="1816" t="s">
        <v>1852</v>
      </c>
      <c r="E3" s="1816" t="s">
        <v>5261</v>
      </c>
      <c r="F3" s="3377" t="s">
        <v>5153</v>
      </c>
    </row>
    <row r="4" spans="1:10" ht="14.25" customHeight="1">
      <c r="A4" s="3444"/>
      <c r="B4" s="3445"/>
      <c r="C4" s="1810">
        <v>1</v>
      </c>
      <c r="D4" s="1834">
        <v>2</v>
      </c>
      <c r="E4" s="1834" t="s">
        <v>5362</v>
      </c>
      <c r="F4" s="3377"/>
      <c r="J4" s="1581"/>
    </row>
    <row r="5" spans="1:10" ht="14.25" customHeight="1">
      <c r="A5" s="1810">
        <v>1</v>
      </c>
      <c r="B5" s="1805" t="s">
        <v>5455</v>
      </c>
      <c r="C5" s="2077">
        <f>C6+C7+C10+C11+C12+C13+C14</f>
        <v>0</v>
      </c>
      <c r="D5" s="2077">
        <f>D6+D7+D10+D11+D12+D13+D14</f>
        <v>0</v>
      </c>
      <c r="E5" s="2077">
        <f>C5-D5</f>
        <v>0</v>
      </c>
      <c r="F5" s="1970"/>
    </row>
    <row r="6" spans="1:10" ht="14.25" customHeight="1">
      <c r="A6" s="1810">
        <v>2</v>
      </c>
      <c r="B6" s="1819" t="s">
        <v>5456</v>
      </c>
      <c r="C6" s="2079"/>
      <c r="D6" s="2079"/>
      <c r="E6" s="2077">
        <f t="shared" ref="E6:E33" si="0">C6-D6</f>
        <v>0</v>
      </c>
      <c r="F6" s="1970"/>
    </row>
    <row r="7" spans="1:10" ht="14.25" customHeight="1">
      <c r="A7" s="1810">
        <v>3</v>
      </c>
      <c r="B7" s="1811" t="s">
        <v>5457</v>
      </c>
      <c r="C7" s="2077">
        <f>C8+C9</f>
        <v>0</v>
      </c>
      <c r="D7" s="2077">
        <f>D8+D9</f>
        <v>0</v>
      </c>
      <c r="E7" s="2077">
        <f t="shared" si="0"/>
        <v>0</v>
      </c>
      <c r="F7" s="1970"/>
    </row>
    <row r="8" spans="1:10" ht="14.25" customHeight="1">
      <c r="A8" s="1810">
        <v>4</v>
      </c>
      <c r="B8" s="1811" t="s">
        <v>5458</v>
      </c>
      <c r="C8" s="2079"/>
      <c r="D8" s="2078"/>
      <c r="E8" s="2077">
        <f t="shared" si="0"/>
        <v>0</v>
      </c>
      <c r="F8" s="1970"/>
    </row>
    <row r="9" spans="1:10" ht="14.25" customHeight="1">
      <c r="A9" s="1810">
        <v>5</v>
      </c>
      <c r="B9" s="1811" t="s">
        <v>5459</v>
      </c>
      <c r="C9" s="2079"/>
      <c r="D9" s="2078"/>
      <c r="E9" s="2077">
        <f t="shared" si="0"/>
        <v>0</v>
      </c>
      <c r="F9" s="1970"/>
    </row>
    <row r="10" spans="1:10" ht="14.25" customHeight="1">
      <c r="A10" s="1810">
        <v>6</v>
      </c>
      <c r="B10" s="1811" t="s">
        <v>5460</v>
      </c>
      <c r="C10" s="2079"/>
      <c r="D10" s="2078"/>
      <c r="E10" s="2077">
        <f t="shared" si="0"/>
        <v>0</v>
      </c>
      <c r="F10" s="1970"/>
    </row>
    <row r="11" spans="1:10" ht="14.25" customHeight="1">
      <c r="A11" s="1810">
        <v>7</v>
      </c>
      <c r="B11" s="1811" t="s">
        <v>5461</v>
      </c>
      <c r="C11" s="2079"/>
      <c r="D11" s="2078"/>
      <c r="E11" s="2077">
        <f t="shared" si="0"/>
        <v>0</v>
      </c>
      <c r="F11" s="1970"/>
    </row>
    <row r="12" spans="1:10" ht="14.25" customHeight="1">
      <c r="A12" s="1810">
        <v>8</v>
      </c>
      <c r="B12" s="1811" t="s">
        <v>5462</v>
      </c>
      <c r="C12" s="2079"/>
      <c r="D12" s="2078"/>
      <c r="E12" s="2077">
        <f t="shared" si="0"/>
        <v>0</v>
      </c>
      <c r="F12" s="1970"/>
    </row>
    <row r="13" spans="1:10" ht="14.25" customHeight="1">
      <c r="A13" s="1810">
        <v>9</v>
      </c>
      <c r="B13" s="1811" t="s">
        <v>5463</v>
      </c>
      <c r="C13" s="2079"/>
      <c r="D13" s="2078"/>
      <c r="E13" s="2077">
        <f t="shared" si="0"/>
        <v>0</v>
      </c>
      <c r="F13" s="1970"/>
    </row>
    <row r="14" spans="1:10" ht="14.25" customHeight="1">
      <c r="A14" s="1810">
        <v>10</v>
      </c>
      <c r="B14" s="1811" t="s">
        <v>5371</v>
      </c>
      <c r="C14" s="2079"/>
      <c r="D14" s="2078"/>
      <c r="E14" s="2077">
        <f t="shared" si="0"/>
        <v>0</v>
      </c>
      <c r="F14" s="1970"/>
      <c r="G14" s="1675" t="s">
        <v>6450</v>
      </c>
    </row>
    <row r="15" spans="1:10" ht="14.25" customHeight="1">
      <c r="A15" s="1810">
        <v>11</v>
      </c>
      <c r="B15" s="1811" t="s">
        <v>5464</v>
      </c>
      <c r="C15" s="2077">
        <f>SUM(C16:C19)</f>
        <v>0</v>
      </c>
      <c r="D15" s="2077">
        <f>SUM(D16:D19)</f>
        <v>0</v>
      </c>
      <c r="E15" s="2077">
        <f t="shared" si="0"/>
        <v>0</v>
      </c>
      <c r="F15" s="1970"/>
    </row>
    <row r="16" spans="1:10" ht="14.25" customHeight="1">
      <c r="A16" s="1810">
        <v>12</v>
      </c>
      <c r="B16" s="1811" t="s">
        <v>5465</v>
      </c>
      <c r="C16" s="2079"/>
      <c r="D16" s="2078"/>
      <c r="E16" s="2077">
        <f t="shared" si="0"/>
        <v>0</v>
      </c>
      <c r="F16" s="1970"/>
    </row>
    <row r="17" spans="1:6" ht="14.25" customHeight="1">
      <c r="A17" s="1810">
        <v>13</v>
      </c>
      <c r="B17" s="1811" t="s">
        <v>5466</v>
      </c>
      <c r="C17" s="2079"/>
      <c r="D17" s="2078"/>
      <c r="E17" s="2077">
        <f t="shared" si="0"/>
        <v>0</v>
      </c>
      <c r="F17" s="1970"/>
    </row>
    <row r="18" spans="1:6" ht="14.25" customHeight="1">
      <c r="A18" s="1810">
        <v>14</v>
      </c>
      <c r="B18" s="1811" t="s">
        <v>5467</v>
      </c>
      <c r="C18" s="2079"/>
      <c r="D18" s="2078"/>
      <c r="E18" s="2077">
        <f t="shared" si="0"/>
        <v>0</v>
      </c>
      <c r="F18" s="1970"/>
    </row>
    <row r="19" spans="1:6" ht="14.25" customHeight="1">
      <c r="A19" s="1810">
        <v>15</v>
      </c>
      <c r="B19" s="1811" t="s">
        <v>269</v>
      </c>
      <c r="C19" s="2079"/>
      <c r="D19" s="2078"/>
      <c r="E19" s="2077">
        <f t="shared" si="0"/>
        <v>0</v>
      </c>
      <c r="F19" s="1970"/>
    </row>
    <row r="20" spans="1:6" ht="14.25" customHeight="1">
      <c r="A20" s="1810">
        <v>16</v>
      </c>
      <c r="B20" s="1811" t="s">
        <v>5468</v>
      </c>
      <c r="C20" s="2077">
        <f>SUM(C21:C24)</f>
        <v>0</v>
      </c>
      <c r="D20" s="2077">
        <f>SUM(D21:D24)</f>
        <v>0</v>
      </c>
      <c r="E20" s="2077">
        <f t="shared" si="0"/>
        <v>0</v>
      </c>
      <c r="F20" s="1970"/>
    </row>
    <row r="21" spans="1:6" ht="14.25" customHeight="1">
      <c r="A21" s="1810">
        <v>17</v>
      </c>
      <c r="B21" s="1811" t="s">
        <v>5469</v>
      </c>
      <c r="C21" s="2079"/>
      <c r="D21" s="2078"/>
      <c r="E21" s="2077">
        <f t="shared" si="0"/>
        <v>0</v>
      </c>
      <c r="F21" s="1970"/>
    </row>
    <row r="22" spans="1:6" ht="14.25" customHeight="1">
      <c r="A22" s="1810">
        <v>18</v>
      </c>
      <c r="B22" s="1811" t="s">
        <v>5470</v>
      </c>
      <c r="C22" s="2079"/>
      <c r="D22" s="2078"/>
      <c r="E22" s="2077">
        <f t="shared" si="0"/>
        <v>0</v>
      </c>
      <c r="F22" s="1970"/>
    </row>
    <row r="23" spans="1:6" ht="14.25" customHeight="1">
      <c r="A23" s="1810">
        <v>19</v>
      </c>
      <c r="B23" s="1811" t="s">
        <v>5471</v>
      </c>
      <c r="C23" s="2079"/>
      <c r="D23" s="2078"/>
      <c r="E23" s="2077">
        <f t="shared" si="0"/>
        <v>0</v>
      </c>
      <c r="F23" s="1970"/>
    </row>
    <row r="24" spans="1:6" ht="14.25" customHeight="1">
      <c r="A24" s="1810">
        <v>20</v>
      </c>
      <c r="B24" s="1811" t="s">
        <v>269</v>
      </c>
      <c r="C24" s="2079"/>
      <c r="D24" s="2078"/>
      <c r="E24" s="2077">
        <f t="shared" si="0"/>
        <v>0</v>
      </c>
      <c r="F24" s="1970"/>
    </row>
    <row r="25" spans="1:6" ht="14.25" customHeight="1">
      <c r="A25" s="1810">
        <v>21</v>
      </c>
      <c r="B25" s="1811" t="s">
        <v>5472</v>
      </c>
      <c r="C25" s="2077">
        <f>SUM(C26:C28)</f>
        <v>0</v>
      </c>
      <c r="D25" s="2077">
        <f>SUM(D26:D28)</f>
        <v>0</v>
      </c>
      <c r="E25" s="2077">
        <f t="shared" si="0"/>
        <v>0</v>
      </c>
      <c r="F25" s="1970"/>
    </row>
    <row r="26" spans="1:6" ht="14.25" customHeight="1">
      <c r="A26" s="1810">
        <v>22</v>
      </c>
      <c r="B26" s="1811" t="s">
        <v>5473</v>
      </c>
      <c r="C26" s="2079"/>
      <c r="D26" s="2078"/>
      <c r="E26" s="2077">
        <f t="shared" si="0"/>
        <v>0</v>
      </c>
      <c r="F26" s="1970"/>
    </row>
    <row r="27" spans="1:6" ht="14.25" customHeight="1">
      <c r="A27" s="1810">
        <v>23</v>
      </c>
      <c r="B27" s="1811" t="s">
        <v>5474</v>
      </c>
      <c r="C27" s="2079"/>
      <c r="D27" s="2078"/>
      <c r="E27" s="2077">
        <f t="shared" si="0"/>
        <v>0</v>
      </c>
      <c r="F27" s="1970"/>
    </row>
    <row r="28" spans="1:6" ht="14.25" customHeight="1">
      <c r="A28" s="1810">
        <v>24</v>
      </c>
      <c r="B28" s="1811" t="s">
        <v>5204</v>
      </c>
      <c r="C28" s="2088"/>
      <c r="D28" s="2088"/>
      <c r="E28" s="2080">
        <f t="shared" si="0"/>
        <v>0</v>
      </c>
      <c r="F28" s="1970"/>
    </row>
    <row r="29" spans="1:6" ht="14.25" customHeight="1">
      <c r="A29" s="1810">
        <v>25</v>
      </c>
      <c r="B29" s="1811" t="s">
        <v>5475</v>
      </c>
      <c r="C29" s="2077">
        <f>SUM(C30:C32)</f>
        <v>0</v>
      </c>
      <c r="D29" s="2077">
        <f>SUM(D30:D32)</f>
        <v>0</v>
      </c>
      <c r="E29" s="2077">
        <f t="shared" si="0"/>
        <v>0</v>
      </c>
      <c r="F29" s="1970"/>
    </row>
    <row r="30" spans="1:6" ht="14.25" customHeight="1">
      <c r="A30" s="1810">
        <v>26</v>
      </c>
      <c r="B30" s="1813" t="s">
        <v>5476</v>
      </c>
      <c r="C30" s="2088"/>
      <c r="D30" s="2079"/>
      <c r="E30" s="2077">
        <f t="shared" si="0"/>
        <v>0</v>
      </c>
      <c r="F30" s="1970"/>
    </row>
    <row r="31" spans="1:6" ht="14.25" customHeight="1">
      <c r="A31" s="1810">
        <v>27</v>
      </c>
      <c r="B31" s="1811" t="s">
        <v>5477</v>
      </c>
      <c r="C31" s="2079"/>
      <c r="D31" s="2079"/>
      <c r="E31" s="2077">
        <f t="shared" si="0"/>
        <v>0</v>
      </c>
      <c r="F31" s="1970"/>
    </row>
    <row r="32" spans="1:6" ht="14.25" customHeight="1">
      <c r="A32" s="1810">
        <v>28</v>
      </c>
      <c r="B32" s="1813" t="s">
        <v>5204</v>
      </c>
      <c r="C32" s="2088"/>
      <c r="D32" s="2088"/>
      <c r="E32" s="2080">
        <f t="shared" si="0"/>
        <v>0</v>
      </c>
      <c r="F32" s="1970"/>
    </row>
    <row r="33" spans="1:8" ht="14.25" customHeight="1">
      <c r="A33" s="1810">
        <v>29</v>
      </c>
      <c r="B33" s="1811" t="s">
        <v>5421</v>
      </c>
      <c r="C33" s="2079"/>
      <c r="D33" s="2079"/>
      <c r="E33" s="2077">
        <f t="shared" si="0"/>
        <v>0</v>
      </c>
      <c r="F33" s="1970"/>
    </row>
    <row r="34" spans="1:8" ht="168.75" customHeight="1">
      <c r="A34" s="1810">
        <v>30</v>
      </c>
      <c r="B34" s="1820" t="s">
        <v>5478</v>
      </c>
      <c r="C34" s="2077">
        <f>C5+C15+C20+C25+C29+C33</f>
        <v>0</v>
      </c>
      <c r="D34" s="2077">
        <f>D5+D15+D20+D25+D29+D33</f>
        <v>0</v>
      </c>
      <c r="E34" s="2077">
        <f>C34-D34</f>
        <v>0</v>
      </c>
      <c r="F34" s="1821" t="s">
        <v>5479</v>
      </c>
      <c r="H34" s="1581"/>
    </row>
    <row r="35" spans="1:8">
      <c r="A35" s="3443"/>
      <c r="B35" s="3443"/>
      <c r="C35" s="3443"/>
      <c r="D35" s="3443"/>
      <c r="E35" s="3443"/>
      <c r="F35" s="3443"/>
    </row>
  </sheetData>
  <mergeCells count="6">
    <mergeCell ref="A35:F35"/>
    <mergeCell ref="A1:E1"/>
    <mergeCell ref="A2:E2"/>
    <mergeCell ref="A3:A4"/>
    <mergeCell ref="B3:B4"/>
    <mergeCell ref="F3:F4"/>
  </mergeCells>
  <phoneticPr fontId="51" type="noConversion"/>
  <hyperlinks>
    <hyperlink ref="G14" location="A105120特殊行业准备金纳税调整明细表!A1" display="A105120特殊行业准备金纳税调整明细表!A1"/>
  </hyperlinks>
  <printOptions horizontalCentered="1"/>
  <pageMargins left="0.78740157480314998" right="0.35433070866141703" top="0.511811023622047" bottom="0.11811023622047198" header="0.511811023622047" footer="0.511811023622047"/>
  <pageSetup paperSize="9" orientation="portrait" r:id="rId1"/>
  <headerFooter alignWithMargins="0"/>
</worksheet>
</file>

<file path=xl/worksheets/sheet5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66">
    <tabColor rgb="FFFFFF00"/>
  </sheetPr>
  <dimension ref="A1:E30"/>
  <sheetViews>
    <sheetView workbookViewId="0">
      <selection sqref="A1:C1"/>
    </sheetView>
  </sheetViews>
  <sheetFormatPr defaultColWidth="56.3984375" defaultRowHeight="15.6"/>
  <cols>
    <col min="1" max="1" width="4.09765625" style="1570" customWidth="1"/>
    <col min="2" max="2" width="55.5" style="1570" customWidth="1"/>
    <col min="3" max="3" width="12.3984375" style="1570" customWidth="1"/>
    <col min="4" max="4" width="15" style="1570" customWidth="1"/>
    <col min="5" max="256" width="56.3984375" style="1570"/>
    <col min="257" max="257" width="4.09765625" style="1570" customWidth="1"/>
    <col min="258" max="258" width="55.5" style="1570" customWidth="1"/>
    <col min="259" max="259" width="6.3984375" style="1570" customWidth="1"/>
    <col min="260" max="260" width="15" style="1570" customWidth="1"/>
    <col min="261" max="512" width="56.3984375" style="1570"/>
    <col min="513" max="513" width="4.09765625" style="1570" customWidth="1"/>
    <col min="514" max="514" width="55.5" style="1570" customWidth="1"/>
    <col min="515" max="515" width="6.3984375" style="1570" customWidth="1"/>
    <col min="516" max="516" width="15" style="1570" customWidth="1"/>
    <col min="517" max="768" width="56.3984375" style="1570"/>
    <col min="769" max="769" width="4.09765625" style="1570" customWidth="1"/>
    <col min="770" max="770" width="55.5" style="1570" customWidth="1"/>
    <col min="771" max="771" width="6.3984375" style="1570" customWidth="1"/>
    <col min="772" max="772" width="15" style="1570" customWidth="1"/>
    <col min="773" max="1024" width="56.3984375" style="1570"/>
    <col min="1025" max="1025" width="4.09765625" style="1570" customWidth="1"/>
    <col min="1026" max="1026" width="55.5" style="1570" customWidth="1"/>
    <col min="1027" max="1027" width="6.3984375" style="1570" customWidth="1"/>
    <col min="1028" max="1028" width="15" style="1570" customWidth="1"/>
    <col min="1029" max="1280" width="56.3984375" style="1570"/>
    <col min="1281" max="1281" width="4.09765625" style="1570" customWidth="1"/>
    <col min="1282" max="1282" width="55.5" style="1570" customWidth="1"/>
    <col min="1283" max="1283" width="6.3984375" style="1570" customWidth="1"/>
    <col min="1284" max="1284" width="15" style="1570" customWidth="1"/>
    <col min="1285" max="1536" width="56.3984375" style="1570"/>
    <col min="1537" max="1537" width="4.09765625" style="1570" customWidth="1"/>
    <col min="1538" max="1538" width="55.5" style="1570" customWidth="1"/>
    <col min="1539" max="1539" width="6.3984375" style="1570" customWidth="1"/>
    <col min="1540" max="1540" width="15" style="1570" customWidth="1"/>
    <col min="1541" max="1792" width="56.3984375" style="1570"/>
    <col min="1793" max="1793" width="4.09765625" style="1570" customWidth="1"/>
    <col min="1794" max="1794" width="55.5" style="1570" customWidth="1"/>
    <col min="1795" max="1795" width="6.3984375" style="1570" customWidth="1"/>
    <col min="1796" max="1796" width="15" style="1570" customWidth="1"/>
    <col min="1797" max="2048" width="56.3984375" style="1570"/>
    <col min="2049" max="2049" width="4.09765625" style="1570" customWidth="1"/>
    <col min="2050" max="2050" width="55.5" style="1570" customWidth="1"/>
    <col min="2051" max="2051" width="6.3984375" style="1570" customWidth="1"/>
    <col min="2052" max="2052" width="15" style="1570" customWidth="1"/>
    <col min="2053" max="2304" width="56.3984375" style="1570"/>
    <col min="2305" max="2305" width="4.09765625" style="1570" customWidth="1"/>
    <col min="2306" max="2306" width="55.5" style="1570" customWidth="1"/>
    <col min="2307" max="2307" width="6.3984375" style="1570" customWidth="1"/>
    <col min="2308" max="2308" width="15" style="1570" customWidth="1"/>
    <col min="2309" max="2560" width="56.3984375" style="1570"/>
    <col min="2561" max="2561" width="4.09765625" style="1570" customWidth="1"/>
    <col min="2562" max="2562" width="55.5" style="1570" customWidth="1"/>
    <col min="2563" max="2563" width="6.3984375" style="1570" customWidth="1"/>
    <col min="2564" max="2564" width="15" style="1570" customWidth="1"/>
    <col min="2565" max="2816" width="56.3984375" style="1570"/>
    <col min="2817" max="2817" width="4.09765625" style="1570" customWidth="1"/>
    <col min="2818" max="2818" width="55.5" style="1570" customWidth="1"/>
    <col min="2819" max="2819" width="6.3984375" style="1570" customWidth="1"/>
    <col min="2820" max="2820" width="15" style="1570" customWidth="1"/>
    <col min="2821" max="3072" width="56.3984375" style="1570"/>
    <col min="3073" max="3073" width="4.09765625" style="1570" customWidth="1"/>
    <col min="3074" max="3074" width="55.5" style="1570" customWidth="1"/>
    <col min="3075" max="3075" width="6.3984375" style="1570" customWidth="1"/>
    <col min="3076" max="3076" width="15" style="1570" customWidth="1"/>
    <col min="3077" max="3328" width="56.3984375" style="1570"/>
    <col min="3329" max="3329" width="4.09765625" style="1570" customWidth="1"/>
    <col min="3330" max="3330" width="55.5" style="1570" customWidth="1"/>
    <col min="3331" max="3331" width="6.3984375" style="1570" customWidth="1"/>
    <col min="3332" max="3332" width="15" style="1570" customWidth="1"/>
    <col min="3333" max="3584" width="56.3984375" style="1570"/>
    <col min="3585" max="3585" width="4.09765625" style="1570" customWidth="1"/>
    <col min="3586" max="3586" width="55.5" style="1570" customWidth="1"/>
    <col min="3587" max="3587" width="6.3984375" style="1570" customWidth="1"/>
    <col min="3588" max="3588" width="15" style="1570" customWidth="1"/>
    <col min="3589" max="3840" width="56.3984375" style="1570"/>
    <col min="3841" max="3841" width="4.09765625" style="1570" customWidth="1"/>
    <col min="3842" max="3842" width="55.5" style="1570" customWidth="1"/>
    <col min="3843" max="3843" width="6.3984375" style="1570" customWidth="1"/>
    <col min="3844" max="3844" width="15" style="1570" customWidth="1"/>
    <col min="3845" max="4096" width="56.3984375" style="1570"/>
    <col min="4097" max="4097" width="4.09765625" style="1570" customWidth="1"/>
    <col min="4098" max="4098" width="55.5" style="1570" customWidth="1"/>
    <col min="4099" max="4099" width="6.3984375" style="1570" customWidth="1"/>
    <col min="4100" max="4100" width="15" style="1570" customWidth="1"/>
    <col min="4101" max="4352" width="56.3984375" style="1570"/>
    <col min="4353" max="4353" width="4.09765625" style="1570" customWidth="1"/>
    <col min="4354" max="4354" width="55.5" style="1570" customWidth="1"/>
    <col min="4355" max="4355" width="6.3984375" style="1570" customWidth="1"/>
    <col min="4356" max="4356" width="15" style="1570" customWidth="1"/>
    <col min="4357" max="4608" width="56.3984375" style="1570"/>
    <col min="4609" max="4609" width="4.09765625" style="1570" customWidth="1"/>
    <col min="4610" max="4610" width="55.5" style="1570" customWidth="1"/>
    <col min="4611" max="4611" width="6.3984375" style="1570" customWidth="1"/>
    <col min="4612" max="4612" width="15" style="1570" customWidth="1"/>
    <col min="4613" max="4864" width="56.3984375" style="1570"/>
    <col min="4865" max="4865" width="4.09765625" style="1570" customWidth="1"/>
    <col min="4866" max="4866" width="55.5" style="1570" customWidth="1"/>
    <col min="4867" max="4867" width="6.3984375" style="1570" customWidth="1"/>
    <col min="4868" max="4868" width="15" style="1570" customWidth="1"/>
    <col min="4869" max="5120" width="56.3984375" style="1570"/>
    <col min="5121" max="5121" width="4.09765625" style="1570" customWidth="1"/>
    <col min="5122" max="5122" width="55.5" style="1570" customWidth="1"/>
    <col min="5123" max="5123" width="6.3984375" style="1570" customWidth="1"/>
    <col min="5124" max="5124" width="15" style="1570" customWidth="1"/>
    <col min="5125" max="5376" width="56.3984375" style="1570"/>
    <col min="5377" max="5377" width="4.09765625" style="1570" customWidth="1"/>
    <col min="5378" max="5378" width="55.5" style="1570" customWidth="1"/>
    <col min="5379" max="5379" width="6.3984375" style="1570" customWidth="1"/>
    <col min="5380" max="5380" width="15" style="1570" customWidth="1"/>
    <col min="5381" max="5632" width="56.3984375" style="1570"/>
    <col min="5633" max="5633" width="4.09765625" style="1570" customWidth="1"/>
    <col min="5634" max="5634" width="55.5" style="1570" customWidth="1"/>
    <col min="5635" max="5635" width="6.3984375" style="1570" customWidth="1"/>
    <col min="5636" max="5636" width="15" style="1570" customWidth="1"/>
    <col min="5637" max="5888" width="56.3984375" style="1570"/>
    <col min="5889" max="5889" width="4.09765625" style="1570" customWidth="1"/>
    <col min="5890" max="5890" width="55.5" style="1570" customWidth="1"/>
    <col min="5891" max="5891" width="6.3984375" style="1570" customWidth="1"/>
    <col min="5892" max="5892" width="15" style="1570" customWidth="1"/>
    <col min="5893" max="6144" width="56.3984375" style="1570"/>
    <col min="6145" max="6145" width="4.09765625" style="1570" customWidth="1"/>
    <col min="6146" max="6146" width="55.5" style="1570" customWidth="1"/>
    <col min="6147" max="6147" width="6.3984375" style="1570" customWidth="1"/>
    <col min="6148" max="6148" width="15" style="1570" customWidth="1"/>
    <col min="6149" max="6400" width="56.3984375" style="1570"/>
    <col min="6401" max="6401" width="4.09765625" style="1570" customWidth="1"/>
    <col min="6402" max="6402" width="55.5" style="1570" customWidth="1"/>
    <col min="6403" max="6403" width="6.3984375" style="1570" customWidth="1"/>
    <col min="6404" max="6404" width="15" style="1570" customWidth="1"/>
    <col min="6405" max="6656" width="56.3984375" style="1570"/>
    <col min="6657" max="6657" width="4.09765625" style="1570" customWidth="1"/>
    <col min="6658" max="6658" width="55.5" style="1570" customWidth="1"/>
    <col min="6659" max="6659" width="6.3984375" style="1570" customWidth="1"/>
    <col min="6660" max="6660" width="15" style="1570" customWidth="1"/>
    <col min="6661" max="6912" width="56.3984375" style="1570"/>
    <col min="6913" max="6913" width="4.09765625" style="1570" customWidth="1"/>
    <col min="6914" max="6914" width="55.5" style="1570" customWidth="1"/>
    <col min="6915" max="6915" width="6.3984375" style="1570" customWidth="1"/>
    <col min="6916" max="6916" width="15" style="1570" customWidth="1"/>
    <col min="6917" max="7168" width="56.3984375" style="1570"/>
    <col min="7169" max="7169" width="4.09765625" style="1570" customWidth="1"/>
    <col min="7170" max="7170" width="55.5" style="1570" customWidth="1"/>
    <col min="7171" max="7171" width="6.3984375" style="1570" customWidth="1"/>
    <col min="7172" max="7172" width="15" style="1570" customWidth="1"/>
    <col min="7173" max="7424" width="56.3984375" style="1570"/>
    <col min="7425" max="7425" width="4.09765625" style="1570" customWidth="1"/>
    <col min="7426" max="7426" width="55.5" style="1570" customWidth="1"/>
    <col min="7427" max="7427" width="6.3984375" style="1570" customWidth="1"/>
    <col min="7428" max="7428" width="15" style="1570" customWidth="1"/>
    <col min="7429" max="7680" width="56.3984375" style="1570"/>
    <col min="7681" max="7681" width="4.09765625" style="1570" customWidth="1"/>
    <col min="7682" max="7682" width="55.5" style="1570" customWidth="1"/>
    <col min="7683" max="7683" width="6.3984375" style="1570" customWidth="1"/>
    <col min="7684" max="7684" width="15" style="1570" customWidth="1"/>
    <col min="7685" max="7936" width="56.3984375" style="1570"/>
    <col min="7937" max="7937" width="4.09765625" style="1570" customWidth="1"/>
    <col min="7938" max="7938" width="55.5" style="1570" customWidth="1"/>
    <col min="7939" max="7939" width="6.3984375" style="1570" customWidth="1"/>
    <col min="7940" max="7940" width="15" style="1570" customWidth="1"/>
    <col min="7941" max="8192" width="56.3984375" style="1570"/>
    <col min="8193" max="8193" width="4.09765625" style="1570" customWidth="1"/>
    <col min="8194" max="8194" width="55.5" style="1570" customWidth="1"/>
    <col min="8195" max="8195" width="6.3984375" style="1570" customWidth="1"/>
    <col min="8196" max="8196" width="15" style="1570" customWidth="1"/>
    <col min="8197" max="8448" width="56.3984375" style="1570"/>
    <col min="8449" max="8449" width="4.09765625" style="1570" customWidth="1"/>
    <col min="8450" max="8450" width="55.5" style="1570" customWidth="1"/>
    <col min="8451" max="8451" width="6.3984375" style="1570" customWidth="1"/>
    <col min="8452" max="8452" width="15" style="1570" customWidth="1"/>
    <col min="8453" max="8704" width="56.3984375" style="1570"/>
    <col min="8705" max="8705" width="4.09765625" style="1570" customWidth="1"/>
    <col min="8706" max="8706" width="55.5" style="1570" customWidth="1"/>
    <col min="8707" max="8707" width="6.3984375" style="1570" customWidth="1"/>
    <col min="8708" max="8708" width="15" style="1570" customWidth="1"/>
    <col min="8709" max="8960" width="56.3984375" style="1570"/>
    <col min="8961" max="8961" width="4.09765625" style="1570" customWidth="1"/>
    <col min="8962" max="8962" width="55.5" style="1570" customWidth="1"/>
    <col min="8963" max="8963" width="6.3984375" style="1570" customWidth="1"/>
    <col min="8964" max="8964" width="15" style="1570" customWidth="1"/>
    <col min="8965" max="9216" width="56.3984375" style="1570"/>
    <col min="9217" max="9217" width="4.09765625" style="1570" customWidth="1"/>
    <col min="9218" max="9218" width="55.5" style="1570" customWidth="1"/>
    <col min="9219" max="9219" width="6.3984375" style="1570" customWidth="1"/>
    <col min="9220" max="9220" width="15" style="1570" customWidth="1"/>
    <col min="9221" max="9472" width="56.3984375" style="1570"/>
    <col min="9473" max="9473" width="4.09765625" style="1570" customWidth="1"/>
    <col min="9474" max="9474" width="55.5" style="1570" customWidth="1"/>
    <col min="9475" max="9475" width="6.3984375" style="1570" customWidth="1"/>
    <col min="9476" max="9476" width="15" style="1570" customWidth="1"/>
    <col min="9477" max="9728" width="56.3984375" style="1570"/>
    <col min="9729" max="9729" width="4.09765625" style="1570" customWidth="1"/>
    <col min="9730" max="9730" width="55.5" style="1570" customWidth="1"/>
    <col min="9731" max="9731" width="6.3984375" style="1570" customWidth="1"/>
    <col min="9732" max="9732" width="15" style="1570" customWidth="1"/>
    <col min="9733" max="9984" width="56.3984375" style="1570"/>
    <col min="9985" max="9985" width="4.09765625" style="1570" customWidth="1"/>
    <col min="9986" max="9986" width="55.5" style="1570" customWidth="1"/>
    <col min="9987" max="9987" width="6.3984375" style="1570" customWidth="1"/>
    <col min="9988" max="9988" width="15" style="1570" customWidth="1"/>
    <col min="9989" max="10240" width="56.3984375" style="1570"/>
    <col min="10241" max="10241" width="4.09765625" style="1570" customWidth="1"/>
    <col min="10242" max="10242" width="55.5" style="1570" customWidth="1"/>
    <col min="10243" max="10243" width="6.3984375" style="1570" customWidth="1"/>
    <col min="10244" max="10244" width="15" style="1570" customWidth="1"/>
    <col min="10245" max="10496" width="56.3984375" style="1570"/>
    <col min="10497" max="10497" width="4.09765625" style="1570" customWidth="1"/>
    <col min="10498" max="10498" width="55.5" style="1570" customWidth="1"/>
    <col min="10499" max="10499" width="6.3984375" style="1570" customWidth="1"/>
    <col min="10500" max="10500" width="15" style="1570" customWidth="1"/>
    <col min="10501" max="10752" width="56.3984375" style="1570"/>
    <col min="10753" max="10753" width="4.09765625" style="1570" customWidth="1"/>
    <col min="10754" max="10754" width="55.5" style="1570" customWidth="1"/>
    <col min="10755" max="10755" width="6.3984375" style="1570" customWidth="1"/>
    <col min="10756" max="10756" width="15" style="1570" customWidth="1"/>
    <col min="10757" max="11008" width="56.3984375" style="1570"/>
    <col min="11009" max="11009" width="4.09765625" style="1570" customWidth="1"/>
    <col min="11010" max="11010" width="55.5" style="1570" customWidth="1"/>
    <col min="11011" max="11011" width="6.3984375" style="1570" customWidth="1"/>
    <col min="11012" max="11012" width="15" style="1570" customWidth="1"/>
    <col min="11013" max="11264" width="56.3984375" style="1570"/>
    <col min="11265" max="11265" width="4.09765625" style="1570" customWidth="1"/>
    <col min="11266" max="11266" width="55.5" style="1570" customWidth="1"/>
    <col min="11267" max="11267" width="6.3984375" style="1570" customWidth="1"/>
    <col min="11268" max="11268" width="15" style="1570" customWidth="1"/>
    <col min="11269" max="11520" width="56.3984375" style="1570"/>
    <col min="11521" max="11521" width="4.09765625" style="1570" customWidth="1"/>
    <col min="11522" max="11522" width="55.5" style="1570" customWidth="1"/>
    <col min="11523" max="11523" width="6.3984375" style="1570" customWidth="1"/>
    <col min="11524" max="11524" width="15" style="1570" customWidth="1"/>
    <col min="11525" max="11776" width="56.3984375" style="1570"/>
    <col min="11777" max="11777" width="4.09765625" style="1570" customWidth="1"/>
    <col min="11778" max="11778" width="55.5" style="1570" customWidth="1"/>
    <col min="11779" max="11779" width="6.3984375" style="1570" customWidth="1"/>
    <col min="11780" max="11780" width="15" style="1570" customWidth="1"/>
    <col min="11781" max="12032" width="56.3984375" style="1570"/>
    <col min="12033" max="12033" width="4.09765625" style="1570" customWidth="1"/>
    <col min="12034" max="12034" width="55.5" style="1570" customWidth="1"/>
    <col min="12035" max="12035" width="6.3984375" style="1570" customWidth="1"/>
    <col min="12036" max="12036" width="15" style="1570" customWidth="1"/>
    <col min="12037" max="12288" width="56.3984375" style="1570"/>
    <col min="12289" max="12289" width="4.09765625" style="1570" customWidth="1"/>
    <col min="12290" max="12290" width="55.5" style="1570" customWidth="1"/>
    <col min="12291" max="12291" width="6.3984375" style="1570" customWidth="1"/>
    <col min="12292" max="12292" width="15" style="1570" customWidth="1"/>
    <col min="12293" max="12544" width="56.3984375" style="1570"/>
    <col min="12545" max="12545" width="4.09765625" style="1570" customWidth="1"/>
    <col min="12546" max="12546" width="55.5" style="1570" customWidth="1"/>
    <col min="12547" max="12547" width="6.3984375" style="1570" customWidth="1"/>
    <col min="12548" max="12548" width="15" style="1570" customWidth="1"/>
    <col min="12549" max="12800" width="56.3984375" style="1570"/>
    <col min="12801" max="12801" width="4.09765625" style="1570" customWidth="1"/>
    <col min="12802" max="12802" width="55.5" style="1570" customWidth="1"/>
    <col min="12803" max="12803" width="6.3984375" style="1570" customWidth="1"/>
    <col min="12804" max="12804" width="15" style="1570" customWidth="1"/>
    <col min="12805" max="13056" width="56.3984375" style="1570"/>
    <col min="13057" max="13057" width="4.09765625" style="1570" customWidth="1"/>
    <col min="13058" max="13058" width="55.5" style="1570" customWidth="1"/>
    <col min="13059" max="13059" width="6.3984375" style="1570" customWidth="1"/>
    <col min="13060" max="13060" width="15" style="1570" customWidth="1"/>
    <col min="13061" max="13312" width="56.3984375" style="1570"/>
    <col min="13313" max="13313" width="4.09765625" style="1570" customWidth="1"/>
    <col min="13314" max="13314" width="55.5" style="1570" customWidth="1"/>
    <col min="13315" max="13315" width="6.3984375" style="1570" customWidth="1"/>
    <col min="13316" max="13316" width="15" style="1570" customWidth="1"/>
    <col min="13317" max="13568" width="56.3984375" style="1570"/>
    <col min="13569" max="13569" width="4.09765625" style="1570" customWidth="1"/>
    <col min="13570" max="13570" width="55.5" style="1570" customWidth="1"/>
    <col min="13571" max="13571" width="6.3984375" style="1570" customWidth="1"/>
    <col min="13572" max="13572" width="15" style="1570" customWidth="1"/>
    <col min="13573" max="13824" width="56.3984375" style="1570"/>
    <col min="13825" max="13825" width="4.09765625" style="1570" customWidth="1"/>
    <col min="13826" max="13826" width="55.5" style="1570" customWidth="1"/>
    <col min="13827" max="13827" width="6.3984375" style="1570" customWidth="1"/>
    <col min="13828" max="13828" width="15" style="1570" customWidth="1"/>
    <col min="13829" max="14080" width="56.3984375" style="1570"/>
    <col min="14081" max="14081" width="4.09765625" style="1570" customWidth="1"/>
    <col min="14082" max="14082" width="55.5" style="1570" customWidth="1"/>
    <col min="14083" max="14083" width="6.3984375" style="1570" customWidth="1"/>
    <col min="14084" max="14084" width="15" style="1570" customWidth="1"/>
    <col min="14085" max="14336" width="56.3984375" style="1570"/>
    <col min="14337" max="14337" width="4.09765625" style="1570" customWidth="1"/>
    <col min="14338" max="14338" width="55.5" style="1570" customWidth="1"/>
    <col min="14339" max="14339" width="6.3984375" style="1570" customWidth="1"/>
    <col min="14340" max="14340" width="15" style="1570" customWidth="1"/>
    <col min="14341" max="14592" width="56.3984375" style="1570"/>
    <col min="14593" max="14593" width="4.09765625" style="1570" customWidth="1"/>
    <col min="14594" max="14594" width="55.5" style="1570" customWidth="1"/>
    <col min="14595" max="14595" width="6.3984375" style="1570" customWidth="1"/>
    <col min="14596" max="14596" width="15" style="1570" customWidth="1"/>
    <col min="14597" max="14848" width="56.3984375" style="1570"/>
    <col min="14849" max="14849" width="4.09765625" style="1570" customWidth="1"/>
    <col min="14850" max="14850" width="55.5" style="1570" customWidth="1"/>
    <col min="14851" max="14851" width="6.3984375" style="1570" customWidth="1"/>
    <col min="14852" max="14852" width="15" style="1570" customWidth="1"/>
    <col min="14853" max="15104" width="56.3984375" style="1570"/>
    <col min="15105" max="15105" width="4.09765625" style="1570" customWidth="1"/>
    <col min="15106" max="15106" width="55.5" style="1570" customWidth="1"/>
    <col min="15107" max="15107" width="6.3984375" style="1570" customWidth="1"/>
    <col min="15108" max="15108" width="15" style="1570" customWidth="1"/>
    <col min="15109" max="15360" width="56.3984375" style="1570"/>
    <col min="15361" max="15361" width="4.09765625" style="1570" customWidth="1"/>
    <col min="15362" max="15362" width="55.5" style="1570" customWidth="1"/>
    <col min="15363" max="15363" width="6.3984375" style="1570" customWidth="1"/>
    <col min="15364" max="15364" width="15" style="1570" customWidth="1"/>
    <col min="15365" max="15616" width="56.3984375" style="1570"/>
    <col min="15617" max="15617" width="4.09765625" style="1570" customWidth="1"/>
    <col min="15618" max="15618" width="55.5" style="1570" customWidth="1"/>
    <col min="15619" max="15619" width="6.3984375" style="1570" customWidth="1"/>
    <col min="15620" max="15620" width="15" style="1570" customWidth="1"/>
    <col min="15621" max="15872" width="56.3984375" style="1570"/>
    <col min="15873" max="15873" width="4.09765625" style="1570" customWidth="1"/>
    <col min="15874" max="15874" width="55.5" style="1570" customWidth="1"/>
    <col min="15875" max="15875" width="6.3984375" style="1570" customWidth="1"/>
    <col min="15876" max="15876" width="15" style="1570" customWidth="1"/>
    <col min="15877" max="16128" width="56.3984375" style="1570"/>
    <col min="16129" max="16129" width="4.09765625" style="1570" customWidth="1"/>
    <col min="16130" max="16130" width="55.5" style="1570" customWidth="1"/>
    <col min="16131" max="16131" width="6.3984375" style="1570" customWidth="1"/>
    <col min="16132" max="16132" width="15" style="1570" customWidth="1"/>
    <col min="16133" max="16384" width="56.3984375" style="1570"/>
  </cols>
  <sheetData>
    <row r="1" spans="1:5" ht="20.100000000000001" customHeight="1">
      <c r="A1" s="3378"/>
      <c r="B1" s="3378"/>
      <c r="C1" s="3378"/>
      <c r="D1" s="2174" t="str">
        <f>"索引号："&amp;档案索引!D6</f>
        <v>索引号：2B-1</v>
      </c>
    </row>
    <row r="2" spans="1:5" ht="25.5" customHeight="1">
      <c r="A2" s="3379" t="s">
        <v>5934</v>
      </c>
      <c r="B2" s="3379"/>
      <c r="C2" s="3379"/>
      <c r="D2" s="1836"/>
    </row>
    <row r="3" spans="1:5">
      <c r="A3" s="1837" t="s">
        <v>1854</v>
      </c>
      <c r="B3" s="1837" t="s">
        <v>1628</v>
      </c>
      <c r="C3" s="1837" t="s">
        <v>5016</v>
      </c>
      <c r="D3" s="1874" t="s">
        <v>5490</v>
      </c>
    </row>
    <row r="4" spans="1:5">
      <c r="A4" s="1837">
        <v>1</v>
      </c>
      <c r="B4" s="1838" t="s">
        <v>5491</v>
      </c>
      <c r="C4" s="2077">
        <f>C5+C6+C7+C8</f>
        <v>0</v>
      </c>
      <c r="D4" s="1976"/>
      <c r="E4" s="1575"/>
    </row>
    <row r="5" spans="1:5">
      <c r="A5" s="1837">
        <v>2</v>
      </c>
      <c r="B5" s="1838" t="s">
        <v>5492</v>
      </c>
      <c r="C5" s="2079"/>
      <c r="D5" s="1976"/>
      <c r="E5" s="1575"/>
    </row>
    <row r="6" spans="1:5" ht="24">
      <c r="A6" s="1839">
        <v>3</v>
      </c>
      <c r="B6" s="1840" t="s">
        <v>5493</v>
      </c>
      <c r="C6" s="2080">
        <f>A107011股息红利优惠明细表!Q15</f>
        <v>0</v>
      </c>
      <c r="D6" s="1978" t="s">
        <v>5494</v>
      </c>
    </row>
    <row r="7" spans="1:5">
      <c r="A7" s="1837">
        <v>4</v>
      </c>
      <c r="B7" s="1838" t="s">
        <v>5495</v>
      </c>
      <c r="C7" s="2079"/>
      <c r="D7" s="1979"/>
    </row>
    <row r="8" spans="1:5">
      <c r="A8" s="1837">
        <v>5</v>
      </c>
      <c r="B8" s="1838" t="s">
        <v>5496</v>
      </c>
      <c r="C8" s="2077">
        <f>SUM(C9:C17)</f>
        <v>0</v>
      </c>
      <c r="D8" s="1979"/>
    </row>
    <row r="9" spans="1:5">
      <c r="A9" s="1837">
        <v>6</v>
      </c>
      <c r="B9" s="1838" t="s">
        <v>5497</v>
      </c>
      <c r="C9" s="2089"/>
      <c r="D9" s="1979"/>
    </row>
    <row r="10" spans="1:5">
      <c r="A10" s="1837">
        <v>7</v>
      </c>
      <c r="B10" s="1838" t="s">
        <v>5498</v>
      </c>
      <c r="C10" s="2089"/>
      <c r="D10" s="1979"/>
    </row>
    <row r="11" spans="1:5">
      <c r="A11" s="1837">
        <v>8</v>
      </c>
      <c r="B11" s="1838" t="s">
        <v>5499</v>
      </c>
      <c r="C11" s="2089"/>
      <c r="D11" s="1979"/>
    </row>
    <row r="12" spans="1:5">
      <c r="A12" s="1837">
        <v>9</v>
      </c>
      <c r="B12" s="1838" t="s">
        <v>5500</v>
      </c>
      <c r="C12" s="2089"/>
      <c r="D12" s="1979"/>
      <c r="E12" s="1675" t="s">
        <v>6456</v>
      </c>
    </row>
    <row r="13" spans="1:5">
      <c r="A13" s="1837">
        <v>10</v>
      </c>
      <c r="B13" s="1838" t="s">
        <v>5501</v>
      </c>
      <c r="C13" s="2089"/>
      <c r="D13" s="1979"/>
    </row>
    <row r="14" spans="1:5">
      <c r="A14" s="1837">
        <v>11</v>
      </c>
      <c r="B14" s="1838" t="s">
        <v>5502</v>
      </c>
      <c r="C14" s="2089"/>
      <c r="D14" s="1979"/>
    </row>
    <row r="15" spans="1:5">
      <c r="A15" s="1837">
        <v>12</v>
      </c>
      <c r="B15" s="1838" t="s">
        <v>5503</v>
      </c>
      <c r="C15" s="2089"/>
      <c r="D15" s="1979"/>
    </row>
    <row r="16" spans="1:5">
      <c r="A16" s="1837">
        <v>13</v>
      </c>
      <c r="B16" s="1838" t="s">
        <v>5504</v>
      </c>
      <c r="C16" s="2089"/>
      <c r="D16" s="1979"/>
    </row>
    <row r="17" spans="1:4">
      <c r="A17" s="1837">
        <v>14</v>
      </c>
      <c r="B17" s="1838" t="s">
        <v>5505</v>
      </c>
      <c r="C17" s="2089"/>
      <c r="D17" s="1979"/>
    </row>
    <row r="18" spans="1:4">
      <c r="A18" s="1837">
        <v>15</v>
      </c>
      <c r="B18" s="1838" t="s">
        <v>5506</v>
      </c>
      <c r="C18" s="2077">
        <f>C19+C20</f>
        <v>0</v>
      </c>
      <c r="D18" s="1979"/>
    </row>
    <row r="19" spans="1:4" ht="27.75" customHeight="1">
      <c r="A19" s="1837">
        <v>16</v>
      </c>
      <c r="B19" s="1838" t="s">
        <v>5507</v>
      </c>
      <c r="C19" s="2077">
        <f>A107012综合利用资源生产产品取得的收入优惠明细表!K15</f>
        <v>0</v>
      </c>
      <c r="D19" s="1978" t="s">
        <v>5508</v>
      </c>
    </row>
    <row r="20" spans="1:4">
      <c r="A20" s="1837">
        <v>17</v>
      </c>
      <c r="B20" s="1838" t="s">
        <v>5509</v>
      </c>
      <c r="C20" s="2077">
        <f>C21+C22+C23</f>
        <v>0</v>
      </c>
      <c r="D20" s="1980"/>
    </row>
    <row r="21" spans="1:4" ht="24">
      <c r="A21" s="1837">
        <v>18</v>
      </c>
      <c r="B21" s="1838" t="s">
        <v>5510</v>
      </c>
      <c r="C21" s="2077">
        <f>A107013金融保险等机构取得涉农利息保费收入优惠明细表!C16</f>
        <v>0</v>
      </c>
      <c r="D21" s="1978" t="s">
        <v>5511</v>
      </c>
    </row>
    <row r="22" spans="1:4">
      <c r="A22" s="1837">
        <v>19</v>
      </c>
      <c r="B22" s="1838" t="s">
        <v>5512</v>
      </c>
      <c r="C22" s="2089"/>
      <c r="D22" s="1979"/>
    </row>
    <row r="23" spans="1:4">
      <c r="A23" s="1837">
        <v>20</v>
      </c>
      <c r="B23" s="1838" t="s">
        <v>5513</v>
      </c>
      <c r="C23" s="2079"/>
      <c r="D23" s="1979"/>
    </row>
    <row r="24" spans="1:4">
      <c r="A24" s="1837">
        <v>21</v>
      </c>
      <c r="B24" s="1838" t="s">
        <v>5514</v>
      </c>
      <c r="C24" s="2077">
        <f>C25+C26+C29</f>
        <v>0</v>
      </c>
      <c r="D24" s="1979"/>
    </row>
    <row r="25" spans="1:4" ht="36">
      <c r="A25" s="1839">
        <v>22</v>
      </c>
      <c r="B25" s="1840" t="s">
        <v>5515</v>
      </c>
      <c r="C25" s="2080">
        <f>A107014研发费用加计扣除优惠明细表!T15</f>
        <v>0</v>
      </c>
      <c r="D25" s="1978" t="s">
        <v>5516</v>
      </c>
    </row>
    <row r="26" spans="1:4" ht="24">
      <c r="A26" s="1837">
        <v>23</v>
      </c>
      <c r="B26" s="1841" t="s">
        <v>5517</v>
      </c>
      <c r="C26" s="2077">
        <f>C27+C28</f>
        <v>0</v>
      </c>
      <c r="D26" s="1979"/>
    </row>
    <row r="27" spans="1:4">
      <c r="A27" s="1837">
        <v>24</v>
      </c>
      <c r="B27" s="1838" t="s">
        <v>5518</v>
      </c>
      <c r="C27" s="2079"/>
      <c r="D27" s="1979"/>
    </row>
    <row r="28" spans="1:4">
      <c r="A28" s="1837">
        <v>25</v>
      </c>
      <c r="B28" s="1838" t="s">
        <v>5519</v>
      </c>
      <c r="C28" s="2079"/>
      <c r="D28" s="1979"/>
    </row>
    <row r="29" spans="1:4">
      <c r="A29" s="1837">
        <v>26</v>
      </c>
      <c r="B29" s="1838" t="s">
        <v>5520</v>
      </c>
      <c r="C29" s="2079"/>
      <c r="D29" s="1979"/>
    </row>
    <row r="30" spans="1:4" ht="24">
      <c r="A30" s="1837">
        <v>27</v>
      </c>
      <c r="B30" s="1838" t="s">
        <v>5521</v>
      </c>
      <c r="C30" s="2077">
        <f>C4+C18+C24</f>
        <v>0</v>
      </c>
      <c r="D30" s="1980" t="s">
        <v>5522</v>
      </c>
    </row>
  </sheetData>
  <mergeCells count="2">
    <mergeCell ref="A1:C1"/>
    <mergeCell ref="A2:C2"/>
  </mergeCells>
  <phoneticPr fontId="51" type="noConversion"/>
  <hyperlinks>
    <hyperlink ref="E12" location="A107010免税、减计收入及加计扣除优惠明细表!A1" display="A107010免税、减计收入及加计扣除优惠明细表!A1"/>
  </hyperlinks>
  <printOptions horizontalCentered="1"/>
  <pageMargins left="0.78740157480314998" right="0.35433070866141703" top="0.511811023622047" bottom="0.11811023622047198" header="0.511811023622047" footer="0.511811023622047"/>
  <pageSetup paperSize="9" orientation="portrait" r:id="rId1"/>
</worksheet>
</file>

<file path=xl/worksheets/sheet5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67">
    <tabColor rgb="FFFFFF00"/>
  </sheetPr>
  <dimension ref="A1:S15"/>
  <sheetViews>
    <sheetView topLeftCell="B1" workbookViewId="0">
      <selection activeCell="L5" sqref="L5"/>
    </sheetView>
  </sheetViews>
  <sheetFormatPr defaultRowHeight="15.6"/>
  <cols>
    <col min="1" max="1" width="4.19921875" style="1584" hidden="1" customWidth="1"/>
    <col min="2" max="2" width="16.5" style="1584" customWidth="1"/>
    <col min="3" max="3" width="5.09765625" style="1584" customWidth="1"/>
    <col min="4" max="4" width="9" style="1584" customWidth="1"/>
    <col min="5" max="5" width="5.3984375" style="1584" customWidth="1"/>
    <col min="6" max="6" width="9.5" style="1584" customWidth="1"/>
    <col min="7" max="11" width="9" style="1584" customWidth="1"/>
    <col min="12" max="12" width="6.3984375" style="1584" customWidth="1"/>
    <col min="13" max="14" width="9" style="1584" customWidth="1"/>
    <col min="15" max="15" width="9" style="1584"/>
    <col min="16" max="17" width="9" style="1584" customWidth="1"/>
    <col min="18" max="18" width="8.3984375" style="1584" customWidth="1"/>
    <col min="19" max="256" width="9" style="1584"/>
    <col min="257" max="257" width="0" style="1584" hidden="1" customWidth="1"/>
    <col min="258" max="258" width="6.09765625" style="1584" customWidth="1"/>
    <col min="259" max="260" width="5.09765625" style="1584" customWidth="1"/>
    <col min="261" max="261" width="5.3984375" style="1584" customWidth="1"/>
    <col min="262" max="263" width="9.5" style="1584" customWidth="1"/>
    <col min="264" max="264" width="6.3984375" style="1584" customWidth="1"/>
    <col min="265" max="265" width="8.59765625" style="1584" customWidth="1"/>
    <col min="266" max="266" width="7.5" style="1584" customWidth="1"/>
    <col min="267" max="267" width="8.3984375" style="1584" customWidth="1"/>
    <col min="268" max="268" width="6.3984375" style="1584" customWidth="1"/>
    <col min="269" max="269" width="6.09765625" style="1584" customWidth="1"/>
    <col min="270" max="270" width="7.19921875" style="1584" customWidth="1"/>
    <col min="271" max="271" width="9" style="1584"/>
    <col min="272" max="272" width="6.5" style="1584" customWidth="1"/>
    <col min="273" max="273" width="9.3984375" style="1584" customWidth="1"/>
    <col min="274" max="274" width="8.3984375" style="1584" customWidth="1"/>
    <col min="275" max="512" width="9" style="1584"/>
    <col min="513" max="513" width="0" style="1584" hidden="1" customWidth="1"/>
    <col min="514" max="514" width="6.09765625" style="1584" customWidth="1"/>
    <col min="515" max="516" width="5.09765625" style="1584" customWidth="1"/>
    <col min="517" max="517" width="5.3984375" style="1584" customWidth="1"/>
    <col min="518" max="519" width="9.5" style="1584" customWidth="1"/>
    <col min="520" max="520" width="6.3984375" style="1584" customWidth="1"/>
    <col min="521" max="521" width="8.59765625" style="1584" customWidth="1"/>
    <col min="522" max="522" width="7.5" style="1584" customWidth="1"/>
    <col min="523" max="523" width="8.3984375" style="1584" customWidth="1"/>
    <col min="524" max="524" width="6.3984375" style="1584" customWidth="1"/>
    <col min="525" max="525" width="6.09765625" style="1584" customWidth="1"/>
    <col min="526" max="526" width="7.19921875" style="1584" customWidth="1"/>
    <col min="527" max="527" width="9" style="1584"/>
    <col min="528" max="528" width="6.5" style="1584" customWidth="1"/>
    <col min="529" max="529" width="9.3984375" style="1584" customWidth="1"/>
    <col min="530" max="530" width="8.3984375" style="1584" customWidth="1"/>
    <col min="531" max="768" width="9" style="1584"/>
    <col min="769" max="769" width="0" style="1584" hidden="1" customWidth="1"/>
    <col min="770" max="770" width="6.09765625" style="1584" customWidth="1"/>
    <col min="771" max="772" width="5.09765625" style="1584" customWidth="1"/>
    <col min="773" max="773" width="5.3984375" style="1584" customWidth="1"/>
    <col min="774" max="775" width="9.5" style="1584" customWidth="1"/>
    <col min="776" max="776" width="6.3984375" style="1584" customWidth="1"/>
    <col min="777" max="777" width="8.59765625" style="1584" customWidth="1"/>
    <col min="778" max="778" width="7.5" style="1584" customWidth="1"/>
    <col min="779" max="779" width="8.3984375" style="1584" customWidth="1"/>
    <col min="780" max="780" width="6.3984375" style="1584" customWidth="1"/>
    <col min="781" max="781" width="6.09765625" style="1584" customWidth="1"/>
    <col min="782" max="782" width="7.19921875" style="1584" customWidth="1"/>
    <col min="783" max="783" width="9" style="1584"/>
    <col min="784" max="784" width="6.5" style="1584" customWidth="1"/>
    <col min="785" max="785" width="9.3984375" style="1584" customWidth="1"/>
    <col min="786" max="786" width="8.3984375" style="1584" customWidth="1"/>
    <col min="787" max="1024" width="9" style="1584"/>
    <col min="1025" max="1025" width="0" style="1584" hidden="1" customWidth="1"/>
    <col min="1026" max="1026" width="6.09765625" style="1584" customWidth="1"/>
    <col min="1027" max="1028" width="5.09765625" style="1584" customWidth="1"/>
    <col min="1029" max="1029" width="5.3984375" style="1584" customWidth="1"/>
    <col min="1030" max="1031" width="9.5" style="1584" customWidth="1"/>
    <col min="1032" max="1032" width="6.3984375" style="1584" customWidth="1"/>
    <col min="1033" max="1033" width="8.59765625" style="1584" customWidth="1"/>
    <col min="1034" max="1034" width="7.5" style="1584" customWidth="1"/>
    <col min="1035" max="1035" width="8.3984375" style="1584" customWidth="1"/>
    <col min="1036" max="1036" width="6.3984375" style="1584" customWidth="1"/>
    <col min="1037" max="1037" width="6.09765625" style="1584" customWidth="1"/>
    <col min="1038" max="1038" width="7.19921875" style="1584" customWidth="1"/>
    <col min="1039" max="1039" width="9" style="1584"/>
    <col min="1040" max="1040" width="6.5" style="1584" customWidth="1"/>
    <col min="1041" max="1041" width="9.3984375" style="1584" customWidth="1"/>
    <col min="1042" max="1042" width="8.3984375" style="1584" customWidth="1"/>
    <col min="1043" max="1280" width="9" style="1584"/>
    <col min="1281" max="1281" width="0" style="1584" hidden="1" customWidth="1"/>
    <col min="1282" max="1282" width="6.09765625" style="1584" customWidth="1"/>
    <col min="1283" max="1284" width="5.09765625" style="1584" customWidth="1"/>
    <col min="1285" max="1285" width="5.3984375" style="1584" customWidth="1"/>
    <col min="1286" max="1287" width="9.5" style="1584" customWidth="1"/>
    <col min="1288" max="1288" width="6.3984375" style="1584" customWidth="1"/>
    <col min="1289" max="1289" width="8.59765625" style="1584" customWidth="1"/>
    <col min="1290" max="1290" width="7.5" style="1584" customWidth="1"/>
    <col min="1291" max="1291" width="8.3984375" style="1584" customWidth="1"/>
    <col min="1292" max="1292" width="6.3984375" style="1584" customWidth="1"/>
    <col min="1293" max="1293" width="6.09765625" style="1584" customWidth="1"/>
    <col min="1294" max="1294" width="7.19921875" style="1584" customWidth="1"/>
    <col min="1295" max="1295" width="9" style="1584"/>
    <col min="1296" max="1296" width="6.5" style="1584" customWidth="1"/>
    <col min="1297" max="1297" width="9.3984375" style="1584" customWidth="1"/>
    <col min="1298" max="1298" width="8.3984375" style="1584" customWidth="1"/>
    <col min="1299" max="1536" width="9" style="1584"/>
    <col min="1537" max="1537" width="0" style="1584" hidden="1" customWidth="1"/>
    <col min="1538" max="1538" width="6.09765625" style="1584" customWidth="1"/>
    <col min="1539" max="1540" width="5.09765625" style="1584" customWidth="1"/>
    <col min="1541" max="1541" width="5.3984375" style="1584" customWidth="1"/>
    <col min="1542" max="1543" width="9.5" style="1584" customWidth="1"/>
    <col min="1544" max="1544" width="6.3984375" style="1584" customWidth="1"/>
    <col min="1545" max="1545" width="8.59765625" style="1584" customWidth="1"/>
    <col min="1546" max="1546" width="7.5" style="1584" customWidth="1"/>
    <col min="1547" max="1547" width="8.3984375" style="1584" customWidth="1"/>
    <col min="1548" max="1548" width="6.3984375" style="1584" customWidth="1"/>
    <col min="1549" max="1549" width="6.09765625" style="1584" customWidth="1"/>
    <col min="1550" max="1550" width="7.19921875" style="1584" customWidth="1"/>
    <col min="1551" max="1551" width="9" style="1584"/>
    <col min="1552" max="1552" width="6.5" style="1584" customWidth="1"/>
    <col min="1553" max="1553" width="9.3984375" style="1584" customWidth="1"/>
    <col min="1554" max="1554" width="8.3984375" style="1584" customWidth="1"/>
    <col min="1555" max="1792" width="9" style="1584"/>
    <col min="1793" max="1793" width="0" style="1584" hidden="1" customWidth="1"/>
    <col min="1794" max="1794" width="6.09765625" style="1584" customWidth="1"/>
    <col min="1795" max="1796" width="5.09765625" style="1584" customWidth="1"/>
    <col min="1797" max="1797" width="5.3984375" style="1584" customWidth="1"/>
    <col min="1798" max="1799" width="9.5" style="1584" customWidth="1"/>
    <col min="1800" max="1800" width="6.3984375" style="1584" customWidth="1"/>
    <col min="1801" max="1801" width="8.59765625" style="1584" customWidth="1"/>
    <col min="1802" max="1802" width="7.5" style="1584" customWidth="1"/>
    <col min="1803" max="1803" width="8.3984375" style="1584" customWidth="1"/>
    <col min="1804" max="1804" width="6.3984375" style="1584" customWidth="1"/>
    <col min="1805" max="1805" width="6.09765625" style="1584" customWidth="1"/>
    <col min="1806" max="1806" width="7.19921875" style="1584" customWidth="1"/>
    <col min="1807" max="1807" width="9" style="1584"/>
    <col min="1808" max="1808" width="6.5" style="1584" customWidth="1"/>
    <col min="1809" max="1809" width="9.3984375" style="1584" customWidth="1"/>
    <col min="1810" max="1810" width="8.3984375" style="1584" customWidth="1"/>
    <col min="1811" max="2048" width="9" style="1584"/>
    <col min="2049" max="2049" width="0" style="1584" hidden="1" customWidth="1"/>
    <col min="2050" max="2050" width="6.09765625" style="1584" customWidth="1"/>
    <col min="2051" max="2052" width="5.09765625" style="1584" customWidth="1"/>
    <col min="2053" max="2053" width="5.3984375" style="1584" customWidth="1"/>
    <col min="2054" max="2055" width="9.5" style="1584" customWidth="1"/>
    <col min="2056" max="2056" width="6.3984375" style="1584" customWidth="1"/>
    <col min="2057" max="2057" width="8.59765625" style="1584" customWidth="1"/>
    <col min="2058" max="2058" width="7.5" style="1584" customWidth="1"/>
    <col min="2059" max="2059" width="8.3984375" style="1584" customWidth="1"/>
    <col min="2060" max="2060" width="6.3984375" style="1584" customWidth="1"/>
    <col min="2061" max="2061" width="6.09765625" style="1584" customWidth="1"/>
    <col min="2062" max="2062" width="7.19921875" style="1584" customWidth="1"/>
    <col min="2063" max="2063" width="9" style="1584"/>
    <col min="2064" max="2064" width="6.5" style="1584" customWidth="1"/>
    <col min="2065" max="2065" width="9.3984375" style="1584" customWidth="1"/>
    <col min="2066" max="2066" width="8.3984375" style="1584" customWidth="1"/>
    <col min="2067" max="2304" width="9" style="1584"/>
    <col min="2305" max="2305" width="0" style="1584" hidden="1" customWidth="1"/>
    <col min="2306" max="2306" width="6.09765625" style="1584" customWidth="1"/>
    <col min="2307" max="2308" width="5.09765625" style="1584" customWidth="1"/>
    <col min="2309" max="2309" width="5.3984375" style="1584" customWidth="1"/>
    <col min="2310" max="2311" width="9.5" style="1584" customWidth="1"/>
    <col min="2312" max="2312" width="6.3984375" style="1584" customWidth="1"/>
    <col min="2313" max="2313" width="8.59765625" style="1584" customWidth="1"/>
    <col min="2314" max="2314" width="7.5" style="1584" customWidth="1"/>
    <col min="2315" max="2315" width="8.3984375" style="1584" customWidth="1"/>
    <col min="2316" max="2316" width="6.3984375" style="1584" customWidth="1"/>
    <col min="2317" max="2317" width="6.09765625" style="1584" customWidth="1"/>
    <col min="2318" max="2318" width="7.19921875" style="1584" customWidth="1"/>
    <col min="2319" max="2319" width="9" style="1584"/>
    <col min="2320" max="2320" width="6.5" style="1584" customWidth="1"/>
    <col min="2321" max="2321" width="9.3984375" style="1584" customWidth="1"/>
    <col min="2322" max="2322" width="8.3984375" style="1584" customWidth="1"/>
    <col min="2323" max="2560" width="9" style="1584"/>
    <col min="2561" max="2561" width="0" style="1584" hidden="1" customWidth="1"/>
    <col min="2562" max="2562" width="6.09765625" style="1584" customWidth="1"/>
    <col min="2563" max="2564" width="5.09765625" style="1584" customWidth="1"/>
    <col min="2565" max="2565" width="5.3984375" style="1584" customWidth="1"/>
    <col min="2566" max="2567" width="9.5" style="1584" customWidth="1"/>
    <col min="2568" max="2568" width="6.3984375" style="1584" customWidth="1"/>
    <col min="2569" max="2569" width="8.59765625" style="1584" customWidth="1"/>
    <col min="2570" max="2570" width="7.5" style="1584" customWidth="1"/>
    <col min="2571" max="2571" width="8.3984375" style="1584" customWidth="1"/>
    <col min="2572" max="2572" width="6.3984375" style="1584" customWidth="1"/>
    <col min="2573" max="2573" width="6.09765625" style="1584" customWidth="1"/>
    <col min="2574" max="2574" width="7.19921875" style="1584" customWidth="1"/>
    <col min="2575" max="2575" width="9" style="1584"/>
    <col min="2576" max="2576" width="6.5" style="1584" customWidth="1"/>
    <col min="2577" max="2577" width="9.3984375" style="1584" customWidth="1"/>
    <col min="2578" max="2578" width="8.3984375" style="1584" customWidth="1"/>
    <col min="2579" max="2816" width="9" style="1584"/>
    <col min="2817" max="2817" width="0" style="1584" hidden="1" customWidth="1"/>
    <col min="2818" max="2818" width="6.09765625" style="1584" customWidth="1"/>
    <col min="2819" max="2820" width="5.09765625" style="1584" customWidth="1"/>
    <col min="2821" max="2821" width="5.3984375" style="1584" customWidth="1"/>
    <col min="2822" max="2823" width="9.5" style="1584" customWidth="1"/>
    <col min="2824" max="2824" width="6.3984375" style="1584" customWidth="1"/>
    <col min="2825" max="2825" width="8.59765625" style="1584" customWidth="1"/>
    <col min="2826" max="2826" width="7.5" style="1584" customWidth="1"/>
    <col min="2827" max="2827" width="8.3984375" style="1584" customWidth="1"/>
    <col min="2828" max="2828" width="6.3984375" style="1584" customWidth="1"/>
    <col min="2829" max="2829" width="6.09765625" style="1584" customWidth="1"/>
    <col min="2830" max="2830" width="7.19921875" style="1584" customWidth="1"/>
    <col min="2831" max="2831" width="9" style="1584"/>
    <col min="2832" max="2832" width="6.5" style="1584" customWidth="1"/>
    <col min="2833" max="2833" width="9.3984375" style="1584" customWidth="1"/>
    <col min="2834" max="2834" width="8.3984375" style="1584" customWidth="1"/>
    <col min="2835" max="3072" width="9" style="1584"/>
    <col min="3073" max="3073" width="0" style="1584" hidden="1" customWidth="1"/>
    <col min="3074" max="3074" width="6.09765625" style="1584" customWidth="1"/>
    <col min="3075" max="3076" width="5.09765625" style="1584" customWidth="1"/>
    <col min="3077" max="3077" width="5.3984375" style="1584" customWidth="1"/>
    <col min="3078" max="3079" width="9.5" style="1584" customWidth="1"/>
    <col min="3080" max="3080" width="6.3984375" style="1584" customWidth="1"/>
    <col min="3081" max="3081" width="8.59765625" style="1584" customWidth="1"/>
    <col min="3082" max="3082" width="7.5" style="1584" customWidth="1"/>
    <col min="3083" max="3083" width="8.3984375" style="1584" customWidth="1"/>
    <col min="3084" max="3084" width="6.3984375" style="1584" customWidth="1"/>
    <col min="3085" max="3085" width="6.09765625" style="1584" customWidth="1"/>
    <col min="3086" max="3086" width="7.19921875" style="1584" customWidth="1"/>
    <col min="3087" max="3087" width="9" style="1584"/>
    <col min="3088" max="3088" width="6.5" style="1584" customWidth="1"/>
    <col min="3089" max="3089" width="9.3984375" style="1584" customWidth="1"/>
    <col min="3090" max="3090" width="8.3984375" style="1584" customWidth="1"/>
    <col min="3091" max="3328" width="9" style="1584"/>
    <col min="3329" max="3329" width="0" style="1584" hidden="1" customWidth="1"/>
    <col min="3330" max="3330" width="6.09765625" style="1584" customWidth="1"/>
    <col min="3331" max="3332" width="5.09765625" style="1584" customWidth="1"/>
    <col min="3333" max="3333" width="5.3984375" style="1584" customWidth="1"/>
    <col min="3334" max="3335" width="9.5" style="1584" customWidth="1"/>
    <col min="3336" max="3336" width="6.3984375" style="1584" customWidth="1"/>
    <col min="3337" max="3337" width="8.59765625" style="1584" customWidth="1"/>
    <col min="3338" max="3338" width="7.5" style="1584" customWidth="1"/>
    <col min="3339" max="3339" width="8.3984375" style="1584" customWidth="1"/>
    <col min="3340" max="3340" width="6.3984375" style="1584" customWidth="1"/>
    <col min="3341" max="3341" width="6.09765625" style="1584" customWidth="1"/>
    <col min="3342" max="3342" width="7.19921875" style="1584" customWidth="1"/>
    <col min="3343" max="3343" width="9" style="1584"/>
    <col min="3344" max="3344" width="6.5" style="1584" customWidth="1"/>
    <col min="3345" max="3345" width="9.3984375" style="1584" customWidth="1"/>
    <col min="3346" max="3346" width="8.3984375" style="1584" customWidth="1"/>
    <col min="3347" max="3584" width="9" style="1584"/>
    <col min="3585" max="3585" width="0" style="1584" hidden="1" customWidth="1"/>
    <col min="3586" max="3586" width="6.09765625" style="1584" customWidth="1"/>
    <col min="3587" max="3588" width="5.09765625" style="1584" customWidth="1"/>
    <col min="3589" max="3589" width="5.3984375" style="1584" customWidth="1"/>
    <col min="3590" max="3591" width="9.5" style="1584" customWidth="1"/>
    <col min="3592" max="3592" width="6.3984375" style="1584" customWidth="1"/>
    <col min="3593" max="3593" width="8.59765625" style="1584" customWidth="1"/>
    <col min="3594" max="3594" width="7.5" style="1584" customWidth="1"/>
    <col min="3595" max="3595" width="8.3984375" style="1584" customWidth="1"/>
    <col min="3596" max="3596" width="6.3984375" style="1584" customWidth="1"/>
    <col min="3597" max="3597" width="6.09765625" style="1584" customWidth="1"/>
    <col min="3598" max="3598" width="7.19921875" style="1584" customWidth="1"/>
    <col min="3599" max="3599" width="9" style="1584"/>
    <col min="3600" max="3600" width="6.5" style="1584" customWidth="1"/>
    <col min="3601" max="3601" width="9.3984375" style="1584" customWidth="1"/>
    <col min="3602" max="3602" width="8.3984375" style="1584" customWidth="1"/>
    <col min="3603" max="3840" width="9" style="1584"/>
    <col min="3841" max="3841" width="0" style="1584" hidden="1" customWidth="1"/>
    <col min="3842" max="3842" width="6.09765625" style="1584" customWidth="1"/>
    <col min="3843" max="3844" width="5.09765625" style="1584" customWidth="1"/>
    <col min="3845" max="3845" width="5.3984375" style="1584" customWidth="1"/>
    <col min="3846" max="3847" width="9.5" style="1584" customWidth="1"/>
    <col min="3848" max="3848" width="6.3984375" style="1584" customWidth="1"/>
    <col min="3849" max="3849" width="8.59765625" style="1584" customWidth="1"/>
    <col min="3850" max="3850" width="7.5" style="1584" customWidth="1"/>
    <col min="3851" max="3851" width="8.3984375" style="1584" customWidth="1"/>
    <col min="3852" max="3852" width="6.3984375" style="1584" customWidth="1"/>
    <col min="3853" max="3853" width="6.09765625" style="1584" customWidth="1"/>
    <col min="3854" max="3854" width="7.19921875" style="1584" customWidth="1"/>
    <col min="3855" max="3855" width="9" style="1584"/>
    <col min="3856" max="3856" width="6.5" style="1584" customWidth="1"/>
    <col min="3857" max="3857" width="9.3984375" style="1584" customWidth="1"/>
    <col min="3858" max="3858" width="8.3984375" style="1584" customWidth="1"/>
    <col min="3859" max="4096" width="9" style="1584"/>
    <col min="4097" max="4097" width="0" style="1584" hidden="1" customWidth="1"/>
    <col min="4098" max="4098" width="6.09765625" style="1584" customWidth="1"/>
    <col min="4099" max="4100" width="5.09765625" style="1584" customWidth="1"/>
    <col min="4101" max="4101" width="5.3984375" style="1584" customWidth="1"/>
    <col min="4102" max="4103" width="9.5" style="1584" customWidth="1"/>
    <col min="4104" max="4104" width="6.3984375" style="1584" customWidth="1"/>
    <col min="4105" max="4105" width="8.59765625" style="1584" customWidth="1"/>
    <col min="4106" max="4106" width="7.5" style="1584" customWidth="1"/>
    <col min="4107" max="4107" width="8.3984375" style="1584" customWidth="1"/>
    <col min="4108" max="4108" width="6.3984375" style="1584" customWidth="1"/>
    <col min="4109" max="4109" width="6.09765625" style="1584" customWidth="1"/>
    <col min="4110" max="4110" width="7.19921875" style="1584" customWidth="1"/>
    <col min="4111" max="4111" width="9" style="1584"/>
    <col min="4112" max="4112" width="6.5" style="1584" customWidth="1"/>
    <col min="4113" max="4113" width="9.3984375" style="1584" customWidth="1"/>
    <col min="4114" max="4114" width="8.3984375" style="1584" customWidth="1"/>
    <col min="4115" max="4352" width="9" style="1584"/>
    <col min="4353" max="4353" width="0" style="1584" hidden="1" customWidth="1"/>
    <col min="4354" max="4354" width="6.09765625" style="1584" customWidth="1"/>
    <col min="4355" max="4356" width="5.09765625" style="1584" customWidth="1"/>
    <col min="4357" max="4357" width="5.3984375" style="1584" customWidth="1"/>
    <col min="4358" max="4359" width="9.5" style="1584" customWidth="1"/>
    <col min="4360" max="4360" width="6.3984375" style="1584" customWidth="1"/>
    <col min="4361" max="4361" width="8.59765625" style="1584" customWidth="1"/>
    <col min="4362" max="4362" width="7.5" style="1584" customWidth="1"/>
    <col min="4363" max="4363" width="8.3984375" style="1584" customWidth="1"/>
    <col min="4364" max="4364" width="6.3984375" style="1584" customWidth="1"/>
    <col min="4365" max="4365" width="6.09765625" style="1584" customWidth="1"/>
    <col min="4366" max="4366" width="7.19921875" style="1584" customWidth="1"/>
    <col min="4367" max="4367" width="9" style="1584"/>
    <col min="4368" max="4368" width="6.5" style="1584" customWidth="1"/>
    <col min="4369" max="4369" width="9.3984375" style="1584" customWidth="1"/>
    <col min="4370" max="4370" width="8.3984375" style="1584" customWidth="1"/>
    <col min="4371" max="4608" width="9" style="1584"/>
    <col min="4609" max="4609" width="0" style="1584" hidden="1" customWidth="1"/>
    <col min="4610" max="4610" width="6.09765625" style="1584" customWidth="1"/>
    <col min="4611" max="4612" width="5.09765625" style="1584" customWidth="1"/>
    <col min="4613" max="4613" width="5.3984375" style="1584" customWidth="1"/>
    <col min="4614" max="4615" width="9.5" style="1584" customWidth="1"/>
    <col min="4616" max="4616" width="6.3984375" style="1584" customWidth="1"/>
    <col min="4617" max="4617" width="8.59765625" style="1584" customWidth="1"/>
    <col min="4618" max="4618" width="7.5" style="1584" customWidth="1"/>
    <col min="4619" max="4619" width="8.3984375" style="1584" customWidth="1"/>
    <col min="4620" max="4620" width="6.3984375" style="1584" customWidth="1"/>
    <col min="4621" max="4621" width="6.09765625" style="1584" customWidth="1"/>
    <col min="4622" max="4622" width="7.19921875" style="1584" customWidth="1"/>
    <col min="4623" max="4623" width="9" style="1584"/>
    <col min="4624" max="4624" width="6.5" style="1584" customWidth="1"/>
    <col min="4625" max="4625" width="9.3984375" style="1584" customWidth="1"/>
    <col min="4626" max="4626" width="8.3984375" style="1584" customWidth="1"/>
    <col min="4627" max="4864" width="9" style="1584"/>
    <col min="4865" max="4865" width="0" style="1584" hidden="1" customWidth="1"/>
    <col min="4866" max="4866" width="6.09765625" style="1584" customWidth="1"/>
    <col min="4867" max="4868" width="5.09765625" style="1584" customWidth="1"/>
    <col min="4869" max="4869" width="5.3984375" style="1584" customWidth="1"/>
    <col min="4870" max="4871" width="9.5" style="1584" customWidth="1"/>
    <col min="4872" max="4872" width="6.3984375" style="1584" customWidth="1"/>
    <col min="4873" max="4873" width="8.59765625" style="1584" customWidth="1"/>
    <col min="4874" max="4874" width="7.5" style="1584" customWidth="1"/>
    <col min="4875" max="4875" width="8.3984375" style="1584" customWidth="1"/>
    <col min="4876" max="4876" width="6.3984375" style="1584" customWidth="1"/>
    <col min="4877" max="4877" width="6.09765625" style="1584" customWidth="1"/>
    <col min="4878" max="4878" width="7.19921875" style="1584" customWidth="1"/>
    <col min="4879" max="4879" width="9" style="1584"/>
    <col min="4880" max="4880" width="6.5" style="1584" customWidth="1"/>
    <col min="4881" max="4881" width="9.3984375" style="1584" customWidth="1"/>
    <col min="4882" max="4882" width="8.3984375" style="1584" customWidth="1"/>
    <col min="4883" max="5120" width="9" style="1584"/>
    <col min="5121" max="5121" width="0" style="1584" hidden="1" customWidth="1"/>
    <col min="5122" max="5122" width="6.09765625" style="1584" customWidth="1"/>
    <col min="5123" max="5124" width="5.09765625" style="1584" customWidth="1"/>
    <col min="5125" max="5125" width="5.3984375" style="1584" customWidth="1"/>
    <col min="5126" max="5127" width="9.5" style="1584" customWidth="1"/>
    <col min="5128" max="5128" width="6.3984375" style="1584" customWidth="1"/>
    <col min="5129" max="5129" width="8.59765625" style="1584" customWidth="1"/>
    <col min="5130" max="5130" width="7.5" style="1584" customWidth="1"/>
    <col min="5131" max="5131" width="8.3984375" style="1584" customWidth="1"/>
    <col min="5132" max="5132" width="6.3984375" style="1584" customWidth="1"/>
    <col min="5133" max="5133" width="6.09765625" style="1584" customWidth="1"/>
    <col min="5134" max="5134" width="7.19921875" style="1584" customWidth="1"/>
    <col min="5135" max="5135" width="9" style="1584"/>
    <col min="5136" max="5136" width="6.5" style="1584" customWidth="1"/>
    <col min="5137" max="5137" width="9.3984375" style="1584" customWidth="1"/>
    <col min="5138" max="5138" width="8.3984375" style="1584" customWidth="1"/>
    <col min="5139" max="5376" width="9" style="1584"/>
    <col min="5377" max="5377" width="0" style="1584" hidden="1" customWidth="1"/>
    <col min="5378" max="5378" width="6.09765625" style="1584" customWidth="1"/>
    <col min="5379" max="5380" width="5.09765625" style="1584" customWidth="1"/>
    <col min="5381" max="5381" width="5.3984375" style="1584" customWidth="1"/>
    <col min="5382" max="5383" width="9.5" style="1584" customWidth="1"/>
    <col min="5384" max="5384" width="6.3984375" style="1584" customWidth="1"/>
    <col min="5385" max="5385" width="8.59765625" style="1584" customWidth="1"/>
    <col min="5386" max="5386" width="7.5" style="1584" customWidth="1"/>
    <col min="5387" max="5387" width="8.3984375" style="1584" customWidth="1"/>
    <col min="5388" max="5388" width="6.3984375" style="1584" customWidth="1"/>
    <col min="5389" max="5389" width="6.09765625" style="1584" customWidth="1"/>
    <col min="5390" max="5390" width="7.19921875" style="1584" customWidth="1"/>
    <col min="5391" max="5391" width="9" style="1584"/>
    <col min="5392" max="5392" width="6.5" style="1584" customWidth="1"/>
    <col min="5393" max="5393" width="9.3984375" style="1584" customWidth="1"/>
    <col min="5394" max="5394" width="8.3984375" style="1584" customWidth="1"/>
    <col min="5395" max="5632" width="9" style="1584"/>
    <col min="5633" max="5633" width="0" style="1584" hidden="1" customWidth="1"/>
    <col min="5634" max="5634" width="6.09765625" style="1584" customWidth="1"/>
    <col min="5635" max="5636" width="5.09765625" style="1584" customWidth="1"/>
    <col min="5637" max="5637" width="5.3984375" style="1584" customWidth="1"/>
    <col min="5638" max="5639" width="9.5" style="1584" customWidth="1"/>
    <col min="5640" max="5640" width="6.3984375" style="1584" customWidth="1"/>
    <col min="5641" max="5641" width="8.59765625" style="1584" customWidth="1"/>
    <col min="5642" max="5642" width="7.5" style="1584" customWidth="1"/>
    <col min="5643" max="5643" width="8.3984375" style="1584" customWidth="1"/>
    <col min="5644" max="5644" width="6.3984375" style="1584" customWidth="1"/>
    <col min="5645" max="5645" width="6.09765625" style="1584" customWidth="1"/>
    <col min="5646" max="5646" width="7.19921875" style="1584" customWidth="1"/>
    <col min="5647" max="5647" width="9" style="1584"/>
    <col min="5648" max="5648" width="6.5" style="1584" customWidth="1"/>
    <col min="5649" max="5649" width="9.3984375" style="1584" customWidth="1"/>
    <col min="5650" max="5650" width="8.3984375" style="1584" customWidth="1"/>
    <col min="5651" max="5888" width="9" style="1584"/>
    <col min="5889" max="5889" width="0" style="1584" hidden="1" customWidth="1"/>
    <col min="5890" max="5890" width="6.09765625" style="1584" customWidth="1"/>
    <col min="5891" max="5892" width="5.09765625" style="1584" customWidth="1"/>
    <col min="5893" max="5893" width="5.3984375" style="1584" customWidth="1"/>
    <col min="5894" max="5895" width="9.5" style="1584" customWidth="1"/>
    <col min="5896" max="5896" width="6.3984375" style="1584" customWidth="1"/>
    <col min="5897" max="5897" width="8.59765625" style="1584" customWidth="1"/>
    <col min="5898" max="5898" width="7.5" style="1584" customWidth="1"/>
    <col min="5899" max="5899" width="8.3984375" style="1584" customWidth="1"/>
    <col min="5900" max="5900" width="6.3984375" style="1584" customWidth="1"/>
    <col min="5901" max="5901" width="6.09765625" style="1584" customWidth="1"/>
    <col min="5902" max="5902" width="7.19921875" style="1584" customWidth="1"/>
    <col min="5903" max="5903" width="9" style="1584"/>
    <col min="5904" max="5904" width="6.5" style="1584" customWidth="1"/>
    <col min="5905" max="5905" width="9.3984375" style="1584" customWidth="1"/>
    <col min="5906" max="5906" width="8.3984375" style="1584" customWidth="1"/>
    <col min="5907" max="6144" width="9" style="1584"/>
    <col min="6145" max="6145" width="0" style="1584" hidden="1" customWidth="1"/>
    <col min="6146" max="6146" width="6.09765625" style="1584" customWidth="1"/>
    <col min="6147" max="6148" width="5.09765625" style="1584" customWidth="1"/>
    <col min="6149" max="6149" width="5.3984375" style="1584" customWidth="1"/>
    <col min="6150" max="6151" width="9.5" style="1584" customWidth="1"/>
    <col min="6152" max="6152" width="6.3984375" style="1584" customWidth="1"/>
    <col min="6153" max="6153" width="8.59765625" style="1584" customWidth="1"/>
    <col min="6154" max="6154" width="7.5" style="1584" customWidth="1"/>
    <col min="6155" max="6155" width="8.3984375" style="1584" customWidth="1"/>
    <col min="6156" max="6156" width="6.3984375" style="1584" customWidth="1"/>
    <col min="6157" max="6157" width="6.09765625" style="1584" customWidth="1"/>
    <col min="6158" max="6158" width="7.19921875" style="1584" customWidth="1"/>
    <col min="6159" max="6159" width="9" style="1584"/>
    <col min="6160" max="6160" width="6.5" style="1584" customWidth="1"/>
    <col min="6161" max="6161" width="9.3984375" style="1584" customWidth="1"/>
    <col min="6162" max="6162" width="8.3984375" style="1584" customWidth="1"/>
    <col min="6163" max="6400" width="9" style="1584"/>
    <col min="6401" max="6401" width="0" style="1584" hidden="1" customWidth="1"/>
    <col min="6402" max="6402" width="6.09765625" style="1584" customWidth="1"/>
    <col min="6403" max="6404" width="5.09765625" style="1584" customWidth="1"/>
    <col min="6405" max="6405" width="5.3984375" style="1584" customWidth="1"/>
    <col min="6406" max="6407" width="9.5" style="1584" customWidth="1"/>
    <col min="6408" max="6408" width="6.3984375" style="1584" customWidth="1"/>
    <col min="6409" max="6409" width="8.59765625" style="1584" customWidth="1"/>
    <col min="6410" max="6410" width="7.5" style="1584" customWidth="1"/>
    <col min="6411" max="6411" width="8.3984375" style="1584" customWidth="1"/>
    <col min="6412" max="6412" width="6.3984375" style="1584" customWidth="1"/>
    <col min="6413" max="6413" width="6.09765625" style="1584" customWidth="1"/>
    <col min="6414" max="6414" width="7.19921875" style="1584" customWidth="1"/>
    <col min="6415" max="6415" width="9" style="1584"/>
    <col min="6416" max="6416" width="6.5" style="1584" customWidth="1"/>
    <col min="6417" max="6417" width="9.3984375" style="1584" customWidth="1"/>
    <col min="6418" max="6418" width="8.3984375" style="1584" customWidth="1"/>
    <col min="6419" max="6656" width="9" style="1584"/>
    <col min="6657" max="6657" width="0" style="1584" hidden="1" customWidth="1"/>
    <col min="6658" max="6658" width="6.09765625" style="1584" customWidth="1"/>
    <col min="6659" max="6660" width="5.09765625" style="1584" customWidth="1"/>
    <col min="6661" max="6661" width="5.3984375" style="1584" customWidth="1"/>
    <col min="6662" max="6663" width="9.5" style="1584" customWidth="1"/>
    <col min="6664" max="6664" width="6.3984375" style="1584" customWidth="1"/>
    <col min="6665" max="6665" width="8.59765625" style="1584" customWidth="1"/>
    <col min="6666" max="6666" width="7.5" style="1584" customWidth="1"/>
    <col min="6667" max="6667" width="8.3984375" style="1584" customWidth="1"/>
    <col min="6668" max="6668" width="6.3984375" style="1584" customWidth="1"/>
    <col min="6669" max="6669" width="6.09765625" style="1584" customWidth="1"/>
    <col min="6670" max="6670" width="7.19921875" style="1584" customWidth="1"/>
    <col min="6671" max="6671" width="9" style="1584"/>
    <col min="6672" max="6672" width="6.5" style="1584" customWidth="1"/>
    <col min="6673" max="6673" width="9.3984375" style="1584" customWidth="1"/>
    <col min="6674" max="6674" width="8.3984375" style="1584" customWidth="1"/>
    <col min="6675" max="6912" width="9" style="1584"/>
    <col min="6913" max="6913" width="0" style="1584" hidden="1" customWidth="1"/>
    <col min="6914" max="6914" width="6.09765625" style="1584" customWidth="1"/>
    <col min="6915" max="6916" width="5.09765625" style="1584" customWidth="1"/>
    <col min="6917" max="6917" width="5.3984375" style="1584" customWidth="1"/>
    <col min="6918" max="6919" width="9.5" style="1584" customWidth="1"/>
    <col min="6920" max="6920" width="6.3984375" style="1584" customWidth="1"/>
    <col min="6921" max="6921" width="8.59765625" style="1584" customWidth="1"/>
    <col min="6922" max="6922" width="7.5" style="1584" customWidth="1"/>
    <col min="6923" max="6923" width="8.3984375" style="1584" customWidth="1"/>
    <col min="6924" max="6924" width="6.3984375" style="1584" customWidth="1"/>
    <col min="6925" max="6925" width="6.09765625" style="1584" customWidth="1"/>
    <col min="6926" max="6926" width="7.19921875" style="1584" customWidth="1"/>
    <col min="6927" max="6927" width="9" style="1584"/>
    <col min="6928" max="6928" width="6.5" style="1584" customWidth="1"/>
    <col min="6929" max="6929" width="9.3984375" style="1584" customWidth="1"/>
    <col min="6930" max="6930" width="8.3984375" style="1584" customWidth="1"/>
    <col min="6931" max="7168" width="9" style="1584"/>
    <col min="7169" max="7169" width="0" style="1584" hidden="1" customWidth="1"/>
    <col min="7170" max="7170" width="6.09765625" style="1584" customWidth="1"/>
    <col min="7171" max="7172" width="5.09765625" style="1584" customWidth="1"/>
    <col min="7173" max="7173" width="5.3984375" style="1584" customWidth="1"/>
    <col min="7174" max="7175" width="9.5" style="1584" customWidth="1"/>
    <col min="7176" max="7176" width="6.3984375" style="1584" customWidth="1"/>
    <col min="7177" max="7177" width="8.59765625" style="1584" customWidth="1"/>
    <col min="7178" max="7178" width="7.5" style="1584" customWidth="1"/>
    <col min="7179" max="7179" width="8.3984375" style="1584" customWidth="1"/>
    <col min="7180" max="7180" width="6.3984375" style="1584" customWidth="1"/>
    <col min="7181" max="7181" width="6.09765625" style="1584" customWidth="1"/>
    <col min="7182" max="7182" width="7.19921875" style="1584" customWidth="1"/>
    <col min="7183" max="7183" width="9" style="1584"/>
    <col min="7184" max="7184" width="6.5" style="1584" customWidth="1"/>
    <col min="7185" max="7185" width="9.3984375" style="1584" customWidth="1"/>
    <col min="7186" max="7186" width="8.3984375" style="1584" customWidth="1"/>
    <col min="7187" max="7424" width="9" style="1584"/>
    <col min="7425" max="7425" width="0" style="1584" hidden="1" customWidth="1"/>
    <col min="7426" max="7426" width="6.09765625" style="1584" customWidth="1"/>
    <col min="7427" max="7428" width="5.09765625" style="1584" customWidth="1"/>
    <col min="7429" max="7429" width="5.3984375" style="1584" customWidth="1"/>
    <col min="7430" max="7431" width="9.5" style="1584" customWidth="1"/>
    <col min="7432" max="7432" width="6.3984375" style="1584" customWidth="1"/>
    <col min="7433" max="7433" width="8.59765625" style="1584" customWidth="1"/>
    <col min="7434" max="7434" width="7.5" style="1584" customWidth="1"/>
    <col min="7435" max="7435" width="8.3984375" style="1584" customWidth="1"/>
    <col min="7436" max="7436" width="6.3984375" style="1584" customWidth="1"/>
    <col min="7437" max="7437" width="6.09765625" style="1584" customWidth="1"/>
    <col min="7438" max="7438" width="7.19921875" style="1584" customWidth="1"/>
    <col min="7439" max="7439" width="9" style="1584"/>
    <col min="7440" max="7440" width="6.5" style="1584" customWidth="1"/>
    <col min="7441" max="7441" width="9.3984375" style="1584" customWidth="1"/>
    <col min="7442" max="7442" width="8.3984375" style="1584" customWidth="1"/>
    <col min="7443" max="7680" width="9" style="1584"/>
    <col min="7681" max="7681" width="0" style="1584" hidden="1" customWidth="1"/>
    <col min="7682" max="7682" width="6.09765625" style="1584" customWidth="1"/>
    <col min="7683" max="7684" width="5.09765625" style="1584" customWidth="1"/>
    <col min="7685" max="7685" width="5.3984375" style="1584" customWidth="1"/>
    <col min="7686" max="7687" width="9.5" style="1584" customWidth="1"/>
    <col min="7688" max="7688" width="6.3984375" style="1584" customWidth="1"/>
    <col min="7689" max="7689" width="8.59765625" style="1584" customWidth="1"/>
    <col min="7690" max="7690" width="7.5" style="1584" customWidth="1"/>
    <col min="7691" max="7691" width="8.3984375" style="1584" customWidth="1"/>
    <col min="7692" max="7692" width="6.3984375" style="1584" customWidth="1"/>
    <col min="7693" max="7693" width="6.09765625" style="1584" customWidth="1"/>
    <col min="7694" max="7694" width="7.19921875" style="1584" customWidth="1"/>
    <col min="7695" max="7695" width="9" style="1584"/>
    <col min="7696" max="7696" width="6.5" style="1584" customWidth="1"/>
    <col min="7697" max="7697" width="9.3984375" style="1584" customWidth="1"/>
    <col min="7698" max="7698" width="8.3984375" style="1584" customWidth="1"/>
    <col min="7699" max="7936" width="9" style="1584"/>
    <col min="7937" max="7937" width="0" style="1584" hidden="1" customWidth="1"/>
    <col min="7938" max="7938" width="6.09765625" style="1584" customWidth="1"/>
    <col min="7939" max="7940" width="5.09765625" style="1584" customWidth="1"/>
    <col min="7941" max="7941" width="5.3984375" style="1584" customWidth="1"/>
    <col min="7942" max="7943" width="9.5" style="1584" customWidth="1"/>
    <col min="7944" max="7944" width="6.3984375" style="1584" customWidth="1"/>
    <col min="7945" max="7945" width="8.59765625" style="1584" customWidth="1"/>
    <col min="7946" max="7946" width="7.5" style="1584" customWidth="1"/>
    <col min="7947" max="7947" width="8.3984375" style="1584" customWidth="1"/>
    <col min="7948" max="7948" width="6.3984375" style="1584" customWidth="1"/>
    <col min="7949" max="7949" width="6.09765625" style="1584" customWidth="1"/>
    <col min="7950" max="7950" width="7.19921875" style="1584" customWidth="1"/>
    <col min="7951" max="7951" width="9" style="1584"/>
    <col min="7952" max="7952" width="6.5" style="1584" customWidth="1"/>
    <col min="7953" max="7953" width="9.3984375" style="1584" customWidth="1"/>
    <col min="7954" max="7954" width="8.3984375" style="1584" customWidth="1"/>
    <col min="7955" max="8192" width="9" style="1584"/>
    <col min="8193" max="8193" width="0" style="1584" hidden="1" customWidth="1"/>
    <col min="8194" max="8194" width="6.09765625" style="1584" customWidth="1"/>
    <col min="8195" max="8196" width="5.09765625" style="1584" customWidth="1"/>
    <col min="8197" max="8197" width="5.3984375" style="1584" customWidth="1"/>
    <col min="8198" max="8199" width="9.5" style="1584" customWidth="1"/>
    <col min="8200" max="8200" width="6.3984375" style="1584" customWidth="1"/>
    <col min="8201" max="8201" width="8.59765625" style="1584" customWidth="1"/>
    <col min="8202" max="8202" width="7.5" style="1584" customWidth="1"/>
    <col min="8203" max="8203" width="8.3984375" style="1584" customWidth="1"/>
    <col min="8204" max="8204" width="6.3984375" style="1584" customWidth="1"/>
    <col min="8205" max="8205" width="6.09765625" style="1584" customWidth="1"/>
    <col min="8206" max="8206" width="7.19921875" style="1584" customWidth="1"/>
    <col min="8207" max="8207" width="9" style="1584"/>
    <col min="8208" max="8208" width="6.5" style="1584" customWidth="1"/>
    <col min="8209" max="8209" width="9.3984375" style="1584" customWidth="1"/>
    <col min="8210" max="8210" width="8.3984375" style="1584" customWidth="1"/>
    <col min="8211" max="8448" width="9" style="1584"/>
    <col min="8449" max="8449" width="0" style="1584" hidden="1" customWidth="1"/>
    <col min="8450" max="8450" width="6.09765625" style="1584" customWidth="1"/>
    <col min="8451" max="8452" width="5.09765625" style="1584" customWidth="1"/>
    <col min="8453" max="8453" width="5.3984375" style="1584" customWidth="1"/>
    <col min="8454" max="8455" width="9.5" style="1584" customWidth="1"/>
    <col min="8456" max="8456" width="6.3984375" style="1584" customWidth="1"/>
    <col min="8457" max="8457" width="8.59765625" style="1584" customWidth="1"/>
    <col min="8458" max="8458" width="7.5" style="1584" customWidth="1"/>
    <col min="8459" max="8459" width="8.3984375" style="1584" customWidth="1"/>
    <col min="8460" max="8460" width="6.3984375" style="1584" customWidth="1"/>
    <col min="8461" max="8461" width="6.09765625" style="1584" customWidth="1"/>
    <col min="8462" max="8462" width="7.19921875" style="1584" customWidth="1"/>
    <col min="8463" max="8463" width="9" style="1584"/>
    <col min="8464" max="8464" width="6.5" style="1584" customWidth="1"/>
    <col min="8465" max="8465" width="9.3984375" style="1584" customWidth="1"/>
    <col min="8466" max="8466" width="8.3984375" style="1584" customWidth="1"/>
    <col min="8467" max="8704" width="9" style="1584"/>
    <col min="8705" max="8705" width="0" style="1584" hidden="1" customWidth="1"/>
    <col min="8706" max="8706" width="6.09765625" style="1584" customWidth="1"/>
    <col min="8707" max="8708" width="5.09765625" style="1584" customWidth="1"/>
    <col min="8709" max="8709" width="5.3984375" style="1584" customWidth="1"/>
    <col min="8710" max="8711" width="9.5" style="1584" customWidth="1"/>
    <col min="8712" max="8712" width="6.3984375" style="1584" customWidth="1"/>
    <col min="8713" max="8713" width="8.59765625" style="1584" customWidth="1"/>
    <col min="8714" max="8714" width="7.5" style="1584" customWidth="1"/>
    <col min="8715" max="8715" width="8.3984375" style="1584" customWidth="1"/>
    <col min="8716" max="8716" width="6.3984375" style="1584" customWidth="1"/>
    <col min="8717" max="8717" width="6.09765625" style="1584" customWidth="1"/>
    <col min="8718" max="8718" width="7.19921875" style="1584" customWidth="1"/>
    <col min="8719" max="8719" width="9" style="1584"/>
    <col min="8720" max="8720" width="6.5" style="1584" customWidth="1"/>
    <col min="8721" max="8721" width="9.3984375" style="1584" customWidth="1"/>
    <col min="8722" max="8722" width="8.3984375" style="1584" customWidth="1"/>
    <col min="8723" max="8960" width="9" style="1584"/>
    <col min="8961" max="8961" width="0" style="1584" hidden="1" customWidth="1"/>
    <col min="8962" max="8962" width="6.09765625" style="1584" customWidth="1"/>
    <col min="8963" max="8964" width="5.09765625" style="1584" customWidth="1"/>
    <col min="8965" max="8965" width="5.3984375" style="1584" customWidth="1"/>
    <col min="8966" max="8967" width="9.5" style="1584" customWidth="1"/>
    <col min="8968" max="8968" width="6.3984375" style="1584" customWidth="1"/>
    <col min="8969" max="8969" width="8.59765625" style="1584" customWidth="1"/>
    <col min="8970" max="8970" width="7.5" style="1584" customWidth="1"/>
    <col min="8971" max="8971" width="8.3984375" style="1584" customWidth="1"/>
    <col min="8972" max="8972" width="6.3984375" style="1584" customWidth="1"/>
    <col min="8973" max="8973" width="6.09765625" style="1584" customWidth="1"/>
    <col min="8974" max="8974" width="7.19921875" style="1584" customWidth="1"/>
    <col min="8975" max="8975" width="9" style="1584"/>
    <col min="8976" max="8976" width="6.5" style="1584" customWidth="1"/>
    <col min="8977" max="8977" width="9.3984375" style="1584" customWidth="1"/>
    <col min="8978" max="8978" width="8.3984375" style="1584" customWidth="1"/>
    <col min="8979" max="9216" width="9" style="1584"/>
    <col min="9217" max="9217" width="0" style="1584" hidden="1" customWidth="1"/>
    <col min="9218" max="9218" width="6.09765625" style="1584" customWidth="1"/>
    <col min="9219" max="9220" width="5.09765625" style="1584" customWidth="1"/>
    <col min="9221" max="9221" width="5.3984375" style="1584" customWidth="1"/>
    <col min="9222" max="9223" width="9.5" style="1584" customWidth="1"/>
    <col min="9224" max="9224" width="6.3984375" style="1584" customWidth="1"/>
    <col min="9225" max="9225" width="8.59765625" style="1584" customWidth="1"/>
    <col min="9226" max="9226" width="7.5" style="1584" customWidth="1"/>
    <col min="9227" max="9227" width="8.3984375" style="1584" customWidth="1"/>
    <col min="9228" max="9228" width="6.3984375" style="1584" customWidth="1"/>
    <col min="9229" max="9229" width="6.09765625" style="1584" customWidth="1"/>
    <col min="9230" max="9230" width="7.19921875" style="1584" customWidth="1"/>
    <col min="9231" max="9231" width="9" style="1584"/>
    <col min="9232" max="9232" width="6.5" style="1584" customWidth="1"/>
    <col min="9233" max="9233" width="9.3984375" style="1584" customWidth="1"/>
    <col min="9234" max="9234" width="8.3984375" style="1584" customWidth="1"/>
    <col min="9235" max="9472" width="9" style="1584"/>
    <col min="9473" max="9473" width="0" style="1584" hidden="1" customWidth="1"/>
    <col min="9474" max="9474" width="6.09765625" style="1584" customWidth="1"/>
    <col min="9475" max="9476" width="5.09765625" style="1584" customWidth="1"/>
    <col min="9477" max="9477" width="5.3984375" style="1584" customWidth="1"/>
    <col min="9478" max="9479" width="9.5" style="1584" customWidth="1"/>
    <col min="9480" max="9480" width="6.3984375" style="1584" customWidth="1"/>
    <col min="9481" max="9481" width="8.59765625" style="1584" customWidth="1"/>
    <col min="9482" max="9482" width="7.5" style="1584" customWidth="1"/>
    <col min="9483" max="9483" width="8.3984375" style="1584" customWidth="1"/>
    <col min="9484" max="9484" width="6.3984375" style="1584" customWidth="1"/>
    <col min="9485" max="9485" width="6.09765625" style="1584" customWidth="1"/>
    <col min="9486" max="9486" width="7.19921875" style="1584" customWidth="1"/>
    <col min="9487" max="9487" width="9" style="1584"/>
    <col min="9488" max="9488" width="6.5" style="1584" customWidth="1"/>
    <col min="9489" max="9489" width="9.3984375" style="1584" customWidth="1"/>
    <col min="9490" max="9490" width="8.3984375" style="1584" customWidth="1"/>
    <col min="9491" max="9728" width="9" style="1584"/>
    <col min="9729" max="9729" width="0" style="1584" hidden="1" customWidth="1"/>
    <col min="9730" max="9730" width="6.09765625" style="1584" customWidth="1"/>
    <col min="9731" max="9732" width="5.09765625" style="1584" customWidth="1"/>
    <col min="9733" max="9733" width="5.3984375" style="1584" customWidth="1"/>
    <col min="9734" max="9735" width="9.5" style="1584" customWidth="1"/>
    <col min="9736" max="9736" width="6.3984375" style="1584" customWidth="1"/>
    <col min="9737" max="9737" width="8.59765625" style="1584" customWidth="1"/>
    <col min="9738" max="9738" width="7.5" style="1584" customWidth="1"/>
    <col min="9739" max="9739" width="8.3984375" style="1584" customWidth="1"/>
    <col min="9740" max="9740" width="6.3984375" style="1584" customWidth="1"/>
    <col min="9741" max="9741" width="6.09765625" style="1584" customWidth="1"/>
    <col min="9742" max="9742" width="7.19921875" style="1584" customWidth="1"/>
    <col min="9743" max="9743" width="9" style="1584"/>
    <col min="9744" max="9744" width="6.5" style="1584" customWidth="1"/>
    <col min="9745" max="9745" width="9.3984375" style="1584" customWidth="1"/>
    <col min="9746" max="9746" width="8.3984375" style="1584" customWidth="1"/>
    <col min="9747" max="9984" width="9" style="1584"/>
    <col min="9985" max="9985" width="0" style="1584" hidden="1" customWidth="1"/>
    <col min="9986" max="9986" width="6.09765625" style="1584" customWidth="1"/>
    <col min="9987" max="9988" width="5.09765625" style="1584" customWidth="1"/>
    <col min="9989" max="9989" width="5.3984375" style="1584" customWidth="1"/>
    <col min="9990" max="9991" width="9.5" style="1584" customWidth="1"/>
    <col min="9992" max="9992" width="6.3984375" style="1584" customWidth="1"/>
    <col min="9993" max="9993" width="8.59765625" style="1584" customWidth="1"/>
    <col min="9994" max="9994" width="7.5" style="1584" customWidth="1"/>
    <col min="9995" max="9995" width="8.3984375" style="1584" customWidth="1"/>
    <col min="9996" max="9996" width="6.3984375" style="1584" customWidth="1"/>
    <col min="9997" max="9997" width="6.09765625" style="1584" customWidth="1"/>
    <col min="9998" max="9998" width="7.19921875" style="1584" customWidth="1"/>
    <col min="9999" max="9999" width="9" style="1584"/>
    <col min="10000" max="10000" width="6.5" style="1584" customWidth="1"/>
    <col min="10001" max="10001" width="9.3984375" style="1584" customWidth="1"/>
    <col min="10002" max="10002" width="8.3984375" style="1584" customWidth="1"/>
    <col min="10003" max="10240" width="9" style="1584"/>
    <col min="10241" max="10241" width="0" style="1584" hidden="1" customWidth="1"/>
    <col min="10242" max="10242" width="6.09765625" style="1584" customWidth="1"/>
    <col min="10243" max="10244" width="5.09765625" style="1584" customWidth="1"/>
    <col min="10245" max="10245" width="5.3984375" style="1584" customWidth="1"/>
    <col min="10246" max="10247" width="9.5" style="1584" customWidth="1"/>
    <col min="10248" max="10248" width="6.3984375" style="1584" customWidth="1"/>
    <col min="10249" max="10249" width="8.59765625" style="1584" customWidth="1"/>
    <col min="10250" max="10250" width="7.5" style="1584" customWidth="1"/>
    <col min="10251" max="10251" width="8.3984375" style="1584" customWidth="1"/>
    <col min="10252" max="10252" width="6.3984375" style="1584" customWidth="1"/>
    <col min="10253" max="10253" width="6.09765625" style="1584" customWidth="1"/>
    <col min="10254" max="10254" width="7.19921875" style="1584" customWidth="1"/>
    <col min="10255" max="10255" width="9" style="1584"/>
    <col min="10256" max="10256" width="6.5" style="1584" customWidth="1"/>
    <col min="10257" max="10257" width="9.3984375" style="1584" customWidth="1"/>
    <col min="10258" max="10258" width="8.3984375" style="1584" customWidth="1"/>
    <col min="10259" max="10496" width="9" style="1584"/>
    <col min="10497" max="10497" width="0" style="1584" hidden="1" customWidth="1"/>
    <col min="10498" max="10498" width="6.09765625" style="1584" customWidth="1"/>
    <col min="10499" max="10500" width="5.09765625" style="1584" customWidth="1"/>
    <col min="10501" max="10501" width="5.3984375" style="1584" customWidth="1"/>
    <col min="10502" max="10503" width="9.5" style="1584" customWidth="1"/>
    <col min="10504" max="10504" width="6.3984375" style="1584" customWidth="1"/>
    <col min="10505" max="10505" width="8.59765625" style="1584" customWidth="1"/>
    <col min="10506" max="10506" width="7.5" style="1584" customWidth="1"/>
    <col min="10507" max="10507" width="8.3984375" style="1584" customWidth="1"/>
    <col min="10508" max="10508" width="6.3984375" style="1584" customWidth="1"/>
    <col min="10509" max="10509" width="6.09765625" style="1584" customWidth="1"/>
    <col min="10510" max="10510" width="7.19921875" style="1584" customWidth="1"/>
    <col min="10511" max="10511" width="9" style="1584"/>
    <col min="10512" max="10512" width="6.5" style="1584" customWidth="1"/>
    <col min="10513" max="10513" width="9.3984375" style="1584" customWidth="1"/>
    <col min="10514" max="10514" width="8.3984375" style="1584" customWidth="1"/>
    <col min="10515" max="10752" width="9" style="1584"/>
    <col min="10753" max="10753" width="0" style="1584" hidden="1" customWidth="1"/>
    <col min="10754" max="10754" width="6.09765625" style="1584" customWidth="1"/>
    <col min="10755" max="10756" width="5.09765625" style="1584" customWidth="1"/>
    <col min="10757" max="10757" width="5.3984375" style="1584" customWidth="1"/>
    <col min="10758" max="10759" width="9.5" style="1584" customWidth="1"/>
    <col min="10760" max="10760" width="6.3984375" style="1584" customWidth="1"/>
    <col min="10761" max="10761" width="8.59765625" style="1584" customWidth="1"/>
    <col min="10762" max="10762" width="7.5" style="1584" customWidth="1"/>
    <col min="10763" max="10763" width="8.3984375" style="1584" customWidth="1"/>
    <col min="10764" max="10764" width="6.3984375" style="1584" customWidth="1"/>
    <col min="10765" max="10765" width="6.09765625" style="1584" customWidth="1"/>
    <col min="10766" max="10766" width="7.19921875" style="1584" customWidth="1"/>
    <col min="10767" max="10767" width="9" style="1584"/>
    <col min="10768" max="10768" width="6.5" style="1584" customWidth="1"/>
    <col min="10769" max="10769" width="9.3984375" style="1584" customWidth="1"/>
    <col min="10770" max="10770" width="8.3984375" style="1584" customWidth="1"/>
    <col min="10771" max="11008" width="9" style="1584"/>
    <col min="11009" max="11009" width="0" style="1584" hidden="1" customWidth="1"/>
    <col min="11010" max="11010" width="6.09765625" style="1584" customWidth="1"/>
    <col min="11011" max="11012" width="5.09765625" style="1584" customWidth="1"/>
    <col min="11013" max="11013" width="5.3984375" style="1584" customWidth="1"/>
    <col min="11014" max="11015" width="9.5" style="1584" customWidth="1"/>
    <col min="11016" max="11016" width="6.3984375" style="1584" customWidth="1"/>
    <col min="11017" max="11017" width="8.59765625" style="1584" customWidth="1"/>
    <col min="11018" max="11018" width="7.5" style="1584" customWidth="1"/>
    <col min="11019" max="11019" width="8.3984375" style="1584" customWidth="1"/>
    <col min="11020" max="11020" width="6.3984375" style="1584" customWidth="1"/>
    <col min="11021" max="11021" width="6.09765625" style="1584" customWidth="1"/>
    <col min="11022" max="11022" width="7.19921875" style="1584" customWidth="1"/>
    <col min="11023" max="11023" width="9" style="1584"/>
    <col min="11024" max="11024" width="6.5" style="1584" customWidth="1"/>
    <col min="11025" max="11025" width="9.3984375" style="1584" customWidth="1"/>
    <col min="11026" max="11026" width="8.3984375" style="1584" customWidth="1"/>
    <col min="11027" max="11264" width="9" style="1584"/>
    <col min="11265" max="11265" width="0" style="1584" hidden="1" customWidth="1"/>
    <col min="11266" max="11266" width="6.09765625" style="1584" customWidth="1"/>
    <col min="11267" max="11268" width="5.09765625" style="1584" customWidth="1"/>
    <col min="11269" max="11269" width="5.3984375" style="1584" customWidth="1"/>
    <col min="11270" max="11271" width="9.5" style="1584" customWidth="1"/>
    <col min="11272" max="11272" width="6.3984375" style="1584" customWidth="1"/>
    <col min="11273" max="11273" width="8.59765625" style="1584" customWidth="1"/>
    <col min="11274" max="11274" width="7.5" style="1584" customWidth="1"/>
    <col min="11275" max="11275" width="8.3984375" style="1584" customWidth="1"/>
    <col min="11276" max="11276" width="6.3984375" style="1584" customWidth="1"/>
    <col min="11277" max="11277" width="6.09765625" style="1584" customWidth="1"/>
    <col min="11278" max="11278" width="7.19921875" style="1584" customWidth="1"/>
    <col min="11279" max="11279" width="9" style="1584"/>
    <col min="11280" max="11280" width="6.5" style="1584" customWidth="1"/>
    <col min="11281" max="11281" width="9.3984375" style="1584" customWidth="1"/>
    <col min="11282" max="11282" width="8.3984375" style="1584" customWidth="1"/>
    <col min="11283" max="11520" width="9" style="1584"/>
    <col min="11521" max="11521" width="0" style="1584" hidden="1" customWidth="1"/>
    <col min="11522" max="11522" width="6.09765625" style="1584" customWidth="1"/>
    <col min="11523" max="11524" width="5.09765625" style="1584" customWidth="1"/>
    <col min="11525" max="11525" width="5.3984375" style="1584" customWidth="1"/>
    <col min="11526" max="11527" width="9.5" style="1584" customWidth="1"/>
    <col min="11528" max="11528" width="6.3984375" style="1584" customWidth="1"/>
    <col min="11529" max="11529" width="8.59765625" style="1584" customWidth="1"/>
    <col min="11530" max="11530" width="7.5" style="1584" customWidth="1"/>
    <col min="11531" max="11531" width="8.3984375" style="1584" customWidth="1"/>
    <col min="11532" max="11532" width="6.3984375" style="1584" customWidth="1"/>
    <col min="11533" max="11533" width="6.09765625" style="1584" customWidth="1"/>
    <col min="11534" max="11534" width="7.19921875" style="1584" customWidth="1"/>
    <col min="11535" max="11535" width="9" style="1584"/>
    <col min="11536" max="11536" width="6.5" style="1584" customWidth="1"/>
    <col min="11537" max="11537" width="9.3984375" style="1584" customWidth="1"/>
    <col min="11538" max="11538" width="8.3984375" style="1584" customWidth="1"/>
    <col min="11539" max="11776" width="9" style="1584"/>
    <col min="11777" max="11777" width="0" style="1584" hidden="1" customWidth="1"/>
    <col min="11778" max="11778" width="6.09765625" style="1584" customWidth="1"/>
    <col min="11779" max="11780" width="5.09765625" style="1584" customWidth="1"/>
    <col min="11781" max="11781" width="5.3984375" style="1584" customWidth="1"/>
    <col min="11782" max="11783" width="9.5" style="1584" customWidth="1"/>
    <col min="11784" max="11784" width="6.3984375" style="1584" customWidth="1"/>
    <col min="11785" max="11785" width="8.59765625" style="1584" customWidth="1"/>
    <col min="11786" max="11786" width="7.5" style="1584" customWidth="1"/>
    <col min="11787" max="11787" width="8.3984375" style="1584" customWidth="1"/>
    <col min="11788" max="11788" width="6.3984375" style="1584" customWidth="1"/>
    <col min="11789" max="11789" width="6.09765625" style="1584" customWidth="1"/>
    <col min="11790" max="11790" width="7.19921875" style="1584" customWidth="1"/>
    <col min="11791" max="11791" width="9" style="1584"/>
    <col min="11792" max="11792" width="6.5" style="1584" customWidth="1"/>
    <col min="11793" max="11793" width="9.3984375" style="1584" customWidth="1"/>
    <col min="11794" max="11794" width="8.3984375" style="1584" customWidth="1"/>
    <col min="11795" max="12032" width="9" style="1584"/>
    <col min="12033" max="12033" width="0" style="1584" hidden="1" customWidth="1"/>
    <col min="12034" max="12034" width="6.09765625" style="1584" customWidth="1"/>
    <col min="12035" max="12036" width="5.09765625" style="1584" customWidth="1"/>
    <col min="12037" max="12037" width="5.3984375" style="1584" customWidth="1"/>
    <col min="12038" max="12039" width="9.5" style="1584" customWidth="1"/>
    <col min="12040" max="12040" width="6.3984375" style="1584" customWidth="1"/>
    <col min="12041" max="12041" width="8.59765625" style="1584" customWidth="1"/>
    <col min="12042" max="12042" width="7.5" style="1584" customWidth="1"/>
    <col min="12043" max="12043" width="8.3984375" style="1584" customWidth="1"/>
    <col min="12044" max="12044" width="6.3984375" style="1584" customWidth="1"/>
    <col min="12045" max="12045" width="6.09765625" style="1584" customWidth="1"/>
    <col min="12046" max="12046" width="7.19921875" style="1584" customWidth="1"/>
    <col min="12047" max="12047" width="9" style="1584"/>
    <col min="12048" max="12048" width="6.5" style="1584" customWidth="1"/>
    <col min="12049" max="12049" width="9.3984375" style="1584" customWidth="1"/>
    <col min="12050" max="12050" width="8.3984375" style="1584" customWidth="1"/>
    <col min="12051" max="12288" width="9" style="1584"/>
    <col min="12289" max="12289" width="0" style="1584" hidden="1" customWidth="1"/>
    <col min="12290" max="12290" width="6.09765625" style="1584" customWidth="1"/>
    <col min="12291" max="12292" width="5.09765625" style="1584" customWidth="1"/>
    <col min="12293" max="12293" width="5.3984375" style="1584" customWidth="1"/>
    <col min="12294" max="12295" width="9.5" style="1584" customWidth="1"/>
    <col min="12296" max="12296" width="6.3984375" style="1584" customWidth="1"/>
    <col min="12297" max="12297" width="8.59765625" style="1584" customWidth="1"/>
    <col min="12298" max="12298" width="7.5" style="1584" customWidth="1"/>
    <col min="12299" max="12299" width="8.3984375" style="1584" customWidth="1"/>
    <col min="12300" max="12300" width="6.3984375" style="1584" customWidth="1"/>
    <col min="12301" max="12301" width="6.09765625" style="1584" customWidth="1"/>
    <col min="12302" max="12302" width="7.19921875" style="1584" customWidth="1"/>
    <col min="12303" max="12303" width="9" style="1584"/>
    <col min="12304" max="12304" width="6.5" style="1584" customWidth="1"/>
    <col min="12305" max="12305" width="9.3984375" style="1584" customWidth="1"/>
    <col min="12306" max="12306" width="8.3984375" style="1584" customWidth="1"/>
    <col min="12307" max="12544" width="9" style="1584"/>
    <col min="12545" max="12545" width="0" style="1584" hidden="1" customWidth="1"/>
    <col min="12546" max="12546" width="6.09765625" style="1584" customWidth="1"/>
    <col min="12547" max="12548" width="5.09765625" style="1584" customWidth="1"/>
    <col min="12549" max="12549" width="5.3984375" style="1584" customWidth="1"/>
    <col min="12550" max="12551" width="9.5" style="1584" customWidth="1"/>
    <col min="12552" max="12552" width="6.3984375" style="1584" customWidth="1"/>
    <col min="12553" max="12553" width="8.59765625" style="1584" customWidth="1"/>
    <col min="12554" max="12554" width="7.5" style="1584" customWidth="1"/>
    <col min="12555" max="12555" width="8.3984375" style="1584" customWidth="1"/>
    <col min="12556" max="12556" width="6.3984375" style="1584" customWidth="1"/>
    <col min="12557" max="12557" width="6.09765625" style="1584" customWidth="1"/>
    <col min="12558" max="12558" width="7.19921875" style="1584" customWidth="1"/>
    <col min="12559" max="12559" width="9" style="1584"/>
    <col min="12560" max="12560" width="6.5" style="1584" customWidth="1"/>
    <col min="12561" max="12561" width="9.3984375" style="1584" customWidth="1"/>
    <col min="12562" max="12562" width="8.3984375" style="1584" customWidth="1"/>
    <col min="12563" max="12800" width="9" style="1584"/>
    <col min="12801" max="12801" width="0" style="1584" hidden="1" customWidth="1"/>
    <col min="12802" max="12802" width="6.09765625" style="1584" customWidth="1"/>
    <col min="12803" max="12804" width="5.09765625" style="1584" customWidth="1"/>
    <col min="12805" max="12805" width="5.3984375" style="1584" customWidth="1"/>
    <col min="12806" max="12807" width="9.5" style="1584" customWidth="1"/>
    <col min="12808" max="12808" width="6.3984375" style="1584" customWidth="1"/>
    <col min="12809" max="12809" width="8.59765625" style="1584" customWidth="1"/>
    <col min="12810" max="12810" width="7.5" style="1584" customWidth="1"/>
    <col min="12811" max="12811" width="8.3984375" style="1584" customWidth="1"/>
    <col min="12812" max="12812" width="6.3984375" style="1584" customWidth="1"/>
    <col min="12813" max="12813" width="6.09765625" style="1584" customWidth="1"/>
    <col min="12814" max="12814" width="7.19921875" style="1584" customWidth="1"/>
    <col min="12815" max="12815" width="9" style="1584"/>
    <col min="12816" max="12816" width="6.5" style="1584" customWidth="1"/>
    <col min="12817" max="12817" width="9.3984375" style="1584" customWidth="1"/>
    <col min="12818" max="12818" width="8.3984375" style="1584" customWidth="1"/>
    <col min="12819" max="13056" width="9" style="1584"/>
    <col min="13057" max="13057" width="0" style="1584" hidden="1" customWidth="1"/>
    <col min="13058" max="13058" width="6.09765625" style="1584" customWidth="1"/>
    <col min="13059" max="13060" width="5.09765625" style="1584" customWidth="1"/>
    <col min="13061" max="13061" width="5.3984375" style="1584" customWidth="1"/>
    <col min="13062" max="13063" width="9.5" style="1584" customWidth="1"/>
    <col min="13064" max="13064" width="6.3984375" style="1584" customWidth="1"/>
    <col min="13065" max="13065" width="8.59765625" style="1584" customWidth="1"/>
    <col min="13066" max="13066" width="7.5" style="1584" customWidth="1"/>
    <col min="13067" max="13067" width="8.3984375" style="1584" customWidth="1"/>
    <col min="13068" max="13068" width="6.3984375" style="1584" customWidth="1"/>
    <col min="13069" max="13069" width="6.09765625" style="1584" customWidth="1"/>
    <col min="13070" max="13070" width="7.19921875" style="1584" customWidth="1"/>
    <col min="13071" max="13071" width="9" style="1584"/>
    <col min="13072" max="13072" width="6.5" style="1584" customWidth="1"/>
    <col min="13073" max="13073" width="9.3984375" style="1584" customWidth="1"/>
    <col min="13074" max="13074" width="8.3984375" style="1584" customWidth="1"/>
    <col min="13075" max="13312" width="9" style="1584"/>
    <col min="13313" max="13313" width="0" style="1584" hidden="1" customWidth="1"/>
    <col min="13314" max="13314" width="6.09765625" style="1584" customWidth="1"/>
    <col min="13315" max="13316" width="5.09765625" style="1584" customWidth="1"/>
    <col min="13317" max="13317" width="5.3984375" style="1584" customWidth="1"/>
    <col min="13318" max="13319" width="9.5" style="1584" customWidth="1"/>
    <col min="13320" max="13320" width="6.3984375" style="1584" customWidth="1"/>
    <col min="13321" max="13321" width="8.59765625" style="1584" customWidth="1"/>
    <col min="13322" max="13322" width="7.5" style="1584" customWidth="1"/>
    <col min="13323" max="13323" width="8.3984375" style="1584" customWidth="1"/>
    <col min="13324" max="13324" width="6.3984375" style="1584" customWidth="1"/>
    <col min="13325" max="13325" width="6.09765625" style="1584" customWidth="1"/>
    <col min="13326" max="13326" width="7.19921875" style="1584" customWidth="1"/>
    <col min="13327" max="13327" width="9" style="1584"/>
    <col min="13328" max="13328" width="6.5" style="1584" customWidth="1"/>
    <col min="13329" max="13329" width="9.3984375" style="1584" customWidth="1"/>
    <col min="13330" max="13330" width="8.3984375" style="1584" customWidth="1"/>
    <col min="13331" max="13568" width="9" style="1584"/>
    <col min="13569" max="13569" width="0" style="1584" hidden="1" customWidth="1"/>
    <col min="13570" max="13570" width="6.09765625" style="1584" customWidth="1"/>
    <col min="13571" max="13572" width="5.09765625" style="1584" customWidth="1"/>
    <col min="13573" max="13573" width="5.3984375" style="1584" customWidth="1"/>
    <col min="13574" max="13575" width="9.5" style="1584" customWidth="1"/>
    <col min="13576" max="13576" width="6.3984375" style="1584" customWidth="1"/>
    <col min="13577" max="13577" width="8.59765625" style="1584" customWidth="1"/>
    <col min="13578" max="13578" width="7.5" style="1584" customWidth="1"/>
    <col min="13579" max="13579" width="8.3984375" style="1584" customWidth="1"/>
    <col min="13580" max="13580" width="6.3984375" style="1584" customWidth="1"/>
    <col min="13581" max="13581" width="6.09765625" style="1584" customWidth="1"/>
    <col min="13582" max="13582" width="7.19921875" style="1584" customWidth="1"/>
    <col min="13583" max="13583" width="9" style="1584"/>
    <col min="13584" max="13584" width="6.5" style="1584" customWidth="1"/>
    <col min="13585" max="13585" width="9.3984375" style="1584" customWidth="1"/>
    <col min="13586" max="13586" width="8.3984375" style="1584" customWidth="1"/>
    <col min="13587" max="13824" width="9" style="1584"/>
    <col min="13825" max="13825" width="0" style="1584" hidden="1" customWidth="1"/>
    <col min="13826" max="13826" width="6.09765625" style="1584" customWidth="1"/>
    <col min="13827" max="13828" width="5.09765625" style="1584" customWidth="1"/>
    <col min="13829" max="13829" width="5.3984375" style="1584" customWidth="1"/>
    <col min="13830" max="13831" width="9.5" style="1584" customWidth="1"/>
    <col min="13832" max="13832" width="6.3984375" style="1584" customWidth="1"/>
    <col min="13833" max="13833" width="8.59765625" style="1584" customWidth="1"/>
    <col min="13834" max="13834" width="7.5" style="1584" customWidth="1"/>
    <col min="13835" max="13835" width="8.3984375" style="1584" customWidth="1"/>
    <col min="13836" max="13836" width="6.3984375" style="1584" customWidth="1"/>
    <col min="13837" max="13837" width="6.09765625" style="1584" customWidth="1"/>
    <col min="13838" max="13838" width="7.19921875" style="1584" customWidth="1"/>
    <col min="13839" max="13839" width="9" style="1584"/>
    <col min="13840" max="13840" width="6.5" style="1584" customWidth="1"/>
    <col min="13841" max="13841" width="9.3984375" style="1584" customWidth="1"/>
    <col min="13842" max="13842" width="8.3984375" style="1584" customWidth="1"/>
    <col min="13843" max="14080" width="9" style="1584"/>
    <col min="14081" max="14081" width="0" style="1584" hidden="1" customWidth="1"/>
    <col min="14082" max="14082" width="6.09765625" style="1584" customWidth="1"/>
    <col min="14083" max="14084" width="5.09765625" style="1584" customWidth="1"/>
    <col min="14085" max="14085" width="5.3984375" style="1584" customWidth="1"/>
    <col min="14086" max="14087" width="9.5" style="1584" customWidth="1"/>
    <col min="14088" max="14088" width="6.3984375" style="1584" customWidth="1"/>
    <col min="14089" max="14089" width="8.59765625" style="1584" customWidth="1"/>
    <col min="14090" max="14090" width="7.5" style="1584" customWidth="1"/>
    <col min="14091" max="14091" width="8.3984375" style="1584" customWidth="1"/>
    <col min="14092" max="14092" width="6.3984375" style="1584" customWidth="1"/>
    <col min="14093" max="14093" width="6.09765625" style="1584" customWidth="1"/>
    <col min="14094" max="14094" width="7.19921875" style="1584" customWidth="1"/>
    <col min="14095" max="14095" width="9" style="1584"/>
    <col min="14096" max="14096" width="6.5" style="1584" customWidth="1"/>
    <col min="14097" max="14097" width="9.3984375" style="1584" customWidth="1"/>
    <col min="14098" max="14098" width="8.3984375" style="1584" customWidth="1"/>
    <col min="14099" max="14336" width="9" style="1584"/>
    <col min="14337" max="14337" width="0" style="1584" hidden="1" customWidth="1"/>
    <col min="14338" max="14338" width="6.09765625" style="1584" customWidth="1"/>
    <col min="14339" max="14340" width="5.09765625" style="1584" customWidth="1"/>
    <col min="14341" max="14341" width="5.3984375" style="1584" customWidth="1"/>
    <col min="14342" max="14343" width="9.5" style="1584" customWidth="1"/>
    <col min="14344" max="14344" width="6.3984375" style="1584" customWidth="1"/>
    <col min="14345" max="14345" width="8.59765625" style="1584" customWidth="1"/>
    <col min="14346" max="14346" width="7.5" style="1584" customWidth="1"/>
    <col min="14347" max="14347" width="8.3984375" style="1584" customWidth="1"/>
    <col min="14348" max="14348" width="6.3984375" style="1584" customWidth="1"/>
    <col min="14349" max="14349" width="6.09765625" style="1584" customWidth="1"/>
    <col min="14350" max="14350" width="7.19921875" style="1584" customWidth="1"/>
    <col min="14351" max="14351" width="9" style="1584"/>
    <col min="14352" max="14352" width="6.5" style="1584" customWidth="1"/>
    <col min="14353" max="14353" width="9.3984375" style="1584" customWidth="1"/>
    <col min="14354" max="14354" width="8.3984375" style="1584" customWidth="1"/>
    <col min="14355" max="14592" width="9" style="1584"/>
    <col min="14593" max="14593" width="0" style="1584" hidden="1" customWidth="1"/>
    <col min="14594" max="14594" width="6.09765625" style="1584" customWidth="1"/>
    <col min="14595" max="14596" width="5.09765625" style="1584" customWidth="1"/>
    <col min="14597" max="14597" width="5.3984375" style="1584" customWidth="1"/>
    <col min="14598" max="14599" width="9.5" style="1584" customWidth="1"/>
    <col min="14600" max="14600" width="6.3984375" style="1584" customWidth="1"/>
    <col min="14601" max="14601" width="8.59765625" style="1584" customWidth="1"/>
    <col min="14602" max="14602" width="7.5" style="1584" customWidth="1"/>
    <col min="14603" max="14603" width="8.3984375" style="1584" customWidth="1"/>
    <col min="14604" max="14604" width="6.3984375" style="1584" customWidth="1"/>
    <col min="14605" max="14605" width="6.09765625" style="1584" customWidth="1"/>
    <col min="14606" max="14606" width="7.19921875" style="1584" customWidth="1"/>
    <col min="14607" max="14607" width="9" style="1584"/>
    <col min="14608" max="14608" width="6.5" style="1584" customWidth="1"/>
    <col min="14609" max="14609" width="9.3984375" style="1584" customWidth="1"/>
    <col min="14610" max="14610" width="8.3984375" style="1584" customWidth="1"/>
    <col min="14611" max="14848" width="9" style="1584"/>
    <col min="14849" max="14849" width="0" style="1584" hidden="1" customWidth="1"/>
    <col min="14850" max="14850" width="6.09765625" style="1584" customWidth="1"/>
    <col min="14851" max="14852" width="5.09765625" style="1584" customWidth="1"/>
    <col min="14853" max="14853" width="5.3984375" style="1584" customWidth="1"/>
    <col min="14854" max="14855" width="9.5" style="1584" customWidth="1"/>
    <col min="14856" max="14856" width="6.3984375" style="1584" customWidth="1"/>
    <col min="14857" max="14857" width="8.59765625" style="1584" customWidth="1"/>
    <col min="14858" max="14858" width="7.5" style="1584" customWidth="1"/>
    <col min="14859" max="14859" width="8.3984375" style="1584" customWidth="1"/>
    <col min="14860" max="14860" width="6.3984375" style="1584" customWidth="1"/>
    <col min="14861" max="14861" width="6.09765625" style="1584" customWidth="1"/>
    <col min="14862" max="14862" width="7.19921875" style="1584" customWidth="1"/>
    <col min="14863" max="14863" width="9" style="1584"/>
    <col min="14864" max="14864" width="6.5" style="1584" customWidth="1"/>
    <col min="14865" max="14865" width="9.3984375" style="1584" customWidth="1"/>
    <col min="14866" max="14866" width="8.3984375" style="1584" customWidth="1"/>
    <col min="14867" max="15104" width="9" style="1584"/>
    <col min="15105" max="15105" width="0" style="1584" hidden="1" customWidth="1"/>
    <col min="15106" max="15106" width="6.09765625" style="1584" customWidth="1"/>
    <col min="15107" max="15108" width="5.09765625" style="1584" customWidth="1"/>
    <col min="15109" max="15109" width="5.3984375" style="1584" customWidth="1"/>
    <col min="15110" max="15111" width="9.5" style="1584" customWidth="1"/>
    <col min="15112" max="15112" width="6.3984375" style="1584" customWidth="1"/>
    <col min="15113" max="15113" width="8.59765625" style="1584" customWidth="1"/>
    <col min="15114" max="15114" width="7.5" style="1584" customWidth="1"/>
    <col min="15115" max="15115" width="8.3984375" style="1584" customWidth="1"/>
    <col min="15116" max="15116" width="6.3984375" style="1584" customWidth="1"/>
    <col min="15117" max="15117" width="6.09765625" style="1584" customWidth="1"/>
    <col min="15118" max="15118" width="7.19921875" style="1584" customWidth="1"/>
    <col min="15119" max="15119" width="9" style="1584"/>
    <col min="15120" max="15120" width="6.5" style="1584" customWidth="1"/>
    <col min="15121" max="15121" width="9.3984375" style="1584" customWidth="1"/>
    <col min="15122" max="15122" width="8.3984375" style="1584" customWidth="1"/>
    <col min="15123" max="15360" width="9" style="1584"/>
    <col min="15361" max="15361" width="0" style="1584" hidden="1" customWidth="1"/>
    <col min="15362" max="15362" width="6.09765625" style="1584" customWidth="1"/>
    <col min="15363" max="15364" width="5.09765625" style="1584" customWidth="1"/>
    <col min="15365" max="15365" width="5.3984375" style="1584" customWidth="1"/>
    <col min="15366" max="15367" width="9.5" style="1584" customWidth="1"/>
    <col min="15368" max="15368" width="6.3984375" style="1584" customWidth="1"/>
    <col min="15369" max="15369" width="8.59765625" style="1584" customWidth="1"/>
    <col min="15370" max="15370" width="7.5" style="1584" customWidth="1"/>
    <col min="15371" max="15371" width="8.3984375" style="1584" customWidth="1"/>
    <col min="15372" max="15372" width="6.3984375" style="1584" customWidth="1"/>
    <col min="15373" max="15373" width="6.09765625" style="1584" customWidth="1"/>
    <col min="15374" max="15374" width="7.19921875" style="1584" customWidth="1"/>
    <col min="15375" max="15375" width="9" style="1584"/>
    <col min="15376" max="15376" width="6.5" style="1584" customWidth="1"/>
    <col min="15377" max="15377" width="9.3984375" style="1584" customWidth="1"/>
    <col min="15378" max="15378" width="8.3984375" style="1584" customWidth="1"/>
    <col min="15379" max="15616" width="9" style="1584"/>
    <col min="15617" max="15617" width="0" style="1584" hidden="1" customWidth="1"/>
    <col min="15618" max="15618" width="6.09765625" style="1584" customWidth="1"/>
    <col min="15619" max="15620" width="5.09765625" style="1584" customWidth="1"/>
    <col min="15621" max="15621" width="5.3984375" style="1584" customWidth="1"/>
    <col min="15622" max="15623" width="9.5" style="1584" customWidth="1"/>
    <col min="15624" max="15624" width="6.3984375" style="1584" customWidth="1"/>
    <col min="15625" max="15625" width="8.59765625" style="1584" customWidth="1"/>
    <col min="15626" max="15626" width="7.5" style="1584" customWidth="1"/>
    <col min="15627" max="15627" width="8.3984375" style="1584" customWidth="1"/>
    <col min="15628" max="15628" width="6.3984375" style="1584" customWidth="1"/>
    <col min="15629" max="15629" width="6.09765625" style="1584" customWidth="1"/>
    <col min="15630" max="15630" width="7.19921875" style="1584" customWidth="1"/>
    <col min="15631" max="15631" width="9" style="1584"/>
    <col min="15632" max="15632" width="6.5" style="1584" customWidth="1"/>
    <col min="15633" max="15633" width="9.3984375" style="1584" customWidth="1"/>
    <col min="15634" max="15634" width="8.3984375" style="1584" customWidth="1"/>
    <col min="15635" max="15872" width="9" style="1584"/>
    <col min="15873" max="15873" width="0" style="1584" hidden="1" customWidth="1"/>
    <col min="15874" max="15874" width="6.09765625" style="1584" customWidth="1"/>
    <col min="15875" max="15876" width="5.09765625" style="1584" customWidth="1"/>
    <col min="15877" max="15877" width="5.3984375" style="1584" customWidth="1"/>
    <col min="15878" max="15879" width="9.5" style="1584" customWidth="1"/>
    <col min="15880" max="15880" width="6.3984375" style="1584" customWidth="1"/>
    <col min="15881" max="15881" width="8.59765625" style="1584" customWidth="1"/>
    <col min="15882" max="15882" width="7.5" style="1584" customWidth="1"/>
    <col min="15883" max="15883" width="8.3984375" style="1584" customWidth="1"/>
    <col min="15884" max="15884" width="6.3984375" style="1584" customWidth="1"/>
    <col min="15885" max="15885" width="6.09765625" style="1584" customWidth="1"/>
    <col min="15886" max="15886" width="7.19921875" style="1584" customWidth="1"/>
    <col min="15887" max="15887" width="9" style="1584"/>
    <col min="15888" max="15888" width="6.5" style="1584" customWidth="1"/>
    <col min="15889" max="15889" width="9.3984375" style="1584" customWidth="1"/>
    <col min="15890" max="15890" width="8.3984375" style="1584" customWidth="1"/>
    <col min="15891" max="16128" width="9" style="1584"/>
    <col min="16129" max="16129" width="0" style="1584" hidden="1" customWidth="1"/>
    <col min="16130" max="16130" width="6.09765625" style="1584" customWidth="1"/>
    <col min="16131" max="16132" width="5.09765625" style="1584" customWidth="1"/>
    <col min="16133" max="16133" width="5.3984375" style="1584" customWidth="1"/>
    <col min="16134" max="16135" width="9.5" style="1584" customWidth="1"/>
    <col min="16136" max="16136" width="6.3984375" style="1584" customWidth="1"/>
    <col min="16137" max="16137" width="8.59765625" style="1584" customWidth="1"/>
    <col min="16138" max="16138" width="7.5" style="1584" customWidth="1"/>
    <col min="16139" max="16139" width="8.3984375" style="1584" customWidth="1"/>
    <col min="16140" max="16140" width="6.3984375" style="1584" customWidth="1"/>
    <col min="16141" max="16141" width="6.09765625" style="1584" customWidth="1"/>
    <col min="16142" max="16142" width="7.19921875" style="1584" customWidth="1"/>
    <col min="16143" max="16143" width="9" style="1584"/>
    <col min="16144" max="16144" width="6.5" style="1584" customWidth="1"/>
    <col min="16145" max="16145" width="9.3984375" style="1584" customWidth="1"/>
    <col min="16146" max="16146" width="8.3984375" style="1584" customWidth="1"/>
    <col min="16147" max="16384" width="9" style="1584"/>
  </cols>
  <sheetData>
    <row r="1" spans="1:19" s="1583" customFormat="1" ht="17.25" customHeight="1">
      <c r="A1" s="3446" t="str">
        <f>"索引号："&amp;档案索引!D7</f>
        <v>索引号：2B-2</v>
      </c>
      <c r="B1" s="3446"/>
      <c r="C1" s="3446"/>
      <c r="D1" s="3446"/>
      <c r="E1" s="3446"/>
      <c r="F1" s="3446"/>
      <c r="G1" s="3446"/>
      <c r="H1" s="3446"/>
      <c r="I1" s="3446"/>
      <c r="J1" s="3446"/>
      <c r="K1" s="3446"/>
      <c r="L1" s="3446"/>
      <c r="M1" s="3446"/>
      <c r="N1" s="3446"/>
      <c r="O1" s="3446"/>
      <c r="P1" s="3446"/>
      <c r="Q1" s="3446"/>
      <c r="R1" s="3447"/>
    </row>
    <row r="2" spans="1:19" ht="36.75" customHeight="1">
      <c r="A2" s="3379" t="s">
        <v>5935</v>
      </c>
      <c r="B2" s="3379"/>
      <c r="C2" s="3379"/>
      <c r="D2" s="3379"/>
      <c r="E2" s="3379"/>
      <c r="F2" s="3379"/>
      <c r="G2" s="3379"/>
      <c r="H2" s="3379"/>
      <c r="I2" s="3379"/>
      <c r="J2" s="3379"/>
      <c r="K2" s="3379"/>
      <c r="L2" s="3379"/>
      <c r="M2" s="3379"/>
      <c r="N2" s="3379"/>
      <c r="O2" s="3379"/>
      <c r="P2" s="3379"/>
      <c r="Q2" s="3379"/>
      <c r="R2" s="3448"/>
    </row>
    <row r="3" spans="1:19" s="1585" customFormat="1" ht="42.75" customHeight="1">
      <c r="A3" s="3449" t="s">
        <v>646</v>
      </c>
      <c r="B3" s="3385" t="s">
        <v>954</v>
      </c>
      <c r="C3" s="3385" t="s">
        <v>5525</v>
      </c>
      <c r="D3" s="3385" t="s">
        <v>955</v>
      </c>
      <c r="E3" s="3385" t="s">
        <v>7690</v>
      </c>
      <c r="F3" s="3385" t="s">
        <v>5526</v>
      </c>
      <c r="G3" s="3385"/>
      <c r="H3" s="3385" t="s">
        <v>5527</v>
      </c>
      <c r="I3" s="3385"/>
      <c r="J3" s="3385"/>
      <c r="K3" s="3385" t="s">
        <v>5528</v>
      </c>
      <c r="L3" s="3385"/>
      <c r="M3" s="3385"/>
      <c r="N3" s="3385"/>
      <c r="O3" s="3385"/>
      <c r="P3" s="3385"/>
      <c r="Q3" s="3383" t="s">
        <v>5484</v>
      </c>
      <c r="R3" s="3385" t="s">
        <v>4901</v>
      </c>
    </row>
    <row r="4" spans="1:19" s="1585" customFormat="1" ht="78" customHeight="1">
      <c r="A4" s="3450"/>
      <c r="B4" s="3385"/>
      <c r="C4" s="3385"/>
      <c r="D4" s="3385"/>
      <c r="E4" s="3385"/>
      <c r="F4" s="1850" t="s">
        <v>5529</v>
      </c>
      <c r="G4" s="1850" t="s">
        <v>5530</v>
      </c>
      <c r="H4" s="1850" t="s">
        <v>5531</v>
      </c>
      <c r="I4" s="1850" t="s">
        <v>5532</v>
      </c>
      <c r="J4" s="1850" t="s">
        <v>5533</v>
      </c>
      <c r="K4" s="1850" t="s">
        <v>5534</v>
      </c>
      <c r="L4" s="1850" t="s">
        <v>7691</v>
      </c>
      <c r="M4" s="1850" t="s">
        <v>5535</v>
      </c>
      <c r="N4" s="1850" t="s">
        <v>5536</v>
      </c>
      <c r="O4" s="1850" t="s">
        <v>5537</v>
      </c>
      <c r="P4" s="1850" t="s">
        <v>5533</v>
      </c>
      <c r="Q4" s="3384"/>
      <c r="R4" s="3385"/>
    </row>
    <row r="5" spans="1:19" ht="46.5" customHeight="1">
      <c r="A5" s="3450"/>
      <c r="B5" s="1839">
        <v>1</v>
      </c>
      <c r="C5" s="1865">
        <v>2</v>
      </c>
      <c r="D5" s="1865">
        <v>3</v>
      </c>
      <c r="E5" s="1865">
        <v>4</v>
      </c>
      <c r="F5" s="1865">
        <v>5</v>
      </c>
      <c r="G5" s="1865">
        <v>6</v>
      </c>
      <c r="H5" s="1865">
        <v>7</v>
      </c>
      <c r="I5" s="1865">
        <v>8</v>
      </c>
      <c r="J5" s="1865" t="s">
        <v>5538</v>
      </c>
      <c r="K5" s="1865">
        <v>10</v>
      </c>
      <c r="L5" s="1865">
        <v>11</v>
      </c>
      <c r="M5" s="1865" t="s">
        <v>5539</v>
      </c>
      <c r="N5" s="1865" t="s">
        <v>5540</v>
      </c>
      <c r="O5" s="1865">
        <v>14</v>
      </c>
      <c r="P5" s="1865" t="s">
        <v>5541</v>
      </c>
      <c r="Q5" s="1866" t="s">
        <v>5542</v>
      </c>
      <c r="R5" s="1868"/>
      <c r="S5" s="1586"/>
    </row>
    <row r="6" spans="1:19" ht="14.25" customHeight="1">
      <c r="A6" s="1654">
        <v>1</v>
      </c>
      <c r="B6" s="1587"/>
      <c r="C6" s="2235"/>
      <c r="D6" s="2078"/>
      <c r="E6" s="2078"/>
      <c r="F6" s="2569"/>
      <c r="G6" s="2078"/>
      <c r="H6" s="2078"/>
      <c r="I6" s="2078"/>
      <c r="J6" s="2077">
        <f>MIN(H6,I6)</f>
        <v>0</v>
      </c>
      <c r="K6" s="2078"/>
      <c r="L6" s="2078"/>
      <c r="M6" s="2077">
        <f>ROUND(D6*L6,2)</f>
        <v>0</v>
      </c>
      <c r="N6" s="2077">
        <f>K6-M6</f>
        <v>0</v>
      </c>
      <c r="O6" s="2078"/>
      <c r="P6" s="2077">
        <f>MIN(N6,O6)</f>
        <v>0</v>
      </c>
      <c r="Q6" s="2077">
        <f>G6+J6+P6</f>
        <v>0</v>
      </c>
      <c r="R6" s="1981"/>
    </row>
    <row r="7" spans="1:19" ht="14.25" customHeight="1">
      <c r="A7" s="1654">
        <v>2</v>
      </c>
      <c r="B7" s="1587"/>
      <c r="C7" s="2235"/>
      <c r="D7" s="2078"/>
      <c r="E7" s="2078"/>
      <c r="F7" s="2569"/>
      <c r="G7" s="2078"/>
      <c r="H7" s="2078"/>
      <c r="I7" s="2078"/>
      <c r="J7" s="2077">
        <f t="shared" ref="J7:J14" si="0">MIN(H7,I7)</f>
        <v>0</v>
      </c>
      <c r="K7" s="2078"/>
      <c r="L7" s="2078"/>
      <c r="M7" s="2077">
        <f t="shared" ref="M7:M14" si="1">ROUND(D7*L7,2)</f>
        <v>0</v>
      </c>
      <c r="N7" s="2077">
        <f t="shared" ref="N7:N14" si="2">K7-M7</f>
        <v>0</v>
      </c>
      <c r="O7" s="2078"/>
      <c r="P7" s="2077">
        <f t="shared" ref="P7:P14" si="3">MIN(N7,O7)</f>
        <v>0</v>
      </c>
      <c r="Q7" s="2077">
        <f t="shared" ref="Q7:Q15" si="4">G7+J7+P7</f>
        <v>0</v>
      </c>
      <c r="R7" s="1981"/>
      <c r="S7" s="1772" t="s">
        <v>6458</v>
      </c>
    </row>
    <row r="8" spans="1:19" ht="14.25" customHeight="1">
      <c r="A8" s="1654">
        <v>3</v>
      </c>
      <c r="B8" s="1587"/>
      <c r="C8" s="2235"/>
      <c r="D8" s="2078"/>
      <c r="E8" s="2078"/>
      <c r="F8" s="2569"/>
      <c r="G8" s="2078"/>
      <c r="H8" s="2078"/>
      <c r="I8" s="2078"/>
      <c r="J8" s="2077">
        <f t="shared" si="0"/>
        <v>0</v>
      </c>
      <c r="K8" s="2078"/>
      <c r="L8" s="2078"/>
      <c r="M8" s="2077">
        <f t="shared" si="1"/>
        <v>0</v>
      </c>
      <c r="N8" s="2077">
        <f t="shared" si="2"/>
        <v>0</v>
      </c>
      <c r="O8" s="2078"/>
      <c r="P8" s="2077">
        <f t="shared" si="3"/>
        <v>0</v>
      </c>
      <c r="Q8" s="2077">
        <f t="shared" si="4"/>
        <v>0</v>
      </c>
      <c r="R8" s="1981"/>
    </row>
    <row r="9" spans="1:19" ht="14.25" customHeight="1">
      <c r="A9" s="1654">
        <v>4</v>
      </c>
      <c r="B9" s="1587"/>
      <c r="C9" s="2235"/>
      <c r="D9" s="2078"/>
      <c r="E9" s="2078"/>
      <c r="F9" s="2569"/>
      <c r="G9" s="2078"/>
      <c r="H9" s="2078"/>
      <c r="I9" s="2078"/>
      <c r="J9" s="2077">
        <f t="shared" si="0"/>
        <v>0</v>
      </c>
      <c r="K9" s="2078"/>
      <c r="L9" s="2078"/>
      <c r="M9" s="2077">
        <f t="shared" si="1"/>
        <v>0</v>
      </c>
      <c r="N9" s="2077">
        <f t="shared" si="2"/>
        <v>0</v>
      </c>
      <c r="O9" s="2078"/>
      <c r="P9" s="2077">
        <f t="shared" si="3"/>
        <v>0</v>
      </c>
      <c r="Q9" s="2077">
        <f t="shared" si="4"/>
        <v>0</v>
      </c>
      <c r="R9" s="1981"/>
    </row>
    <row r="10" spans="1:19" ht="14.25" customHeight="1">
      <c r="A10" s="1654">
        <v>5</v>
      </c>
      <c r="B10" s="1587"/>
      <c r="C10" s="2235"/>
      <c r="D10" s="2078"/>
      <c r="E10" s="2078"/>
      <c r="F10" s="2569"/>
      <c r="G10" s="2078"/>
      <c r="H10" s="2078"/>
      <c r="I10" s="2078"/>
      <c r="J10" s="2077">
        <f t="shared" si="0"/>
        <v>0</v>
      </c>
      <c r="K10" s="2078"/>
      <c r="L10" s="2078"/>
      <c r="M10" s="2077">
        <f t="shared" si="1"/>
        <v>0</v>
      </c>
      <c r="N10" s="2077">
        <f t="shared" si="2"/>
        <v>0</v>
      </c>
      <c r="O10" s="2078"/>
      <c r="P10" s="2077">
        <f t="shared" si="3"/>
        <v>0</v>
      </c>
      <c r="Q10" s="2077">
        <f t="shared" si="4"/>
        <v>0</v>
      </c>
      <c r="R10" s="1981"/>
    </row>
    <row r="11" spans="1:19" ht="14.25" customHeight="1">
      <c r="A11" s="1654">
        <v>6</v>
      </c>
      <c r="B11" s="1587"/>
      <c r="C11" s="2235"/>
      <c r="D11" s="2078"/>
      <c r="E11" s="2078"/>
      <c r="F11" s="2569"/>
      <c r="G11" s="2078"/>
      <c r="H11" s="2078"/>
      <c r="I11" s="2078"/>
      <c r="J11" s="2077">
        <f t="shared" si="0"/>
        <v>0</v>
      </c>
      <c r="K11" s="2078"/>
      <c r="L11" s="2078"/>
      <c r="M11" s="2077">
        <f t="shared" si="1"/>
        <v>0</v>
      </c>
      <c r="N11" s="2077">
        <f t="shared" si="2"/>
        <v>0</v>
      </c>
      <c r="O11" s="2078"/>
      <c r="P11" s="2077">
        <f t="shared" si="3"/>
        <v>0</v>
      </c>
      <c r="Q11" s="2077">
        <f t="shared" si="4"/>
        <v>0</v>
      </c>
      <c r="R11" s="1981"/>
    </row>
    <row r="12" spans="1:19" ht="14.25" customHeight="1">
      <c r="A12" s="1654">
        <v>7</v>
      </c>
      <c r="B12" s="1587"/>
      <c r="C12" s="2235"/>
      <c r="D12" s="2078"/>
      <c r="E12" s="2078"/>
      <c r="F12" s="2569"/>
      <c r="G12" s="2078"/>
      <c r="H12" s="2078"/>
      <c r="I12" s="2078"/>
      <c r="J12" s="2077">
        <f t="shared" si="0"/>
        <v>0</v>
      </c>
      <c r="K12" s="2078"/>
      <c r="L12" s="2078"/>
      <c r="M12" s="2077">
        <f t="shared" si="1"/>
        <v>0</v>
      </c>
      <c r="N12" s="2077">
        <f t="shared" si="2"/>
        <v>0</v>
      </c>
      <c r="O12" s="2078"/>
      <c r="P12" s="2077">
        <f t="shared" si="3"/>
        <v>0</v>
      </c>
      <c r="Q12" s="2077">
        <f t="shared" si="4"/>
        <v>0</v>
      </c>
      <c r="R12" s="1981"/>
    </row>
    <row r="13" spans="1:19" ht="14.25" customHeight="1">
      <c r="A13" s="1654">
        <v>8</v>
      </c>
      <c r="B13" s="1587"/>
      <c r="C13" s="2235"/>
      <c r="D13" s="2078"/>
      <c r="E13" s="2078"/>
      <c r="F13" s="2569"/>
      <c r="G13" s="2078"/>
      <c r="H13" s="2078"/>
      <c r="I13" s="2078"/>
      <c r="J13" s="2077">
        <f t="shared" si="0"/>
        <v>0</v>
      </c>
      <c r="K13" s="2078"/>
      <c r="L13" s="2078"/>
      <c r="M13" s="2077">
        <f t="shared" si="1"/>
        <v>0</v>
      </c>
      <c r="N13" s="2077">
        <f t="shared" si="2"/>
        <v>0</v>
      </c>
      <c r="O13" s="2078"/>
      <c r="P13" s="2077">
        <f t="shared" si="3"/>
        <v>0</v>
      </c>
      <c r="Q13" s="2077">
        <f t="shared" si="4"/>
        <v>0</v>
      </c>
      <c r="R13" s="1981"/>
    </row>
    <row r="14" spans="1:19" ht="14.25" customHeight="1">
      <c r="A14" s="1654">
        <v>9</v>
      </c>
      <c r="B14" s="1587"/>
      <c r="C14" s="2235"/>
      <c r="D14" s="2078"/>
      <c r="E14" s="2078"/>
      <c r="F14" s="2569"/>
      <c r="G14" s="2078"/>
      <c r="H14" s="2078"/>
      <c r="I14" s="2078"/>
      <c r="J14" s="2077">
        <f t="shared" si="0"/>
        <v>0</v>
      </c>
      <c r="K14" s="2078"/>
      <c r="L14" s="2078"/>
      <c r="M14" s="2077">
        <f t="shared" si="1"/>
        <v>0</v>
      </c>
      <c r="N14" s="2077">
        <f t="shared" si="2"/>
        <v>0</v>
      </c>
      <c r="O14" s="2078"/>
      <c r="P14" s="2077">
        <f t="shared" si="3"/>
        <v>0</v>
      </c>
      <c r="Q14" s="2077">
        <f t="shared" si="4"/>
        <v>0</v>
      </c>
      <c r="R14" s="1981"/>
    </row>
    <row r="15" spans="1:19" ht="89.25" customHeight="1">
      <c r="A15" s="1588" t="s">
        <v>5543</v>
      </c>
      <c r="B15" s="1866" t="s">
        <v>703</v>
      </c>
      <c r="C15" s="1874" t="s">
        <v>5544</v>
      </c>
      <c r="D15" s="1874" t="s">
        <v>5544</v>
      </c>
      <c r="E15" s="1874" t="s">
        <v>5544</v>
      </c>
      <c r="F15" s="1874" t="s">
        <v>5544</v>
      </c>
      <c r="G15" s="2077">
        <f>SUM(G6:G14)</f>
        <v>0</v>
      </c>
      <c r="H15" s="1874" t="s">
        <v>5544</v>
      </c>
      <c r="I15" s="1874" t="s">
        <v>5544</v>
      </c>
      <c r="J15" s="2077">
        <f>SUM(J6:J14)</f>
        <v>0</v>
      </c>
      <c r="K15" s="1874" t="s">
        <v>5544</v>
      </c>
      <c r="L15" s="1874" t="s">
        <v>5544</v>
      </c>
      <c r="M15" s="1874" t="s">
        <v>5544</v>
      </c>
      <c r="N15" s="1874" t="s">
        <v>5544</v>
      </c>
      <c r="O15" s="1874" t="s">
        <v>5544</v>
      </c>
      <c r="P15" s="2077">
        <f>SUM(P6:P14)</f>
        <v>0</v>
      </c>
      <c r="Q15" s="2077">
        <f t="shared" si="4"/>
        <v>0</v>
      </c>
      <c r="R15" s="1980" t="s">
        <v>5545</v>
      </c>
    </row>
  </sheetData>
  <mergeCells count="12">
    <mergeCell ref="A1:R1"/>
    <mergeCell ref="A2:R2"/>
    <mergeCell ref="A3:A5"/>
    <mergeCell ref="B3:B4"/>
    <mergeCell ref="C3:C4"/>
    <mergeCell ref="D3:D4"/>
    <mergeCell ref="E3:E4"/>
    <mergeCell ref="F3:G3"/>
    <mergeCell ref="H3:J3"/>
    <mergeCell ref="K3:P3"/>
    <mergeCell ref="Q3:Q4"/>
    <mergeCell ref="R3:R4"/>
  </mergeCells>
  <phoneticPr fontId="51" type="noConversion"/>
  <dataValidations count="1">
    <dataValidation type="list" allowBlank="1" showInputMessage="1" showErrorMessage="1" sqref="C6:C14">
      <formula1>"直接投资,股票投资"</formula1>
    </dataValidation>
  </dataValidations>
  <hyperlinks>
    <hyperlink ref="S7" location="A107011股息红利优惠明细表!A1" display="A107011股息红利优惠明细表!A1"/>
  </hyperlinks>
  <printOptions horizontalCentered="1" verticalCentered="1"/>
  <pageMargins left="0.78740157480314998" right="0.35433070866141703" top="0.511811023622047" bottom="0.11811023622047198" header="0.511811023622047" footer="0.511811023622047"/>
  <pageSetup paperSize="9" orientation="landscape" r:id="rId1"/>
</worksheet>
</file>

<file path=xl/worksheets/sheet5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68">
    <tabColor theme="3" tint="0.39997558519241921"/>
  </sheetPr>
  <dimension ref="A1:M16"/>
  <sheetViews>
    <sheetView workbookViewId="0">
      <selection activeCell="C6" sqref="C6:C14"/>
    </sheetView>
  </sheetViews>
  <sheetFormatPr defaultRowHeight="15.6"/>
  <cols>
    <col min="1" max="1" width="3.19921875" style="1590" customWidth="1"/>
    <col min="2" max="2" width="13.59765625" style="1590" customWidth="1"/>
    <col min="3" max="5" width="11.59765625" style="1590" customWidth="1"/>
    <col min="6" max="6" width="10.69921875" style="1590" customWidth="1"/>
    <col min="7" max="7" width="14.09765625" style="1590" customWidth="1"/>
    <col min="8" max="8" width="7.19921875" style="1590" customWidth="1"/>
    <col min="9" max="9" width="12.8984375" style="1590" customWidth="1"/>
    <col min="10" max="10" width="10.8984375" style="1590" customWidth="1"/>
    <col min="11" max="11" width="10.5" style="1590" customWidth="1"/>
    <col min="12" max="12" width="11.19921875" style="1590" customWidth="1"/>
    <col min="13" max="256" width="9" style="1590"/>
    <col min="257" max="257" width="5.69921875" style="1590" customWidth="1"/>
    <col min="258" max="258" width="8.19921875" style="1590" customWidth="1"/>
    <col min="259" max="261" width="11.59765625" style="1590" customWidth="1"/>
    <col min="262" max="262" width="10.69921875" style="1590" customWidth="1"/>
    <col min="263" max="263" width="9" style="1590"/>
    <col min="264" max="264" width="10" style="1590" customWidth="1"/>
    <col min="265" max="265" width="10.69921875" style="1590" customWidth="1"/>
    <col min="266" max="266" width="10.8984375" style="1590" customWidth="1"/>
    <col min="267" max="267" width="10.5" style="1590" customWidth="1"/>
    <col min="268" max="268" width="11.19921875" style="1590" customWidth="1"/>
    <col min="269" max="512" width="9" style="1590"/>
    <col min="513" max="513" width="5.69921875" style="1590" customWidth="1"/>
    <col min="514" max="514" width="8.19921875" style="1590" customWidth="1"/>
    <col min="515" max="517" width="11.59765625" style="1590" customWidth="1"/>
    <col min="518" max="518" width="10.69921875" style="1590" customWidth="1"/>
    <col min="519" max="519" width="9" style="1590"/>
    <col min="520" max="520" width="10" style="1590" customWidth="1"/>
    <col min="521" max="521" width="10.69921875" style="1590" customWidth="1"/>
    <col min="522" max="522" width="10.8984375" style="1590" customWidth="1"/>
    <col min="523" max="523" width="10.5" style="1590" customWidth="1"/>
    <col min="524" max="524" width="11.19921875" style="1590" customWidth="1"/>
    <col min="525" max="768" width="9" style="1590"/>
    <col min="769" max="769" width="5.69921875" style="1590" customWidth="1"/>
    <col min="770" max="770" width="8.19921875" style="1590" customWidth="1"/>
    <col min="771" max="773" width="11.59765625" style="1590" customWidth="1"/>
    <col min="774" max="774" width="10.69921875" style="1590" customWidth="1"/>
    <col min="775" max="775" width="9" style="1590"/>
    <col min="776" max="776" width="10" style="1590" customWidth="1"/>
    <col min="777" max="777" width="10.69921875" style="1590" customWidth="1"/>
    <col min="778" max="778" width="10.8984375" style="1590" customWidth="1"/>
    <col min="779" max="779" width="10.5" style="1590" customWidth="1"/>
    <col min="780" max="780" width="11.19921875" style="1590" customWidth="1"/>
    <col min="781" max="1024" width="9" style="1590"/>
    <col min="1025" max="1025" width="5.69921875" style="1590" customWidth="1"/>
    <col min="1026" max="1026" width="8.19921875" style="1590" customWidth="1"/>
    <col min="1027" max="1029" width="11.59765625" style="1590" customWidth="1"/>
    <col min="1030" max="1030" width="10.69921875" style="1590" customWidth="1"/>
    <col min="1031" max="1031" width="9" style="1590"/>
    <col min="1032" max="1032" width="10" style="1590" customWidth="1"/>
    <col min="1033" max="1033" width="10.69921875" style="1590" customWidth="1"/>
    <col min="1034" max="1034" width="10.8984375" style="1590" customWidth="1"/>
    <col min="1035" max="1035" width="10.5" style="1590" customWidth="1"/>
    <col min="1036" max="1036" width="11.19921875" style="1590" customWidth="1"/>
    <col min="1037" max="1280" width="9" style="1590"/>
    <col min="1281" max="1281" width="5.69921875" style="1590" customWidth="1"/>
    <col min="1282" max="1282" width="8.19921875" style="1590" customWidth="1"/>
    <col min="1283" max="1285" width="11.59765625" style="1590" customWidth="1"/>
    <col min="1286" max="1286" width="10.69921875" style="1590" customWidth="1"/>
    <col min="1287" max="1287" width="9" style="1590"/>
    <col min="1288" max="1288" width="10" style="1590" customWidth="1"/>
    <col min="1289" max="1289" width="10.69921875" style="1590" customWidth="1"/>
    <col min="1290" max="1290" width="10.8984375" style="1590" customWidth="1"/>
    <col min="1291" max="1291" width="10.5" style="1590" customWidth="1"/>
    <col min="1292" max="1292" width="11.19921875" style="1590" customWidth="1"/>
    <col min="1293" max="1536" width="9" style="1590"/>
    <col min="1537" max="1537" width="5.69921875" style="1590" customWidth="1"/>
    <col min="1538" max="1538" width="8.19921875" style="1590" customWidth="1"/>
    <col min="1539" max="1541" width="11.59765625" style="1590" customWidth="1"/>
    <col min="1542" max="1542" width="10.69921875" style="1590" customWidth="1"/>
    <col min="1543" max="1543" width="9" style="1590"/>
    <col min="1544" max="1544" width="10" style="1590" customWidth="1"/>
    <col min="1545" max="1545" width="10.69921875" style="1590" customWidth="1"/>
    <col min="1546" max="1546" width="10.8984375" style="1590" customWidth="1"/>
    <col min="1547" max="1547" width="10.5" style="1590" customWidth="1"/>
    <col min="1548" max="1548" width="11.19921875" style="1590" customWidth="1"/>
    <col min="1549" max="1792" width="9" style="1590"/>
    <col min="1793" max="1793" width="5.69921875" style="1590" customWidth="1"/>
    <col min="1794" max="1794" width="8.19921875" style="1590" customWidth="1"/>
    <col min="1795" max="1797" width="11.59765625" style="1590" customWidth="1"/>
    <col min="1798" max="1798" width="10.69921875" style="1590" customWidth="1"/>
    <col min="1799" max="1799" width="9" style="1590"/>
    <col min="1800" max="1800" width="10" style="1590" customWidth="1"/>
    <col min="1801" max="1801" width="10.69921875" style="1590" customWidth="1"/>
    <col min="1802" max="1802" width="10.8984375" style="1590" customWidth="1"/>
    <col min="1803" max="1803" width="10.5" style="1590" customWidth="1"/>
    <col min="1804" max="1804" width="11.19921875" style="1590" customWidth="1"/>
    <col min="1805" max="2048" width="9" style="1590"/>
    <col min="2049" max="2049" width="5.69921875" style="1590" customWidth="1"/>
    <col min="2050" max="2050" width="8.19921875" style="1590" customWidth="1"/>
    <col min="2051" max="2053" width="11.59765625" style="1590" customWidth="1"/>
    <col min="2054" max="2054" width="10.69921875" style="1590" customWidth="1"/>
    <col min="2055" max="2055" width="9" style="1590"/>
    <col min="2056" max="2056" width="10" style="1590" customWidth="1"/>
    <col min="2057" max="2057" width="10.69921875" style="1590" customWidth="1"/>
    <col min="2058" max="2058" width="10.8984375" style="1590" customWidth="1"/>
    <col min="2059" max="2059" width="10.5" style="1590" customWidth="1"/>
    <col min="2060" max="2060" width="11.19921875" style="1590" customWidth="1"/>
    <col min="2061" max="2304" width="9" style="1590"/>
    <col min="2305" max="2305" width="5.69921875" style="1590" customWidth="1"/>
    <col min="2306" max="2306" width="8.19921875" style="1590" customWidth="1"/>
    <col min="2307" max="2309" width="11.59765625" style="1590" customWidth="1"/>
    <col min="2310" max="2310" width="10.69921875" style="1590" customWidth="1"/>
    <col min="2311" max="2311" width="9" style="1590"/>
    <col min="2312" max="2312" width="10" style="1590" customWidth="1"/>
    <col min="2313" max="2313" width="10.69921875" style="1590" customWidth="1"/>
    <col min="2314" max="2314" width="10.8984375" style="1590" customWidth="1"/>
    <col min="2315" max="2315" width="10.5" style="1590" customWidth="1"/>
    <col min="2316" max="2316" width="11.19921875" style="1590" customWidth="1"/>
    <col min="2317" max="2560" width="9" style="1590"/>
    <col min="2561" max="2561" width="5.69921875" style="1590" customWidth="1"/>
    <col min="2562" max="2562" width="8.19921875" style="1590" customWidth="1"/>
    <col min="2563" max="2565" width="11.59765625" style="1590" customWidth="1"/>
    <col min="2566" max="2566" width="10.69921875" style="1590" customWidth="1"/>
    <col min="2567" max="2567" width="9" style="1590"/>
    <col min="2568" max="2568" width="10" style="1590" customWidth="1"/>
    <col min="2569" max="2569" width="10.69921875" style="1590" customWidth="1"/>
    <col min="2570" max="2570" width="10.8984375" style="1590" customWidth="1"/>
    <col min="2571" max="2571" width="10.5" style="1590" customWidth="1"/>
    <col min="2572" max="2572" width="11.19921875" style="1590" customWidth="1"/>
    <col min="2573" max="2816" width="9" style="1590"/>
    <col min="2817" max="2817" width="5.69921875" style="1590" customWidth="1"/>
    <col min="2818" max="2818" width="8.19921875" style="1590" customWidth="1"/>
    <col min="2819" max="2821" width="11.59765625" style="1590" customWidth="1"/>
    <col min="2822" max="2822" width="10.69921875" style="1590" customWidth="1"/>
    <col min="2823" max="2823" width="9" style="1590"/>
    <col min="2824" max="2824" width="10" style="1590" customWidth="1"/>
    <col min="2825" max="2825" width="10.69921875" style="1590" customWidth="1"/>
    <col min="2826" max="2826" width="10.8984375" style="1590" customWidth="1"/>
    <col min="2827" max="2827" width="10.5" style="1590" customWidth="1"/>
    <col min="2828" max="2828" width="11.19921875" style="1590" customWidth="1"/>
    <col min="2829" max="3072" width="9" style="1590"/>
    <col min="3073" max="3073" width="5.69921875" style="1590" customWidth="1"/>
    <col min="3074" max="3074" width="8.19921875" style="1590" customWidth="1"/>
    <col min="3075" max="3077" width="11.59765625" style="1590" customWidth="1"/>
    <col min="3078" max="3078" width="10.69921875" style="1590" customWidth="1"/>
    <col min="3079" max="3079" width="9" style="1590"/>
    <col min="3080" max="3080" width="10" style="1590" customWidth="1"/>
    <col min="3081" max="3081" width="10.69921875" style="1590" customWidth="1"/>
    <col min="3082" max="3082" width="10.8984375" style="1590" customWidth="1"/>
    <col min="3083" max="3083" width="10.5" style="1590" customWidth="1"/>
    <col min="3084" max="3084" width="11.19921875" style="1590" customWidth="1"/>
    <col min="3085" max="3328" width="9" style="1590"/>
    <col min="3329" max="3329" width="5.69921875" style="1590" customWidth="1"/>
    <col min="3330" max="3330" width="8.19921875" style="1590" customWidth="1"/>
    <col min="3331" max="3333" width="11.59765625" style="1590" customWidth="1"/>
    <col min="3334" max="3334" width="10.69921875" style="1590" customWidth="1"/>
    <col min="3335" max="3335" width="9" style="1590"/>
    <col min="3336" max="3336" width="10" style="1590" customWidth="1"/>
    <col min="3337" max="3337" width="10.69921875" style="1590" customWidth="1"/>
    <col min="3338" max="3338" width="10.8984375" style="1590" customWidth="1"/>
    <col min="3339" max="3339" width="10.5" style="1590" customWidth="1"/>
    <col min="3340" max="3340" width="11.19921875" style="1590" customWidth="1"/>
    <col min="3341" max="3584" width="9" style="1590"/>
    <col min="3585" max="3585" width="5.69921875" style="1590" customWidth="1"/>
    <col min="3586" max="3586" width="8.19921875" style="1590" customWidth="1"/>
    <col min="3587" max="3589" width="11.59765625" style="1590" customWidth="1"/>
    <col min="3590" max="3590" width="10.69921875" style="1590" customWidth="1"/>
    <col min="3591" max="3591" width="9" style="1590"/>
    <col min="3592" max="3592" width="10" style="1590" customWidth="1"/>
    <col min="3593" max="3593" width="10.69921875" style="1590" customWidth="1"/>
    <col min="3594" max="3594" width="10.8984375" style="1590" customWidth="1"/>
    <col min="3595" max="3595" width="10.5" style="1590" customWidth="1"/>
    <col min="3596" max="3596" width="11.19921875" style="1590" customWidth="1"/>
    <col min="3597" max="3840" width="9" style="1590"/>
    <col min="3841" max="3841" width="5.69921875" style="1590" customWidth="1"/>
    <col min="3842" max="3842" width="8.19921875" style="1590" customWidth="1"/>
    <col min="3843" max="3845" width="11.59765625" style="1590" customWidth="1"/>
    <col min="3846" max="3846" width="10.69921875" style="1590" customWidth="1"/>
    <col min="3847" max="3847" width="9" style="1590"/>
    <col min="3848" max="3848" width="10" style="1590" customWidth="1"/>
    <col min="3849" max="3849" width="10.69921875" style="1590" customWidth="1"/>
    <col min="3850" max="3850" width="10.8984375" style="1590" customWidth="1"/>
    <col min="3851" max="3851" width="10.5" style="1590" customWidth="1"/>
    <col min="3852" max="3852" width="11.19921875" style="1590" customWidth="1"/>
    <col min="3853" max="4096" width="9" style="1590"/>
    <col min="4097" max="4097" width="5.69921875" style="1590" customWidth="1"/>
    <col min="4098" max="4098" width="8.19921875" style="1590" customWidth="1"/>
    <col min="4099" max="4101" width="11.59765625" style="1590" customWidth="1"/>
    <col min="4102" max="4102" width="10.69921875" style="1590" customWidth="1"/>
    <col min="4103" max="4103" width="9" style="1590"/>
    <col min="4104" max="4104" width="10" style="1590" customWidth="1"/>
    <col min="4105" max="4105" width="10.69921875" style="1590" customWidth="1"/>
    <col min="4106" max="4106" width="10.8984375" style="1590" customWidth="1"/>
    <col min="4107" max="4107" width="10.5" style="1590" customWidth="1"/>
    <col min="4108" max="4108" width="11.19921875" style="1590" customWidth="1"/>
    <col min="4109" max="4352" width="9" style="1590"/>
    <col min="4353" max="4353" width="5.69921875" style="1590" customWidth="1"/>
    <col min="4354" max="4354" width="8.19921875" style="1590" customWidth="1"/>
    <col min="4355" max="4357" width="11.59765625" style="1590" customWidth="1"/>
    <col min="4358" max="4358" width="10.69921875" style="1590" customWidth="1"/>
    <col min="4359" max="4359" width="9" style="1590"/>
    <col min="4360" max="4360" width="10" style="1590" customWidth="1"/>
    <col min="4361" max="4361" width="10.69921875" style="1590" customWidth="1"/>
    <col min="4362" max="4362" width="10.8984375" style="1590" customWidth="1"/>
    <col min="4363" max="4363" width="10.5" style="1590" customWidth="1"/>
    <col min="4364" max="4364" width="11.19921875" style="1590" customWidth="1"/>
    <col min="4365" max="4608" width="9" style="1590"/>
    <col min="4609" max="4609" width="5.69921875" style="1590" customWidth="1"/>
    <col min="4610" max="4610" width="8.19921875" style="1590" customWidth="1"/>
    <col min="4611" max="4613" width="11.59765625" style="1590" customWidth="1"/>
    <col min="4614" max="4614" width="10.69921875" style="1590" customWidth="1"/>
    <col min="4615" max="4615" width="9" style="1590"/>
    <col min="4616" max="4616" width="10" style="1590" customWidth="1"/>
    <col min="4617" max="4617" width="10.69921875" style="1590" customWidth="1"/>
    <col min="4618" max="4618" width="10.8984375" style="1590" customWidth="1"/>
    <col min="4619" max="4619" width="10.5" style="1590" customWidth="1"/>
    <col min="4620" max="4620" width="11.19921875" style="1590" customWidth="1"/>
    <col min="4621" max="4864" width="9" style="1590"/>
    <col min="4865" max="4865" width="5.69921875" style="1590" customWidth="1"/>
    <col min="4866" max="4866" width="8.19921875" style="1590" customWidth="1"/>
    <col min="4867" max="4869" width="11.59765625" style="1590" customWidth="1"/>
    <col min="4870" max="4870" width="10.69921875" style="1590" customWidth="1"/>
    <col min="4871" max="4871" width="9" style="1590"/>
    <col min="4872" max="4872" width="10" style="1590" customWidth="1"/>
    <col min="4873" max="4873" width="10.69921875" style="1590" customWidth="1"/>
    <col min="4874" max="4874" width="10.8984375" style="1590" customWidth="1"/>
    <col min="4875" max="4875" width="10.5" style="1590" customWidth="1"/>
    <col min="4876" max="4876" width="11.19921875" style="1590" customWidth="1"/>
    <col min="4877" max="5120" width="9" style="1590"/>
    <col min="5121" max="5121" width="5.69921875" style="1590" customWidth="1"/>
    <col min="5122" max="5122" width="8.19921875" style="1590" customWidth="1"/>
    <col min="5123" max="5125" width="11.59765625" style="1590" customWidth="1"/>
    <col min="5126" max="5126" width="10.69921875" style="1590" customWidth="1"/>
    <col min="5127" max="5127" width="9" style="1590"/>
    <col min="5128" max="5128" width="10" style="1590" customWidth="1"/>
    <col min="5129" max="5129" width="10.69921875" style="1590" customWidth="1"/>
    <col min="5130" max="5130" width="10.8984375" style="1590" customWidth="1"/>
    <col min="5131" max="5131" width="10.5" style="1590" customWidth="1"/>
    <col min="5132" max="5132" width="11.19921875" style="1590" customWidth="1"/>
    <col min="5133" max="5376" width="9" style="1590"/>
    <col min="5377" max="5377" width="5.69921875" style="1590" customWidth="1"/>
    <col min="5378" max="5378" width="8.19921875" style="1590" customWidth="1"/>
    <col min="5379" max="5381" width="11.59765625" style="1590" customWidth="1"/>
    <col min="5382" max="5382" width="10.69921875" style="1590" customWidth="1"/>
    <col min="5383" max="5383" width="9" style="1590"/>
    <col min="5384" max="5384" width="10" style="1590" customWidth="1"/>
    <col min="5385" max="5385" width="10.69921875" style="1590" customWidth="1"/>
    <col min="5386" max="5386" width="10.8984375" style="1590" customWidth="1"/>
    <col min="5387" max="5387" width="10.5" style="1590" customWidth="1"/>
    <col min="5388" max="5388" width="11.19921875" style="1590" customWidth="1"/>
    <col min="5389" max="5632" width="9" style="1590"/>
    <col min="5633" max="5633" width="5.69921875" style="1590" customWidth="1"/>
    <col min="5634" max="5634" width="8.19921875" style="1590" customWidth="1"/>
    <col min="5635" max="5637" width="11.59765625" style="1590" customWidth="1"/>
    <col min="5638" max="5638" width="10.69921875" style="1590" customWidth="1"/>
    <col min="5639" max="5639" width="9" style="1590"/>
    <col min="5640" max="5640" width="10" style="1590" customWidth="1"/>
    <col min="5641" max="5641" width="10.69921875" style="1590" customWidth="1"/>
    <col min="5642" max="5642" width="10.8984375" style="1590" customWidth="1"/>
    <col min="5643" max="5643" width="10.5" style="1590" customWidth="1"/>
    <col min="5644" max="5644" width="11.19921875" style="1590" customWidth="1"/>
    <col min="5645" max="5888" width="9" style="1590"/>
    <col min="5889" max="5889" width="5.69921875" style="1590" customWidth="1"/>
    <col min="5890" max="5890" width="8.19921875" style="1590" customWidth="1"/>
    <col min="5891" max="5893" width="11.59765625" style="1590" customWidth="1"/>
    <col min="5894" max="5894" width="10.69921875" style="1590" customWidth="1"/>
    <col min="5895" max="5895" width="9" style="1590"/>
    <col min="5896" max="5896" width="10" style="1590" customWidth="1"/>
    <col min="5897" max="5897" width="10.69921875" style="1590" customWidth="1"/>
    <col min="5898" max="5898" width="10.8984375" style="1590" customWidth="1"/>
    <col min="5899" max="5899" width="10.5" style="1590" customWidth="1"/>
    <col min="5900" max="5900" width="11.19921875" style="1590" customWidth="1"/>
    <col min="5901" max="6144" width="9" style="1590"/>
    <col min="6145" max="6145" width="5.69921875" style="1590" customWidth="1"/>
    <col min="6146" max="6146" width="8.19921875" style="1590" customWidth="1"/>
    <col min="6147" max="6149" width="11.59765625" style="1590" customWidth="1"/>
    <col min="6150" max="6150" width="10.69921875" style="1590" customWidth="1"/>
    <col min="6151" max="6151" width="9" style="1590"/>
    <col min="6152" max="6152" width="10" style="1590" customWidth="1"/>
    <col min="6153" max="6153" width="10.69921875" style="1590" customWidth="1"/>
    <col min="6154" max="6154" width="10.8984375" style="1590" customWidth="1"/>
    <col min="6155" max="6155" width="10.5" style="1590" customWidth="1"/>
    <col min="6156" max="6156" width="11.19921875" style="1590" customWidth="1"/>
    <col min="6157" max="6400" width="9" style="1590"/>
    <col min="6401" max="6401" width="5.69921875" style="1590" customWidth="1"/>
    <col min="6402" max="6402" width="8.19921875" style="1590" customWidth="1"/>
    <col min="6403" max="6405" width="11.59765625" style="1590" customWidth="1"/>
    <col min="6406" max="6406" width="10.69921875" style="1590" customWidth="1"/>
    <col min="6407" max="6407" width="9" style="1590"/>
    <col min="6408" max="6408" width="10" style="1590" customWidth="1"/>
    <col min="6409" max="6409" width="10.69921875" style="1590" customWidth="1"/>
    <col min="6410" max="6410" width="10.8984375" style="1590" customWidth="1"/>
    <col min="6411" max="6411" width="10.5" style="1590" customWidth="1"/>
    <col min="6412" max="6412" width="11.19921875" style="1590" customWidth="1"/>
    <col min="6413" max="6656" width="9" style="1590"/>
    <col min="6657" max="6657" width="5.69921875" style="1590" customWidth="1"/>
    <col min="6658" max="6658" width="8.19921875" style="1590" customWidth="1"/>
    <col min="6659" max="6661" width="11.59765625" style="1590" customWidth="1"/>
    <col min="6662" max="6662" width="10.69921875" style="1590" customWidth="1"/>
    <col min="6663" max="6663" width="9" style="1590"/>
    <col min="6664" max="6664" width="10" style="1590" customWidth="1"/>
    <col min="6665" max="6665" width="10.69921875" style="1590" customWidth="1"/>
    <col min="6666" max="6666" width="10.8984375" style="1590" customWidth="1"/>
    <col min="6667" max="6667" width="10.5" style="1590" customWidth="1"/>
    <col min="6668" max="6668" width="11.19921875" style="1590" customWidth="1"/>
    <col min="6669" max="6912" width="9" style="1590"/>
    <col min="6913" max="6913" width="5.69921875" style="1590" customWidth="1"/>
    <col min="6914" max="6914" width="8.19921875" style="1590" customWidth="1"/>
    <col min="6915" max="6917" width="11.59765625" style="1590" customWidth="1"/>
    <col min="6918" max="6918" width="10.69921875" style="1590" customWidth="1"/>
    <col min="6919" max="6919" width="9" style="1590"/>
    <col min="6920" max="6920" width="10" style="1590" customWidth="1"/>
    <col min="6921" max="6921" width="10.69921875" style="1590" customWidth="1"/>
    <col min="6922" max="6922" width="10.8984375" style="1590" customWidth="1"/>
    <col min="6923" max="6923" width="10.5" style="1590" customWidth="1"/>
    <col min="6924" max="6924" width="11.19921875" style="1590" customWidth="1"/>
    <col min="6925" max="7168" width="9" style="1590"/>
    <col min="7169" max="7169" width="5.69921875" style="1590" customWidth="1"/>
    <col min="7170" max="7170" width="8.19921875" style="1590" customWidth="1"/>
    <col min="7171" max="7173" width="11.59765625" style="1590" customWidth="1"/>
    <col min="7174" max="7174" width="10.69921875" style="1590" customWidth="1"/>
    <col min="7175" max="7175" width="9" style="1590"/>
    <col min="7176" max="7176" width="10" style="1590" customWidth="1"/>
    <col min="7177" max="7177" width="10.69921875" style="1590" customWidth="1"/>
    <col min="7178" max="7178" width="10.8984375" style="1590" customWidth="1"/>
    <col min="7179" max="7179" width="10.5" style="1590" customWidth="1"/>
    <col min="7180" max="7180" width="11.19921875" style="1590" customWidth="1"/>
    <col min="7181" max="7424" width="9" style="1590"/>
    <col min="7425" max="7425" width="5.69921875" style="1590" customWidth="1"/>
    <col min="7426" max="7426" width="8.19921875" style="1590" customWidth="1"/>
    <col min="7427" max="7429" width="11.59765625" style="1590" customWidth="1"/>
    <col min="7430" max="7430" width="10.69921875" style="1590" customWidth="1"/>
    <col min="7431" max="7431" width="9" style="1590"/>
    <col min="7432" max="7432" width="10" style="1590" customWidth="1"/>
    <col min="7433" max="7433" width="10.69921875" style="1590" customWidth="1"/>
    <col min="7434" max="7434" width="10.8984375" style="1590" customWidth="1"/>
    <col min="7435" max="7435" width="10.5" style="1590" customWidth="1"/>
    <col min="7436" max="7436" width="11.19921875" style="1590" customWidth="1"/>
    <col min="7437" max="7680" width="9" style="1590"/>
    <col min="7681" max="7681" width="5.69921875" style="1590" customWidth="1"/>
    <col min="7682" max="7682" width="8.19921875" style="1590" customWidth="1"/>
    <col min="7683" max="7685" width="11.59765625" style="1590" customWidth="1"/>
    <col min="7686" max="7686" width="10.69921875" style="1590" customWidth="1"/>
    <col min="7687" max="7687" width="9" style="1590"/>
    <col min="7688" max="7688" width="10" style="1590" customWidth="1"/>
    <col min="7689" max="7689" width="10.69921875" style="1590" customWidth="1"/>
    <col min="7690" max="7690" width="10.8984375" style="1590" customWidth="1"/>
    <col min="7691" max="7691" width="10.5" style="1590" customWidth="1"/>
    <col min="7692" max="7692" width="11.19921875" style="1590" customWidth="1"/>
    <col min="7693" max="7936" width="9" style="1590"/>
    <col min="7937" max="7937" width="5.69921875" style="1590" customWidth="1"/>
    <col min="7938" max="7938" width="8.19921875" style="1590" customWidth="1"/>
    <col min="7939" max="7941" width="11.59765625" style="1590" customWidth="1"/>
    <col min="7942" max="7942" width="10.69921875" style="1590" customWidth="1"/>
    <col min="7943" max="7943" width="9" style="1590"/>
    <col min="7944" max="7944" width="10" style="1590" customWidth="1"/>
    <col min="7945" max="7945" width="10.69921875" style="1590" customWidth="1"/>
    <col min="7946" max="7946" width="10.8984375" style="1590" customWidth="1"/>
    <col min="7947" max="7947" width="10.5" style="1590" customWidth="1"/>
    <col min="7948" max="7948" width="11.19921875" style="1590" customWidth="1"/>
    <col min="7949" max="8192" width="9" style="1590"/>
    <col min="8193" max="8193" width="5.69921875" style="1590" customWidth="1"/>
    <col min="8194" max="8194" width="8.19921875" style="1590" customWidth="1"/>
    <col min="8195" max="8197" width="11.59765625" style="1590" customWidth="1"/>
    <col min="8198" max="8198" width="10.69921875" style="1590" customWidth="1"/>
    <col min="8199" max="8199" width="9" style="1590"/>
    <col min="8200" max="8200" width="10" style="1590" customWidth="1"/>
    <col min="8201" max="8201" width="10.69921875" style="1590" customWidth="1"/>
    <col min="8202" max="8202" width="10.8984375" style="1590" customWidth="1"/>
    <col min="8203" max="8203" width="10.5" style="1590" customWidth="1"/>
    <col min="8204" max="8204" width="11.19921875" style="1590" customWidth="1"/>
    <col min="8205" max="8448" width="9" style="1590"/>
    <col min="8449" max="8449" width="5.69921875" style="1590" customWidth="1"/>
    <col min="8450" max="8450" width="8.19921875" style="1590" customWidth="1"/>
    <col min="8451" max="8453" width="11.59765625" style="1590" customWidth="1"/>
    <col min="8454" max="8454" width="10.69921875" style="1590" customWidth="1"/>
    <col min="8455" max="8455" width="9" style="1590"/>
    <col min="8456" max="8456" width="10" style="1590" customWidth="1"/>
    <col min="8457" max="8457" width="10.69921875" style="1590" customWidth="1"/>
    <col min="8458" max="8458" width="10.8984375" style="1590" customWidth="1"/>
    <col min="8459" max="8459" width="10.5" style="1590" customWidth="1"/>
    <col min="8460" max="8460" width="11.19921875" style="1590" customWidth="1"/>
    <col min="8461" max="8704" width="9" style="1590"/>
    <col min="8705" max="8705" width="5.69921875" style="1590" customWidth="1"/>
    <col min="8706" max="8706" width="8.19921875" style="1590" customWidth="1"/>
    <col min="8707" max="8709" width="11.59765625" style="1590" customWidth="1"/>
    <col min="8710" max="8710" width="10.69921875" style="1590" customWidth="1"/>
    <col min="8711" max="8711" width="9" style="1590"/>
    <col min="8712" max="8712" width="10" style="1590" customWidth="1"/>
    <col min="8713" max="8713" width="10.69921875" style="1590" customWidth="1"/>
    <col min="8714" max="8714" width="10.8984375" style="1590" customWidth="1"/>
    <col min="8715" max="8715" width="10.5" style="1590" customWidth="1"/>
    <col min="8716" max="8716" width="11.19921875" style="1590" customWidth="1"/>
    <col min="8717" max="8960" width="9" style="1590"/>
    <col min="8961" max="8961" width="5.69921875" style="1590" customWidth="1"/>
    <col min="8962" max="8962" width="8.19921875" style="1590" customWidth="1"/>
    <col min="8963" max="8965" width="11.59765625" style="1590" customWidth="1"/>
    <col min="8966" max="8966" width="10.69921875" style="1590" customWidth="1"/>
    <col min="8967" max="8967" width="9" style="1590"/>
    <col min="8968" max="8968" width="10" style="1590" customWidth="1"/>
    <col min="8969" max="8969" width="10.69921875" style="1590" customWidth="1"/>
    <col min="8970" max="8970" width="10.8984375" style="1590" customWidth="1"/>
    <col min="8971" max="8971" width="10.5" style="1590" customWidth="1"/>
    <col min="8972" max="8972" width="11.19921875" style="1590" customWidth="1"/>
    <col min="8973" max="9216" width="9" style="1590"/>
    <col min="9217" max="9217" width="5.69921875" style="1590" customWidth="1"/>
    <col min="9218" max="9218" width="8.19921875" style="1590" customWidth="1"/>
    <col min="9219" max="9221" width="11.59765625" style="1590" customWidth="1"/>
    <col min="9222" max="9222" width="10.69921875" style="1590" customWidth="1"/>
    <col min="9223" max="9223" width="9" style="1590"/>
    <col min="9224" max="9224" width="10" style="1590" customWidth="1"/>
    <col min="9225" max="9225" width="10.69921875" style="1590" customWidth="1"/>
    <col min="9226" max="9226" width="10.8984375" style="1590" customWidth="1"/>
    <col min="9227" max="9227" width="10.5" style="1590" customWidth="1"/>
    <col min="9228" max="9228" width="11.19921875" style="1590" customWidth="1"/>
    <col min="9229" max="9472" width="9" style="1590"/>
    <col min="9473" max="9473" width="5.69921875" style="1590" customWidth="1"/>
    <col min="9474" max="9474" width="8.19921875" style="1590" customWidth="1"/>
    <col min="9475" max="9477" width="11.59765625" style="1590" customWidth="1"/>
    <col min="9478" max="9478" width="10.69921875" style="1590" customWidth="1"/>
    <col min="9479" max="9479" width="9" style="1590"/>
    <col min="9480" max="9480" width="10" style="1590" customWidth="1"/>
    <col min="9481" max="9481" width="10.69921875" style="1590" customWidth="1"/>
    <col min="9482" max="9482" width="10.8984375" style="1590" customWidth="1"/>
    <col min="9483" max="9483" width="10.5" style="1590" customWidth="1"/>
    <col min="9484" max="9484" width="11.19921875" style="1590" customWidth="1"/>
    <col min="9485" max="9728" width="9" style="1590"/>
    <col min="9729" max="9729" width="5.69921875" style="1590" customWidth="1"/>
    <col min="9730" max="9730" width="8.19921875" style="1590" customWidth="1"/>
    <col min="9731" max="9733" width="11.59765625" style="1590" customWidth="1"/>
    <col min="9734" max="9734" width="10.69921875" style="1590" customWidth="1"/>
    <col min="9735" max="9735" width="9" style="1590"/>
    <col min="9736" max="9736" width="10" style="1590" customWidth="1"/>
    <col min="9737" max="9737" width="10.69921875" style="1590" customWidth="1"/>
    <col min="9738" max="9738" width="10.8984375" style="1590" customWidth="1"/>
    <col min="9739" max="9739" width="10.5" style="1590" customWidth="1"/>
    <col min="9740" max="9740" width="11.19921875" style="1590" customWidth="1"/>
    <col min="9741" max="9984" width="9" style="1590"/>
    <col min="9985" max="9985" width="5.69921875" style="1590" customWidth="1"/>
    <col min="9986" max="9986" width="8.19921875" style="1590" customWidth="1"/>
    <col min="9987" max="9989" width="11.59765625" style="1590" customWidth="1"/>
    <col min="9990" max="9990" width="10.69921875" style="1590" customWidth="1"/>
    <col min="9991" max="9991" width="9" style="1590"/>
    <col min="9992" max="9992" width="10" style="1590" customWidth="1"/>
    <col min="9993" max="9993" width="10.69921875" style="1590" customWidth="1"/>
    <col min="9994" max="9994" width="10.8984375" style="1590" customWidth="1"/>
    <col min="9995" max="9995" width="10.5" style="1590" customWidth="1"/>
    <col min="9996" max="9996" width="11.19921875" style="1590" customWidth="1"/>
    <col min="9997" max="10240" width="9" style="1590"/>
    <col min="10241" max="10241" width="5.69921875" style="1590" customWidth="1"/>
    <col min="10242" max="10242" width="8.19921875" style="1590" customWidth="1"/>
    <col min="10243" max="10245" width="11.59765625" style="1590" customWidth="1"/>
    <col min="10246" max="10246" width="10.69921875" style="1590" customWidth="1"/>
    <col min="10247" max="10247" width="9" style="1590"/>
    <col min="10248" max="10248" width="10" style="1590" customWidth="1"/>
    <col min="10249" max="10249" width="10.69921875" style="1590" customWidth="1"/>
    <col min="10250" max="10250" width="10.8984375" style="1590" customWidth="1"/>
    <col min="10251" max="10251" width="10.5" style="1590" customWidth="1"/>
    <col min="10252" max="10252" width="11.19921875" style="1590" customWidth="1"/>
    <col min="10253" max="10496" width="9" style="1590"/>
    <col min="10497" max="10497" width="5.69921875" style="1590" customWidth="1"/>
    <col min="10498" max="10498" width="8.19921875" style="1590" customWidth="1"/>
    <col min="10499" max="10501" width="11.59765625" style="1590" customWidth="1"/>
    <col min="10502" max="10502" width="10.69921875" style="1590" customWidth="1"/>
    <col min="10503" max="10503" width="9" style="1590"/>
    <col min="10504" max="10504" width="10" style="1590" customWidth="1"/>
    <col min="10505" max="10505" width="10.69921875" style="1590" customWidth="1"/>
    <col min="10506" max="10506" width="10.8984375" style="1590" customWidth="1"/>
    <col min="10507" max="10507" width="10.5" style="1590" customWidth="1"/>
    <col min="10508" max="10508" width="11.19921875" style="1590" customWidth="1"/>
    <col min="10509" max="10752" width="9" style="1590"/>
    <col min="10753" max="10753" width="5.69921875" style="1590" customWidth="1"/>
    <col min="10754" max="10754" width="8.19921875" style="1590" customWidth="1"/>
    <col min="10755" max="10757" width="11.59765625" style="1590" customWidth="1"/>
    <col min="10758" max="10758" width="10.69921875" style="1590" customWidth="1"/>
    <col min="10759" max="10759" width="9" style="1590"/>
    <col min="10760" max="10760" width="10" style="1590" customWidth="1"/>
    <col min="10761" max="10761" width="10.69921875" style="1590" customWidth="1"/>
    <col min="10762" max="10762" width="10.8984375" style="1590" customWidth="1"/>
    <col min="10763" max="10763" width="10.5" style="1590" customWidth="1"/>
    <col min="10764" max="10764" width="11.19921875" style="1590" customWidth="1"/>
    <col min="10765" max="11008" width="9" style="1590"/>
    <col min="11009" max="11009" width="5.69921875" style="1590" customWidth="1"/>
    <col min="11010" max="11010" width="8.19921875" style="1590" customWidth="1"/>
    <col min="11011" max="11013" width="11.59765625" style="1590" customWidth="1"/>
    <col min="11014" max="11014" width="10.69921875" style="1590" customWidth="1"/>
    <col min="11015" max="11015" width="9" style="1590"/>
    <col min="11016" max="11016" width="10" style="1590" customWidth="1"/>
    <col min="11017" max="11017" width="10.69921875" style="1590" customWidth="1"/>
    <col min="11018" max="11018" width="10.8984375" style="1590" customWidth="1"/>
    <col min="11019" max="11019" width="10.5" style="1590" customWidth="1"/>
    <col min="11020" max="11020" width="11.19921875" style="1590" customWidth="1"/>
    <col min="11021" max="11264" width="9" style="1590"/>
    <col min="11265" max="11265" width="5.69921875" style="1590" customWidth="1"/>
    <col min="11266" max="11266" width="8.19921875" style="1590" customWidth="1"/>
    <col min="11267" max="11269" width="11.59765625" style="1590" customWidth="1"/>
    <col min="11270" max="11270" width="10.69921875" style="1590" customWidth="1"/>
    <col min="11271" max="11271" width="9" style="1590"/>
    <col min="11272" max="11272" width="10" style="1590" customWidth="1"/>
    <col min="11273" max="11273" width="10.69921875" style="1590" customWidth="1"/>
    <col min="11274" max="11274" width="10.8984375" style="1590" customWidth="1"/>
    <col min="11275" max="11275" width="10.5" style="1590" customWidth="1"/>
    <col min="11276" max="11276" width="11.19921875" style="1590" customWidth="1"/>
    <col min="11277" max="11520" width="9" style="1590"/>
    <col min="11521" max="11521" width="5.69921875" style="1590" customWidth="1"/>
    <col min="11522" max="11522" width="8.19921875" style="1590" customWidth="1"/>
    <col min="11523" max="11525" width="11.59765625" style="1590" customWidth="1"/>
    <col min="11526" max="11526" width="10.69921875" style="1590" customWidth="1"/>
    <col min="11527" max="11527" width="9" style="1590"/>
    <col min="11528" max="11528" width="10" style="1590" customWidth="1"/>
    <col min="11529" max="11529" width="10.69921875" style="1590" customWidth="1"/>
    <col min="11530" max="11530" width="10.8984375" style="1590" customWidth="1"/>
    <col min="11531" max="11531" width="10.5" style="1590" customWidth="1"/>
    <col min="11532" max="11532" width="11.19921875" style="1590" customWidth="1"/>
    <col min="11533" max="11776" width="9" style="1590"/>
    <col min="11777" max="11777" width="5.69921875" style="1590" customWidth="1"/>
    <col min="11778" max="11778" width="8.19921875" style="1590" customWidth="1"/>
    <col min="11779" max="11781" width="11.59765625" style="1590" customWidth="1"/>
    <col min="11782" max="11782" width="10.69921875" style="1590" customWidth="1"/>
    <col min="11783" max="11783" width="9" style="1590"/>
    <col min="11784" max="11784" width="10" style="1590" customWidth="1"/>
    <col min="11785" max="11785" width="10.69921875" style="1590" customWidth="1"/>
    <col min="11786" max="11786" width="10.8984375" style="1590" customWidth="1"/>
    <col min="11787" max="11787" width="10.5" style="1590" customWidth="1"/>
    <col min="11788" max="11788" width="11.19921875" style="1590" customWidth="1"/>
    <col min="11789" max="12032" width="9" style="1590"/>
    <col min="12033" max="12033" width="5.69921875" style="1590" customWidth="1"/>
    <col min="12034" max="12034" width="8.19921875" style="1590" customWidth="1"/>
    <col min="12035" max="12037" width="11.59765625" style="1590" customWidth="1"/>
    <col min="12038" max="12038" width="10.69921875" style="1590" customWidth="1"/>
    <col min="12039" max="12039" width="9" style="1590"/>
    <col min="12040" max="12040" width="10" style="1590" customWidth="1"/>
    <col min="12041" max="12041" width="10.69921875" style="1590" customWidth="1"/>
    <col min="12042" max="12042" width="10.8984375" style="1590" customWidth="1"/>
    <col min="12043" max="12043" width="10.5" style="1590" customWidth="1"/>
    <col min="12044" max="12044" width="11.19921875" style="1590" customWidth="1"/>
    <col min="12045" max="12288" width="9" style="1590"/>
    <col min="12289" max="12289" width="5.69921875" style="1590" customWidth="1"/>
    <col min="12290" max="12290" width="8.19921875" style="1590" customWidth="1"/>
    <col min="12291" max="12293" width="11.59765625" style="1590" customWidth="1"/>
    <col min="12294" max="12294" width="10.69921875" style="1590" customWidth="1"/>
    <col min="12295" max="12295" width="9" style="1590"/>
    <col min="12296" max="12296" width="10" style="1590" customWidth="1"/>
    <col min="12297" max="12297" width="10.69921875" style="1590" customWidth="1"/>
    <col min="12298" max="12298" width="10.8984375" style="1590" customWidth="1"/>
    <col min="12299" max="12299" width="10.5" style="1590" customWidth="1"/>
    <col min="12300" max="12300" width="11.19921875" style="1590" customWidth="1"/>
    <col min="12301" max="12544" width="9" style="1590"/>
    <col min="12545" max="12545" width="5.69921875" style="1590" customWidth="1"/>
    <col min="12546" max="12546" width="8.19921875" style="1590" customWidth="1"/>
    <col min="12547" max="12549" width="11.59765625" style="1590" customWidth="1"/>
    <col min="12550" max="12550" width="10.69921875" style="1590" customWidth="1"/>
    <col min="12551" max="12551" width="9" style="1590"/>
    <col min="12552" max="12552" width="10" style="1590" customWidth="1"/>
    <col min="12553" max="12553" width="10.69921875" style="1590" customWidth="1"/>
    <col min="12554" max="12554" width="10.8984375" style="1590" customWidth="1"/>
    <col min="12555" max="12555" width="10.5" style="1590" customWidth="1"/>
    <col min="12556" max="12556" width="11.19921875" style="1590" customWidth="1"/>
    <col min="12557" max="12800" width="9" style="1590"/>
    <col min="12801" max="12801" width="5.69921875" style="1590" customWidth="1"/>
    <col min="12802" max="12802" width="8.19921875" style="1590" customWidth="1"/>
    <col min="12803" max="12805" width="11.59765625" style="1590" customWidth="1"/>
    <col min="12806" max="12806" width="10.69921875" style="1590" customWidth="1"/>
    <col min="12807" max="12807" width="9" style="1590"/>
    <col min="12808" max="12808" width="10" style="1590" customWidth="1"/>
    <col min="12809" max="12809" width="10.69921875" style="1590" customWidth="1"/>
    <col min="12810" max="12810" width="10.8984375" style="1590" customWidth="1"/>
    <col min="12811" max="12811" width="10.5" style="1590" customWidth="1"/>
    <col min="12812" max="12812" width="11.19921875" style="1590" customWidth="1"/>
    <col min="12813" max="13056" width="9" style="1590"/>
    <col min="13057" max="13057" width="5.69921875" style="1590" customWidth="1"/>
    <col min="13058" max="13058" width="8.19921875" style="1590" customWidth="1"/>
    <col min="13059" max="13061" width="11.59765625" style="1590" customWidth="1"/>
    <col min="13062" max="13062" width="10.69921875" style="1590" customWidth="1"/>
    <col min="13063" max="13063" width="9" style="1590"/>
    <col min="13064" max="13064" width="10" style="1590" customWidth="1"/>
    <col min="13065" max="13065" width="10.69921875" style="1590" customWidth="1"/>
    <col min="13066" max="13066" width="10.8984375" style="1590" customWidth="1"/>
    <col min="13067" max="13067" width="10.5" style="1590" customWidth="1"/>
    <col min="13068" max="13068" width="11.19921875" style="1590" customWidth="1"/>
    <col min="13069" max="13312" width="9" style="1590"/>
    <col min="13313" max="13313" width="5.69921875" style="1590" customWidth="1"/>
    <col min="13314" max="13314" width="8.19921875" style="1590" customWidth="1"/>
    <col min="13315" max="13317" width="11.59765625" style="1590" customWidth="1"/>
    <col min="13318" max="13318" width="10.69921875" style="1590" customWidth="1"/>
    <col min="13319" max="13319" width="9" style="1590"/>
    <col min="13320" max="13320" width="10" style="1590" customWidth="1"/>
    <col min="13321" max="13321" width="10.69921875" style="1590" customWidth="1"/>
    <col min="13322" max="13322" width="10.8984375" style="1590" customWidth="1"/>
    <col min="13323" max="13323" width="10.5" style="1590" customWidth="1"/>
    <col min="13324" max="13324" width="11.19921875" style="1590" customWidth="1"/>
    <col min="13325" max="13568" width="9" style="1590"/>
    <col min="13569" max="13569" width="5.69921875" style="1590" customWidth="1"/>
    <col min="13570" max="13570" width="8.19921875" style="1590" customWidth="1"/>
    <col min="13571" max="13573" width="11.59765625" style="1590" customWidth="1"/>
    <col min="13574" max="13574" width="10.69921875" style="1590" customWidth="1"/>
    <col min="13575" max="13575" width="9" style="1590"/>
    <col min="13576" max="13576" width="10" style="1590" customWidth="1"/>
    <col min="13577" max="13577" width="10.69921875" style="1590" customWidth="1"/>
    <col min="13578" max="13578" width="10.8984375" style="1590" customWidth="1"/>
    <col min="13579" max="13579" width="10.5" style="1590" customWidth="1"/>
    <col min="13580" max="13580" width="11.19921875" style="1590" customWidth="1"/>
    <col min="13581" max="13824" width="9" style="1590"/>
    <col min="13825" max="13825" width="5.69921875" style="1590" customWidth="1"/>
    <col min="13826" max="13826" width="8.19921875" style="1590" customWidth="1"/>
    <col min="13827" max="13829" width="11.59765625" style="1590" customWidth="1"/>
    <col min="13830" max="13830" width="10.69921875" style="1590" customWidth="1"/>
    <col min="13831" max="13831" width="9" style="1590"/>
    <col min="13832" max="13832" width="10" style="1590" customWidth="1"/>
    <col min="13833" max="13833" width="10.69921875" style="1590" customWidth="1"/>
    <col min="13834" max="13834" width="10.8984375" style="1590" customWidth="1"/>
    <col min="13835" max="13835" width="10.5" style="1590" customWidth="1"/>
    <col min="13836" max="13836" width="11.19921875" style="1590" customWidth="1"/>
    <col min="13837" max="14080" width="9" style="1590"/>
    <col min="14081" max="14081" width="5.69921875" style="1590" customWidth="1"/>
    <col min="14082" max="14082" width="8.19921875" style="1590" customWidth="1"/>
    <col min="14083" max="14085" width="11.59765625" style="1590" customWidth="1"/>
    <col min="14086" max="14086" width="10.69921875" style="1590" customWidth="1"/>
    <col min="14087" max="14087" width="9" style="1590"/>
    <col min="14088" max="14088" width="10" style="1590" customWidth="1"/>
    <col min="14089" max="14089" width="10.69921875" style="1590" customWidth="1"/>
    <col min="14090" max="14090" width="10.8984375" style="1590" customWidth="1"/>
    <col min="14091" max="14091" width="10.5" style="1590" customWidth="1"/>
    <col min="14092" max="14092" width="11.19921875" style="1590" customWidth="1"/>
    <col min="14093" max="14336" width="9" style="1590"/>
    <col min="14337" max="14337" width="5.69921875" style="1590" customWidth="1"/>
    <col min="14338" max="14338" width="8.19921875" style="1590" customWidth="1"/>
    <col min="14339" max="14341" width="11.59765625" style="1590" customWidth="1"/>
    <col min="14342" max="14342" width="10.69921875" style="1590" customWidth="1"/>
    <col min="14343" max="14343" width="9" style="1590"/>
    <col min="14344" max="14344" width="10" style="1590" customWidth="1"/>
    <col min="14345" max="14345" width="10.69921875" style="1590" customWidth="1"/>
    <col min="14346" max="14346" width="10.8984375" style="1590" customWidth="1"/>
    <col min="14347" max="14347" width="10.5" style="1590" customWidth="1"/>
    <col min="14348" max="14348" width="11.19921875" style="1590" customWidth="1"/>
    <col min="14349" max="14592" width="9" style="1590"/>
    <col min="14593" max="14593" width="5.69921875" style="1590" customWidth="1"/>
    <col min="14594" max="14594" width="8.19921875" style="1590" customWidth="1"/>
    <col min="14595" max="14597" width="11.59765625" style="1590" customWidth="1"/>
    <col min="14598" max="14598" width="10.69921875" style="1590" customWidth="1"/>
    <col min="14599" max="14599" width="9" style="1590"/>
    <col min="14600" max="14600" width="10" style="1590" customWidth="1"/>
    <col min="14601" max="14601" width="10.69921875" style="1590" customWidth="1"/>
    <col min="14602" max="14602" width="10.8984375" style="1590" customWidth="1"/>
    <col min="14603" max="14603" width="10.5" style="1590" customWidth="1"/>
    <col min="14604" max="14604" width="11.19921875" style="1590" customWidth="1"/>
    <col min="14605" max="14848" width="9" style="1590"/>
    <col min="14849" max="14849" width="5.69921875" style="1590" customWidth="1"/>
    <col min="14850" max="14850" width="8.19921875" style="1590" customWidth="1"/>
    <col min="14851" max="14853" width="11.59765625" style="1590" customWidth="1"/>
    <col min="14854" max="14854" width="10.69921875" style="1590" customWidth="1"/>
    <col min="14855" max="14855" width="9" style="1590"/>
    <col min="14856" max="14856" width="10" style="1590" customWidth="1"/>
    <col min="14857" max="14857" width="10.69921875" style="1590" customWidth="1"/>
    <col min="14858" max="14858" width="10.8984375" style="1590" customWidth="1"/>
    <col min="14859" max="14859" width="10.5" style="1590" customWidth="1"/>
    <col min="14860" max="14860" width="11.19921875" style="1590" customWidth="1"/>
    <col min="14861" max="15104" width="9" style="1590"/>
    <col min="15105" max="15105" width="5.69921875" style="1590" customWidth="1"/>
    <col min="15106" max="15106" width="8.19921875" style="1590" customWidth="1"/>
    <col min="15107" max="15109" width="11.59765625" style="1590" customWidth="1"/>
    <col min="15110" max="15110" width="10.69921875" style="1590" customWidth="1"/>
    <col min="15111" max="15111" width="9" style="1590"/>
    <col min="15112" max="15112" width="10" style="1590" customWidth="1"/>
    <col min="15113" max="15113" width="10.69921875" style="1590" customWidth="1"/>
    <col min="15114" max="15114" width="10.8984375" style="1590" customWidth="1"/>
    <col min="15115" max="15115" width="10.5" style="1590" customWidth="1"/>
    <col min="15116" max="15116" width="11.19921875" style="1590" customWidth="1"/>
    <col min="15117" max="15360" width="9" style="1590"/>
    <col min="15361" max="15361" width="5.69921875" style="1590" customWidth="1"/>
    <col min="15362" max="15362" width="8.19921875" style="1590" customWidth="1"/>
    <col min="15363" max="15365" width="11.59765625" style="1590" customWidth="1"/>
    <col min="15366" max="15366" width="10.69921875" style="1590" customWidth="1"/>
    <col min="15367" max="15367" width="9" style="1590"/>
    <col min="15368" max="15368" width="10" style="1590" customWidth="1"/>
    <col min="15369" max="15369" width="10.69921875" style="1590" customWidth="1"/>
    <col min="15370" max="15370" width="10.8984375" style="1590" customWidth="1"/>
    <col min="15371" max="15371" width="10.5" style="1590" customWidth="1"/>
    <col min="15372" max="15372" width="11.19921875" style="1590" customWidth="1"/>
    <col min="15373" max="15616" width="9" style="1590"/>
    <col min="15617" max="15617" width="5.69921875" style="1590" customWidth="1"/>
    <col min="15618" max="15618" width="8.19921875" style="1590" customWidth="1"/>
    <col min="15619" max="15621" width="11.59765625" style="1590" customWidth="1"/>
    <col min="15622" max="15622" width="10.69921875" style="1590" customWidth="1"/>
    <col min="15623" max="15623" width="9" style="1590"/>
    <col min="15624" max="15624" width="10" style="1590" customWidth="1"/>
    <col min="15625" max="15625" width="10.69921875" style="1590" customWidth="1"/>
    <col min="15626" max="15626" width="10.8984375" style="1590" customWidth="1"/>
    <col min="15627" max="15627" width="10.5" style="1590" customWidth="1"/>
    <col min="15628" max="15628" width="11.19921875" style="1590" customWidth="1"/>
    <col min="15629" max="15872" width="9" style="1590"/>
    <col min="15873" max="15873" width="5.69921875" style="1590" customWidth="1"/>
    <col min="15874" max="15874" width="8.19921875" style="1590" customWidth="1"/>
    <col min="15875" max="15877" width="11.59765625" style="1590" customWidth="1"/>
    <col min="15878" max="15878" width="10.69921875" style="1590" customWidth="1"/>
    <col min="15879" max="15879" width="9" style="1590"/>
    <col min="15880" max="15880" width="10" style="1590" customWidth="1"/>
    <col min="15881" max="15881" width="10.69921875" style="1590" customWidth="1"/>
    <col min="15882" max="15882" width="10.8984375" style="1590" customWidth="1"/>
    <col min="15883" max="15883" width="10.5" style="1590" customWidth="1"/>
    <col min="15884" max="15884" width="11.19921875" style="1590" customWidth="1"/>
    <col min="15885" max="16128" width="9" style="1590"/>
    <col min="16129" max="16129" width="5.69921875" style="1590" customWidth="1"/>
    <col min="16130" max="16130" width="8.19921875" style="1590" customWidth="1"/>
    <col min="16131" max="16133" width="11.59765625" style="1590" customWidth="1"/>
    <col min="16134" max="16134" width="10.69921875" style="1590" customWidth="1"/>
    <col min="16135" max="16135" width="9" style="1590"/>
    <col min="16136" max="16136" width="10" style="1590" customWidth="1"/>
    <col min="16137" max="16137" width="10.69921875" style="1590" customWidth="1"/>
    <col min="16138" max="16138" width="10.8984375" style="1590" customWidth="1"/>
    <col min="16139" max="16139" width="10.5" style="1590" customWidth="1"/>
    <col min="16140" max="16140" width="11.19921875" style="1590" customWidth="1"/>
    <col min="16141" max="16384" width="9" style="1590"/>
  </cols>
  <sheetData>
    <row r="1" spans="1:13" s="1583" customFormat="1" ht="20.100000000000001" customHeight="1">
      <c r="A1" s="2169"/>
      <c r="B1" s="2169"/>
      <c r="C1" s="2169"/>
      <c r="D1" s="2169"/>
      <c r="E1" s="2169"/>
      <c r="F1" s="2169"/>
      <c r="G1" s="2169"/>
      <c r="H1" s="2169"/>
      <c r="I1" s="2169"/>
      <c r="J1" s="2169"/>
      <c r="K1" s="2169"/>
      <c r="L1" s="2168" t="str">
        <f>"索引号："&amp;档案索引!D8</f>
        <v>索引号：2B-3</v>
      </c>
    </row>
    <row r="2" spans="1:13" s="1589" customFormat="1" ht="25.5" customHeight="1">
      <c r="A2" s="3379" t="s">
        <v>5936</v>
      </c>
      <c r="B2" s="3379"/>
      <c r="C2" s="3379"/>
      <c r="D2" s="3379"/>
      <c r="E2" s="3379"/>
      <c r="F2" s="3379"/>
      <c r="G2" s="3379"/>
      <c r="H2" s="3379"/>
      <c r="I2" s="3379"/>
      <c r="J2" s="3379"/>
      <c r="K2" s="3379"/>
      <c r="L2" s="1867"/>
    </row>
    <row r="3" spans="1:13" ht="29.25" customHeight="1">
      <c r="A3" s="3380" t="s">
        <v>6633</v>
      </c>
      <c r="B3" s="3383" t="s">
        <v>5548</v>
      </c>
      <c r="C3" s="3385" t="s">
        <v>5549</v>
      </c>
      <c r="D3" s="3385"/>
      <c r="E3" s="3385"/>
      <c r="F3" s="3385" t="s">
        <v>5550</v>
      </c>
      <c r="G3" s="3385" t="s">
        <v>5551</v>
      </c>
      <c r="H3" s="3385" t="s">
        <v>7694</v>
      </c>
      <c r="I3" s="3385" t="s">
        <v>5553</v>
      </c>
      <c r="J3" s="3385" t="s">
        <v>5554</v>
      </c>
      <c r="K3" s="3385" t="s">
        <v>5555</v>
      </c>
      <c r="L3" s="3385" t="s">
        <v>4901</v>
      </c>
    </row>
    <row r="4" spans="1:13" ht="42" customHeight="1">
      <c r="A4" s="3381"/>
      <c r="B4" s="3387"/>
      <c r="C4" s="1866" t="s">
        <v>5556</v>
      </c>
      <c r="D4" s="1866" t="s">
        <v>5557</v>
      </c>
      <c r="E4" s="1866" t="s">
        <v>5558</v>
      </c>
      <c r="F4" s="3385"/>
      <c r="G4" s="3385"/>
      <c r="H4" s="3385"/>
      <c r="I4" s="3385"/>
      <c r="J4" s="3385"/>
      <c r="K4" s="3385"/>
      <c r="L4" s="3385"/>
    </row>
    <row r="5" spans="1:13" ht="14.25" customHeight="1">
      <c r="A5" s="3382"/>
      <c r="B5" s="1837">
        <v>1</v>
      </c>
      <c r="C5" s="1837">
        <v>2</v>
      </c>
      <c r="D5" s="1837">
        <v>3</v>
      </c>
      <c r="E5" s="1837">
        <v>4</v>
      </c>
      <c r="F5" s="1837">
        <v>5</v>
      </c>
      <c r="G5" s="1837">
        <v>6</v>
      </c>
      <c r="H5" s="1837">
        <v>7</v>
      </c>
      <c r="I5" s="1837">
        <v>8</v>
      </c>
      <c r="J5" s="1837">
        <v>9</v>
      </c>
      <c r="K5" s="1837" t="s">
        <v>5559</v>
      </c>
      <c r="L5" s="1982"/>
    </row>
    <row r="6" spans="1:13" ht="14.25" customHeight="1">
      <c r="A6" s="1837">
        <v>1</v>
      </c>
      <c r="B6" s="1587"/>
      <c r="C6" s="1587"/>
      <c r="D6" s="1587"/>
      <c r="E6" s="1587"/>
      <c r="F6" s="1587"/>
      <c r="G6" s="1587"/>
      <c r="H6" s="1587"/>
      <c r="I6" s="1587"/>
      <c r="J6" s="2078"/>
      <c r="K6" s="2077">
        <f t="shared" ref="K6:K14" si="0">ROUND(J6*0.1,2)</f>
        <v>0</v>
      </c>
      <c r="L6" s="1982"/>
    </row>
    <row r="7" spans="1:13" ht="14.25" customHeight="1">
      <c r="A7" s="1837">
        <v>2</v>
      </c>
      <c r="B7" s="1587"/>
      <c r="C7" s="1587"/>
      <c r="D7" s="1587"/>
      <c r="E7" s="1587"/>
      <c r="F7" s="1587"/>
      <c r="G7" s="1587"/>
      <c r="H7" s="1587"/>
      <c r="I7" s="1587"/>
      <c r="J7" s="2078"/>
      <c r="K7" s="2077">
        <f t="shared" si="0"/>
        <v>0</v>
      </c>
      <c r="L7" s="1982"/>
    </row>
    <row r="8" spans="1:13" ht="14.25" customHeight="1">
      <c r="A8" s="1837">
        <v>3</v>
      </c>
      <c r="B8" s="1587"/>
      <c r="C8" s="1587"/>
      <c r="D8" s="1587"/>
      <c r="E8" s="1587"/>
      <c r="F8" s="1587"/>
      <c r="G8" s="1587"/>
      <c r="H8" s="1587"/>
      <c r="I8" s="1587"/>
      <c r="J8" s="2078"/>
      <c r="K8" s="2077">
        <f t="shared" si="0"/>
        <v>0</v>
      </c>
      <c r="L8" s="1982"/>
    </row>
    <row r="9" spans="1:13" ht="14.25" customHeight="1">
      <c r="A9" s="1837">
        <v>4</v>
      </c>
      <c r="B9" s="1587"/>
      <c r="C9" s="1587"/>
      <c r="D9" s="1587"/>
      <c r="E9" s="1587"/>
      <c r="F9" s="1587"/>
      <c r="G9" s="1587"/>
      <c r="H9" s="1587"/>
      <c r="I9" s="1591"/>
      <c r="J9" s="2078"/>
      <c r="K9" s="2077">
        <f t="shared" si="0"/>
        <v>0</v>
      </c>
      <c r="L9" s="1982"/>
      <c r="M9" s="1772" t="s">
        <v>6460</v>
      </c>
    </row>
    <row r="10" spans="1:13" ht="14.25" customHeight="1">
      <c r="A10" s="1837">
        <v>5</v>
      </c>
      <c r="B10" s="1587"/>
      <c r="C10" s="1587"/>
      <c r="D10" s="1587"/>
      <c r="E10" s="1587"/>
      <c r="F10" s="1587"/>
      <c r="G10" s="1587"/>
      <c r="H10" s="1587"/>
      <c r="I10" s="1587"/>
      <c r="J10" s="2078"/>
      <c r="K10" s="2077">
        <f t="shared" si="0"/>
        <v>0</v>
      </c>
      <c r="L10" s="1982"/>
    </row>
    <row r="11" spans="1:13" ht="14.25" customHeight="1">
      <c r="A11" s="1837">
        <v>6</v>
      </c>
      <c r="B11" s="1587"/>
      <c r="C11" s="1587"/>
      <c r="D11" s="1587"/>
      <c r="E11" s="1587"/>
      <c r="F11" s="1587"/>
      <c r="G11" s="1587"/>
      <c r="H11" s="1587"/>
      <c r="I11" s="1587"/>
      <c r="J11" s="2078"/>
      <c r="K11" s="2077">
        <f t="shared" si="0"/>
        <v>0</v>
      </c>
      <c r="L11" s="1982"/>
    </row>
    <row r="12" spans="1:13" ht="14.25" customHeight="1">
      <c r="A12" s="1837">
        <v>7</v>
      </c>
      <c r="B12" s="1587"/>
      <c r="C12" s="1587"/>
      <c r="D12" s="1587"/>
      <c r="E12" s="1587"/>
      <c r="F12" s="1587"/>
      <c r="G12" s="1587"/>
      <c r="H12" s="1587"/>
      <c r="I12" s="1587"/>
      <c r="J12" s="2078"/>
      <c r="K12" s="2077">
        <f t="shared" si="0"/>
        <v>0</v>
      </c>
      <c r="L12" s="1982"/>
    </row>
    <row r="13" spans="1:13" ht="14.25" customHeight="1">
      <c r="A13" s="1837">
        <v>8</v>
      </c>
      <c r="B13" s="1587"/>
      <c r="C13" s="1587"/>
      <c r="D13" s="1587"/>
      <c r="E13" s="1587"/>
      <c r="F13" s="1587"/>
      <c r="G13" s="1587"/>
      <c r="H13" s="1587"/>
      <c r="I13" s="1587"/>
      <c r="J13" s="2078"/>
      <c r="K13" s="2077">
        <f t="shared" si="0"/>
        <v>0</v>
      </c>
      <c r="L13" s="1982"/>
    </row>
    <row r="14" spans="1:13" ht="14.25" customHeight="1">
      <c r="A14" s="1837">
        <v>9</v>
      </c>
      <c r="B14" s="1587"/>
      <c r="C14" s="1587"/>
      <c r="D14" s="1587"/>
      <c r="E14" s="1587"/>
      <c r="F14" s="1587"/>
      <c r="G14" s="1587"/>
      <c r="H14" s="1587"/>
      <c r="I14" s="1587"/>
      <c r="J14" s="2078"/>
      <c r="K14" s="2077">
        <f t="shared" si="0"/>
        <v>0</v>
      </c>
      <c r="L14" s="1982"/>
    </row>
    <row r="15" spans="1:13" ht="47.25" customHeight="1">
      <c r="A15" s="1870">
        <v>10</v>
      </c>
      <c r="B15" s="1837" t="s">
        <v>5560</v>
      </c>
      <c r="C15" s="1874" t="s">
        <v>1867</v>
      </c>
      <c r="D15" s="1874" t="s">
        <v>1867</v>
      </c>
      <c r="E15" s="1874" t="s">
        <v>1867</v>
      </c>
      <c r="F15" s="1874" t="s">
        <v>1867</v>
      </c>
      <c r="G15" s="1874" t="s">
        <v>1867</v>
      </c>
      <c r="H15" s="1874" t="s">
        <v>1867</v>
      </c>
      <c r="I15" s="1874" t="s">
        <v>1867</v>
      </c>
      <c r="J15" s="2077">
        <f>SUM(J6:J14)</f>
        <v>0</v>
      </c>
      <c r="K15" s="2077">
        <f>SUM(K6:K14)</f>
        <v>0</v>
      </c>
      <c r="L15" s="1841" t="s">
        <v>5562</v>
      </c>
    </row>
    <row r="16" spans="1:13">
      <c r="A16" s="3451"/>
      <c r="B16" s="3451"/>
      <c r="C16" s="3451"/>
      <c r="D16" s="3451"/>
      <c r="E16" s="3451"/>
      <c r="F16" s="3451"/>
      <c r="G16" s="3451"/>
      <c r="H16" s="3451"/>
      <c r="I16" s="3451"/>
      <c r="J16" s="3451"/>
      <c r="K16" s="3451"/>
      <c r="L16" s="2022" t="s">
        <v>5561</v>
      </c>
    </row>
  </sheetData>
  <mergeCells count="12">
    <mergeCell ref="L3:L4"/>
    <mergeCell ref="A16:K16"/>
    <mergeCell ref="A2:K2"/>
    <mergeCell ref="A3:A5"/>
    <mergeCell ref="B3:B4"/>
    <mergeCell ref="C3:E3"/>
    <mergeCell ref="F3:F4"/>
    <mergeCell ref="G3:G4"/>
    <mergeCell ref="H3:H4"/>
    <mergeCell ref="I3:I4"/>
    <mergeCell ref="J3:J4"/>
    <mergeCell ref="K3:K4"/>
  </mergeCells>
  <phoneticPr fontId="51" type="noConversion"/>
  <hyperlinks>
    <hyperlink ref="M9" location="A107012综合利用资源生产产品取得的收入优惠明细表!A1" display="A107012综合利用资源生产产品取得的收入优惠明细表!A1"/>
  </hyperlinks>
  <printOptions horizontalCentered="1"/>
  <pageMargins left="0.78740157480314998" right="0.35433070866141703" top="0.511811023622047" bottom="0.11811023622047198" header="0.511811023622047" footer="0.511811023622047"/>
  <pageSetup paperSize="9" orientation="landscape" r:id="rId1"/>
</worksheet>
</file>

<file path=xl/worksheets/sheet5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69">
    <tabColor theme="3" tint="0.39997558519241921"/>
  </sheetPr>
  <dimension ref="A1:H16"/>
  <sheetViews>
    <sheetView workbookViewId="0">
      <selection activeCell="B5" sqref="B5"/>
    </sheetView>
  </sheetViews>
  <sheetFormatPr defaultRowHeight="15.6"/>
  <cols>
    <col min="1" max="1" width="5.19921875" style="1597" customWidth="1"/>
    <col min="2" max="2" width="64.59765625" style="1597" customWidth="1"/>
    <col min="3" max="3" width="16.09765625" style="1597" customWidth="1"/>
    <col min="4" max="4" width="19.8984375" style="1597" customWidth="1"/>
    <col min="5" max="256" width="9" style="1597"/>
    <col min="257" max="257" width="5.19921875" style="1597" customWidth="1"/>
    <col min="258" max="258" width="64.59765625" style="1597" customWidth="1"/>
    <col min="259" max="259" width="16.09765625" style="1597" customWidth="1"/>
    <col min="260" max="260" width="19.8984375" style="1597" customWidth="1"/>
    <col min="261" max="512" width="9" style="1597"/>
    <col min="513" max="513" width="5.19921875" style="1597" customWidth="1"/>
    <col min="514" max="514" width="64.59765625" style="1597" customWidth="1"/>
    <col min="515" max="515" width="16.09765625" style="1597" customWidth="1"/>
    <col min="516" max="516" width="19.8984375" style="1597" customWidth="1"/>
    <col min="517" max="768" width="9" style="1597"/>
    <col min="769" max="769" width="5.19921875" style="1597" customWidth="1"/>
    <col min="770" max="770" width="64.59765625" style="1597" customWidth="1"/>
    <col min="771" max="771" width="16.09765625" style="1597" customWidth="1"/>
    <col min="772" max="772" width="19.8984375" style="1597" customWidth="1"/>
    <col min="773" max="1024" width="9" style="1597"/>
    <col min="1025" max="1025" width="5.19921875" style="1597" customWidth="1"/>
    <col min="1026" max="1026" width="64.59765625" style="1597" customWidth="1"/>
    <col min="1027" max="1027" width="16.09765625" style="1597" customWidth="1"/>
    <col min="1028" max="1028" width="19.8984375" style="1597" customWidth="1"/>
    <col min="1029" max="1280" width="9" style="1597"/>
    <col min="1281" max="1281" width="5.19921875" style="1597" customWidth="1"/>
    <col min="1282" max="1282" width="64.59765625" style="1597" customWidth="1"/>
    <col min="1283" max="1283" width="16.09765625" style="1597" customWidth="1"/>
    <col min="1284" max="1284" width="19.8984375" style="1597" customWidth="1"/>
    <col min="1285" max="1536" width="9" style="1597"/>
    <col min="1537" max="1537" width="5.19921875" style="1597" customWidth="1"/>
    <col min="1538" max="1538" width="64.59765625" style="1597" customWidth="1"/>
    <col min="1539" max="1539" width="16.09765625" style="1597" customWidth="1"/>
    <col min="1540" max="1540" width="19.8984375" style="1597" customWidth="1"/>
    <col min="1541" max="1792" width="9" style="1597"/>
    <col min="1793" max="1793" width="5.19921875" style="1597" customWidth="1"/>
    <col min="1794" max="1794" width="64.59765625" style="1597" customWidth="1"/>
    <col min="1795" max="1795" width="16.09765625" style="1597" customWidth="1"/>
    <col min="1796" max="1796" width="19.8984375" style="1597" customWidth="1"/>
    <col min="1797" max="2048" width="9" style="1597"/>
    <col min="2049" max="2049" width="5.19921875" style="1597" customWidth="1"/>
    <col min="2050" max="2050" width="64.59765625" style="1597" customWidth="1"/>
    <col min="2051" max="2051" width="16.09765625" style="1597" customWidth="1"/>
    <col min="2052" max="2052" width="19.8984375" style="1597" customWidth="1"/>
    <col min="2053" max="2304" width="9" style="1597"/>
    <col min="2305" max="2305" width="5.19921875" style="1597" customWidth="1"/>
    <col min="2306" max="2306" width="64.59765625" style="1597" customWidth="1"/>
    <col min="2307" max="2307" width="16.09765625" style="1597" customWidth="1"/>
    <col min="2308" max="2308" width="19.8984375" style="1597" customWidth="1"/>
    <col min="2309" max="2560" width="9" style="1597"/>
    <col min="2561" max="2561" width="5.19921875" style="1597" customWidth="1"/>
    <col min="2562" max="2562" width="64.59765625" style="1597" customWidth="1"/>
    <col min="2563" max="2563" width="16.09765625" style="1597" customWidth="1"/>
    <col min="2564" max="2564" width="19.8984375" style="1597" customWidth="1"/>
    <col min="2565" max="2816" width="9" style="1597"/>
    <col min="2817" max="2817" width="5.19921875" style="1597" customWidth="1"/>
    <col min="2818" max="2818" width="64.59765625" style="1597" customWidth="1"/>
    <col min="2819" max="2819" width="16.09765625" style="1597" customWidth="1"/>
    <col min="2820" max="2820" width="19.8984375" style="1597" customWidth="1"/>
    <col min="2821" max="3072" width="9" style="1597"/>
    <col min="3073" max="3073" width="5.19921875" style="1597" customWidth="1"/>
    <col min="3074" max="3074" width="64.59765625" style="1597" customWidth="1"/>
    <col min="3075" max="3075" width="16.09765625" style="1597" customWidth="1"/>
    <col min="3076" max="3076" width="19.8984375" style="1597" customWidth="1"/>
    <col min="3077" max="3328" width="9" style="1597"/>
    <col min="3329" max="3329" width="5.19921875" style="1597" customWidth="1"/>
    <col min="3330" max="3330" width="64.59765625" style="1597" customWidth="1"/>
    <col min="3331" max="3331" width="16.09765625" style="1597" customWidth="1"/>
    <col min="3332" max="3332" width="19.8984375" style="1597" customWidth="1"/>
    <col min="3333" max="3584" width="9" style="1597"/>
    <col min="3585" max="3585" width="5.19921875" style="1597" customWidth="1"/>
    <col min="3586" max="3586" width="64.59765625" style="1597" customWidth="1"/>
    <col min="3587" max="3587" width="16.09765625" style="1597" customWidth="1"/>
    <col min="3588" max="3588" width="19.8984375" style="1597" customWidth="1"/>
    <col min="3589" max="3840" width="9" style="1597"/>
    <col min="3841" max="3841" width="5.19921875" style="1597" customWidth="1"/>
    <col min="3842" max="3842" width="64.59765625" style="1597" customWidth="1"/>
    <col min="3843" max="3843" width="16.09765625" style="1597" customWidth="1"/>
    <col min="3844" max="3844" width="19.8984375" style="1597" customWidth="1"/>
    <col min="3845" max="4096" width="9" style="1597"/>
    <col min="4097" max="4097" width="5.19921875" style="1597" customWidth="1"/>
    <col min="4098" max="4098" width="64.59765625" style="1597" customWidth="1"/>
    <col min="4099" max="4099" width="16.09765625" style="1597" customWidth="1"/>
    <col min="4100" max="4100" width="19.8984375" style="1597" customWidth="1"/>
    <col min="4101" max="4352" width="9" style="1597"/>
    <col min="4353" max="4353" width="5.19921875" style="1597" customWidth="1"/>
    <col min="4354" max="4354" width="64.59765625" style="1597" customWidth="1"/>
    <col min="4355" max="4355" width="16.09765625" style="1597" customWidth="1"/>
    <col min="4356" max="4356" width="19.8984375" style="1597" customWidth="1"/>
    <col min="4357" max="4608" width="9" style="1597"/>
    <col min="4609" max="4609" width="5.19921875" style="1597" customWidth="1"/>
    <col min="4610" max="4610" width="64.59765625" style="1597" customWidth="1"/>
    <col min="4611" max="4611" width="16.09765625" style="1597" customWidth="1"/>
    <col min="4612" max="4612" width="19.8984375" style="1597" customWidth="1"/>
    <col min="4613" max="4864" width="9" style="1597"/>
    <col min="4865" max="4865" width="5.19921875" style="1597" customWidth="1"/>
    <col min="4866" max="4866" width="64.59765625" style="1597" customWidth="1"/>
    <col min="4867" max="4867" width="16.09765625" style="1597" customWidth="1"/>
    <col min="4868" max="4868" width="19.8984375" style="1597" customWidth="1"/>
    <col min="4869" max="5120" width="9" style="1597"/>
    <col min="5121" max="5121" width="5.19921875" style="1597" customWidth="1"/>
    <col min="5122" max="5122" width="64.59765625" style="1597" customWidth="1"/>
    <col min="5123" max="5123" width="16.09765625" style="1597" customWidth="1"/>
    <col min="5124" max="5124" width="19.8984375" style="1597" customWidth="1"/>
    <col min="5125" max="5376" width="9" style="1597"/>
    <col min="5377" max="5377" width="5.19921875" style="1597" customWidth="1"/>
    <col min="5378" max="5378" width="64.59765625" style="1597" customWidth="1"/>
    <col min="5379" max="5379" width="16.09765625" style="1597" customWidth="1"/>
    <col min="5380" max="5380" width="19.8984375" style="1597" customWidth="1"/>
    <col min="5381" max="5632" width="9" style="1597"/>
    <col min="5633" max="5633" width="5.19921875" style="1597" customWidth="1"/>
    <col min="5634" max="5634" width="64.59765625" style="1597" customWidth="1"/>
    <col min="5635" max="5635" width="16.09765625" style="1597" customWidth="1"/>
    <col min="5636" max="5636" width="19.8984375" style="1597" customWidth="1"/>
    <col min="5637" max="5888" width="9" style="1597"/>
    <col min="5889" max="5889" width="5.19921875" style="1597" customWidth="1"/>
    <col min="5890" max="5890" width="64.59765625" style="1597" customWidth="1"/>
    <col min="5891" max="5891" width="16.09765625" style="1597" customWidth="1"/>
    <col min="5892" max="5892" width="19.8984375" style="1597" customWidth="1"/>
    <col min="5893" max="6144" width="9" style="1597"/>
    <col min="6145" max="6145" width="5.19921875" style="1597" customWidth="1"/>
    <col min="6146" max="6146" width="64.59765625" style="1597" customWidth="1"/>
    <col min="6147" max="6147" width="16.09765625" style="1597" customWidth="1"/>
    <col min="6148" max="6148" width="19.8984375" style="1597" customWidth="1"/>
    <col min="6149" max="6400" width="9" style="1597"/>
    <col min="6401" max="6401" width="5.19921875" style="1597" customWidth="1"/>
    <col min="6402" max="6402" width="64.59765625" style="1597" customWidth="1"/>
    <col min="6403" max="6403" width="16.09765625" style="1597" customWidth="1"/>
    <col min="6404" max="6404" width="19.8984375" style="1597" customWidth="1"/>
    <col min="6405" max="6656" width="9" style="1597"/>
    <col min="6657" max="6657" width="5.19921875" style="1597" customWidth="1"/>
    <col min="6658" max="6658" width="64.59765625" style="1597" customWidth="1"/>
    <col min="6659" max="6659" width="16.09765625" style="1597" customWidth="1"/>
    <col min="6660" max="6660" width="19.8984375" style="1597" customWidth="1"/>
    <col min="6661" max="6912" width="9" style="1597"/>
    <col min="6913" max="6913" width="5.19921875" style="1597" customWidth="1"/>
    <col min="6914" max="6914" width="64.59765625" style="1597" customWidth="1"/>
    <col min="6915" max="6915" width="16.09765625" style="1597" customWidth="1"/>
    <col min="6916" max="6916" width="19.8984375" style="1597" customWidth="1"/>
    <col min="6917" max="7168" width="9" style="1597"/>
    <col min="7169" max="7169" width="5.19921875" style="1597" customWidth="1"/>
    <col min="7170" max="7170" width="64.59765625" style="1597" customWidth="1"/>
    <col min="7171" max="7171" width="16.09765625" style="1597" customWidth="1"/>
    <col min="7172" max="7172" width="19.8984375" style="1597" customWidth="1"/>
    <col min="7173" max="7424" width="9" style="1597"/>
    <col min="7425" max="7425" width="5.19921875" style="1597" customWidth="1"/>
    <col min="7426" max="7426" width="64.59765625" style="1597" customWidth="1"/>
    <col min="7427" max="7427" width="16.09765625" style="1597" customWidth="1"/>
    <col min="7428" max="7428" width="19.8984375" style="1597" customWidth="1"/>
    <col min="7429" max="7680" width="9" style="1597"/>
    <col min="7681" max="7681" width="5.19921875" style="1597" customWidth="1"/>
    <col min="7682" max="7682" width="64.59765625" style="1597" customWidth="1"/>
    <col min="7683" max="7683" width="16.09765625" style="1597" customWidth="1"/>
    <col min="7684" max="7684" width="19.8984375" style="1597" customWidth="1"/>
    <col min="7685" max="7936" width="9" style="1597"/>
    <col min="7937" max="7937" width="5.19921875" style="1597" customWidth="1"/>
    <col min="7938" max="7938" width="64.59765625" style="1597" customWidth="1"/>
    <col min="7939" max="7939" width="16.09765625" style="1597" customWidth="1"/>
    <col min="7940" max="7940" width="19.8984375" style="1597" customWidth="1"/>
    <col min="7941" max="8192" width="9" style="1597"/>
    <col min="8193" max="8193" width="5.19921875" style="1597" customWidth="1"/>
    <col min="8194" max="8194" width="64.59765625" style="1597" customWidth="1"/>
    <col min="8195" max="8195" width="16.09765625" style="1597" customWidth="1"/>
    <col min="8196" max="8196" width="19.8984375" style="1597" customWidth="1"/>
    <col min="8197" max="8448" width="9" style="1597"/>
    <col min="8449" max="8449" width="5.19921875" style="1597" customWidth="1"/>
    <col min="8450" max="8450" width="64.59765625" style="1597" customWidth="1"/>
    <col min="8451" max="8451" width="16.09765625" style="1597" customWidth="1"/>
    <col min="8452" max="8452" width="19.8984375" style="1597" customWidth="1"/>
    <col min="8453" max="8704" width="9" style="1597"/>
    <col min="8705" max="8705" width="5.19921875" style="1597" customWidth="1"/>
    <col min="8706" max="8706" width="64.59765625" style="1597" customWidth="1"/>
    <col min="8707" max="8707" width="16.09765625" style="1597" customWidth="1"/>
    <col min="8708" max="8708" width="19.8984375" style="1597" customWidth="1"/>
    <col min="8709" max="8960" width="9" style="1597"/>
    <col min="8961" max="8961" width="5.19921875" style="1597" customWidth="1"/>
    <col min="8962" max="8962" width="64.59765625" style="1597" customWidth="1"/>
    <col min="8963" max="8963" width="16.09765625" style="1597" customWidth="1"/>
    <col min="8964" max="8964" width="19.8984375" style="1597" customWidth="1"/>
    <col min="8965" max="9216" width="9" style="1597"/>
    <col min="9217" max="9217" width="5.19921875" style="1597" customWidth="1"/>
    <col min="9218" max="9218" width="64.59765625" style="1597" customWidth="1"/>
    <col min="9219" max="9219" width="16.09765625" style="1597" customWidth="1"/>
    <col min="9220" max="9220" width="19.8984375" style="1597" customWidth="1"/>
    <col min="9221" max="9472" width="9" style="1597"/>
    <col min="9473" max="9473" width="5.19921875" style="1597" customWidth="1"/>
    <col min="9474" max="9474" width="64.59765625" style="1597" customWidth="1"/>
    <col min="9475" max="9475" width="16.09765625" style="1597" customWidth="1"/>
    <col min="9476" max="9476" width="19.8984375" style="1597" customWidth="1"/>
    <col min="9477" max="9728" width="9" style="1597"/>
    <col min="9729" max="9729" width="5.19921875" style="1597" customWidth="1"/>
    <col min="9730" max="9730" width="64.59765625" style="1597" customWidth="1"/>
    <col min="9731" max="9731" width="16.09765625" style="1597" customWidth="1"/>
    <col min="9732" max="9732" width="19.8984375" style="1597" customWidth="1"/>
    <col min="9733" max="9984" width="9" style="1597"/>
    <col min="9985" max="9985" width="5.19921875" style="1597" customWidth="1"/>
    <col min="9986" max="9986" width="64.59765625" style="1597" customWidth="1"/>
    <col min="9987" max="9987" width="16.09765625" style="1597" customWidth="1"/>
    <col min="9988" max="9988" width="19.8984375" style="1597" customWidth="1"/>
    <col min="9989" max="10240" width="9" style="1597"/>
    <col min="10241" max="10241" width="5.19921875" style="1597" customWidth="1"/>
    <col min="10242" max="10242" width="64.59765625" style="1597" customWidth="1"/>
    <col min="10243" max="10243" width="16.09765625" style="1597" customWidth="1"/>
    <col min="10244" max="10244" width="19.8984375" style="1597" customWidth="1"/>
    <col min="10245" max="10496" width="9" style="1597"/>
    <col min="10497" max="10497" width="5.19921875" style="1597" customWidth="1"/>
    <col min="10498" max="10498" width="64.59765625" style="1597" customWidth="1"/>
    <col min="10499" max="10499" width="16.09765625" style="1597" customWidth="1"/>
    <col min="10500" max="10500" width="19.8984375" style="1597" customWidth="1"/>
    <col min="10501" max="10752" width="9" style="1597"/>
    <col min="10753" max="10753" width="5.19921875" style="1597" customWidth="1"/>
    <col min="10754" max="10754" width="64.59765625" style="1597" customWidth="1"/>
    <col min="10755" max="10755" width="16.09765625" style="1597" customWidth="1"/>
    <col min="10756" max="10756" width="19.8984375" style="1597" customWidth="1"/>
    <col min="10757" max="11008" width="9" style="1597"/>
    <col min="11009" max="11009" width="5.19921875" style="1597" customWidth="1"/>
    <col min="11010" max="11010" width="64.59765625" style="1597" customWidth="1"/>
    <col min="11011" max="11011" width="16.09765625" style="1597" customWidth="1"/>
    <col min="11012" max="11012" width="19.8984375" style="1597" customWidth="1"/>
    <col min="11013" max="11264" width="9" style="1597"/>
    <col min="11265" max="11265" width="5.19921875" style="1597" customWidth="1"/>
    <col min="11266" max="11266" width="64.59765625" style="1597" customWidth="1"/>
    <col min="11267" max="11267" width="16.09765625" style="1597" customWidth="1"/>
    <col min="11268" max="11268" width="19.8984375" style="1597" customWidth="1"/>
    <col min="11269" max="11520" width="9" style="1597"/>
    <col min="11521" max="11521" width="5.19921875" style="1597" customWidth="1"/>
    <col min="11522" max="11522" width="64.59765625" style="1597" customWidth="1"/>
    <col min="11523" max="11523" width="16.09765625" style="1597" customWidth="1"/>
    <col min="11524" max="11524" width="19.8984375" style="1597" customWidth="1"/>
    <col min="11525" max="11776" width="9" style="1597"/>
    <col min="11777" max="11777" width="5.19921875" style="1597" customWidth="1"/>
    <col min="11778" max="11778" width="64.59765625" style="1597" customWidth="1"/>
    <col min="11779" max="11779" width="16.09765625" style="1597" customWidth="1"/>
    <col min="11780" max="11780" width="19.8984375" style="1597" customWidth="1"/>
    <col min="11781" max="12032" width="9" style="1597"/>
    <col min="12033" max="12033" width="5.19921875" style="1597" customWidth="1"/>
    <col min="12034" max="12034" width="64.59765625" style="1597" customWidth="1"/>
    <col min="12035" max="12035" width="16.09765625" style="1597" customWidth="1"/>
    <col min="12036" max="12036" width="19.8984375" style="1597" customWidth="1"/>
    <col min="12037" max="12288" width="9" style="1597"/>
    <col min="12289" max="12289" width="5.19921875" style="1597" customWidth="1"/>
    <col min="12290" max="12290" width="64.59765625" style="1597" customWidth="1"/>
    <col min="12291" max="12291" width="16.09765625" style="1597" customWidth="1"/>
    <col min="12292" max="12292" width="19.8984375" style="1597" customWidth="1"/>
    <col min="12293" max="12544" width="9" style="1597"/>
    <col min="12545" max="12545" width="5.19921875" style="1597" customWidth="1"/>
    <col min="12546" max="12546" width="64.59765625" style="1597" customWidth="1"/>
    <col min="12547" max="12547" width="16.09765625" style="1597" customWidth="1"/>
    <col min="12548" max="12548" width="19.8984375" style="1597" customWidth="1"/>
    <col min="12549" max="12800" width="9" style="1597"/>
    <col min="12801" max="12801" width="5.19921875" style="1597" customWidth="1"/>
    <col min="12802" max="12802" width="64.59765625" style="1597" customWidth="1"/>
    <col min="12803" max="12803" width="16.09765625" style="1597" customWidth="1"/>
    <col min="12804" max="12804" width="19.8984375" style="1597" customWidth="1"/>
    <col min="12805" max="13056" width="9" style="1597"/>
    <col min="13057" max="13057" width="5.19921875" style="1597" customWidth="1"/>
    <col min="13058" max="13058" width="64.59765625" style="1597" customWidth="1"/>
    <col min="13059" max="13059" width="16.09765625" style="1597" customWidth="1"/>
    <col min="13060" max="13060" width="19.8984375" style="1597" customWidth="1"/>
    <col min="13061" max="13312" width="9" style="1597"/>
    <col min="13313" max="13313" width="5.19921875" style="1597" customWidth="1"/>
    <col min="13314" max="13314" width="64.59765625" style="1597" customWidth="1"/>
    <col min="13315" max="13315" width="16.09765625" style="1597" customWidth="1"/>
    <col min="13316" max="13316" width="19.8984375" style="1597" customWidth="1"/>
    <col min="13317" max="13568" width="9" style="1597"/>
    <col min="13569" max="13569" width="5.19921875" style="1597" customWidth="1"/>
    <col min="13570" max="13570" width="64.59765625" style="1597" customWidth="1"/>
    <col min="13571" max="13571" width="16.09765625" style="1597" customWidth="1"/>
    <col min="13572" max="13572" width="19.8984375" style="1597" customWidth="1"/>
    <col min="13573" max="13824" width="9" style="1597"/>
    <col min="13825" max="13825" width="5.19921875" style="1597" customWidth="1"/>
    <col min="13826" max="13826" width="64.59765625" style="1597" customWidth="1"/>
    <col min="13827" max="13827" width="16.09765625" style="1597" customWidth="1"/>
    <col min="13828" max="13828" width="19.8984375" style="1597" customWidth="1"/>
    <col min="13829" max="14080" width="9" style="1597"/>
    <col min="14081" max="14081" width="5.19921875" style="1597" customWidth="1"/>
    <col min="14082" max="14082" width="64.59765625" style="1597" customWidth="1"/>
    <col min="14083" max="14083" width="16.09765625" style="1597" customWidth="1"/>
    <col min="14084" max="14084" width="19.8984375" style="1597" customWidth="1"/>
    <col min="14085" max="14336" width="9" style="1597"/>
    <col min="14337" max="14337" width="5.19921875" style="1597" customWidth="1"/>
    <col min="14338" max="14338" width="64.59765625" style="1597" customWidth="1"/>
    <col min="14339" max="14339" width="16.09765625" style="1597" customWidth="1"/>
    <col min="14340" max="14340" width="19.8984375" style="1597" customWidth="1"/>
    <col min="14341" max="14592" width="9" style="1597"/>
    <col min="14593" max="14593" width="5.19921875" style="1597" customWidth="1"/>
    <col min="14594" max="14594" width="64.59765625" style="1597" customWidth="1"/>
    <col min="14595" max="14595" width="16.09765625" style="1597" customWidth="1"/>
    <col min="14596" max="14596" width="19.8984375" style="1597" customWidth="1"/>
    <col min="14597" max="14848" width="9" style="1597"/>
    <col min="14849" max="14849" width="5.19921875" style="1597" customWidth="1"/>
    <col min="14850" max="14850" width="64.59765625" style="1597" customWidth="1"/>
    <col min="14851" max="14851" width="16.09765625" style="1597" customWidth="1"/>
    <col min="14852" max="14852" width="19.8984375" style="1597" customWidth="1"/>
    <col min="14853" max="15104" width="9" style="1597"/>
    <col min="15105" max="15105" width="5.19921875" style="1597" customWidth="1"/>
    <col min="15106" max="15106" width="64.59765625" style="1597" customWidth="1"/>
    <col min="15107" max="15107" width="16.09765625" style="1597" customWidth="1"/>
    <col min="15108" max="15108" width="19.8984375" style="1597" customWidth="1"/>
    <col min="15109" max="15360" width="9" style="1597"/>
    <col min="15361" max="15361" width="5.19921875" style="1597" customWidth="1"/>
    <col min="15362" max="15362" width="64.59765625" style="1597" customWidth="1"/>
    <col min="15363" max="15363" width="16.09765625" style="1597" customWidth="1"/>
    <col min="15364" max="15364" width="19.8984375" style="1597" customWidth="1"/>
    <col min="15365" max="15616" width="9" style="1597"/>
    <col min="15617" max="15617" width="5.19921875" style="1597" customWidth="1"/>
    <col min="15618" max="15618" width="64.59765625" style="1597" customWidth="1"/>
    <col min="15619" max="15619" width="16.09765625" style="1597" customWidth="1"/>
    <col min="15620" max="15620" width="19.8984375" style="1597" customWidth="1"/>
    <col min="15621" max="15872" width="9" style="1597"/>
    <col min="15873" max="15873" width="5.19921875" style="1597" customWidth="1"/>
    <col min="15874" max="15874" width="64.59765625" style="1597" customWidth="1"/>
    <col min="15875" max="15875" width="16.09765625" style="1597" customWidth="1"/>
    <col min="15876" max="15876" width="19.8984375" style="1597" customWidth="1"/>
    <col min="15877" max="16128" width="9" style="1597"/>
    <col min="16129" max="16129" width="5.19921875" style="1597" customWidth="1"/>
    <col min="16130" max="16130" width="64.59765625" style="1597" customWidth="1"/>
    <col min="16131" max="16131" width="16.09765625" style="1597" customWidth="1"/>
    <col min="16132" max="16132" width="19.8984375" style="1597" customWidth="1"/>
    <col min="16133" max="16384" width="9" style="1597"/>
  </cols>
  <sheetData>
    <row r="1" spans="1:8" s="1593" customFormat="1" ht="20.100000000000001" customHeight="1">
      <c r="A1" s="3378"/>
      <c r="B1" s="3378"/>
      <c r="C1" s="3378"/>
      <c r="D1" s="2168" t="str">
        <f>"索引号："&amp;档案索引!D9</f>
        <v>索引号：2B-4</v>
      </c>
    </row>
    <row r="2" spans="1:8" s="1655" customFormat="1" ht="25.5" customHeight="1">
      <c r="A2" s="3379" t="s">
        <v>5937</v>
      </c>
      <c r="B2" s="3379"/>
      <c r="C2" s="3379"/>
      <c r="D2" s="1872"/>
    </row>
    <row r="3" spans="1:8" s="1595" customFormat="1" ht="14.25" customHeight="1">
      <c r="A3" s="1839" t="s">
        <v>1854</v>
      </c>
      <c r="B3" s="1839" t="s">
        <v>1628</v>
      </c>
      <c r="C3" s="1837" t="s">
        <v>5565</v>
      </c>
      <c r="D3" s="1874" t="s">
        <v>4901</v>
      </c>
      <c r="H3" s="1596"/>
    </row>
    <row r="4" spans="1:8" s="1595" customFormat="1" ht="14.25" customHeight="1">
      <c r="A4" s="1837">
        <v>1</v>
      </c>
      <c r="B4" s="1873" t="s">
        <v>5566</v>
      </c>
      <c r="C4" s="1874" t="s">
        <v>1860</v>
      </c>
      <c r="D4" s="1873"/>
    </row>
    <row r="5" spans="1:8" s="1595" customFormat="1" ht="14.25" customHeight="1">
      <c r="A5" s="1837">
        <v>2</v>
      </c>
      <c r="B5" s="1873" t="s">
        <v>5567</v>
      </c>
      <c r="C5" s="2079"/>
      <c r="D5" s="1873"/>
    </row>
    <row r="6" spans="1:8" s="1595" customFormat="1" ht="14.25" customHeight="1">
      <c r="A6" s="1837">
        <v>3</v>
      </c>
      <c r="B6" s="1841" t="s">
        <v>5568</v>
      </c>
      <c r="C6" s="2077">
        <f>ROUND(C5*0.1,2)</f>
        <v>0</v>
      </c>
      <c r="D6" s="1873"/>
    </row>
    <row r="7" spans="1:8" s="1595" customFormat="1" ht="14.25" customHeight="1">
      <c r="A7" s="1837">
        <v>4</v>
      </c>
      <c r="B7" s="1841" t="s">
        <v>5569</v>
      </c>
      <c r="C7" s="1874" t="s">
        <v>1860</v>
      </c>
      <c r="D7" s="1873"/>
    </row>
    <row r="8" spans="1:8" s="1595" customFormat="1" ht="15.75" customHeight="1">
      <c r="A8" s="1839">
        <v>5</v>
      </c>
      <c r="B8" s="1840" t="s">
        <v>5570</v>
      </c>
      <c r="C8" s="2080">
        <f>C9+C10-C11</f>
        <v>0</v>
      </c>
      <c r="D8" s="1983"/>
    </row>
    <row r="9" spans="1:8" s="1595" customFormat="1" ht="14.25" customHeight="1">
      <c r="A9" s="1837">
        <v>6</v>
      </c>
      <c r="B9" s="1841" t="s">
        <v>5571</v>
      </c>
      <c r="C9" s="2079"/>
      <c r="D9" s="1873"/>
    </row>
    <row r="10" spans="1:8" s="1595" customFormat="1" ht="14.25" customHeight="1">
      <c r="A10" s="1837">
        <v>7</v>
      </c>
      <c r="B10" s="1873" t="s">
        <v>5572</v>
      </c>
      <c r="C10" s="2079"/>
      <c r="D10" s="1873"/>
      <c r="E10" s="1675" t="s">
        <v>6462</v>
      </c>
    </row>
    <row r="11" spans="1:8" s="1595" customFormat="1" ht="14.25" customHeight="1">
      <c r="A11" s="1837">
        <v>8</v>
      </c>
      <c r="B11" s="1873" t="s">
        <v>5573</v>
      </c>
      <c r="C11" s="2079"/>
      <c r="D11" s="1873"/>
    </row>
    <row r="12" spans="1:8" s="1595" customFormat="1" ht="15.75" customHeight="1">
      <c r="A12" s="1839">
        <v>9</v>
      </c>
      <c r="B12" s="1840" t="s">
        <v>5574</v>
      </c>
      <c r="C12" s="2080">
        <f>ROUND(C8*0.1,2)</f>
        <v>0</v>
      </c>
      <c r="D12" s="1873"/>
    </row>
    <row r="13" spans="1:8" s="1595" customFormat="1" ht="14.25" customHeight="1">
      <c r="A13" s="1837">
        <v>10</v>
      </c>
      <c r="B13" s="1873" t="s">
        <v>5575</v>
      </c>
      <c r="C13" s="1874" t="s">
        <v>1860</v>
      </c>
      <c r="D13" s="1873"/>
    </row>
    <row r="14" spans="1:8" s="1595" customFormat="1" ht="14.25" customHeight="1">
      <c r="A14" s="1837">
        <v>11</v>
      </c>
      <c r="B14" s="1873" t="s">
        <v>5576</v>
      </c>
      <c r="C14" s="2079"/>
      <c r="D14" s="1873"/>
    </row>
    <row r="15" spans="1:8" s="1595" customFormat="1" ht="14.25" customHeight="1">
      <c r="A15" s="1837">
        <v>12</v>
      </c>
      <c r="B15" s="1841" t="s">
        <v>5577</v>
      </c>
      <c r="C15" s="2077">
        <f>ROUND(C14*0.1,2)</f>
        <v>0</v>
      </c>
      <c r="D15" s="1873"/>
    </row>
    <row r="16" spans="1:8" s="1595" customFormat="1" ht="14.25" customHeight="1">
      <c r="A16" s="1837">
        <v>13</v>
      </c>
      <c r="B16" s="1873" t="s">
        <v>5578</v>
      </c>
      <c r="C16" s="2077">
        <f>C6+C12+C15</f>
        <v>0</v>
      </c>
      <c r="D16" s="1873" t="s">
        <v>5579</v>
      </c>
    </row>
  </sheetData>
  <mergeCells count="2">
    <mergeCell ref="A1:C1"/>
    <mergeCell ref="A2:C2"/>
  </mergeCells>
  <phoneticPr fontId="51" type="noConversion"/>
  <hyperlinks>
    <hyperlink ref="E10" location="A107013金融保险等机构取得涉农利息保费收入优惠明细表!A1" display="A107013金融保险等机构取得涉农利息保费收入优惠明细表!A1"/>
  </hyperlinks>
  <printOptions horizontalCentered="1"/>
  <pageMargins left="0.78740157480314998" right="0.35433070866141703" top="0.511811023622047" bottom="0.11811023622047198" header="0.511811023622047" footer="0.511811023622047"/>
  <pageSetup paperSize="9" orientation="landscape" r:id="rId1"/>
</worksheet>
</file>

<file path=xl/worksheets/sheet5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70">
    <tabColor rgb="FFFFFF00"/>
  </sheetPr>
  <dimension ref="A1:X15"/>
  <sheetViews>
    <sheetView workbookViewId="0">
      <selection activeCell="J15" sqref="J15"/>
    </sheetView>
  </sheetViews>
  <sheetFormatPr defaultRowHeight="15.6"/>
  <cols>
    <col min="1" max="1" width="5.69921875" style="1598" customWidth="1"/>
    <col min="2" max="2" width="19.59765625" style="1598" customWidth="1"/>
    <col min="3" max="20" width="10.19921875" style="1598" customWidth="1"/>
    <col min="21" max="256" width="9" style="1598"/>
    <col min="257" max="257" width="5.69921875" style="1598" customWidth="1"/>
    <col min="258" max="258" width="4.59765625" style="1598" customWidth="1"/>
    <col min="259" max="259" width="5.09765625" style="1598" customWidth="1"/>
    <col min="260" max="260" width="5" style="1598" customWidth="1"/>
    <col min="261" max="261" width="5.09765625" style="1598" customWidth="1"/>
    <col min="262" max="262" width="4.69921875" style="1598" customWidth="1"/>
    <col min="263" max="265" width="6.09765625" style="1598" customWidth="1"/>
    <col min="266" max="266" width="5.09765625" style="1598" customWidth="1"/>
    <col min="267" max="267" width="4.09765625" style="1598" customWidth="1"/>
    <col min="268" max="276" width="6.09765625" style="1598" customWidth="1"/>
    <col min="277" max="512" width="9" style="1598"/>
    <col min="513" max="513" width="5.69921875" style="1598" customWidth="1"/>
    <col min="514" max="514" width="4.59765625" style="1598" customWidth="1"/>
    <col min="515" max="515" width="5.09765625" style="1598" customWidth="1"/>
    <col min="516" max="516" width="5" style="1598" customWidth="1"/>
    <col min="517" max="517" width="5.09765625" style="1598" customWidth="1"/>
    <col min="518" max="518" width="4.69921875" style="1598" customWidth="1"/>
    <col min="519" max="521" width="6.09765625" style="1598" customWidth="1"/>
    <col min="522" max="522" width="5.09765625" style="1598" customWidth="1"/>
    <col min="523" max="523" width="4.09765625" style="1598" customWidth="1"/>
    <col min="524" max="532" width="6.09765625" style="1598" customWidth="1"/>
    <col min="533" max="768" width="9" style="1598"/>
    <col min="769" max="769" width="5.69921875" style="1598" customWidth="1"/>
    <col min="770" max="770" width="4.59765625" style="1598" customWidth="1"/>
    <col min="771" max="771" width="5.09765625" style="1598" customWidth="1"/>
    <col min="772" max="772" width="5" style="1598" customWidth="1"/>
    <col min="773" max="773" width="5.09765625" style="1598" customWidth="1"/>
    <col min="774" max="774" width="4.69921875" style="1598" customWidth="1"/>
    <col min="775" max="777" width="6.09765625" style="1598" customWidth="1"/>
    <col min="778" max="778" width="5.09765625" style="1598" customWidth="1"/>
    <col min="779" max="779" width="4.09765625" style="1598" customWidth="1"/>
    <col min="780" max="788" width="6.09765625" style="1598" customWidth="1"/>
    <col min="789" max="1024" width="9" style="1598"/>
    <col min="1025" max="1025" width="5.69921875" style="1598" customWidth="1"/>
    <col min="1026" max="1026" width="4.59765625" style="1598" customWidth="1"/>
    <col min="1027" max="1027" width="5.09765625" style="1598" customWidth="1"/>
    <col min="1028" max="1028" width="5" style="1598" customWidth="1"/>
    <col min="1029" max="1029" width="5.09765625" style="1598" customWidth="1"/>
    <col min="1030" max="1030" width="4.69921875" style="1598" customWidth="1"/>
    <col min="1031" max="1033" width="6.09765625" style="1598" customWidth="1"/>
    <col min="1034" max="1034" width="5.09765625" style="1598" customWidth="1"/>
    <col min="1035" max="1035" width="4.09765625" style="1598" customWidth="1"/>
    <col min="1036" max="1044" width="6.09765625" style="1598" customWidth="1"/>
    <col min="1045" max="1280" width="9" style="1598"/>
    <col min="1281" max="1281" width="5.69921875" style="1598" customWidth="1"/>
    <col min="1282" max="1282" width="4.59765625" style="1598" customWidth="1"/>
    <col min="1283" max="1283" width="5.09765625" style="1598" customWidth="1"/>
    <col min="1284" max="1284" width="5" style="1598" customWidth="1"/>
    <col min="1285" max="1285" width="5.09765625" style="1598" customWidth="1"/>
    <col min="1286" max="1286" width="4.69921875" style="1598" customWidth="1"/>
    <col min="1287" max="1289" width="6.09765625" style="1598" customWidth="1"/>
    <col min="1290" max="1290" width="5.09765625" style="1598" customWidth="1"/>
    <col min="1291" max="1291" width="4.09765625" style="1598" customWidth="1"/>
    <col min="1292" max="1300" width="6.09765625" style="1598" customWidth="1"/>
    <col min="1301" max="1536" width="9" style="1598"/>
    <col min="1537" max="1537" width="5.69921875" style="1598" customWidth="1"/>
    <col min="1538" max="1538" width="4.59765625" style="1598" customWidth="1"/>
    <col min="1539" max="1539" width="5.09765625" style="1598" customWidth="1"/>
    <col min="1540" max="1540" width="5" style="1598" customWidth="1"/>
    <col min="1541" max="1541" width="5.09765625" style="1598" customWidth="1"/>
    <col min="1542" max="1542" width="4.69921875" style="1598" customWidth="1"/>
    <col min="1543" max="1545" width="6.09765625" style="1598" customWidth="1"/>
    <col min="1546" max="1546" width="5.09765625" style="1598" customWidth="1"/>
    <col min="1547" max="1547" width="4.09765625" style="1598" customWidth="1"/>
    <col min="1548" max="1556" width="6.09765625" style="1598" customWidth="1"/>
    <col min="1557" max="1792" width="9" style="1598"/>
    <col min="1793" max="1793" width="5.69921875" style="1598" customWidth="1"/>
    <col min="1794" max="1794" width="4.59765625" style="1598" customWidth="1"/>
    <col min="1795" max="1795" width="5.09765625" style="1598" customWidth="1"/>
    <col min="1796" max="1796" width="5" style="1598" customWidth="1"/>
    <col min="1797" max="1797" width="5.09765625" style="1598" customWidth="1"/>
    <col min="1798" max="1798" width="4.69921875" style="1598" customWidth="1"/>
    <col min="1799" max="1801" width="6.09765625" style="1598" customWidth="1"/>
    <col min="1802" max="1802" width="5.09765625" style="1598" customWidth="1"/>
    <col min="1803" max="1803" width="4.09765625" style="1598" customWidth="1"/>
    <col min="1804" max="1812" width="6.09765625" style="1598" customWidth="1"/>
    <col min="1813" max="2048" width="9" style="1598"/>
    <col min="2049" max="2049" width="5.69921875" style="1598" customWidth="1"/>
    <col min="2050" max="2050" width="4.59765625" style="1598" customWidth="1"/>
    <col min="2051" max="2051" width="5.09765625" style="1598" customWidth="1"/>
    <col min="2052" max="2052" width="5" style="1598" customWidth="1"/>
    <col min="2053" max="2053" width="5.09765625" style="1598" customWidth="1"/>
    <col min="2054" max="2054" width="4.69921875" style="1598" customWidth="1"/>
    <col min="2055" max="2057" width="6.09765625" style="1598" customWidth="1"/>
    <col min="2058" max="2058" width="5.09765625" style="1598" customWidth="1"/>
    <col min="2059" max="2059" width="4.09765625" style="1598" customWidth="1"/>
    <col min="2060" max="2068" width="6.09765625" style="1598" customWidth="1"/>
    <col min="2069" max="2304" width="9" style="1598"/>
    <col min="2305" max="2305" width="5.69921875" style="1598" customWidth="1"/>
    <col min="2306" max="2306" width="4.59765625" style="1598" customWidth="1"/>
    <col min="2307" max="2307" width="5.09765625" style="1598" customWidth="1"/>
    <col min="2308" max="2308" width="5" style="1598" customWidth="1"/>
    <col min="2309" max="2309" width="5.09765625" style="1598" customWidth="1"/>
    <col min="2310" max="2310" width="4.69921875" style="1598" customWidth="1"/>
    <col min="2311" max="2313" width="6.09765625" style="1598" customWidth="1"/>
    <col min="2314" max="2314" width="5.09765625" style="1598" customWidth="1"/>
    <col min="2315" max="2315" width="4.09765625" style="1598" customWidth="1"/>
    <col min="2316" max="2324" width="6.09765625" style="1598" customWidth="1"/>
    <col min="2325" max="2560" width="9" style="1598"/>
    <col min="2561" max="2561" width="5.69921875" style="1598" customWidth="1"/>
    <col min="2562" max="2562" width="4.59765625" style="1598" customWidth="1"/>
    <col min="2563" max="2563" width="5.09765625" style="1598" customWidth="1"/>
    <col min="2564" max="2564" width="5" style="1598" customWidth="1"/>
    <col min="2565" max="2565" width="5.09765625" style="1598" customWidth="1"/>
    <col min="2566" max="2566" width="4.69921875" style="1598" customWidth="1"/>
    <col min="2567" max="2569" width="6.09765625" style="1598" customWidth="1"/>
    <col min="2570" max="2570" width="5.09765625" style="1598" customWidth="1"/>
    <col min="2571" max="2571" width="4.09765625" style="1598" customWidth="1"/>
    <col min="2572" max="2580" width="6.09765625" style="1598" customWidth="1"/>
    <col min="2581" max="2816" width="9" style="1598"/>
    <col min="2817" max="2817" width="5.69921875" style="1598" customWidth="1"/>
    <col min="2818" max="2818" width="4.59765625" style="1598" customWidth="1"/>
    <col min="2819" max="2819" width="5.09765625" style="1598" customWidth="1"/>
    <col min="2820" max="2820" width="5" style="1598" customWidth="1"/>
    <col min="2821" max="2821" width="5.09765625" style="1598" customWidth="1"/>
    <col min="2822" max="2822" width="4.69921875" style="1598" customWidth="1"/>
    <col min="2823" max="2825" width="6.09765625" style="1598" customWidth="1"/>
    <col min="2826" max="2826" width="5.09765625" style="1598" customWidth="1"/>
    <col min="2827" max="2827" width="4.09765625" style="1598" customWidth="1"/>
    <col min="2828" max="2836" width="6.09765625" style="1598" customWidth="1"/>
    <col min="2837" max="3072" width="9" style="1598"/>
    <col min="3073" max="3073" width="5.69921875" style="1598" customWidth="1"/>
    <col min="3074" max="3074" width="4.59765625" style="1598" customWidth="1"/>
    <col min="3075" max="3075" width="5.09765625" style="1598" customWidth="1"/>
    <col min="3076" max="3076" width="5" style="1598" customWidth="1"/>
    <col min="3077" max="3077" width="5.09765625" style="1598" customWidth="1"/>
    <col min="3078" max="3078" width="4.69921875" style="1598" customWidth="1"/>
    <col min="3079" max="3081" width="6.09765625" style="1598" customWidth="1"/>
    <col min="3082" max="3082" width="5.09765625" style="1598" customWidth="1"/>
    <col min="3083" max="3083" width="4.09765625" style="1598" customWidth="1"/>
    <col min="3084" max="3092" width="6.09765625" style="1598" customWidth="1"/>
    <col min="3093" max="3328" width="9" style="1598"/>
    <col min="3329" max="3329" width="5.69921875" style="1598" customWidth="1"/>
    <col min="3330" max="3330" width="4.59765625" style="1598" customWidth="1"/>
    <col min="3331" max="3331" width="5.09765625" style="1598" customWidth="1"/>
    <col min="3332" max="3332" width="5" style="1598" customWidth="1"/>
    <col min="3333" max="3333" width="5.09765625" style="1598" customWidth="1"/>
    <col min="3334" max="3334" width="4.69921875" style="1598" customWidth="1"/>
    <col min="3335" max="3337" width="6.09765625" style="1598" customWidth="1"/>
    <col min="3338" max="3338" width="5.09765625" style="1598" customWidth="1"/>
    <col min="3339" max="3339" width="4.09765625" style="1598" customWidth="1"/>
    <col min="3340" max="3348" width="6.09765625" style="1598" customWidth="1"/>
    <col min="3349" max="3584" width="9" style="1598"/>
    <col min="3585" max="3585" width="5.69921875" style="1598" customWidth="1"/>
    <col min="3586" max="3586" width="4.59765625" style="1598" customWidth="1"/>
    <col min="3587" max="3587" width="5.09765625" style="1598" customWidth="1"/>
    <col min="3588" max="3588" width="5" style="1598" customWidth="1"/>
    <col min="3589" max="3589" width="5.09765625" style="1598" customWidth="1"/>
    <col min="3590" max="3590" width="4.69921875" style="1598" customWidth="1"/>
    <col min="3591" max="3593" width="6.09765625" style="1598" customWidth="1"/>
    <col min="3594" max="3594" width="5.09765625" style="1598" customWidth="1"/>
    <col min="3595" max="3595" width="4.09765625" style="1598" customWidth="1"/>
    <col min="3596" max="3604" width="6.09765625" style="1598" customWidth="1"/>
    <col min="3605" max="3840" width="9" style="1598"/>
    <col min="3841" max="3841" width="5.69921875" style="1598" customWidth="1"/>
    <col min="3842" max="3842" width="4.59765625" style="1598" customWidth="1"/>
    <col min="3843" max="3843" width="5.09765625" style="1598" customWidth="1"/>
    <col min="3844" max="3844" width="5" style="1598" customWidth="1"/>
    <col min="3845" max="3845" width="5.09765625" style="1598" customWidth="1"/>
    <col min="3846" max="3846" width="4.69921875" style="1598" customWidth="1"/>
    <col min="3847" max="3849" width="6.09765625" style="1598" customWidth="1"/>
    <col min="3850" max="3850" width="5.09765625" style="1598" customWidth="1"/>
    <col min="3851" max="3851" width="4.09765625" style="1598" customWidth="1"/>
    <col min="3852" max="3860" width="6.09765625" style="1598" customWidth="1"/>
    <col min="3861" max="4096" width="9" style="1598"/>
    <col min="4097" max="4097" width="5.69921875" style="1598" customWidth="1"/>
    <col min="4098" max="4098" width="4.59765625" style="1598" customWidth="1"/>
    <col min="4099" max="4099" width="5.09765625" style="1598" customWidth="1"/>
    <col min="4100" max="4100" width="5" style="1598" customWidth="1"/>
    <col min="4101" max="4101" width="5.09765625" style="1598" customWidth="1"/>
    <col min="4102" max="4102" width="4.69921875" style="1598" customWidth="1"/>
    <col min="4103" max="4105" width="6.09765625" style="1598" customWidth="1"/>
    <col min="4106" max="4106" width="5.09765625" style="1598" customWidth="1"/>
    <col min="4107" max="4107" width="4.09765625" style="1598" customWidth="1"/>
    <col min="4108" max="4116" width="6.09765625" style="1598" customWidth="1"/>
    <col min="4117" max="4352" width="9" style="1598"/>
    <col min="4353" max="4353" width="5.69921875" style="1598" customWidth="1"/>
    <col min="4354" max="4354" width="4.59765625" style="1598" customWidth="1"/>
    <col min="4355" max="4355" width="5.09765625" style="1598" customWidth="1"/>
    <col min="4356" max="4356" width="5" style="1598" customWidth="1"/>
    <col min="4357" max="4357" width="5.09765625" style="1598" customWidth="1"/>
    <col min="4358" max="4358" width="4.69921875" style="1598" customWidth="1"/>
    <col min="4359" max="4361" width="6.09765625" style="1598" customWidth="1"/>
    <col min="4362" max="4362" width="5.09765625" style="1598" customWidth="1"/>
    <col min="4363" max="4363" width="4.09765625" style="1598" customWidth="1"/>
    <col min="4364" max="4372" width="6.09765625" style="1598" customWidth="1"/>
    <col min="4373" max="4608" width="9" style="1598"/>
    <col min="4609" max="4609" width="5.69921875" style="1598" customWidth="1"/>
    <col min="4610" max="4610" width="4.59765625" style="1598" customWidth="1"/>
    <col min="4611" max="4611" width="5.09765625" style="1598" customWidth="1"/>
    <col min="4612" max="4612" width="5" style="1598" customWidth="1"/>
    <col min="4613" max="4613" width="5.09765625" style="1598" customWidth="1"/>
    <col min="4614" max="4614" width="4.69921875" style="1598" customWidth="1"/>
    <col min="4615" max="4617" width="6.09765625" style="1598" customWidth="1"/>
    <col min="4618" max="4618" width="5.09765625" style="1598" customWidth="1"/>
    <col min="4619" max="4619" width="4.09765625" style="1598" customWidth="1"/>
    <col min="4620" max="4628" width="6.09765625" style="1598" customWidth="1"/>
    <col min="4629" max="4864" width="9" style="1598"/>
    <col min="4865" max="4865" width="5.69921875" style="1598" customWidth="1"/>
    <col min="4866" max="4866" width="4.59765625" style="1598" customWidth="1"/>
    <col min="4867" max="4867" width="5.09765625" style="1598" customWidth="1"/>
    <col min="4868" max="4868" width="5" style="1598" customWidth="1"/>
    <col min="4869" max="4869" width="5.09765625" style="1598" customWidth="1"/>
    <col min="4870" max="4870" width="4.69921875" style="1598" customWidth="1"/>
    <col min="4871" max="4873" width="6.09765625" style="1598" customWidth="1"/>
    <col min="4874" max="4874" width="5.09765625" style="1598" customWidth="1"/>
    <col min="4875" max="4875" width="4.09765625" style="1598" customWidth="1"/>
    <col min="4876" max="4884" width="6.09765625" style="1598" customWidth="1"/>
    <col min="4885" max="5120" width="9" style="1598"/>
    <col min="5121" max="5121" width="5.69921875" style="1598" customWidth="1"/>
    <col min="5122" max="5122" width="4.59765625" style="1598" customWidth="1"/>
    <col min="5123" max="5123" width="5.09765625" style="1598" customWidth="1"/>
    <col min="5124" max="5124" width="5" style="1598" customWidth="1"/>
    <col min="5125" max="5125" width="5.09765625" style="1598" customWidth="1"/>
    <col min="5126" max="5126" width="4.69921875" style="1598" customWidth="1"/>
    <col min="5127" max="5129" width="6.09765625" style="1598" customWidth="1"/>
    <col min="5130" max="5130" width="5.09765625" style="1598" customWidth="1"/>
    <col min="5131" max="5131" width="4.09765625" style="1598" customWidth="1"/>
    <col min="5132" max="5140" width="6.09765625" style="1598" customWidth="1"/>
    <col min="5141" max="5376" width="9" style="1598"/>
    <col min="5377" max="5377" width="5.69921875" style="1598" customWidth="1"/>
    <col min="5378" max="5378" width="4.59765625" style="1598" customWidth="1"/>
    <col min="5379" max="5379" width="5.09765625" style="1598" customWidth="1"/>
    <col min="5380" max="5380" width="5" style="1598" customWidth="1"/>
    <col min="5381" max="5381" width="5.09765625" style="1598" customWidth="1"/>
    <col min="5382" max="5382" width="4.69921875" style="1598" customWidth="1"/>
    <col min="5383" max="5385" width="6.09765625" style="1598" customWidth="1"/>
    <col min="5386" max="5386" width="5.09765625" style="1598" customWidth="1"/>
    <col min="5387" max="5387" width="4.09765625" style="1598" customWidth="1"/>
    <col min="5388" max="5396" width="6.09765625" style="1598" customWidth="1"/>
    <col min="5397" max="5632" width="9" style="1598"/>
    <col min="5633" max="5633" width="5.69921875" style="1598" customWidth="1"/>
    <col min="5634" max="5634" width="4.59765625" style="1598" customWidth="1"/>
    <col min="5635" max="5635" width="5.09765625" style="1598" customWidth="1"/>
    <col min="5636" max="5636" width="5" style="1598" customWidth="1"/>
    <col min="5637" max="5637" width="5.09765625" style="1598" customWidth="1"/>
    <col min="5638" max="5638" width="4.69921875" style="1598" customWidth="1"/>
    <col min="5639" max="5641" width="6.09765625" style="1598" customWidth="1"/>
    <col min="5642" max="5642" width="5.09765625" style="1598" customWidth="1"/>
    <col min="5643" max="5643" width="4.09765625" style="1598" customWidth="1"/>
    <col min="5644" max="5652" width="6.09765625" style="1598" customWidth="1"/>
    <col min="5653" max="5888" width="9" style="1598"/>
    <col min="5889" max="5889" width="5.69921875" style="1598" customWidth="1"/>
    <col min="5890" max="5890" width="4.59765625" style="1598" customWidth="1"/>
    <col min="5891" max="5891" width="5.09765625" style="1598" customWidth="1"/>
    <col min="5892" max="5892" width="5" style="1598" customWidth="1"/>
    <col min="5893" max="5893" width="5.09765625" style="1598" customWidth="1"/>
    <col min="5894" max="5894" width="4.69921875" style="1598" customWidth="1"/>
    <col min="5895" max="5897" width="6.09765625" style="1598" customWidth="1"/>
    <col min="5898" max="5898" width="5.09765625" style="1598" customWidth="1"/>
    <col min="5899" max="5899" width="4.09765625" style="1598" customWidth="1"/>
    <col min="5900" max="5908" width="6.09765625" style="1598" customWidth="1"/>
    <col min="5909" max="6144" width="9" style="1598"/>
    <col min="6145" max="6145" width="5.69921875" style="1598" customWidth="1"/>
    <col min="6146" max="6146" width="4.59765625" style="1598" customWidth="1"/>
    <col min="6147" max="6147" width="5.09765625" style="1598" customWidth="1"/>
    <col min="6148" max="6148" width="5" style="1598" customWidth="1"/>
    <col min="6149" max="6149" width="5.09765625" style="1598" customWidth="1"/>
    <col min="6150" max="6150" width="4.69921875" style="1598" customWidth="1"/>
    <col min="6151" max="6153" width="6.09765625" style="1598" customWidth="1"/>
    <col min="6154" max="6154" width="5.09765625" style="1598" customWidth="1"/>
    <col min="6155" max="6155" width="4.09765625" style="1598" customWidth="1"/>
    <col min="6156" max="6164" width="6.09765625" style="1598" customWidth="1"/>
    <col min="6165" max="6400" width="9" style="1598"/>
    <col min="6401" max="6401" width="5.69921875" style="1598" customWidth="1"/>
    <col min="6402" max="6402" width="4.59765625" style="1598" customWidth="1"/>
    <col min="6403" max="6403" width="5.09765625" style="1598" customWidth="1"/>
    <col min="6404" max="6404" width="5" style="1598" customWidth="1"/>
    <col min="6405" max="6405" width="5.09765625" style="1598" customWidth="1"/>
    <col min="6406" max="6406" width="4.69921875" style="1598" customWidth="1"/>
    <col min="6407" max="6409" width="6.09765625" style="1598" customWidth="1"/>
    <col min="6410" max="6410" width="5.09765625" style="1598" customWidth="1"/>
    <col min="6411" max="6411" width="4.09765625" style="1598" customWidth="1"/>
    <col min="6412" max="6420" width="6.09765625" style="1598" customWidth="1"/>
    <col min="6421" max="6656" width="9" style="1598"/>
    <col min="6657" max="6657" width="5.69921875" style="1598" customWidth="1"/>
    <col min="6658" max="6658" width="4.59765625" style="1598" customWidth="1"/>
    <col min="6659" max="6659" width="5.09765625" style="1598" customWidth="1"/>
    <col min="6660" max="6660" width="5" style="1598" customWidth="1"/>
    <col min="6661" max="6661" width="5.09765625" style="1598" customWidth="1"/>
    <col min="6662" max="6662" width="4.69921875" style="1598" customWidth="1"/>
    <col min="6663" max="6665" width="6.09765625" style="1598" customWidth="1"/>
    <col min="6666" max="6666" width="5.09765625" style="1598" customWidth="1"/>
    <col min="6667" max="6667" width="4.09765625" style="1598" customWidth="1"/>
    <col min="6668" max="6676" width="6.09765625" style="1598" customWidth="1"/>
    <col min="6677" max="6912" width="9" style="1598"/>
    <col min="6913" max="6913" width="5.69921875" style="1598" customWidth="1"/>
    <col min="6914" max="6914" width="4.59765625" style="1598" customWidth="1"/>
    <col min="6915" max="6915" width="5.09765625" style="1598" customWidth="1"/>
    <col min="6916" max="6916" width="5" style="1598" customWidth="1"/>
    <col min="6917" max="6917" width="5.09765625" style="1598" customWidth="1"/>
    <col min="6918" max="6918" width="4.69921875" style="1598" customWidth="1"/>
    <col min="6919" max="6921" width="6.09765625" style="1598" customWidth="1"/>
    <col min="6922" max="6922" width="5.09765625" style="1598" customWidth="1"/>
    <col min="6923" max="6923" width="4.09765625" style="1598" customWidth="1"/>
    <col min="6924" max="6932" width="6.09765625" style="1598" customWidth="1"/>
    <col min="6933" max="7168" width="9" style="1598"/>
    <col min="7169" max="7169" width="5.69921875" style="1598" customWidth="1"/>
    <col min="7170" max="7170" width="4.59765625" style="1598" customWidth="1"/>
    <col min="7171" max="7171" width="5.09765625" style="1598" customWidth="1"/>
    <col min="7172" max="7172" width="5" style="1598" customWidth="1"/>
    <col min="7173" max="7173" width="5.09765625" style="1598" customWidth="1"/>
    <col min="7174" max="7174" width="4.69921875" style="1598" customWidth="1"/>
    <col min="7175" max="7177" width="6.09765625" style="1598" customWidth="1"/>
    <col min="7178" max="7178" width="5.09765625" style="1598" customWidth="1"/>
    <col min="7179" max="7179" width="4.09765625" style="1598" customWidth="1"/>
    <col min="7180" max="7188" width="6.09765625" style="1598" customWidth="1"/>
    <col min="7189" max="7424" width="9" style="1598"/>
    <col min="7425" max="7425" width="5.69921875" style="1598" customWidth="1"/>
    <col min="7426" max="7426" width="4.59765625" style="1598" customWidth="1"/>
    <col min="7427" max="7427" width="5.09765625" style="1598" customWidth="1"/>
    <col min="7428" max="7428" width="5" style="1598" customWidth="1"/>
    <col min="7429" max="7429" width="5.09765625" style="1598" customWidth="1"/>
    <col min="7430" max="7430" width="4.69921875" style="1598" customWidth="1"/>
    <col min="7431" max="7433" width="6.09765625" style="1598" customWidth="1"/>
    <col min="7434" max="7434" width="5.09765625" style="1598" customWidth="1"/>
    <col min="7435" max="7435" width="4.09765625" style="1598" customWidth="1"/>
    <col min="7436" max="7444" width="6.09765625" style="1598" customWidth="1"/>
    <col min="7445" max="7680" width="9" style="1598"/>
    <col min="7681" max="7681" width="5.69921875" style="1598" customWidth="1"/>
    <col min="7682" max="7682" width="4.59765625" style="1598" customWidth="1"/>
    <col min="7683" max="7683" width="5.09765625" style="1598" customWidth="1"/>
    <col min="7684" max="7684" width="5" style="1598" customWidth="1"/>
    <col min="7685" max="7685" width="5.09765625" style="1598" customWidth="1"/>
    <col min="7686" max="7686" width="4.69921875" style="1598" customWidth="1"/>
    <col min="7687" max="7689" width="6.09765625" style="1598" customWidth="1"/>
    <col min="7690" max="7690" width="5.09765625" style="1598" customWidth="1"/>
    <col min="7691" max="7691" width="4.09765625" style="1598" customWidth="1"/>
    <col min="7692" max="7700" width="6.09765625" style="1598" customWidth="1"/>
    <col min="7701" max="7936" width="9" style="1598"/>
    <col min="7937" max="7937" width="5.69921875" style="1598" customWidth="1"/>
    <col min="7938" max="7938" width="4.59765625" style="1598" customWidth="1"/>
    <col min="7939" max="7939" width="5.09765625" style="1598" customWidth="1"/>
    <col min="7940" max="7940" width="5" style="1598" customWidth="1"/>
    <col min="7941" max="7941" width="5.09765625" style="1598" customWidth="1"/>
    <col min="7942" max="7942" width="4.69921875" style="1598" customWidth="1"/>
    <col min="7943" max="7945" width="6.09765625" style="1598" customWidth="1"/>
    <col min="7946" max="7946" width="5.09765625" style="1598" customWidth="1"/>
    <col min="7947" max="7947" width="4.09765625" style="1598" customWidth="1"/>
    <col min="7948" max="7956" width="6.09765625" style="1598" customWidth="1"/>
    <col min="7957" max="8192" width="9" style="1598"/>
    <col min="8193" max="8193" width="5.69921875" style="1598" customWidth="1"/>
    <col min="8194" max="8194" width="4.59765625" style="1598" customWidth="1"/>
    <col min="8195" max="8195" width="5.09765625" style="1598" customWidth="1"/>
    <col min="8196" max="8196" width="5" style="1598" customWidth="1"/>
    <col min="8197" max="8197" width="5.09765625" style="1598" customWidth="1"/>
    <col min="8198" max="8198" width="4.69921875" style="1598" customWidth="1"/>
    <col min="8199" max="8201" width="6.09765625" style="1598" customWidth="1"/>
    <col min="8202" max="8202" width="5.09765625" style="1598" customWidth="1"/>
    <col min="8203" max="8203" width="4.09765625" style="1598" customWidth="1"/>
    <col min="8204" max="8212" width="6.09765625" style="1598" customWidth="1"/>
    <col min="8213" max="8448" width="9" style="1598"/>
    <col min="8449" max="8449" width="5.69921875" style="1598" customWidth="1"/>
    <col min="8450" max="8450" width="4.59765625" style="1598" customWidth="1"/>
    <col min="8451" max="8451" width="5.09765625" style="1598" customWidth="1"/>
    <col min="8452" max="8452" width="5" style="1598" customWidth="1"/>
    <col min="8453" max="8453" width="5.09765625" style="1598" customWidth="1"/>
    <col min="8454" max="8454" width="4.69921875" style="1598" customWidth="1"/>
    <col min="8455" max="8457" width="6.09765625" style="1598" customWidth="1"/>
    <col min="8458" max="8458" width="5.09765625" style="1598" customWidth="1"/>
    <col min="8459" max="8459" width="4.09765625" style="1598" customWidth="1"/>
    <col min="8460" max="8468" width="6.09765625" style="1598" customWidth="1"/>
    <col min="8469" max="8704" width="9" style="1598"/>
    <col min="8705" max="8705" width="5.69921875" style="1598" customWidth="1"/>
    <col min="8706" max="8706" width="4.59765625" style="1598" customWidth="1"/>
    <col min="8707" max="8707" width="5.09765625" style="1598" customWidth="1"/>
    <col min="8708" max="8708" width="5" style="1598" customWidth="1"/>
    <col min="8709" max="8709" width="5.09765625" style="1598" customWidth="1"/>
    <col min="8710" max="8710" width="4.69921875" style="1598" customWidth="1"/>
    <col min="8711" max="8713" width="6.09765625" style="1598" customWidth="1"/>
    <col min="8714" max="8714" width="5.09765625" style="1598" customWidth="1"/>
    <col min="8715" max="8715" width="4.09765625" style="1598" customWidth="1"/>
    <col min="8716" max="8724" width="6.09765625" style="1598" customWidth="1"/>
    <col min="8725" max="8960" width="9" style="1598"/>
    <col min="8961" max="8961" width="5.69921875" style="1598" customWidth="1"/>
    <col min="8962" max="8962" width="4.59765625" style="1598" customWidth="1"/>
    <col min="8963" max="8963" width="5.09765625" style="1598" customWidth="1"/>
    <col min="8964" max="8964" width="5" style="1598" customWidth="1"/>
    <col min="8965" max="8965" width="5.09765625" style="1598" customWidth="1"/>
    <col min="8966" max="8966" width="4.69921875" style="1598" customWidth="1"/>
    <col min="8967" max="8969" width="6.09765625" style="1598" customWidth="1"/>
    <col min="8970" max="8970" width="5.09765625" style="1598" customWidth="1"/>
    <col min="8971" max="8971" width="4.09765625" style="1598" customWidth="1"/>
    <col min="8972" max="8980" width="6.09765625" style="1598" customWidth="1"/>
    <col min="8981" max="9216" width="9" style="1598"/>
    <col min="9217" max="9217" width="5.69921875" style="1598" customWidth="1"/>
    <col min="9218" max="9218" width="4.59765625" style="1598" customWidth="1"/>
    <col min="9219" max="9219" width="5.09765625" style="1598" customWidth="1"/>
    <col min="9220" max="9220" width="5" style="1598" customWidth="1"/>
    <col min="9221" max="9221" width="5.09765625" style="1598" customWidth="1"/>
    <col min="9222" max="9222" width="4.69921875" style="1598" customWidth="1"/>
    <col min="9223" max="9225" width="6.09765625" style="1598" customWidth="1"/>
    <col min="9226" max="9226" width="5.09765625" style="1598" customWidth="1"/>
    <col min="9227" max="9227" width="4.09765625" style="1598" customWidth="1"/>
    <col min="9228" max="9236" width="6.09765625" style="1598" customWidth="1"/>
    <col min="9237" max="9472" width="9" style="1598"/>
    <col min="9473" max="9473" width="5.69921875" style="1598" customWidth="1"/>
    <col min="9474" max="9474" width="4.59765625" style="1598" customWidth="1"/>
    <col min="9475" max="9475" width="5.09765625" style="1598" customWidth="1"/>
    <col min="9476" max="9476" width="5" style="1598" customWidth="1"/>
    <col min="9477" max="9477" width="5.09765625" style="1598" customWidth="1"/>
    <col min="9478" max="9478" width="4.69921875" style="1598" customWidth="1"/>
    <col min="9479" max="9481" width="6.09765625" style="1598" customWidth="1"/>
    <col min="9482" max="9482" width="5.09765625" style="1598" customWidth="1"/>
    <col min="9483" max="9483" width="4.09765625" style="1598" customWidth="1"/>
    <col min="9484" max="9492" width="6.09765625" style="1598" customWidth="1"/>
    <col min="9493" max="9728" width="9" style="1598"/>
    <col min="9729" max="9729" width="5.69921875" style="1598" customWidth="1"/>
    <col min="9730" max="9730" width="4.59765625" style="1598" customWidth="1"/>
    <col min="9731" max="9731" width="5.09765625" style="1598" customWidth="1"/>
    <col min="9732" max="9732" width="5" style="1598" customWidth="1"/>
    <col min="9733" max="9733" width="5.09765625" style="1598" customWidth="1"/>
    <col min="9734" max="9734" width="4.69921875" style="1598" customWidth="1"/>
    <col min="9735" max="9737" width="6.09765625" style="1598" customWidth="1"/>
    <col min="9738" max="9738" width="5.09765625" style="1598" customWidth="1"/>
    <col min="9739" max="9739" width="4.09765625" style="1598" customWidth="1"/>
    <col min="9740" max="9748" width="6.09765625" style="1598" customWidth="1"/>
    <col min="9749" max="9984" width="9" style="1598"/>
    <col min="9985" max="9985" width="5.69921875" style="1598" customWidth="1"/>
    <col min="9986" max="9986" width="4.59765625" style="1598" customWidth="1"/>
    <col min="9987" max="9987" width="5.09765625" style="1598" customWidth="1"/>
    <col min="9988" max="9988" width="5" style="1598" customWidth="1"/>
    <col min="9989" max="9989" width="5.09765625" style="1598" customWidth="1"/>
    <col min="9990" max="9990" width="4.69921875" style="1598" customWidth="1"/>
    <col min="9991" max="9993" width="6.09765625" style="1598" customWidth="1"/>
    <col min="9994" max="9994" width="5.09765625" style="1598" customWidth="1"/>
    <col min="9995" max="9995" width="4.09765625" style="1598" customWidth="1"/>
    <col min="9996" max="10004" width="6.09765625" style="1598" customWidth="1"/>
    <col min="10005" max="10240" width="9" style="1598"/>
    <col min="10241" max="10241" width="5.69921875" style="1598" customWidth="1"/>
    <col min="10242" max="10242" width="4.59765625" style="1598" customWidth="1"/>
    <col min="10243" max="10243" width="5.09765625" style="1598" customWidth="1"/>
    <col min="10244" max="10244" width="5" style="1598" customWidth="1"/>
    <col min="10245" max="10245" width="5.09765625" style="1598" customWidth="1"/>
    <col min="10246" max="10246" width="4.69921875" style="1598" customWidth="1"/>
    <col min="10247" max="10249" width="6.09765625" style="1598" customWidth="1"/>
    <col min="10250" max="10250" width="5.09765625" style="1598" customWidth="1"/>
    <col min="10251" max="10251" width="4.09765625" style="1598" customWidth="1"/>
    <col min="10252" max="10260" width="6.09765625" style="1598" customWidth="1"/>
    <col min="10261" max="10496" width="9" style="1598"/>
    <col min="10497" max="10497" width="5.69921875" style="1598" customWidth="1"/>
    <col min="10498" max="10498" width="4.59765625" style="1598" customWidth="1"/>
    <col min="10499" max="10499" width="5.09765625" style="1598" customWidth="1"/>
    <col min="10500" max="10500" width="5" style="1598" customWidth="1"/>
    <col min="10501" max="10501" width="5.09765625" style="1598" customWidth="1"/>
    <col min="10502" max="10502" width="4.69921875" style="1598" customWidth="1"/>
    <col min="10503" max="10505" width="6.09765625" style="1598" customWidth="1"/>
    <col min="10506" max="10506" width="5.09765625" style="1598" customWidth="1"/>
    <col min="10507" max="10507" width="4.09765625" style="1598" customWidth="1"/>
    <col min="10508" max="10516" width="6.09765625" style="1598" customWidth="1"/>
    <col min="10517" max="10752" width="9" style="1598"/>
    <col min="10753" max="10753" width="5.69921875" style="1598" customWidth="1"/>
    <col min="10754" max="10754" width="4.59765625" style="1598" customWidth="1"/>
    <col min="10755" max="10755" width="5.09765625" style="1598" customWidth="1"/>
    <col min="10756" max="10756" width="5" style="1598" customWidth="1"/>
    <col min="10757" max="10757" width="5.09765625" style="1598" customWidth="1"/>
    <col min="10758" max="10758" width="4.69921875" style="1598" customWidth="1"/>
    <col min="10759" max="10761" width="6.09765625" style="1598" customWidth="1"/>
    <col min="10762" max="10762" width="5.09765625" style="1598" customWidth="1"/>
    <col min="10763" max="10763" width="4.09765625" style="1598" customWidth="1"/>
    <col min="10764" max="10772" width="6.09765625" style="1598" customWidth="1"/>
    <col min="10773" max="11008" width="9" style="1598"/>
    <col min="11009" max="11009" width="5.69921875" style="1598" customWidth="1"/>
    <col min="11010" max="11010" width="4.59765625" style="1598" customWidth="1"/>
    <col min="11011" max="11011" width="5.09765625" style="1598" customWidth="1"/>
    <col min="11012" max="11012" width="5" style="1598" customWidth="1"/>
    <col min="11013" max="11013" width="5.09765625" style="1598" customWidth="1"/>
    <col min="11014" max="11014" width="4.69921875" style="1598" customWidth="1"/>
    <col min="11015" max="11017" width="6.09765625" style="1598" customWidth="1"/>
    <col min="11018" max="11018" width="5.09765625" style="1598" customWidth="1"/>
    <col min="11019" max="11019" width="4.09765625" style="1598" customWidth="1"/>
    <col min="11020" max="11028" width="6.09765625" style="1598" customWidth="1"/>
    <col min="11029" max="11264" width="9" style="1598"/>
    <col min="11265" max="11265" width="5.69921875" style="1598" customWidth="1"/>
    <col min="11266" max="11266" width="4.59765625" style="1598" customWidth="1"/>
    <col min="11267" max="11267" width="5.09765625" style="1598" customWidth="1"/>
    <col min="11268" max="11268" width="5" style="1598" customWidth="1"/>
    <col min="11269" max="11269" width="5.09765625" style="1598" customWidth="1"/>
    <col min="11270" max="11270" width="4.69921875" style="1598" customWidth="1"/>
    <col min="11271" max="11273" width="6.09765625" style="1598" customWidth="1"/>
    <col min="11274" max="11274" width="5.09765625" style="1598" customWidth="1"/>
    <col min="11275" max="11275" width="4.09765625" style="1598" customWidth="1"/>
    <col min="11276" max="11284" width="6.09765625" style="1598" customWidth="1"/>
    <col min="11285" max="11520" width="9" style="1598"/>
    <col min="11521" max="11521" width="5.69921875" style="1598" customWidth="1"/>
    <col min="11522" max="11522" width="4.59765625" style="1598" customWidth="1"/>
    <col min="11523" max="11523" width="5.09765625" style="1598" customWidth="1"/>
    <col min="11524" max="11524" width="5" style="1598" customWidth="1"/>
    <col min="11525" max="11525" width="5.09765625" style="1598" customWidth="1"/>
    <col min="11526" max="11526" width="4.69921875" style="1598" customWidth="1"/>
    <col min="11527" max="11529" width="6.09765625" style="1598" customWidth="1"/>
    <col min="11530" max="11530" width="5.09765625" style="1598" customWidth="1"/>
    <col min="11531" max="11531" width="4.09765625" style="1598" customWidth="1"/>
    <col min="11532" max="11540" width="6.09765625" style="1598" customWidth="1"/>
    <col min="11541" max="11776" width="9" style="1598"/>
    <col min="11777" max="11777" width="5.69921875" style="1598" customWidth="1"/>
    <col min="11778" max="11778" width="4.59765625" style="1598" customWidth="1"/>
    <col min="11779" max="11779" width="5.09765625" style="1598" customWidth="1"/>
    <col min="11780" max="11780" width="5" style="1598" customWidth="1"/>
    <col min="11781" max="11781" width="5.09765625" style="1598" customWidth="1"/>
    <col min="11782" max="11782" width="4.69921875" style="1598" customWidth="1"/>
    <col min="11783" max="11785" width="6.09765625" style="1598" customWidth="1"/>
    <col min="11786" max="11786" width="5.09765625" style="1598" customWidth="1"/>
    <col min="11787" max="11787" width="4.09765625" style="1598" customWidth="1"/>
    <col min="11788" max="11796" width="6.09765625" style="1598" customWidth="1"/>
    <col min="11797" max="12032" width="9" style="1598"/>
    <col min="12033" max="12033" width="5.69921875" style="1598" customWidth="1"/>
    <col min="12034" max="12034" width="4.59765625" style="1598" customWidth="1"/>
    <col min="12035" max="12035" width="5.09765625" style="1598" customWidth="1"/>
    <col min="12036" max="12036" width="5" style="1598" customWidth="1"/>
    <col min="12037" max="12037" width="5.09765625" style="1598" customWidth="1"/>
    <col min="12038" max="12038" width="4.69921875" style="1598" customWidth="1"/>
    <col min="12039" max="12041" width="6.09765625" style="1598" customWidth="1"/>
    <col min="12042" max="12042" width="5.09765625" style="1598" customWidth="1"/>
    <col min="12043" max="12043" width="4.09765625" style="1598" customWidth="1"/>
    <col min="12044" max="12052" width="6.09765625" style="1598" customWidth="1"/>
    <col min="12053" max="12288" width="9" style="1598"/>
    <col min="12289" max="12289" width="5.69921875" style="1598" customWidth="1"/>
    <col min="12290" max="12290" width="4.59765625" style="1598" customWidth="1"/>
    <col min="12291" max="12291" width="5.09765625" style="1598" customWidth="1"/>
    <col min="12292" max="12292" width="5" style="1598" customWidth="1"/>
    <col min="12293" max="12293" width="5.09765625" style="1598" customWidth="1"/>
    <col min="12294" max="12294" width="4.69921875" style="1598" customWidth="1"/>
    <col min="12295" max="12297" width="6.09765625" style="1598" customWidth="1"/>
    <col min="12298" max="12298" width="5.09765625" style="1598" customWidth="1"/>
    <col min="12299" max="12299" width="4.09765625" style="1598" customWidth="1"/>
    <col min="12300" max="12308" width="6.09765625" style="1598" customWidth="1"/>
    <col min="12309" max="12544" width="9" style="1598"/>
    <col min="12545" max="12545" width="5.69921875" style="1598" customWidth="1"/>
    <col min="12546" max="12546" width="4.59765625" style="1598" customWidth="1"/>
    <col min="12547" max="12547" width="5.09765625" style="1598" customWidth="1"/>
    <col min="12548" max="12548" width="5" style="1598" customWidth="1"/>
    <col min="12549" max="12549" width="5.09765625" style="1598" customWidth="1"/>
    <col min="12550" max="12550" width="4.69921875" style="1598" customWidth="1"/>
    <col min="12551" max="12553" width="6.09765625" style="1598" customWidth="1"/>
    <col min="12554" max="12554" width="5.09765625" style="1598" customWidth="1"/>
    <col min="12555" max="12555" width="4.09765625" style="1598" customWidth="1"/>
    <col min="12556" max="12564" width="6.09765625" style="1598" customWidth="1"/>
    <col min="12565" max="12800" width="9" style="1598"/>
    <col min="12801" max="12801" width="5.69921875" style="1598" customWidth="1"/>
    <col min="12802" max="12802" width="4.59765625" style="1598" customWidth="1"/>
    <col min="12803" max="12803" width="5.09765625" style="1598" customWidth="1"/>
    <col min="12804" max="12804" width="5" style="1598" customWidth="1"/>
    <col min="12805" max="12805" width="5.09765625" style="1598" customWidth="1"/>
    <col min="12806" max="12806" width="4.69921875" style="1598" customWidth="1"/>
    <col min="12807" max="12809" width="6.09765625" style="1598" customWidth="1"/>
    <col min="12810" max="12810" width="5.09765625" style="1598" customWidth="1"/>
    <col min="12811" max="12811" width="4.09765625" style="1598" customWidth="1"/>
    <col min="12812" max="12820" width="6.09765625" style="1598" customWidth="1"/>
    <col min="12821" max="13056" width="9" style="1598"/>
    <col min="13057" max="13057" width="5.69921875" style="1598" customWidth="1"/>
    <col min="13058" max="13058" width="4.59765625" style="1598" customWidth="1"/>
    <col min="13059" max="13059" width="5.09765625" style="1598" customWidth="1"/>
    <col min="13060" max="13060" width="5" style="1598" customWidth="1"/>
    <col min="13061" max="13061" width="5.09765625" style="1598" customWidth="1"/>
    <col min="13062" max="13062" width="4.69921875" style="1598" customWidth="1"/>
    <col min="13063" max="13065" width="6.09765625" style="1598" customWidth="1"/>
    <col min="13066" max="13066" width="5.09765625" style="1598" customWidth="1"/>
    <col min="13067" max="13067" width="4.09765625" style="1598" customWidth="1"/>
    <col min="13068" max="13076" width="6.09765625" style="1598" customWidth="1"/>
    <col min="13077" max="13312" width="9" style="1598"/>
    <col min="13313" max="13313" width="5.69921875" style="1598" customWidth="1"/>
    <col min="13314" max="13314" width="4.59765625" style="1598" customWidth="1"/>
    <col min="13315" max="13315" width="5.09765625" style="1598" customWidth="1"/>
    <col min="13316" max="13316" width="5" style="1598" customWidth="1"/>
    <col min="13317" max="13317" width="5.09765625" style="1598" customWidth="1"/>
    <col min="13318" max="13318" width="4.69921875" style="1598" customWidth="1"/>
    <col min="13319" max="13321" width="6.09765625" style="1598" customWidth="1"/>
    <col min="13322" max="13322" width="5.09765625" style="1598" customWidth="1"/>
    <col min="13323" max="13323" width="4.09765625" style="1598" customWidth="1"/>
    <col min="13324" max="13332" width="6.09765625" style="1598" customWidth="1"/>
    <col min="13333" max="13568" width="9" style="1598"/>
    <col min="13569" max="13569" width="5.69921875" style="1598" customWidth="1"/>
    <col min="13570" max="13570" width="4.59765625" style="1598" customWidth="1"/>
    <col min="13571" max="13571" width="5.09765625" style="1598" customWidth="1"/>
    <col min="13572" max="13572" width="5" style="1598" customWidth="1"/>
    <col min="13573" max="13573" width="5.09765625" style="1598" customWidth="1"/>
    <col min="13574" max="13574" width="4.69921875" style="1598" customWidth="1"/>
    <col min="13575" max="13577" width="6.09765625" style="1598" customWidth="1"/>
    <col min="13578" max="13578" width="5.09765625" style="1598" customWidth="1"/>
    <col min="13579" max="13579" width="4.09765625" style="1598" customWidth="1"/>
    <col min="13580" max="13588" width="6.09765625" style="1598" customWidth="1"/>
    <col min="13589" max="13824" width="9" style="1598"/>
    <col min="13825" max="13825" width="5.69921875" style="1598" customWidth="1"/>
    <col min="13826" max="13826" width="4.59765625" style="1598" customWidth="1"/>
    <col min="13827" max="13827" width="5.09765625" style="1598" customWidth="1"/>
    <col min="13828" max="13828" width="5" style="1598" customWidth="1"/>
    <col min="13829" max="13829" width="5.09765625" style="1598" customWidth="1"/>
    <col min="13830" max="13830" width="4.69921875" style="1598" customWidth="1"/>
    <col min="13831" max="13833" width="6.09765625" style="1598" customWidth="1"/>
    <col min="13834" max="13834" width="5.09765625" style="1598" customWidth="1"/>
    <col min="13835" max="13835" width="4.09765625" style="1598" customWidth="1"/>
    <col min="13836" max="13844" width="6.09765625" style="1598" customWidth="1"/>
    <col min="13845" max="14080" width="9" style="1598"/>
    <col min="14081" max="14081" width="5.69921875" style="1598" customWidth="1"/>
    <col min="14082" max="14082" width="4.59765625" style="1598" customWidth="1"/>
    <col min="14083" max="14083" width="5.09765625" style="1598" customWidth="1"/>
    <col min="14084" max="14084" width="5" style="1598" customWidth="1"/>
    <col min="14085" max="14085" width="5.09765625" style="1598" customWidth="1"/>
    <col min="14086" max="14086" width="4.69921875" style="1598" customWidth="1"/>
    <col min="14087" max="14089" width="6.09765625" style="1598" customWidth="1"/>
    <col min="14090" max="14090" width="5.09765625" style="1598" customWidth="1"/>
    <col min="14091" max="14091" width="4.09765625" style="1598" customWidth="1"/>
    <col min="14092" max="14100" width="6.09765625" style="1598" customWidth="1"/>
    <col min="14101" max="14336" width="9" style="1598"/>
    <col min="14337" max="14337" width="5.69921875" style="1598" customWidth="1"/>
    <col min="14338" max="14338" width="4.59765625" style="1598" customWidth="1"/>
    <col min="14339" max="14339" width="5.09765625" style="1598" customWidth="1"/>
    <col min="14340" max="14340" width="5" style="1598" customWidth="1"/>
    <col min="14341" max="14341" width="5.09765625" style="1598" customWidth="1"/>
    <col min="14342" max="14342" width="4.69921875" style="1598" customWidth="1"/>
    <col min="14343" max="14345" width="6.09765625" style="1598" customWidth="1"/>
    <col min="14346" max="14346" width="5.09765625" style="1598" customWidth="1"/>
    <col min="14347" max="14347" width="4.09765625" style="1598" customWidth="1"/>
    <col min="14348" max="14356" width="6.09765625" style="1598" customWidth="1"/>
    <col min="14357" max="14592" width="9" style="1598"/>
    <col min="14593" max="14593" width="5.69921875" style="1598" customWidth="1"/>
    <col min="14594" max="14594" width="4.59765625" style="1598" customWidth="1"/>
    <col min="14595" max="14595" width="5.09765625" style="1598" customWidth="1"/>
    <col min="14596" max="14596" width="5" style="1598" customWidth="1"/>
    <col min="14597" max="14597" width="5.09765625" style="1598" customWidth="1"/>
    <col min="14598" max="14598" width="4.69921875" style="1598" customWidth="1"/>
    <col min="14599" max="14601" width="6.09765625" style="1598" customWidth="1"/>
    <col min="14602" max="14602" width="5.09765625" style="1598" customWidth="1"/>
    <col min="14603" max="14603" width="4.09765625" style="1598" customWidth="1"/>
    <col min="14604" max="14612" width="6.09765625" style="1598" customWidth="1"/>
    <col min="14613" max="14848" width="9" style="1598"/>
    <col min="14849" max="14849" width="5.69921875" style="1598" customWidth="1"/>
    <col min="14850" max="14850" width="4.59765625" style="1598" customWidth="1"/>
    <col min="14851" max="14851" width="5.09765625" style="1598" customWidth="1"/>
    <col min="14852" max="14852" width="5" style="1598" customWidth="1"/>
    <col min="14853" max="14853" width="5.09765625" style="1598" customWidth="1"/>
    <col min="14854" max="14854" width="4.69921875" style="1598" customWidth="1"/>
    <col min="14855" max="14857" width="6.09765625" style="1598" customWidth="1"/>
    <col min="14858" max="14858" width="5.09765625" style="1598" customWidth="1"/>
    <col min="14859" max="14859" width="4.09765625" style="1598" customWidth="1"/>
    <col min="14860" max="14868" width="6.09765625" style="1598" customWidth="1"/>
    <col min="14869" max="15104" width="9" style="1598"/>
    <col min="15105" max="15105" width="5.69921875" style="1598" customWidth="1"/>
    <col min="15106" max="15106" width="4.59765625" style="1598" customWidth="1"/>
    <col min="15107" max="15107" width="5.09765625" style="1598" customWidth="1"/>
    <col min="15108" max="15108" width="5" style="1598" customWidth="1"/>
    <col min="15109" max="15109" width="5.09765625" style="1598" customWidth="1"/>
    <col min="15110" max="15110" width="4.69921875" style="1598" customWidth="1"/>
    <col min="15111" max="15113" width="6.09765625" style="1598" customWidth="1"/>
    <col min="15114" max="15114" width="5.09765625" style="1598" customWidth="1"/>
    <col min="15115" max="15115" width="4.09765625" style="1598" customWidth="1"/>
    <col min="15116" max="15124" width="6.09765625" style="1598" customWidth="1"/>
    <col min="15125" max="15360" width="9" style="1598"/>
    <col min="15361" max="15361" width="5.69921875" style="1598" customWidth="1"/>
    <col min="15362" max="15362" width="4.59765625" style="1598" customWidth="1"/>
    <col min="15363" max="15363" width="5.09765625" style="1598" customWidth="1"/>
    <col min="15364" max="15364" width="5" style="1598" customWidth="1"/>
    <col min="15365" max="15365" width="5.09765625" style="1598" customWidth="1"/>
    <col min="15366" max="15366" width="4.69921875" style="1598" customWidth="1"/>
    <col min="15367" max="15369" width="6.09765625" style="1598" customWidth="1"/>
    <col min="15370" max="15370" width="5.09765625" style="1598" customWidth="1"/>
    <col min="15371" max="15371" width="4.09765625" style="1598" customWidth="1"/>
    <col min="15372" max="15380" width="6.09765625" style="1598" customWidth="1"/>
    <col min="15381" max="15616" width="9" style="1598"/>
    <col min="15617" max="15617" width="5.69921875" style="1598" customWidth="1"/>
    <col min="15618" max="15618" width="4.59765625" style="1598" customWidth="1"/>
    <col min="15619" max="15619" width="5.09765625" style="1598" customWidth="1"/>
    <col min="15620" max="15620" width="5" style="1598" customWidth="1"/>
    <col min="15621" max="15621" width="5.09765625" style="1598" customWidth="1"/>
    <col min="15622" max="15622" width="4.69921875" style="1598" customWidth="1"/>
    <col min="15623" max="15625" width="6.09765625" style="1598" customWidth="1"/>
    <col min="15626" max="15626" width="5.09765625" style="1598" customWidth="1"/>
    <col min="15627" max="15627" width="4.09765625" style="1598" customWidth="1"/>
    <col min="15628" max="15636" width="6.09765625" style="1598" customWidth="1"/>
    <col min="15637" max="15872" width="9" style="1598"/>
    <col min="15873" max="15873" width="5.69921875" style="1598" customWidth="1"/>
    <col min="15874" max="15874" width="4.59765625" style="1598" customWidth="1"/>
    <col min="15875" max="15875" width="5.09765625" style="1598" customWidth="1"/>
    <col min="15876" max="15876" width="5" style="1598" customWidth="1"/>
    <col min="15877" max="15877" width="5.09765625" style="1598" customWidth="1"/>
    <col min="15878" max="15878" width="4.69921875" style="1598" customWidth="1"/>
    <col min="15879" max="15881" width="6.09765625" style="1598" customWidth="1"/>
    <col min="15882" max="15882" width="5.09765625" style="1598" customWidth="1"/>
    <col min="15883" max="15883" width="4.09765625" style="1598" customWidth="1"/>
    <col min="15884" max="15892" width="6.09765625" style="1598" customWidth="1"/>
    <col min="15893" max="16128" width="9" style="1598"/>
    <col min="16129" max="16129" width="5.69921875" style="1598" customWidth="1"/>
    <col min="16130" max="16130" width="4.59765625" style="1598" customWidth="1"/>
    <col min="16131" max="16131" width="5.09765625" style="1598" customWidth="1"/>
    <col min="16132" max="16132" width="5" style="1598" customWidth="1"/>
    <col min="16133" max="16133" width="5.09765625" style="1598" customWidth="1"/>
    <col min="16134" max="16134" width="4.69921875" style="1598" customWidth="1"/>
    <col min="16135" max="16137" width="6.09765625" style="1598" customWidth="1"/>
    <col min="16138" max="16138" width="5.09765625" style="1598" customWidth="1"/>
    <col min="16139" max="16139" width="4.09765625" style="1598" customWidth="1"/>
    <col min="16140" max="16148" width="6.09765625" style="1598" customWidth="1"/>
    <col min="16149" max="16384" width="9" style="1598"/>
  </cols>
  <sheetData>
    <row r="1" spans="1:24" ht="20.100000000000001" customHeight="1">
      <c r="A1" s="2166"/>
      <c r="B1" s="2166"/>
      <c r="C1" s="2166"/>
      <c r="D1" s="2166"/>
      <c r="E1" s="2166"/>
      <c r="F1" s="2166"/>
      <c r="G1" s="2166"/>
      <c r="H1" s="2166"/>
      <c r="I1" s="2166"/>
      <c r="J1" s="2166"/>
      <c r="K1" s="2166"/>
      <c r="L1" s="2166"/>
      <c r="M1" s="2166"/>
      <c r="N1" s="2166"/>
      <c r="O1" s="2166"/>
      <c r="P1" s="2166"/>
      <c r="Q1" s="2166"/>
      <c r="R1" s="2166"/>
      <c r="S1" s="2166"/>
      <c r="T1" s="2166"/>
      <c r="U1" s="2167" t="str">
        <f>"索引号："&amp;档案索引!D10</f>
        <v>索引号：2B-5</v>
      </c>
    </row>
    <row r="2" spans="1:24" s="1599" customFormat="1" ht="25.5" customHeight="1">
      <c r="A2" s="3379" t="s">
        <v>5938</v>
      </c>
      <c r="B2" s="3379"/>
      <c r="C2" s="3379"/>
      <c r="D2" s="3379"/>
      <c r="E2" s="3379"/>
      <c r="F2" s="3379"/>
      <c r="G2" s="3379"/>
      <c r="H2" s="3379"/>
      <c r="I2" s="3379"/>
      <c r="J2" s="3379"/>
      <c r="K2" s="3379"/>
      <c r="L2" s="3379"/>
      <c r="M2" s="3379"/>
      <c r="N2" s="3379"/>
      <c r="O2" s="3379"/>
      <c r="P2" s="3379"/>
      <c r="Q2" s="3379"/>
      <c r="R2" s="3379"/>
      <c r="S2" s="3379"/>
      <c r="T2" s="3379"/>
      <c r="U2" s="1856"/>
    </row>
    <row r="3" spans="1:24" s="1517" customFormat="1" ht="14.25" customHeight="1">
      <c r="A3" s="3377" t="s">
        <v>1854</v>
      </c>
      <c r="B3" s="3385" t="s">
        <v>5582</v>
      </c>
      <c r="C3" s="3385" t="s">
        <v>5583</v>
      </c>
      <c r="D3" s="3385"/>
      <c r="E3" s="3385"/>
      <c r="F3" s="3385"/>
      <c r="G3" s="3385"/>
      <c r="H3" s="3385"/>
      <c r="I3" s="3385"/>
      <c r="J3" s="3385"/>
      <c r="K3" s="3385"/>
      <c r="L3" s="3383" t="s">
        <v>5584</v>
      </c>
      <c r="M3" s="3383" t="s">
        <v>5585</v>
      </c>
      <c r="N3" s="3452" t="s">
        <v>5586</v>
      </c>
      <c r="O3" s="3453"/>
      <c r="P3" s="3388" t="s">
        <v>5587</v>
      </c>
      <c r="Q3" s="3389"/>
      <c r="R3" s="3389"/>
      <c r="S3" s="3390"/>
      <c r="T3" s="3383" t="s">
        <v>5588</v>
      </c>
      <c r="U3" s="3383" t="s">
        <v>4901</v>
      </c>
      <c r="X3" s="1600"/>
    </row>
    <row r="4" spans="1:24" s="1517" customFormat="1" ht="121.5" customHeight="1">
      <c r="A4" s="3377"/>
      <c r="B4" s="3385"/>
      <c r="C4" s="1866" t="s">
        <v>5589</v>
      </c>
      <c r="D4" s="1866" t="s">
        <v>5590</v>
      </c>
      <c r="E4" s="1866" t="s">
        <v>5591</v>
      </c>
      <c r="F4" s="1866" t="s">
        <v>5592</v>
      </c>
      <c r="G4" s="1866" t="s">
        <v>5593</v>
      </c>
      <c r="H4" s="1866" t="s">
        <v>5594</v>
      </c>
      <c r="I4" s="1866" t="s">
        <v>5595</v>
      </c>
      <c r="J4" s="1866" t="s">
        <v>5596</v>
      </c>
      <c r="K4" s="1866" t="s">
        <v>5597</v>
      </c>
      <c r="L4" s="3387"/>
      <c r="M4" s="3387"/>
      <c r="N4" s="1875" t="s">
        <v>5598</v>
      </c>
      <c r="O4" s="1875" t="s">
        <v>5599</v>
      </c>
      <c r="P4" s="1875" t="s">
        <v>5600</v>
      </c>
      <c r="Q4" s="1875" t="s">
        <v>5601</v>
      </c>
      <c r="R4" s="1875" t="s">
        <v>5602</v>
      </c>
      <c r="S4" s="1875" t="s">
        <v>5603</v>
      </c>
      <c r="T4" s="3387"/>
      <c r="U4" s="3387"/>
    </row>
    <row r="5" spans="1:24" s="1600" customFormat="1" ht="73.5" customHeight="1">
      <c r="A5" s="3377"/>
      <c r="B5" s="1837">
        <v>1</v>
      </c>
      <c r="C5" s="1866">
        <v>2</v>
      </c>
      <c r="D5" s="1866">
        <v>3</v>
      </c>
      <c r="E5" s="1866">
        <v>4</v>
      </c>
      <c r="F5" s="1866">
        <v>5</v>
      </c>
      <c r="G5" s="1866">
        <v>6</v>
      </c>
      <c r="H5" s="1866">
        <v>7</v>
      </c>
      <c r="I5" s="1866">
        <v>8</v>
      </c>
      <c r="J5" s="1866">
        <v>9</v>
      </c>
      <c r="K5" s="1866" t="s">
        <v>5604</v>
      </c>
      <c r="L5" s="1865">
        <v>11</v>
      </c>
      <c r="M5" s="1865" t="s">
        <v>5605</v>
      </c>
      <c r="N5" s="1865" t="s">
        <v>5606</v>
      </c>
      <c r="O5" s="1865" t="s">
        <v>5607</v>
      </c>
      <c r="P5" s="1865">
        <v>15</v>
      </c>
      <c r="Q5" s="1865">
        <v>16</v>
      </c>
      <c r="R5" s="1865">
        <v>17</v>
      </c>
      <c r="S5" s="1865" t="s">
        <v>5608</v>
      </c>
      <c r="T5" s="1865" t="s">
        <v>5609</v>
      </c>
      <c r="U5" s="1869"/>
    </row>
    <row r="6" spans="1:24" s="1517" customFormat="1" ht="14.25" customHeight="1">
      <c r="A6" s="1837">
        <v>1</v>
      </c>
      <c r="B6" s="1571"/>
      <c r="C6" s="2078"/>
      <c r="D6" s="2078"/>
      <c r="E6" s="2078"/>
      <c r="F6" s="2078"/>
      <c r="G6" s="2078"/>
      <c r="H6" s="2078"/>
      <c r="I6" s="2078"/>
      <c r="J6" s="2078"/>
      <c r="K6" s="2077">
        <f>SUM(C6:J6)</f>
        <v>0</v>
      </c>
      <c r="L6" s="2078"/>
      <c r="M6" s="2077">
        <f>K6-L6</f>
        <v>0</v>
      </c>
      <c r="N6" s="2078"/>
      <c r="O6" s="2077">
        <f>ROUND(N6*0.5,2)</f>
        <v>0</v>
      </c>
      <c r="P6" s="2078"/>
      <c r="Q6" s="2078"/>
      <c r="R6" s="2078"/>
      <c r="S6" s="2077">
        <f>Q6+R6</f>
        <v>0</v>
      </c>
      <c r="T6" s="2077">
        <f>O6+S6</f>
        <v>0</v>
      </c>
      <c r="U6" s="1831"/>
    </row>
    <row r="7" spans="1:24" s="1517" customFormat="1" ht="14.25" customHeight="1">
      <c r="A7" s="1837">
        <v>2</v>
      </c>
      <c r="B7" s="1601"/>
      <c r="C7" s="2078"/>
      <c r="D7" s="2078"/>
      <c r="E7" s="2078"/>
      <c r="F7" s="2078"/>
      <c r="G7" s="2078"/>
      <c r="H7" s="2078"/>
      <c r="I7" s="2078"/>
      <c r="J7" s="2078"/>
      <c r="K7" s="2077">
        <f t="shared" ref="K7:K14" si="0">SUM(C7:J7)</f>
        <v>0</v>
      </c>
      <c r="L7" s="2078"/>
      <c r="M7" s="2077">
        <f t="shared" ref="M7:M14" si="1">K7-L7</f>
        <v>0</v>
      </c>
      <c r="N7" s="2078"/>
      <c r="O7" s="2077">
        <f t="shared" ref="O7:O14" si="2">ROUND(N7*0.5,2)</f>
        <v>0</v>
      </c>
      <c r="P7" s="2078"/>
      <c r="Q7" s="2078"/>
      <c r="R7" s="2078"/>
      <c r="S7" s="2077">
        <f t="shared" ref="S7:S14" si="3">Q7+R7</f>
        <v>0</v>
      </c>
      <c r="T7" s="2077">
        <f t="shared" ref="T7:T14" si="4">O7+S7</f>
        <v>0</v>
      </c>
      <c r="U7" s="1831"/>
    </row>
    <row r="8" spans="1:24" s="1517" customFormat="1" ht="14.25" customHeight="1">
      <c r="A8" s="1837">
        <v>3</v>
      </c>
      <c r="B8" s="1602"/>
      <c r="C8" s="2078"/>
      <c r="D8" s="2078"/>
      <c r="E8" s="2078"/>
      <c r="F8" s="2078"/>
      <c r="G8" s="2078"/>
      <c r="H8" s="2078"/>
      <c r="I8" s="2078"/>
      <c r="J8" s="2078"/>
      <c r="K8" s="2077">
        <f t="shared" si="0"/>
        <v>0</v>
      </c>
      <c r="L8" s="2078"/>
      <c r="M8" s="2077">
        <f t="shared" si="1"/>
        <v>0</v>
      </c>
      <c r="N8" s="2078"/>
      <c r="O8" s="2077">
        <f t="shared" si="2"/>
        <v>0</v>
      </c>
      <c r="P8" s="2078"/>
      <c r="Q8" s="2078"/>
      <c r="R8" s="2078"/>
      <c r="S8" s="2077">
        <f t="shared" si="3"/>
        <v>0</v>
      </c>
      <c r="T8" s="2077">
        <f t="shared" si="4"/>
        <v>0</v>
      </c>
      <c r="U8" s="1831"/>
    </row>
    <row r="9" spans="1:24" s="1517" customFormat="1" ht="14.25" customHeight="1">
      <c r="A9" s="1837">
        <v>4</v>
      </c>
      <c r="B9" s="1601"/>
      <c r="C9" s="2078"/>
      <c r="D9" s="2078"/>
      <c r="E9" s="2078"/>
      <c r="F9" s="2078"/>
      <c r="G9" s="2078"/>
      <c r="H9" s="2078"/>
      <c r="I9" s="2078"/>
      <c r="J9" s="2078"/>
      <c r="K9" s="2077">
        <f t="shared" si="0"/>
        <v>0</v>
      </c>
      <c r="L9" s="2078"/>
      <c r="M9" s="2077">
        <f t="shared" si="1"/>
        <v>0</v>
      </c>
      <c r="N9" s="2078"/>
      <c r="O9" s="2077">
        <f t="shared" si="2"/>
        <v>0</v>
      </c>
      <c r="P9" s="2078"/>
      <c r="Q9" s="2078"/>
      <c r="R9" s="2078"/>
      <c r="S9" s="2077">
        <f t="shared" si="3"/>
        <v>0</v>
      </c>
      <c r="T9" s="2077">
        <f t="shared" si="4"/>
        <v>0</v>
      </c>
      <c r="U9" s="1831"/>
      <c r="V9" s="1772" t="s">
        <v>6464</v>
      </c>
    </row>
    <row r="10" spans="1:24" s="1517" customFormat="1" ht="14.25" customHeight="1">
      <c r="A10" s="1837">
        <v>5</v>
      </c>
      <c r="B10" s="1601"/>
      <c r="C10" s="2078"/>
      <c r="D10" s="2078"/>
      <c r="E10" s="2078"/>
      <c r="F10" s="2078"/>
      <c r="G10" s="2078"/>
      <c r="H10" s="2078"/>
      <c r="I10" s="2078"/>
      <c r="J10" s="2078"/>
      <c r="K10" s="2077">
        <f t="shared" si="0"/>
        <v>0</v>
      </c>
      <c r="L10" s="2078"/>
      <c r="M10" s="2077">
        <f t="shared" si="1"/>
        <v>0</v>
      </c>
      <c r="N10" s="2078"/>
      <c r="O10" s="2077">
        <f t="shared" si="2"/>
        <v>0</v>
      </c>
      <c r="P10" s="2078"/>
      <c r="Q10" s="2078"/>
      <c r="R10" s="2078"/>
      <c r="S10" s="2077">
        <f t="shared" si="3"/>
        <v>0</v>
      </c>
      <c r="T10" s="2077">
        <f t="shared" si="4"/>
        <v>0</v>
      </c>
      <c r="U10" s="1831"/>
    </row>
    <row r="11" spans="1:24" s="1517" customFormat="1" ht="14.25" customHeight="1">
      <c r="A11" s="1837">
        <v>6</v>
      </c>
      <c r="B11" s="1592"/>
      <c r="C11" s="2078"/>
      <c r="D11" s="2078"/>
      <c r="E11" s="2078"/>
      <c r="F11" s="2078"/>
      <c r="G11" s="2078"/>
      <c r="H11" s="2078"/>
      <c r="I11" s="2078"/>
      <c r="J11" s="2078"/>
      <c r="K11" s="2077">
        <f t="shared" si="0"/>
        <v>0</v>
      </c>
      <c r="L11" s="2078"/>
      <c r="M11" s="2077">
        <f t="shared" si="1"/>
        <v>0</v>
      </c>
      <c r="N11" s="2078"/>
      <c r="O11" s="2077">
        <f t="shared" si="2"/>
        <v>0</v>
      </c>
      <c r="P11" s="2078"/>
      <c r="Q11" s="2078"/>
      <c r="R11" s="2078"/>
      <c r="S11" s="2077">
        <f t="shared" si="3"/>
        <v>0</v>
      </c>
      <c r="T11" s="2077">
        <f t="shared" si="4"/>
        <v>0</v>
      </c>
      <c r="U11" s="1831"/>
    </row>
    <row r="12" spans="1:24">
      <c r="A12" s="1837">
        <v>7</v>
      </c>
      <c r="B12" s="1571"/>
      <c r="C12" s="2078"/>
      <c r="D12" s="2078"/>
      <c r="E12" s="2078"/>
      <c r="F12" s="2078"/>
      <c r="G12" s="2078"/>
      <c r="H12" s="2078"/>
      <c r="I12" s="2078"/>
      <c r="J12" s="2078"/>
      <c r="K12" s="2077">
        <f t="shared" si="0"/>
        <v>0</v>
      </c>
      <c r="L12" s="2078"/>
      <c r="M12" s="2077">
        <f t="shared" si="1"/>
        <v>0</v>
      </c>
      <c r="N12" s="2078"/>
      <c r="O12" s="2077">
        <f t="shared" si="2"/>
        <v>0</v>
      </c>
      <c r="P12" s="2078"/>
      <c r="Q12" s="2078"/>
      <c r="R12" s="2078"/>
      <c r="S12" s="2077">
        <f t="shared" si="3"/>
        <v>0</v>
      </c>
      <c r="T12" s="2077">
        <f t="shared" si="4"/>
        <v>0</v>
      </c>
      <c r="U12" s="1943"/>
    </row>
    <row r="13" spans="1:24">
      <c r="A13" s="1837">
        <v>8</v>
      </c>
      <c r="B13" s="1571"/>
      <c r="C13" s="2078"/>
      <c r="D13" s="2078"/>
      <c r="E13" s="2078"/>
      <c r="F13" s="2078"/>
      <c r="G13" s="2078"/>
      <c r="H13" s="2078"/>
      <c r="I13" s="2078"/>
      <c r="J13" s="2078"/>
      <c r="K13" s="2077">
        <f t="shared" si="0"/>
        <v>0</v>
      </c>
      <c r="L13" s="2078"/>
      <c r="M13" s="2077">
        <f t="shared" si="1"/>
        <v>0</v>
      </c>
      <c r="N13" s="2078"/>
      <c r="O13" s="2077">
        <f t="shared" si="2"/>
        <v>0</v>
      </c>
      <c r="P13" s="2078"/>
      <c r="Q13" s="2078"/>
      <c r="R13" s="2078"/>
      <c r="S13" s="2077">
        <f t="shared" si="3"/>
        <v>0</v>
      </c>
      <c r="T13" s="2077">
        <f t="shared" si="4"/>
        <v>0</v>
      </c>
      <c r="U13" s="1943"/>
    </row>
    <row r="14" spans="1:24">
      <c r="A14" s="1837">
        <v>9</v>
      </c>
      <c r="B14" s="1571"/>
      <c r="C14" s="2078"/>
      <c r="D14" s="2078"/>
      <c r="E14" s="2078"/>
      <c r="F14" s="2078"/>
      <c r="G14" s="2078"/>
      <c r="H14" s="2078"/>
      <c r="I14" s="2078"/>
      <c r="J14" s="2078"/>
      <c r="K14" s="2077">
        <f t="shared" si="0"/>
        <v>0</v>
      </c>
      <c r="L14" s="2078"/>
      <c r="M14" s="2077">
        <f t="shared" si="1"/>
        <v>0</v>
      </c>
      <c r="N14" s="2078"/>
      <c r="O14" s="2077">
        <f t="shared" si="2"/>
        <v>0</v>
      </c>
      <c r="P14" s="2078"/>
      <c r="Q14" s="2078"/>
      <c r="R14" s="2078"/>
      <c r="S14" s="2077">
        <f t="shared" si="3"/>
        <v>0</v>
      </c>
      <c r="T14" s="2077">
        <f t="shared" si="4"/>
        <v>0</v>
      </c>
      <c r="U14" s="1943"/>
    </row>
    <row r="15" spans="1:24" ht="58.5" customHeight="1">
      <c r="A15" s="1876" t="s">
        <v>5543</v>
      </c>
      <c r="B15" s="1848" t="s">
        <v>2431</v>
      </c>
      <c r="C15" s="2077">
        <f>SUM(C6:C14)</f>
        <v>0</v>
      </c>
      <c r="D15" s="2077">
        <f t="shared" ref="D15:T15" si="5">SUM(D6:D14)</f>
        <v>0</v>
      </c>
      <c r="E15" s="2077">
        <f t="shared" si="5"/>
        <v>0</v>
      </c>
      <c r="F15" s="2077">
        <f t="shared" si="5"/>
        <v>0</v>
      </c>
      <c r="G15" s="2077">
        <f t="shared" si="5"/>
        <v>0</v>
      </c>
      <c r="H15" s="2077">
        <f t="shared" si="5"/>
        <v>0</v>
      </c>
      <c r="I15" s="2077">
        <f t="shared" si="5"/>
        <v>0</v>
      </c>
      <c r="J15" s="2077">
        <f t="shared" si="5"/>
        <v>0</v>
      </c>
      <c r="K15" s="2077">
        <f t="shared" si="5"/>
        <v>0</v>
      </c>
      <c r="L15" s="2077">
        <f t="shared" si="5"/>
        <v>0</v>
      </c>
      <c r="M15" s="2077">
        <f t="shared" si="5"/>
        <v>0</v>
      </c>
      <c r="N15" s="2077">
        <f t="shared" si="5"/>
        <v>0</v>
      </c>
      <c r="O15" s="2077">
        <f>研发加计扣除归集审核表!D76</f>
        <v>0</v>
      </c>
      <c r="P15" s="2077">
        <f t="shared" si="5"/>
        <v>0</v>
      </c>
      <c r="Q15" s="2077">
        <f t="shared" si="5"/>
        <v>0</v>
      </c>
      <c r="R15" s="2077">
        <f t="shared" si="5"/>
        <v>0</v>
      </c>
      <c r="S15" s="2077">
        <f>研发加计扣除归集审核表!D78</f>
        <v>0</v>
      </c>
      <c r="T15" s="2077">
        <f>研发加计扣除归集审核表!D79</f>
        <v>0</v>
      </c>
      <c r="U15" s="1980" t="s">
        <v>5610</v>
      </c>
    </row>
  </sheetData>
  <mergeCells count="10">
    <mergeCell ref="U3:U4"/>
    <mergeCell ref="A2:T2"/>
    <mergeCell ref="A3:A5"/>
    <mergeCell ref="B3:B4"/>
    <mergeCell ref="C3:K3"/>
    <mergeCell ref="L3:L4"/>
    <mergeCell ref="M3:M4"/>
    <mergeCell ref="N3:O3"/>
    <mergeCell ref="P3:S3"/>
    <mergeCell ref="T3:T4"/>
  </mergeCells>
  <phoneticPr fontId="51" type="noConversion"/>
  <hyperlinks>
    <hyperlink ref="V9" location="A107014研发费用加计扣除优惠明细表!A1" display="A107014研发费用加计扣除优惠明细表!A1"/>
  </hyperlinks>
  <printOptions horizontalCentered="1"/>
  <pageMargins left="0.78740157480314998" right="0.35433070866141703" top="0.511811023622047" bottom="0.11811023622047198" header="0.511811023622047" footer="0.511811023622047"/>
  <pageSetup paperSize="9" orientation="landscape" r:id="rId1"/>
</worksheet>
</file>

<file path=xl/worksheets/sheet5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71">
    <tabColor rgb="FFFFFF00"/>
  </sheetPr>
  <dimension ref="A1:L44"/>
  <sheetViews>
    <sheetView workbookViewId="0">
      <selection activeCell="C7" sqref="C7"/>
    </sheetView>
  </sheetViews>
  <sheetFormatPr defaultColWidth="9.3984375" defaultRowHeight="24" customHeight="1"/>
  <cols>
    <col min="1" max="1" width="5.19921875" style="1605" customWidth="1"/>
    <col min="2" max="2" width="41.59765625" style="1606" customWidth="1"/>
    <col min="3" max="8" width="12.3984375" style="1607" customWidth="1"/>
    <col min="9" max="9" width="12.3984375" style="1605" customWidth="1"/>
    <col min="10" max="10" width="11.8984375" style="1605" customWidth="1"/>
    <col min="11" max="256" width="9.3984375" style="1605"/>
    <col min="257" max="257" width="5.19921875" style="1605" customWidth="1"/>
    <col min="258" max="258" width="41.59765625" style="1605" customWidth="1"/>
    <col min="259" max="260" width="9.8984375" style="1605" customWidth="1"/>
    <col min="261" max="261" width="8.19921875" style="1605" customWidth="1"/>
    <col min="262" max="262" width="8.3984375" style="1605" customWidth="1"/>
    <col min="263" max="263" width="7.8984375" style="1605" customWidth="1"/>
    <col min="264" max="264" width="10.8984375" style="1605" customWidth="1"/>
    <col min="265" max="265" width="8.19921875" style="1605" customWidth="1"/>
    <col min="266" max="266" width="11.8984375" style="1605" customWidth="1"/>
    <col min="267" max="512" width="9.3984375" style="1605"/>
    <col min="513" max="513" width="5.19921875" style="1605" customWidth="1"/>
    <col min="514" max="514" width="41.59765625" style="1605" customWidth="1"/>
    <col min="515" max="516" width="9.8984375" style="1605" customWidth="1"/>
    <col min="517" max="517" width="8.19921875" style="1605" customWidth="1"/>
    <col min="518" max="518" width="8.3984375" style="1605" customWidth="1"/>
    <col min="519" max="519" width="7.8984375" style="1605" customWidth="1"/>
    <col min="520" max="520" width="10.8984375" style="1605" customWidth="1"/>
    <col min="521" max="521" width="8.19921875" style="1605" customWidth="1"/>
    <col min="522" max="522" width="11.8984375" style="1605" customWidth="1"/>
    <col min="523" max="768" width="9.3984375" style="1605"/>
    <col min="769" max="769" width="5.19921875" style="1605" customWidth="1"/>
    <col min="770" max="770" width="41.59765625" style="1605" customWidth="1"/>
    <col min="771" max="772" width="9.8984375" style="1605" customWidth="1"/>
    <col min="773" max="773" width="8.19921875" style="1605" customWidth="1"/>
    <col min="774" max="774" width="8.3984375" style="1605" customWidth="1"/>
    <col min="775" max="775" width="7.8984375" style="1605" customWidth="1"/>
    <col min="776" max="776" width="10.8984375" style="1605" customWidth="1"/>
    <col min="777" max="777" width="8.19921875" style="1605" customWidth="1"/>
    <col min="778" max="778" width="11.8984375" style="1605" customWidth="1"/>
    <col min="779" max="1024" width="9.3984375" style="1605"/>
    <col min="1025" max="1025" width="5.19921875" style="1605" customWidth="1"/>
    <col min="1026" max="1026" width="41.59765625" style="1605" customWidth="1"/>
    <col min="1027" max="1028" width="9.8984375" style="1605" customWidth="1"/>
    <col min="1029" max="1029" width="8.19921875" style="1605" customWidth="1"/>
    <col min="1030" max="1030" width="8.3984375" style="1605" customWidth="1"/>
    <col min="1031" max="1031" width="7.8984375" style="1605" customWidth="1"/>
    <col min="1032" max="1032" width="10.8984375" style="1605" customWidth="1"/>
    <col min="1033" max="1033" width="8.19921875" style="1605" customWidth="1"/>
    <col min="1034" max="1034" width="11.8984375" style="1605" customWidth="1"/>
    <col min="1035" max="1280" width="9.3984375" style="1605"/>
    <col min="1281" max="1281" width="5.19921875" style="1605" customWidth="1"/>
    <col min="1282" max="1282" width="41.59765625" style="1605" customWidth="1"/>
    <col min="1283" max="1284" width="9.8984375" style="1605" customWidth="1"/>
    <col min="1285" max="1285" width="8.19921875" style="1605" customWidth="1"/>
    <col min="1286" max="1286" width="8.3984375" style="1605" customWidth="1"/>
    <col min="1287" max="1287" width="7.8984375" style="1605" customWidth="1"/>
    <col min="1288" max="1288" width="10.8984375" style="1605" customWidth="1"/>
    <col min="1289" max="1289" width="8.19921875" style="1605" customWidth="1"/>
    <col min="1290" max="1290" width="11.8984375" style="1605" customWidth="1"/>
    <col min="1291" max="1536" width="9.3984375" style="1605"/>
    <col min="1537" max="1537" width="5.19921875" style="1605" customWidth="1"/>
    <col min="1538" max="1538" width="41.59765625" style="1605" customWidth="1"/>
    <col min="1539" max="1540" width="9.8984375" style="1605" customWidth="1"/>
    <col min="1541" max="1541" width="8.19921875" style="1605" customWidth="1"/>
    <col min="1542" max="1542" width="8.3984375" style="1605" customWidth="1"/>
    <col min="1543" max="1543" width="7.8984375" style="1605" customWidth="1"/>
    <col min="1544" max="1544" width="10.8984375" style="1605" customWidth="1"/>
    <col min="1545" max="1545" width="8.19921875" style="1605" customWidth="1"/>
    <col min="1546" max="1546" width="11.8984375" style="1605" customWidth="1"/>
    <col min="1547" max="1792" width="9.3984375" style="1605"/>
    <col min="1793" max="1793" width="5.19921875" style="1605" customWidth="1"/>
    <col min="1794" max="1794" width="41.59765625" style="1605" customWidth="1"/>
    <col min="1795" max="1796" width="9.8984375" style="1605" customWidth="1"/>
    <col min="1797" max="1797" width="8.19921875" style="1605" customWidth="1"/>
    <col min="1798" max="1798" width="8.3984375" style="1605" customWidth="1"/>
    <col min="1799" max="1799" width="7.8984375" style="1605" customWidth="1"/>
    <col min="1800" max="1800" width="10.8984375" style="1605" customWidth="1"/>
    <col min="1801" max="1801" width="8.19921875" style="1605" customWidth="1"/>
    <col min="1802" max="1802" width="11.8984375" style="1605" customWidth="1"/>
    <col min="1803" max="2048" width="9.3984375" style="1605"/>
    <col min="2049" max="2049" width="5.19921875" style="1605" customWidth="1"/>
    <col min="2050" max="2050" width="41.59765625" style="1605" customWidth="1"/>
    <col min="2051" max="2052" width="9.8984375" style="1605" customWidth="1"/>
    <col min="2053" max="2053" width="8.19921875" style="1605" customWidth="1"/>
    <col min="2054" max="2054" width="8.3984375" style="1605" customWidth="1"/>
    <col min="2055" max="2055" width="7.8984375" style="1605" customWidth="1"/>
    <col min="2056" max="2056" width="10.8984375" style="1605" customWidth="1"/>
    <col min="2057" max="2057" width="8.19921875" style="1605" customWidth="1"/>
    <col min="2058" max="2058" width="11.8984375" style="1605" customWidth="1"/>
    <col min="2059" max="2304" width="9.3984375" style="1605"/>
    <col min="2305" max="2305" width="5.19921875" style="1605" customWidth="1"/>
    <col min="2306" max="2306" width="41.59765625" style="1605" customWidth="1"/>
    <col min="2307" max="2308" width="9.8984375" style="1605" customWidth="1"/>
    <col min="2309" max="2309" width="8.19921875" style="1605" customWidth="1"/>
    <col min="2310" max="2310" width="8.3984375" style="1605" customWidth="1"/>
    <col min="2311" max="2311" width="7.8984375" style="1605" customWidth="1"/>
    <col min="2312" max="2312" width="10.8984375" style="1605" customWidth="1"/>
    <col min="2313" max="2313" width="8.19921875" style="1605" customWidth="1"/>
    <col min="2314" max="2314" width="11.8984375" style="1605" customWidth="1"/>
    <col min="2315" max="2560" width="9.3984375" style="1605"/>
    <col min="2561" max="2561" width="5.19921875" style="1605" customWidth="1"/>
    <col min="2562" max="2562" width="41.59765625" style="1605" customWidth="1"/>
    <col min="2563" max="2564" width="9.8984375" style="1605" customWidth="1"/>
    <col min="2565" max="2565" width="8.19921875" style="1605" customWidth="1"/>
    <col min="2566" max="2566" width="8.3984375" style="1605" customWidth="1"/>
    <col min="2567" max="2567" width="7.8984375" style="1605" customWidth="1"/>
    <col min="2568" max="2568" width="10.8984375" style="1605" customWidth="1"/>
    <col min="2569" max="2569" width="8.19921875" style="1605" customWidth="1"/>
    <col min="2570" max="2570" width="11.8984375" style="1605" customWidth="1"/>
    <col min="2571" max="2816" width="9.3984375" style="1605"/>
    <col min="2817" max="2817" width="5.19921875" style="1605" customWidth="1"/>
    <col min="2818" max="2818" width="41.59765625" style="1605" customWidth="1"/>
    <col min="2819" max="2820" width="9.8984375" style="1605" customWidth="1"/>
    <col min="2821" max="2821" width="8.19921875" style="1605" customWidth="1"/>
    <col min="2822" max="2822" width="8.3984375" style="1605" customWidth="1"/>
    <col min="2823" max="2823" width="7.8984375" style="1605" customWidth="1"/>
    <col min="2824" max="2824" width="10.8984375" style="1605" customWidth="1"/>
    <col min="2825" max="2825" width="8.19921875" style="1605" customWidth="1"/>
    <col min="2826" max="2826" width="11.8984375" style="1605" customWidth="1"/>
    <col min="2827" max="3072" width="9.3984375" style="1605"/>
    <col min="3073" max="3073" width="5.19921875" style="1605" customWidth="1"/>
    <col min="3074" max="3074" width="41.59765625" style="1605" customWidth="1"/>
    <col min="3075" max="3076" width="9.8984375" style="1605" customWidth="1"/>
    <col min="3077" max="3077" width="8.19921875" style="1605" customWidth="1"/>
    <col min="3078" max="3078" width="8.3984375" style="1605" customWidth="1"/>
    <col min="3079" max="3079" width="7.8984375" style="1605" customWidth="1"/>
    <col min="3080" max="3080" width="10.8984375" style="1605" customWidth="1"/>
    <col min="3081" max="3081" width="8.19921875" style="1605" customWidth="1"/>
    <col min="3082" max="3082" width="11.8984375" style="1605" customWidth="1"/>
    <col min="3083" max="3328" width="9.3984375" style="1605"/>
    <col min="3329" max="3329" width="5.19921875" style="1605" customWidth="1"/>
    <col min="3330" max="3330" width="41.59765625" style="1605" customWidth="1"/>
    <col min="3331" max="3332" width="9.8984375" style="1605" customWidth="1"/>
    <col min="3333" max="3333" width="8.19921875" style="1605" customWidth="1"/>
    <col min="3334" max="3334" width="8.3984375" style="1605" customWidth="1"/>
    <col min="3335" max="3335" width="7.8984375" style="1605" customWidth="1"/>
    <col min="3336" max="3336" width="10.8984375" style="1605" customWidth="1"/>
    <col min="3337" max="3337" width="8.19921875" style="1605" customWidth="1"/>
    <col min="3338" max="3338" width="11.8984375" style="1605" customWidth="1"/>
    <col min="3339" max="3584" width="9.3984375" style="1605"/>
    <col min="3585" max="3585" width="5.19921875" style="1605" customWidth="1"/>
    <col min="3586" max="3586" width="41.59765625" style="1605" customWidth="1"/>
    <col min="3587" max="3588" width="9.8984375" style="1605" customWidth="1"/>
    <col min="3589" max="3589" width="8.19921875" style="1605" customWidth="1"/>
    <col min="3590" max="3590" width="8.3984375" style="1605" customWidth="1"/>
    <col min="3591" max="3591" width="7.8984375" style="1605" customWidth="1"/>
    <col min="3592" max="3592" width="10.8984375" style="1605" customWidth="1"/>
    <col min="3593" max="3593" width="8.19921875" style="1605" customWidth="1"/>
    <col min="3594" max="3594" width="11.8984375" style="1605" customWidth="1"/>
    <col min="3595" max="3840" width="9.3984375" style="1605"/>
    <col min="3841" max="3841" width="5.19921875" style="1605" customWidth="1"/>
    <col min="3842" max="3842" width="41.59765625" style="1605" customWidth="1"/>
    <col min="3843" max="3844" width="9.8984375" style="1605" customWidth="1"/>
    <col min="3845" max="3845" width="8.19921875" style="1605" customWidth="1"/>
    <col min="3846" max="3846" width="8.3984375" style="1605" customWidth="1"/>
    <col min="3847" max="3847" width="7.8984375" style="1605" customWidth="1"/>
    <col min="3848" max="3848" width="10.8984375" style="1605" customWidth="1"/>
    <col min="3849" max="3849" width="8.19921875" style="1605" customWidth="1"/>
    <col min="3850" max="3850" width="11.8984375" style="1605" customWidth="1"/>
    <col min="3851" max="4096" width="9.3984375" style="1605"/>
    <col min="4097" max="4097" width="5.19921875" style="1605" customWidth="1"/>
    <col min="4098" max="4098" width="41.59765625" style="1605" customWidth="1"/>
    <col min="4099" max="4100" width="9.8984375" style="1605" customWidth="1"/>
    <col min="4101" max="4101" width="8.19921875" style="1605" customWidth="1"/>
    <col min="4102" max="4102" width="8.3984375" style="1605" customWidth="1"/>
    <col min="4103" max="4103" width="7.8984375" style="1605" customWidth="1"/>
    <col min="4104" max="4104" width="10.8984375" style="1605" customWidth="1"/>
    <col min="4105" max="4105" width="8.19921875" style="1605" customWidth="1"/>
    <col min="4106" max="4106" width="11.8984375" style="1605" customWidth="1"/>
    <col min="4107" max="4352" width="9.3984375" style="1605"/>
    <col min="4353" max="4353" width="5.19921875" style="1605" customWidth="1"/>
    <col min="4354" max="4354" width="41.59765625" style="1605" customWidth="1"/>
    <col min="4355" max="4356" width="9.8984375" style="1605" customWidth="1"/>
    <col min="4357" max="4357" width="8.19921875" style="1605" customWidth="1"/>
    <col min="4358" max="4358" width="8.3984375" style="1605" customWidth="1"/>
    <col min="4359" max="4359" width="7.8984375" style="1605" customWidth="1"/>
    <col min="4360" max="4360" width="10.8984375" style="1605" customWidth="1"/>
    <col min="4361" max="4361" width="8.19921875" style="1605" customWidth="1"/>
    <col min="4362" max="4362" width="11.8984375" style="1605" customWidth="1"/>
    <col min="4363" max="4608" width="9.3984375" style="1605"/>
    <col min="4609" max="4609" width="5.19921875" style="1605" customWidth="1"/>
    <col min="4610" max="4610" width="41.59765625" style="1605" customWidth="1"/>
    <col min="4611" max="4612" width="9.8984375" style="1605" customWidth="1"/>
    <col min="4613" max="4613" width="8.19921875" style="1605" customWidth="1"/>
    <col min="4614" max="4614" width="8.3984375" style="1605" customWidth="1"/>
    <col min="4615" max="4615" width="7.8984375" style="1605" customWidth="1"/>
    <col min="4616" max="4616" width="10.8984375" style="1605" customWidth="1"/>
    <col min="4617" max="4617" width="8.19921875" style="1605" customWidth="1"/>
    <col min="4618" max="4618" width="11.8984375" style="1605" customWidth="1"/>
    <col min="4619" max="4864" width="9.3984375" style="1605"/>
    <col min="4865" max="4865" width="5.19921875" style="1605" customWidth="1"/>
    <col min="4866" max="4866" width="41.59765625" style="1605" customWidth="1"/>
    <col min="4867" max="4868" width="9.8984375" style="1605" customWidth="1"/>
    <col min="4869" max="4869" width="8.19921875" style="1605" customWidth="1"/>
    <col min="4870" max="4870" width="8.3984375" style="1605" customWidth="1"/>
    <col min="4871" max="4871" width="7.8984375" style="1605" customWidth="1"/>
    <col min="4872" max="4872" width="10.8984375" style="1605" customWidth="1"/>
    <col min="4873" max="4873" width="8.19921875" style="1605" customWidth="1"/>
    <col min="4874" max="4874" width="11.8984375" style="1605" customWidth="1"/>
    <col min="4875" max="5120" width="9.3984375" style="1605"/>
    <col min="5121" max="5121" width="5.19921875" style="1605" customWidth="1"/>
    <col min="5122" max="5122" width="41.59765625" style="1605" customWidth="1"/>
    <col min="5123" max="5124" width="9.8984375" style="1605" customWidth="1"/>
    <col min="5125" max="5125" width="8.19921875" style="1605" customWidth="1"/>
    <col min="5126" max="5126" width="8.3984375" style="1605" customWidth="1"/>
    <col min="5127" max="5127" width="7.8984375" style="1605" customWidth="1"/>
    <col min="5128" max="5128" width="10.8984375" style="1605" customWidth="1"/>
    <col min="5129" max="5129" width="8.19921875" style="1605" customWidth="1"/>
    <col min="5130" max="5130" width="11.8984375" style="1605" customWidth="1"/>
    <col min="5131" max="5376" width="9.3984375" style="1605"/>
    <col min="5377" max="5377" width="5.19921875" style="1605" customWidth="1"/>
    <col min="5378" max="5378" width="41.59765625" style="1605" customWidth="1"/>
    <col min="5379" max="5380" width="9.8984375" style="1605" customWidth="1"/>
    <col min="5381" max="5381" width="8.19921875" style="1605" customWidth="1"/>
    <col min="5382" max="5382" width="8.3984375" style="1605" customWidth="1"/>
    <col min="5383" max="5383" width="7.8984375" style="1605" customWidth="1"/>
    <col min="5384" max="5384" width="10.8984375" style="1605" customWidth="1"/>
    <col min="5385" max="5385" width="8.19921875" style="1605" customWidth="1"/>
    <col min="5386" max="5386" width="11.8984375" style="1605" customWidth="1"/>
    <col min="5387" max="5632" width="9.3984375" style="1605"/>
    <col min="5633" max="5633" width="5.19921875" style="1605" customWidth="1"/>
    <col min="5634" max="5634" width="41.59765625" style="1605" customWidth="1"/>
    <col min="5635" max="5636" width="9.8984375" style="1605" customWidth="1"/>
    <col min="5637" max="5637" width="8.19921875" style="1605" customWidth="1"/>
    <col min="5638" max="5638" width="8.3984375" style="1605" customWidth="1"/>
    <col min="5639" max="5639" width="7.8984375" style="1605" customWidth="1"/>
    <col min="5640" max="5640" width="10.8984375" style="1605" customWidth="1"/>
    <col min="5641" max="5641" width="8.19921875" style="1605" customWidth="1"/>
    <col min="5642" max="5642" width="11.8984375" style="1605" customWidth="1"/>
    <col min="5643" max="5888" width="9.3984375" style="1605"/>
    <col min="5889" max="5889" width="5.19921875" style="1605" customWidth="1"/>
    <col min="5890" max="5890" width="41.59765625" style="1605" customWidth="1"/>
    <col min="5891" max="5892" width="9.8984375" style="1605" customWidth="1"/>
    <col min="5893" max="5893" width="8.19921875" style="1605" customWidth="1"/>
    <col min="5894" max="5894" width="8.3984375" style="1605" customWidth="1"/>
    <col min="5895" max="5895" width="7.8984375" style="1605" customWidth="1"/>
    <col min="5896" max="5896" width="10.8984375" style="1605" customWidth="1"/>
    <col min="5897" max="5897" width="8.19921875" style="1605" customWidth="1"/>
    <col min="5898" max="5898" width="11.8984375" style="1605" customWidth="1"/>
    <col min="5899" max="6144" width="9.3984375" style="1605"/>
    <col min="6145" max="6145" width="5.19921875" style="1605" customWidth="1"/>
    <col min="6146" max="6146" width="41.59765625" style="1605" customWidth="1"/>
    <col min="6147" max="6148" width="9.8984375" style="1605" customWidth="1"/>
    <col min="6149" max="6149" width="8.19921875" style="1605" customWidth="1"/>
    <col min="6150" max="6150" width="8.3984375" style="1605" customWidth="1"/>
    <col min="6151" max="6151" width="7.8984375" style="1605" customWidth="1"/>
    <col min="6152" max="6152" width="10.8984375" style="1605" customWidth="1"/>
    <col min="6153" max="6153" width="8.19921875" style="1605" customWidth="1"/>
    <col min="6154" max="6154" width="11.8984375" style="1605" customWidth="1"/>
    <col min="6155" max="6400" width="9.3984375" style="1605"/>
    <col min="6401" max="6401" width="5.19921875" style="1605" customWidth="1"/>
    <col min="6402" max="6402" width="41.59765625" style="1605" customWidth="1"/>
    <col min="6403" max="6404" width="9.8984375" style="1605" customWidth="1"/>
    <col min="6405" max="6405" width="8.19921875" style="1605" customWidth="1"/>
    <col min="6406" max="6406" width="8.3984375" style="1605" customWidth="1"/>
    <col min="6407" max="6407" width="7.8984375" style="1605" customWidth="1"/>
    <col min="6408" max="6408" width="10.8984375" style="1605" customWidth="1"/>
    <col min="6409" max="6409" width="8.19921875" style="1605" customWidth="1"/>
    <col min="6410" max="6410" width="11.8984375" style="1605" customWidth="1"/>
    <col min="6411" max="6656" width="9.3984375" style="1605"/>
    <col min="6657" max="6657" width="5.19921875" style="1605" customWidth="1"/>
    <col min="6658" max="6658" width="41.59765625" style="1605" customWidth="1"/>
    <col min="6659" max="6660" width="9.8984375" style="1605" customWidth="1"/>
    <col min="6661" max="6661" width="8.19921875" style="1605" customWidth="1"/>
    <col min="6662" max="6662" width="8.3984375" style="1605" customWidth="1"/>
    <col min="6663" max="6663" width="7.8984375" style="1605" customWidth="1"/>
    <col min="6664" max="6664" width="10.8984375" style="1605" customWidth="1"/>
    <col min="6665" max="6665" width="8.19921875" style="1605" customWidth="1"/>
    <col min="6666" max="6666" width="11.8984375" style="1605" customWidth="1"/>
    <col min="6667" max="6912" width="9.3984375" style="1605"/>
    <col min="6913" max="6913" width="5.19921875" style="1605" customWidth="1"/>
    <col min="6914" max="6914" width="41.59765625" style="1605" customWidth="1"/>
    <col min="6915" max="6916" width="9.8984375" style="1605" customWidth="1"/>
    <col min="6917" max="6917" width="8.19921875" style="1605" customWidth="1"/>
    <col min="6918" max="6918" width="8.3984375" style="1605" customWidth="1"/>
    <col min="6919" max="6919" width="7.8984375" style="1605" customWidth="1"/>
    <col min="6920" max="6920" width="10.8984375" style="1605" customWidth="1"/>
    <col min="6921" max="6921" width="8.19921875" style="1605" customWidth="1"/>
    <col min="6922" max="6922" width="11.8984375" style="1605" customWidth="1"/>
    <col min="6923" max="7168" width="9.3984375" style="1605"/>
    <col min="7169" max="7169" width="5.19921875" style="1605" customWidth="1"/>
    <col min="7170" max="7170" width="41.59765625" style="1605" customWidth="1"/>
    <col min="7171" max="7172" width="9.8984375" style="1605" customWidth="1"/>
    <col min="7173" max="7173" width="8.19921875" style="1605" customWidth="1"/>
    <col min="7174" max="7174" width="8.3984375" style="1605" customWidth="1"/>
    <col min="7175" max="7175" width="7.8984375" style="1605" customWidth="1"/>
    <col min="7176" max="7176" width="10.8984375" style="1605" customWidth="1"/>
    <col min="7177" max="7177" width="8.19921875" style="1605" customWidth="1"/>
    <col min="7178" max="7178" width="11.8984375" style="1605" customWidth="1"/>
    <col min="7179" max="7424" width="9.3984375" style="1605"/>
    <col min="7425" max="7425" width="5.19921875" style="1605" customWidth="1"/>
    <col min="7426" max="7426" width="41.59765625" style="1605" customWidth="1"/>
    <col min="7427" max="7428" width="9.8984375" style="1605" customWidth="1"/>
    <col min="7429" max="7429" width="8.19921875" style="1605" customWidth="1"/>
    <col min="7430" max="7430" width="8.3984375" style="1605" customWidth="1"/>
    <col min="7431" max="7431" width="7.8984375" style="1605" customWidth="1"/>
    <col min="7432" max="7432" width="10.8984375" style="1605" customWidth="1"/>
    <col min="7433" max="7433" width="8.19921875" style="1605" customWidth="1"/>
    <col min="7434" max="7434" width="11.8984375" style="1605" customWidth="1"/>
    <col min="7435" max="7680" width="9.3984375" style="1605"/>
    <col min="7681" max="7681" width="5.19921875" style="1605" customWidth="1"/>
    <col min="7682" max="7682" width="41.59765625" style="1605" customWidth="1"/>
    <col min="7683" max="7684" width="9.8984375" style="1605" customWidth="1"/>
    <col min="7685" max="7685" width="8.19921875" style="1605" customWidth="1"/>
    <col min="7686" max="7686" width="8.3984375" style="1605" customWidth="1"/>
    <col min="7687" max="7687" width="7.8984375" style="1605" customWidth="1"/>
    <col min="7688" max="7688" width="10.8984375" style="1605" customWidth="1"/>
    <col min="7689" max="7689" width="8.19921875" style="1605" customWidth="1"/>
    <col min="7690" max="7690" width="11.8984375" style="1605" customWidth="1"/>
    <col min="7691" max="7936" width="9.3984375" style="1605"/>
    <col min="7937" max="7937" width="5.19921875" style="1605" customWidth="1"/>
    <col min="7938" max="7938" width="41.59765625" style="1605" customWidth="1"/>
    <col min="7939" max="7940" width="9.8984375" style="1605" customWidth="1"/>
    <col min="7941" max="7941" width="8.19921875" style="1605" customWidth="1"/>
    <col min="7942" max="7942" width="8.3984375" style="1605" customWidth="1"/>
    <col min="7943" max="7943" width="7.8984375" style="1605" customWidth="1"/>
    <col min="7944" max="7944" width="10.8984375" style="1605" customWidth="1"/>
    <col min="7945" max="7945" width="8.19921875" style="1605" customWidth="1"/>
    <col min="7946" max="7946" width="11.8984375" style="1605" customWidth="1"/>
    <col min="7947" max="8192" width="9.3984375" style="1605"/>
    <col min="8193" max="8193" width="5.19921875" style="1605" customWidth="1"/>
    <col min="8194" max="8194" width="41.59765625" style="1605" customWidth="1"/>
    <col min="8195" max="8196" width="9.8984375" style="1605" customWidth="1"/>
    <col min="8197" max="8197" width="8.19921875" style="1605" customWidth="1"/>
    <col min="8198" max="8198" width="8.3984375" style="1605" customWidth="1"/>
    <col min="8199" max="8199" width="7.8984375" style="1605" customWidth="1"/>
    <col min="8200" max="8200" width="10.8984375" style="1605" customWidth="1"/>
    <col min="8201" max="8201" width="8.19921875" style="1605" customWidth="1"/>
    <col min="8202" max="8202" width="11.8984375" style="1605" customWidth="1"/>
    <col min="8203" max="8448" width="9.3984375" style="1605"/>
    <col min="8449" max="8449" width="5.19921875" style="1605" customWidth="1"/>
    <col min="8450" max="8450" width="41.59765625" style="1605" customWidth="1"/>
    <col min="8451" max="8452" width="9.8984375" style="1605" customWidth="1"/>
    <col min="8453" max="8453" width="8.19921875" style="1605" customWidth="1"/>
    <col min="8454" max="8454" width="8.3984375" style="1605" customWidth="1"/>
    <col min="8455" max="8455" width="7.8984375" style="1605" customWidth="1"/>
    <col min="8456" max="8456" width="10.8984375" style="1605" customWidth="1"/>
    <col min="8457" max="8457" width="8.19921875" style="1605" customWidth="1"/>
    <col min="8458" max="8458" width="11.8984375" style="1605" customWidth="1"/>
    <col min="8459" max="8704" width="9.3984375" style="1605"/>
    <col min="8705" max="8705" width="5.19921875" style="1605" customWidth="1"/>
    <col min="8706" max="8706" width="41.59765625" style="1605" customWidth="1"/>
    <col min="8707" max="8708" width="9.8984375" style="1605" customWidth="1"/>
    <col min="8709" max="8709" width="8.19921875" style="1605" customWidth="1"/>
    <col min="8710" max="8710" width="8.3984375" style="1605" customWidth="1"/>
    <col min="8711" max="8711" width="7.8984375" style="1605" customWidth="1"/>
    <col min="8712" max="8712" width="10.8984375" style="1605" customWidth="1"/>
    <col min="8713" max="8713" width="8.19921875" style="1605" customWidth="1"/>
    <col min="8714" max="8714" width="11.8984375" style="1605" customWidth="1"/>
    <col min="8715" max="8960" width="9.3984375" style="1605"/>
    <col min="8961" max="8961" width="5.19921875" style="1605" customWidth="1"/>
    <col min="8962" max="8962" width="41.59765625" style="1605" customWidth="1"/>
    <col min="8963" max="8964" width="9.8984375" style="1605" customWidth="1"/>
    <col min="8965" max="8965" width="8.19921875" style="1605" customWidth="1"/>
    <col min="8966" max="8966" width="8.3984375" style="1605" customWidth="1"/>
    <col min="8967" max="8967" width="7.8984375" style="1605" customWidth="1"/>
    <col min="8968" max="8968" width="10.8984375" style="1605" customWidth="1"/>
    <col min="8969" max="8969" width="8.19921875" style="1605" customWidth="1"/>
    <col min="8970" max="8970" width="11.8984375" style="1605" customWidth="1"/>
    <col min="8971" max="9216" width="9.3984375" style="1605"/>
    <col min="9217" max="9217" width="5.19921875" style="1605" customWidth="1"/>
    <col min="9218" max="9218" width="41.59765625" style="1605" customWidth="1"/>
    <col min="9219" max="9220" width="9.8984375" style="1605" customWidth="1"/>
    <col min="9221" max="9221" width="8.19921875" style="1605" customWidth="1"/>
    <col min="9222" max="9222" width="8.3984375" style="1605" customWidth="1"/>
    <col min="9223" max="9223" width="7.8984375" style="1605" customWidth="1"/>
    <col min="9224" max="9224" width="10.8984375" style="1605" customWidth="1"/>
    <col min="9225" max="9225" width="8.19921875" style="1605" customWidth="1"/>
    <col min="9226" max="9226" width="11.8984375" style="1605" customWidth="1"/>
    <col min="9227" max="9472" width="9.3984375" style="1605"/>
    <col min="9473" max="9473" width="5.19921875" style="1605" customWidth="1"/>
    <col min="9474" max="9474" width="41.59765625" style="1605" customWidth="1"/>
    <col min="9475" max="9476" width="9.8984375" style="1605" customWidth="1"/>
    <col min="9477" max="9477" width="8.19921875" style="1605" customWidth="1"/>
    <col min="9478" max="9478" width="8.3984375" style="1605" customWidth="1"/>
    <col min="9479" max="9479" width="7.8984375" style="1605" customWidth="1"/>
    <col min="9480" max="9480" width="10.8984375" style="1605" customWidth="1"/>
    <col min="9481" max="9481" width="8.19921875" style="1605" customWidth="1"/>
    <col min="9482" max="9482" width="11.8984375" style="1605" customWidth="1"/>
    <col min="9483" max="9728" width="9.3984375" style="1605"/>
    <col min="9729" max="9729" width="5.19921875" style="1605" customWidth="1"/>
    <col min="9730" max="9730" width="41.59765625" style="1605" customWidth="1"/>
    <col min="9731" max="9732" width="9.8984375" style="1605" customWidth="1"/>
    <col min="9733" max="9733" width="8.19921875" style="1605" customWidth="1"/>
    <col min="9734" max="9734" width="8.3984375" style="1605" customWidth="1"/>
    <col min="9735" max="9735" width="7.8984375" style="1605" customWidth="1"/>
    <col min="9736" max="9736" width="10.8984375" style="1605" customWidth="1"/>
    <col min="9737" max="9737" width="8.19921875" style="1605" customWidth="1"/>
    <col min="9738" max="9738" width="11.8984375" style="1605" customWidth="1"/>
    <col min="9739" max="9984" width="9.3984375" style="1605"/>
    <col min="9985" max="9985" width="5.19921875" style="1605" customWidth="1"/>
    <col min="9986" max="9986" width="41.59765625" style="1605" customWidth="1"/>
    <col min="9987" max="9988" width="9.8984375" style="1605" customWidth="1"/>
    <col min="9989" max="9989" width="8.19921875" style="1605" customWidth="1"/>
    <col min="9990" max="9990" width="8.3984375" style="1605" customWidth="1"/>
    <col min="9991" max="9991" width="7.8984375" style="1605" customWidth="1"/>
    <col min="9992" max="9992" width="10.8984375" style="1605" customWidth="1"/>
    <col min="9993" max="9993" width="8.19921875" style="1605" customWidth="1"/>
    <col min="9994" max="9994" width="11.8984375" style="1605" customWidth="1"/>
    <col min="9995" max="10240" width="9.3984375" style="1605"/>
    <col min="10241" max="10241" width="5.19921875" style="1605" customWidth="1"/>
    <col min="10242" max="10242" width="41.59765625" style="1605" customWidth="1"/>
    <col min="10243" max="10244" width="9.8984375" style="1605" customWidth="1"/>
    <col min="10245" max="10245" width="8.19921875" style="1605" customWidth="1"/>
    <col min="10246" max="10246" width="8.3984375" style="1605" customWidth="1"/>
    <col min="10247" max="10247" width="7.8984375" style="1605" customWidth="1"/>
    <col min="10248" max="10248" width="10.8984375" style="1605" customWidth="1"/>
    <col min="10249" max="10249" width="8.19921875" style="1605" customWidth="1"/>
    <col min="10250" max="10250" width="11.8984375" style="1605" customWidth="1"/>
    <col min="10251" max="10496" width="9.3984375" style="1605"/>
    <col min="10497" max="10497" width="5.19921875" style="1605" customWidth="1"/>
    <col min="10498" max="10498" width="41.59765625" style="1605" customWidth="1"/>
    <col min="10499" max="10500" width="9.8984375" style="1605" customWidth="1"/>
    <col min="10501" max="10501" width="8.19921875" style="1605" customWidth="1"/>
    <col min="10502" max="10502" width="8.3984375" style="1605" customWidth="1"/>
    <col min="10503" max="10503" width="7.8984375" style="1605" customWidth="1"/>
    <col min="10504" max="10504" width="10.8984375" style="1605" customWidth="1"/>
    <col min="10505" max="10505" width="8.19921875" style="1605" customWidth="1"/>
    <col min="10506" max="10506" width="11.8984375" style="1605" customWidth="1"/>
    <col min="10507" max="10752" width="9.3984375" style="1605"/>
    <col min="10753" max="10753" width="5.19921875" style="1605" customWidth="1"/>
    <col min="10754" max="10754" width="41.59765625" style="1605" customWidth="1"/>
    <col min="10755" max="10756" width="9.8984375" style="1605" customWidth="1"/>
    <col min="10757" max="10757" width="8.19921875" style="1605" customWidth="1"/>
    <col min="10758" max="10758" width="8.3984375" style="1605" customWidth="1"/>
    <col min="10759" max="10759" width="7.8984375" style="1605" customWidth="1"/>
    <col min="10760" max="10760" width="10.8984375" style="1605" customWidth="1"/>
    <col min="10761" max="10761" width="8.19921875" style="1605" customWidth="1"/>
    <col min="10762" max="10762" width="11.8984375" style="1605" customWidth="1"/>
    <col min="10763" max="11008" width="9.3984375" style="1605"/>
    <col min="11009" max="11009" width="5.19921875" style="1605" customWidth="1"/>
    <col min="11010" max="11010" width="41.59765625" style="1605" customWidth="1"/>
    <col min="11011" max="11012" width="9.8984375" style="1605" customWidth="1"/>
    <col min="11013" max="11013" width="8.19921875" style="1605" customWidth="1"/>
    <col min="11014" max="11014" width="8.3984375" style="1605" customWidth="1"/>
    <col min="11015" max="11015" width="7.8984375" style="1605" customWidth="1"/>
    <col min="11016" max="11016" width="10.8984375" style="1605" customWidth="1"/>
    <col min="11017" max="11017" width="8.19921875" style="1605" customWidth="1"/>
    <col min="11018" max="11018" width="11.8984375" style="1605" customWidth="1"/>
    <col min="11019" max="11264" width="9.3984375" style="1605"/>
    <col min="11265" max="11265" width="5.19921875" style="1605" customWidth="1"/>
    <col min="11266" max="11266" width="41.59765625" style="1605" customWidth="1"/>
    <col min="11267" max="11268" width="9.8984375" style="1605" customWidth="1"/>
    <col min="11269" max="11269" width="8.19921875" style="1605" customWidth="1"/>
    <col min="11270" max="11270" width="8.3984375" style="1605" customWidth="1"/>
    <col min="11271" max="11271" width="7.8984375" style="1605" customWidth="1"/>
    <col min="11272" max="11272" width="10.8984375" style="1605" customWidth="1"/>
    <col min="11273" max="11273" width="8.19921875" style="1605" customWidth="1"/>
    <col min="11274" max="11274" width="11.8984375" style="1605" customWidth="1"/>
    <col min="11275" max="11520" width="9.3984375" style="1605"/>
    <col min="11521" max="11521" width="5.19921875" style="1605" customWidth="1"/>
    <col min="11522" max="11522" width="41.59765625" style="1605" customWidth="1"/>
    <col min="11523" max="11524" width="9.8984375" style="1605" customWidth="1"/>
    <col min="11525" max="11525" width="8.19921875" style="1605" customWidth="1"/>
    <col min="11526" max="11526" width="8.3984375" style="1605" customWidth="1"/>
    <col min="11527" max="11527" width="7.8984375" style="1605" customWidth="1"/>
    <col min="11528" max="11528" width="10.8984375" style="1605" customWidth="1"/>
    <col min="11529" max="11529" width="8.19921875" style="1605" customWidth="1"/>
    <col min="11530" max="11530" width="11.8984375" style="1605" customWidth="1"/>
    <col min="11531" max="11776" width="9.3984375" style="1605"/>
    <col min="11777" max="11777" width="5.19921875" style="1605" customWidth="1"/>
    <col min="11778" max="11778" width="41.59765625" style="1605" customWidth="1"/>
    <col min="11779" max="11780" width="9.8984375" style="1605" customWidth="1"/>
    <col min="11781" max="11781" width="8.19921875" style="1605" customWidth="1"/>
    <col min="11782" max="11782" width="8.3984375" style="1605" customWidth="1"/>
    <col min="11783" max="11783" width="7.8984375" style="1605" customWidth="1"/>
    <col min="11784" max="11784" width="10.8984375" style="1605" customWidth="1"/>
    <col min="11785" max="11785" width="8.19921875" style="1605" customWidth="1"/>
    <col min="11786" max="11786" width="11.8984375" style="1605" customWidth="1"/>
    <col min="11787" max="12032" width="9.3984375" style="1605"/>
    <col min="12033" max="12033" width="5.19921875" style="1605" customWidth="1"/>
    <col min="12034" max="12034" width="41.59765625" style="1605" customWidth="1"/>
    <col min="12035" max="12036" width="9.8984375" style="1605" customWidth="1"/>
    <col min="12037" max="12037" width="8.19921875" style="1605" customWidth="1"/>
    <col min="12038" max="12038" width="8.3984375" style="1605" customWidth="1"/>
    <col min="12039" max="12039" width="7.8984375" style="1605" customWidth="1"/>
    <col min="12040" max="12040" width="10.8984375" style="1605" customWidth="1"/>
    <col min="12041" max="12041" width="8.19921875" style="1605" customWidth="1"/>
    <col min="12042" max="12042" width="11.8984375" style="1605" customWidth="1"/>
    <col min="12043" max="12288" width="9.3984375" style="1605"/>
    <col min="12289" max="12289" width="5.19921875" style="1605" customWidth="1"/>
    <col min="12290" max="12290" width="41.59765625" style="1605" customWidth="1"/>
    <col min="12291" max="12292" width="9.8984375" style="1605" customWidth="1"/>
    <col min="12293" max="12293" width="8.19921875" style="1605" customWidth="1"/>
    <col min="12294" max="12294" width="8.3984375" style="1605" customWidth="1"/>
    <col min="12295" max="12295" width="7.8984375" style="1605" customWidth="1"/>
    <col min="12296" max="12296" width="10.8984375" style="1605" customWidth="1"/>
    <col min="12297" max="12297" width="8.19921875" style="1605" customWidth="1"/>
    <col min="12298" max="12298" width="11.8984375" style="1605" customWidth="1"/>
    <col min="12299" max="12544" width="9.3984375" style="1605"/>
    <col min="12545" max="12545" width="5.19921875" style="1605" customWidth="1"/>
    <col min="12546" max="12546" width="41.59765625" style="1605" customWidth="1"/>
    <col min="12547" max="12548" width="9.8984375" style="1605" customWidth="1"/>
    <col min="12549" max="12549" width="8.19921875" style="1605" customWidth="1"/>
    <col min="12550" max="12550" width="8.3984375" style="1605" customWidth="1"/>
    <col min="12551" max="12551" width="7.8984375" style="1605" customWidth="1"/>
    <col min="12552" max="12552" width="10.8984375" style="1605" customWidth="1"/>
    <col min="12553" max="12553" width="8.19921875" style="1605" customWidth="1"/>
    <col min="12554" max="12554" width="11.8984375" style="1605" customWidth="1"/>
    <col min="12555" max="12800" width="9.3984375" style="1605"/>
    <col min="12801" max="12801" width="5.19921875" style="1605" customWidth="1"/>
    <col min="12802" max="12802" width="41.59765625" style="1605" customWidth="1"/>
    <col min="12803" max="12804" width="9.8984375" style="1605" customWidth="1"/>
    <col min="12805" max="12805" width="8.19921875" style="1605" customWidth="1"/>
    <col min="12806" max="12806" width="8.3984375" style="1605" customWidth="1"/>
    <col min="12807" max="12807" width="7.8984375" style="1605" customWidth="1"/>
    <col min="12808" max="12808" width="10.8984375" style="1605" customWidth="1"/>
    <col min="12809" max="12809" width="8.19921875" style="1605" customWidth="1"/>
    <col min="12810" max="12810" width="11.8984375" style="1605" customWidth="1"/>
    <col min="12811" max="13056" width="9.3984375" style="1605"/>
    <col min="13057" max="13057" width="5.19921875" style="1605" customWidth="1"/>
    <col min="13058" max="13058" width="41.59765625" style="1605" customWidth="1"/>
    <col min="13059" max="13060" width="9.8984375" style="1605" customWidth="1"/>
    <col min="13061" max="13061" width="8.19921875" style="1605" customWidth="1"/>
    <col min="13062" max="13062" width="8.3984375" style="1605" customWidth="1"/>
    <col min="13063" max="13063" width="7.8984375" style="1605" customWidth="1"/>
    <col min="13064" max="13064" width="10.8984375" style="1605" customWidth="1"/>
    <col min="13065" max="13065" width="8.19921875" style="1605" customWidth="1"/>
    <col min="13066" max="13066" width="11.8984375" style="1605" customWidth="1"/>
    <col min="13067" max="13312" width="9.3984375" style="1605"/>
    <col min="13313" max="13313" width="5.19921875" style="1605" customWidth="1"/>
    <col min="13314" max="13314" width="41.59765625" style="1605" customWidth="1"/>
    <col min="13315" max="13316" width="9.8984375" style="1605" customWidth="1"/>
    <col min="13317" max="13317" width="8.19921875" style="1605" customWidth="1"/>
    <col min="13318" max="13318" width="8.3984375" style="1605" customWidth="1"/>
    <col min="13319" max="13319" width="7.8984375" style="1605" customWidth="1"/>
    <col min="13320" max="13320" width="10.8984375" style="1605" customWidth="1"/>
    <col min="13321" max="13321" width="8.19921875" style="1605" customWidth="1"/>
    <col min="13322" max="13322" width="11.8984375" style="1605" customWidth="1"/>
    <col min="13323" max="13568" width="9.3984375" style="1605"/>
    <col min="13569" max="13569" width="5.19921875" style="1605" customWidth="1"/>
    <col min="13570" max="13570" width="41.59765625" style="1605" customWidth="1"/>
    <col min="13571" max="13572" width="9.8984375" style="1605" customWidth="1"/>
    <col min="13573" max="13573" width="8.19921875" style="1605" customWidth="1"/>
    <col min="13574" max="13574" width="8.3984375" style="1605" customWidth="1"/>
    <col min="13575" max="13575" width="7.8984375" style="1605" customWidth="1"/>
    <col min="13576" max="13576" width="10.8984375" style="1605" customWidth="1"/>
    <col min="13577" max="13577" width="8.19921875" style="1605" customWidth="1"/>
    <col min="13578" max="13578" width="11.8984375" style="1605" customWidth="1"/>
    <col min="13579" max="13824" width="9.3984375" style="1605"/>
    <col min="13825" max="13825" width="5.19921875" style="1605" customWidth="1"/>
    <col min="13826" max="13826" width="41.59765625" style="1605" customWidth="1"/>
    <col min="13827" max="13828" width="9.8984375" style="1605" customWidth="1"/>
    <col min="13829" max="13829" width="8.19921875" style="1605" customWidth="1"/>
    <col min="13830" max="13830" width="8.3984375" style="1605" customWidth="1"/>
    <col min="13831" max="13831" width="7.8984375" style="1605" customWidth="1"/>
    <col min="13832" max="13832" width="10.8984375" style="1605" customWidth="1"/>
    <col min="13833" max="13833" width="8.19921875" style="1605" customWidth="1"/>
    <col min="13834" max="13834" width="11.8984375" style="1605" customWidth="1"/>
    <col min="13835" max="14080" width="9.3984375" style="1605"/>
    <col min="14081" max="14081" width="5.19921875" style="1605" customWidth="1"/>
    <col min="14082" max="14082" width="41.59765625" style="1605" customWidth="1"/>
    <col min="14083" max="14084" width="9.8984375" style="1605" customWidth="1"/>
    <col min="14085" max="14085" width="8.19921875" style="1605" customWidth="1"/>
    <col min="14086" max="14086" width="8.3984375" style="1605" customWidth="1"/>
    <col min="14087" max="14087" width="7.8984375" style="1605" customWidth="1"/>
    <col min="14088" max="14088" width="10.8984375" style="1605" customWidth="1"/>
    <col min="14089" max="14089" width="8.19921875" style="1605" customWidth="1"/>
    <col min="14090" max="14090" width="11.8984375" style="1605" customWidth="1"/>
    <col min="14091" max="14336" width="9.3984375" style="1605"/>
    <col min="14337" max="14337" width="5.19921875" style="1605" customWidth="1"/>
    <col min="14338" max="14338" width="41.59765625" style="1605" customWidth="1"/>
    <col min="14339" max="14340" width="9.8984375" style="1605" customWidth="1"/>
    <col min="14341" max="14341" width="8.19921875" style="1605" customWidth="1"/>
    <col min="14342" max="14342" width="8.3984375" style="1605" customWidth="1"/>
    <col min="14343" max="14343" width="7.8984375" style="1605" customWidth="1"/>
    <col min="14344" max="14344" width="10.8984375" style="1605" customWidth="1"/>
    <col min="14345" max="14345" width="8.19921875" style="1605" customWidth="1"/>
    <col min="14346" max="14346" width="11.8984375" style="1605" customWidth="1"/>
    <col min="14347" max="14592" width="9.3984375" style="1605"/>
    <col min="14593" max="14593" width="5.19921875" style="1605" customWidth="1"/>
    <col min="14594" max="14594" width="41.59765625" style="1605" customWidth="1"/>
    <col min="14595" max="14596" width="9.8984375" style="1605" customWidth="1"/>
    <col min="14597" max="14597" width="8.19921875" style="1605" customWidth="1"/>
    <col min="14598" max="14598" width="8.3984375" style="1605" customWidth="1"/>
    <col min="14599" max="14599" width="7.8984375" style="1605" customWidth="1"/>
    <col min="14600" max="14600" width="10.8984375" style="1605" customWidth="1"/>
    <col min="14601" max="14601" width="8.19921875" style="1605" customWidth="1"/>
    <col min="14602" max="14602" width="11.8984375" style="1605" customWidth="1"/>
    <col min="14603" max="14848" width="9.3984375" style="1605"/>
    <col min="14849" max="14849" width="5.19921875" style="1605" customWidth="1"/>
    <col min="14850" max="14850" width="41.59765625" style="1605" customWidth="1"/>
    <col min="14851" max="14852" width="9.8984375" style="1605" customWidth="1"/>
    <col min="14853" max="14853" width="8.19921875" style="1605" customWidth="1"/>
    <col min="14854" max="14854" width="8.3984375" style="1605" customWidth="1"/>
    <col min="14855" max="14855" width="7.8984375" style="1605" customWidth="1"/>
    <col min="14856" max="14856" width="10.8984375" style="1605" customWidth="1"/>
    <col min="14857" max="14857" width="8.19921875" style="1605" customWidth="1"/>
    <col min="14858" max="14858" width="11.8984375" style="1605" customWidth="1"/>
    <col min="14859" max="15104" width="9.3984375" style="1605"/>
    <col min="15105" max="15105" width="5.19921875" style="1605" customWidth="1"/>
    <col min="15106" max="15106" width="41.59765625" style="1605" customWidth="1"/>
    <col min="15107" max="15108" width="9.8984375" style="1605" customWidth="1"/>
    <col min="15109" max="15109" width="8.19921875" style="1605" customWidth="1"/>
    <col min="15110" max="15110" width="8.3984375" style="1605" customWidth="1"/>
    <col min="15111" max="15111" width="7.8984375" style="1605" customWidth="1"/>
    <col min="15112" max="15112" width="10.8984375" style="1605" customWidth="1"/>
    <col min="15113" max="15113" width="8.19921875" style="1605" customWidth="1"/>
    <col min="15114" max="15114" width="11.8984375" style="1605" customWidth="1"/>
    <col min="15115" max="15360" width="9.3984375" style="1605"/>
    <col min="15361" max="15361" width="5.19921875" style="1605" customWidth="1"/>
    <col min="15362" max="15362" width="41.59765625" style="1605" customWidth="1"/>
    <col min="15363" max="15364" width="9.8984375" style="1605" customWidth="1"/>
    <col min="15365" max="15365" width="8.19921875" style="1605" customWidth="1"/>
    <col min="15366" max="15366" width="8.3984375" style="1605" customWidth="1"/>
    <col min="15367" max="15367" width="7.8984375" style="1605" customWidth="1"/>
    <col min="15368" max="15368" width="10.8984375" style="1605" customWidth="1"/>
    <col min="15369" max="15369" width="8.19921875" style="1605" customWidth="1"/>
    <col min="15370" max="15370" width="11.8984375" style="1605" customWidth="1"/>
    <col min="15371" max="15616" width="9.3984375" style="1605"/>
    <col min="15617" max="15617" width="5.19921875" style="1605" customWidth="1"/>
    <col min="15618" max="15618" width="41.59765625" style="1605" customWidth="1"/>
    <col min="15619" max="15620" width="9.8984375" style="1605" customWidth="1"/>
    <col min="15621" max="15621" width="8.19921875" style="1605" customWidth="1"/>
    <col min="15622" max="15622" width="8.3984375" style="1605" customWidth="1"/>
    <col min="15623" max="15623" width="7.8984375" style="1605" customWidth="1"/>
    <col min="15624" max="15624" width="10.8984375" style="1605" customWidth="1"/>
    <col min="15625" max="15625" width="8.19921875" style="1605" customWidth="1"/>
    <col min="15626" max="15626" width="11.8984375" style="1605" customWidth="1"/>
    <col min="15627" max="15872" width="9.3984375" style="1605"/>
    <col min="15873" max="15873" width="5.19921875" style="1605" customWidth="1"/>
    <col min="15874" max="15874" width="41.59765625" style="1605" customWidth="1"/>
    <col min="15875" max="15876" width="9.8984375" style="1605" customWidth="1"/>
    <col min="15877" max="15877" width="8.19921875" style="1605" customWidth="1"/>
    <col min="15878" max="15878" width="8.3984375" style="1605" customWidth="1"/>
    <col min="15879" max="15879" width="7.8984375" style="1605" customWidth="1"/>
    <col min="15880" max="15880" width="10.8984375" style="1605" customWidth="1"/>
    <col min="15881" max="15881" width="8.19921875" style="1605" customWidth="1"/>
    <col min="15882" max="15882" width="11.8984375" style="1605" customWidth="1"/>
    <col min="15883" max="16128" width="9.3984375" style="1605"/>
    <col min="16129" max="16129" width="5.19921875" style="1605" customWidth="1"/>
    <col min="16130" max="16130" width="41.59765625" style="1605" customWidth="1"/>
    <col min="16131" max="16132" width="9.8984375" style="1605" customWidth="1"/>
    <col min="16133" max="16133" width="8.19921875" style="1605" customWidth="1"/>
    <col min="16134" max="16134" width="8.3984375" style="1605" customWidth="1"/>
    <col min="16135" max="16135" width="7.8984375" style="1605" customWidth="1"/>
    <col min="16136" max="16136" width="10.8984375" style="1605" customWidth="1"/>
    <col min="16137" max="16137" width="8.19921875" style="1605" customWidth="1"/>
    <col min="16138" max="16138" width="11.8984375" style="1605" customWidth="1"/>
    <col min="16139" max="16384" width="9.3984375" style="1605"/>
  </cols>
  <sheetData>
    <row r="1" spans="1:12" s="1583" customFormat="1" ht="20.100000000000001" customHeight="1">
      <c r="A1" s="2169"/>
      <c r="B1" s="2169"/>
      <c r="C1" s="2169"/>
      <c r="D1" s="2169"/>
      <c r="E1" s="2169"/>
      <c r="F1" s="2169"/>
      <c r="G1" s="2169"/>
      <c r="H1" s="2169"/>
      <c r="I1" s="2169"/>
      <c r="J1" s="2168" t="str">
        <f>"索引号："&amp;档案索引!D11</f>
        <v>索引号：2B-6</v>
      </c>
    </row>
    <row r="2" spans="1:12" s="1589" customFormat="1" ht="25.5" customHeight="1">
      <c r="A2" s="3379" t="s">
        <v>5939</v>
      </c>
      <c r="B2" s="3379"/>
      <c r="C2" s="3379"/>
      <c r="D2" s="3379"/>
      <c r="E2" s="3379"/>
      <c r="F2" s="3379"/>
      <c r="G2" s="3379"/>
      <c r="H2" s="3379"/>
      <c r="I2" s="3379"/>
      <c r="J2" s="1867"/>
    </row>
    <row r="3" spans="1:12" s="1603" customFormat="1" ht="28.5" customHeight="1">
      <c r="A3" s="3380" t="s">
        <v>1854</v>
      </c>
      <c r="B3" s="3383" t="s">
        <v>4975</v>
      </c>
      <c r="C3" s="1865" t="s">
        <v>5613</v>
      </c>
      <c r="D3" s="1865" t="s">
        <v>5614</v>
      </c>
      <c r="E3" s="1865" t="s">
        <v>5615</v>
      </c>
      <c r="F3" s="1865" t="s">
        <v>5616</v>
      </c>
      <c r="G3" s="1865" t="s">
        <v>1523</v>
      </c>
      <c r="H3" s="1839" t="s">
        <v>5617</v>
      </c>
      <c r="I3" s="1865" t="s">
        <v>5618</v>
      </c>
      <c r="J3" s="1869" t="s">
        <v>4901</v>
      </c>
    </row>
    <row r="4" spans="1:12" s="1603" customFormat="1" ht="12.75" customHeight="1">
      <c r="A4" s="3382"/>
      <c r="B4" s="3384"/>
      <c r="C4" s="1837">
        <v>1</v>
      </c>
      <c r="D4" s="1837">
        <v>2</v>
      </c>
      <c r="E4" s="1837">
        <v>3</v>
      </c>
      <c r="F4" s="1837">
        <v>4</v>
      </c>
      <c r="G4" s="1837">
        <v>5</v>
      </c>
      <c r="H4" s="1837" t="s">
        <v>5619</v>
      </c>
      <c r="I4" s="1837">
        <v>7</v>
      </c>
      <c r="J4" s="1838"/>
      <c r="L4" s="1604"/>
    </row>
    <row r="5" spans="1:12" s="1603" customFormat="1" ht="12.75" customHeight="1">
      <c r="A5" s="1837">
        <v>1</v>
      </c>
      <c r="B5" s="1841" t="s">
        <v>5620</v>
      </c>
      <c r="C5" s="2077">
        <f>C6+C17</f>
        <v>0</v>
      </c>
      <c r="D5" s="2077">
        <f t="shared" ref="D5:I5" si="0">D6+D17</f>
        <v>0</v>
      </c>
      <c r="E5" s="2077">
        <f t="shared" si="0"/>
        <v>0</v>
      </c>
      <c r="F5" s="2077">
        <f t="shared" si="0"/>
        <v>0</v>
      </c>
      <c r="G5" s="2077">
        <f t="shared" si="0"/>
        <v>0</v>
      </c>
      <c r="H5" s="2077">
        <f t="shared" si="0"/>
        <v>0</v>
      </c>
      <c r="I5" s="2077">
        <f t="shared" si="0"/>
        <v>0</v>
      </c>
      <c r="J5" s="1838"/>
    </row>
    <row r="6" spans="1:12" s="1603" customFormat="1" ht="12.75" customHeight="1">
      <c r="A6" s="1837">
        <v>2</v>
      </c>
      <c r="B6" s="1841" t="s">
        <v>5621</v>
      </c>
      <c r="C6" s="2077">
        <f>SUM(C7:C13,C15:C16)</f>
        <v>0</v>
      </c>
      <c r="D6" s="2077">
        <f t="shared" ref="D6:I6" si="1">SUM(D7:D13,D15:D16)</f>
        <v>0</v>
      </c>
      <c r="E6" s="2077">
        <f t="shared" si="1"/>
        <v>0</v>
      </c>
      <c r="F6" s="2077">
        <f t="shared" si="1"/>
        <v>0</v>
      </c>
      <c r="G6" s="2077">
        <f t="shared" si="1"/>
        <v>0</v>
      </c>
      <c r="H6" s="2077">
        <f t="shared" si="1"/>
        <v>0</v>
      </c>
      <c r="I6" s="2077">
        <f t="shared" si="1"/>
        <v>0</v>
      </c>
      <c r="J6" s="1838"/>
    </row>
    <row r="7" spans="1:12" s="1603" customFormat="1" ht="26.25" customHeight="1">
      <c r="A7" s="1839">
        <v>3</v>
      </c>
      <c r="B7" s="1840" t="s">
        <v>5622</v>
      </c>
      <c r="C7" s="2084"/>
      <c r="D7" s="2084"/>
      <c r="E7" s="2084"/>
      <c r="F7" s="2084"/>
      <c r="G7" s="2084"/>
      <c r="H7" s="2080">
        <f>C7-D7-E7-F7+G7</f>
        <v>0</v>
      </c>
      <c r="I7" s="2084"/>
      <c r="J7" s="1983"/>
    </row>
    <row r="8" spans="1:12" s="1603" customFormat="1" ht="12.75" customHeight="1">
      <c r="A8" s="1837">
        <v>4</v>
      </c>
      <c r="B8" s="1841" t="s">
        <v>5623</v>
      </c>
      <c r="C8" s="2078"/>
      <c r="D8" s="2078"/>
      <c r="E8" s="2078"/>
      <c r="F8" s="2078"/>
      <c r="G8" s="2078"/>
      <c r="H8" s="2077">
        <f t="shared" ref="H8:H36" si="2">C8-D8-E8-F8+G8</f>
        <v>0</v>
      </c>
      <c r="I8" s="2078"/>
      <c r="J8" s="1838"/>
    </row>
    <row r="9" spans="1:12" s="1603" customFormat="1" ht="12.75" customHeight="1">
      <c r="A9" s="1837">
        <v>5</v>
      </c>
      <c r="B9" s="1841" t="s">
        <v>5624</v>
      </c>
      <c r="C9" s="2078"/>
      <c r="D9" s="2078"/>
      <c r="E9" s="2078"/>
      <c r="F9" s="2078"/>
      <c r="G9" s="2078"/>
      <c r="H9" s="2077">
        <f t="shared" si="2"/>
        <v>0</v>
      </c>
      <c r="I9" s="2078"/>
      <c r="J9" s="1838"/>
    </row>
    <row r="10" spans="1:12" s="1603" customFormat="1" ht="12.75" customHeight="1">
      <c r="A10" s="1837">
        <v>6</v>
      </c>
      <c r="B10" s="1841" t="s">
        <v>5625</v>
      </c>
      <c r="C10" s="2078"/>
      <c r="D10" s="2078"/>
      <c r="E10" s="2078"/>
      <c r="F10" s="2078"/>
      <c r="G10" s="2078"/>
      <c r="H10" s="2077">
        <f t="shared" si="2"/>
        <v>0</v>
      </c>
      <c r="I10" s="2078"/>
      <c r="J10" s="1838"/>
    </row>
    <row r="11" spans="1:12" s="1603" customFormat="1" ht="12.75" customHeight="1">
      <c r="A11" s="1837">
        <v>7</v>
      </c>
      <c r="B11" s="1841" t="s">
        <v>5626</v>
      </c>
      <c r="C11" s="2078"/>
      <c r="D11" s="2078"/>
      <c r="E11" s="2078"/>
      <c r="F11" s="2078"/>
      <c r="G11" s="2078"/>
      <c r="H11" s="2077">
        <f t="shared" si="2"/>
        <v>0</v>
      </c>
      <c r="I11" s="2078"/>
      <c r="J11" s="1838"/>
    </row>
    <row r="12" spans="1:12" s="1603" customFormat="1" ht="12.75" customHeight="1">
      <c r="A12" s="1837">
        <v>8</v>
      </c>
      <c r="B12" s="1841" t="s">
        <v>5627</v>
      </c>
      <c r="C12" s="2078"/>
      <c r="D12" s="2078"/>
      <c r="E12" s="2078"/>
      <c r="F12" s="2078"/>
      <c r="G12" s="2078"/>
      <c r="H12" s="2077">
        <f t="shared" si="2"/>
        <v>0</v>
      </c>
      <c r="I12" s="2078"/>
      <c r="J12" s="1838"/>
      <c r="K12" s="1772" t="s">
        <v>6466</v>
      </c>
    </row>
    <row r="13" spans="1:12" s="1603" customFormat="1" ht="28.5" customHeight="1">
      <c r="A13" s="1839">
        <v>9</v>
      </c>
      <c r="B13" s="1840" t="s">
        <v>5628</v>
      </c>
      <c r="C13" s="2084"/>
      <c r="D13" s="2084"/>
      <c r="E13" s="2084"/>
      <c r="F13" s="2084"/>
      <c r="G13" s="2084"/>
      <c r="H13" s="2080">
        <f t="shared" si="2"/>
        <v>0</v>
      </c>
      <c r="I13" s="2084"/>
      <c r="J13" s="1983"/>
    </row>
    <row r="14" spans="1:12" s="1603" customFormat="1" ht="12.75" customHeight="1">
      <c r="A14" s="1837">
        <v>10</v>
      </c>
      <c r="B14" s="1841" t="s">
        <v>5629</v>
      </c>
      <c r="C14" s="2078"/>
      <c r="D14" s="2078"/>
      <c r="E14" s="2078"/>
      <c r="F14" s="2078"/>
      <c r="G14" s="2078"/>
      <c r="H14" s="2077">
        <f t="shared" si="2"/>
        <v>0</v>
      </c>
      <c r="I14" s="2078"/>
      <c r="J14" s="1838"/>
    </row>
    <row r="15" spans="1:12" s="1603" customFormat="1" ht="12.75" customHeight="1">
      <c r="A15" s="1837">
        <v>11</v>
      </c>
      <c r="B15" s="1841" t="s">
        <v>5630</v>
      </c>
      <c r="C15" s="2078"/>
      <c r="D15" s="2078"/>
      <c r="E15" s="2078"/>
      <c r="F15" s="2078"/>
      <c r="G15" s="2078"/>
      <c r="H15" s="2077">
        <f t="shared" si="2"/>
        <v>0</v>
      </c>
      <c r="I15" s="2078"/>
      <c r="J15" s="1838"/>
    </row>
    <row r="16" spans="1:12" s="1603" customFormat="1" ht="12.75" customHeight="1">
      <c r="A16" s="1837">
        <v>12</v>
      </c>
      <c r="B16" s="1841" t="s">
        <v>5505</v>
      </c>
      <c r="C16" s="2078"/>
      <c r="D16" s="2078"/>
      <c r="E16" s="2078"/>
      <c r="F16" s="2078"/>
      <c r="G16" s="2078"/>
      <c r="H16" s="2077">
        <f t="shared" si="2"/>
        <v>0</v>
      </c>
      <c r="I16" s="2078"/>
      <c r="J16" s="1838"/>
    </row>
    <row r="17" spans="1:10" s="1603" customFormat="1" ht="12.75" customHeight="1">
      <c r="A17" s="1837">
        <v>13</v>
      </c>
      <c r="B17" s="1841" t="s">
        <v>5631</v>
      </c>
      <c r="C17" s="2077">
        <f>SUM(C18:C20)</f>
        <v>0</v>
      </c>
      <c r="D17" s="2077">
        <f t="shared" ref="D17:I17" si="3">SUM(D18:D20)</f>
        <v>0</v>
      </c>
      <c r="E17" s="2077">
        <f t="shared" si="3"/>
        <v>0</v>
      </c>
      <c r="F17" s="2077">
        <f t="shared" si="3"/>
        <v>0</v>
      </c>
      <c r="G17" s="2077">
        <f t="shared" si="3"/>
        <v>0</v>
      </c>
      <c r="H17" s="2077">
        <f t="shared" si="3"/>
        <v>0</v>
      </c>
      <c r="I17" s="2077">
        <f t="shared" si="3"/>
        <v>0</v>
      </c>
      <c r="J17" s="1838"/>
    </row>
    <row r="18" spans="1:10" s="1603" customFormat="1" ht="12.75" customHeight="1">
      <c r="A18" s="1837">
        <v>14</v>
      </c>
      <c r="B18" s="1841" t="s">
        <v>5632</v>
      </c>
      <c r="C18" s="2078"/>
      <c r="D18" s="2078"/>
      <c r="E18" s="2078"/>
      <c r="F18" s="2078"/>
      <c r="G18" s="2078"/>
      <c r="H18" s="2077">
        <f t="shared" si="2"/>
        <v>0</v>
      </c>
      <c r="I18" s="2078"/>
      <c r="J18" s="1838"/>
    </row>
    <row r="19" spans="1:10" s="1603" customFormat="1" ht="12.75" customHeight="1">
      <c r="A19" s="1837">
        <v>15</v>
      </c>
      <c r="B19" s="1841" t="s">
        <v>5633</v>
      </c>
      <c r="C19" s="2078"/>
      <c r="D19" s="2078"/>
      <c r="E19" s="2078"/>
      <c r="F19" s="2078"/>
      <c r="G19" s="2078"/>
      <c r="H19" s="2077">
        <f t="shared" si="2"/>
        <v>0</v>
      </c>
      <c r="I19" s="2078"/>
      <c r="J19" s="1838"/>
    </row>
    <row r="20" spans="1:10" s="1603" customFormat="1" ht="12.75" customHeight="1">
      <c r="A20" s="1837">
        <v>16</v>
      </c>
      <c r="B20" s="1841" t="s">
        <v>5513</v>
      </c>
      <c r="C20" s="2078"/>
      <c r="D20" s="2078"/>
      <c r="E20" s="2078"/>
      <c r="F20" s="2078"/>
      <c r="G20" s="2078"/>
      <c r="H20" s="2077">
        <f t="shared" si="2"/>
        <v>0</v>
      </c>
      <c r="I20" s="2078"/>
      <c r="J20" s="1838"/>
    </row>
    <row r="21" spans="1:10" s="1603" customFormat="1" ht="26.25" customHeight="1">
      <c r="A21" s="1839">
        <v>17</v>
      </c>
      <c r="B21" s="1840" t="s">
        <v>5634</v>
      </c>
      <c r="C21" s="2080">
        <f>SUM(C22:C29)</f>
        <v>0</v>
      </c>
      <c r="D21" s="2080">
        <f t="shared" ref="D21:H21" si="4">SUM(D22:D29)</f>
        <v>0</v>
      </c>
      <c r="E21" s="2080">
        <f t="shared" si="4"/>
        <v>0</v>
      </c>
      <c r="F21" s="2080">
        <f t="shared" si="4"/>
        <v>0</v>
      </c>
      <c r="G21" s="2080">
        <f t="shared" si="4"/>
        <v>0</v>
      </c>
      <c r="H21" s="2080">
        <f t="shared" si="4"/>
        <v>0</v>
      </c>
      <c r="I21" s="2080">
        <f>SUM(I22:I29)</f>
        <v>0</v>
      </c>
      <c r="J21" s="1983"/>
    </row>
    <row r="22" spans="1:10" s="1603" customFormat="1" ht="12.75" customHeight="1">
      <c r="A22" s="1837">
        <v>18</v>
      </c>
      <c r="B22" s="1841" t="s">
        <v>5635</v>
      </c>
      <c r="C22" s="2078"/>
      <c r="D22" s="2078"/>
      <c r="E22" s="2078"/>
      <c r="F22" s="2078"/>
      <c r="G22" s="2078"/>
      <c r="H22" s="2077">
        <f t="shared" si="2"/>
        <v>0</v>
      </c>
      <c r="I22" s="2078"/>
      <c r="J22" s="1838"/>
    </row>
    <row r="23" spans="1:10" s="1603" customFormat="1" ht="12.75" customHeight="1">
      <c r="A23" s="1837">
        <v>19</v>
      </c>
      <c r="B23" s="1841" t="s">
        <v>5636</v>
      </c>
      <c r="C23" s="2078"/>
      <c r="D23" s="2078"/>
      <c r="E23" s="2078"/>
      <c r="F23" s="2078"/>
      <c r="G23" s="2078"/>
      <c r="H23" s="2077">
        <f t="shared" si="2"/>
        <v>0</v>
      </c>
      <c r="I23" s="2078"/>
      <c r="J23" s="1838"/>
    </row>
    <row r="24" spans="1:10" s="1603" customFormat="1" ht="12.75" customHeight="1">
      <c r="A24" s="1837">
        <v>20</v>
      </c>
      <c r="B24" s="1841" t="s">
        <v>5637</v>
      </c>
      <c r="C24" s="2078"/>
      <c r="D24" s="2078"/>
      <c r="E24" s="2078"/>
      <c r="F24" s="2078"/>
      <c r="G24" s="2078"/>
      <c r="H24" s="2077">
        <f t="shared" si="2"/>
        <v>0</v>
      </c>
      <c r="I24" s="2078"/>
      <c r="J24" s="1838"/>
    </row>
    <row r="25" spans="1:10" s="1603" customFormat="1" ht="12.75" customHeight="1">
      <c r="A25" s="1837">
        <v>21</v>
      </c>
      <c r="B25" s="1841" t="s">
        <v>5638</v>
      </c>
      <c r="C25" s="2078"/>
      <c r="D25" s="2078"/>
      <c r="E25" s="2078"/>
      <c r="F25" s="2078"/>
      <c r="G25" s="2078"/>
      <c r="H25" s="2077">
        <f t="shared" si="2"/>
        <v>0</v>
      </c>
      <c r="I25" s="2078"/>
      <c r="J25" s="1838"/>
    </row>
    <row r="26" spans="1:10" s="1603" customFormat="1" ht="12.75" customHeight="1">
      <c r="A26" s="1837">
        <v>22</v>
      </c>
      <c r="B26" s="1841" t="s">
        <v>5639</v>
      </c>
      <c r="C26" s="2078"/>
      <c r="D26" s="2078"/>
      <c r="E26" s="2078"/>
      <c r="F26" s="2078"/>
      <c r="G26" s="2078"/>
      <c r="H26" s="2077">
        <f t="shared" si="2"/>
        <v>0</v>
      </c>
      <c r="I26" s="2078"/>
      <c r="J26" s="1838"/>
    </row>
    <row r="27" spans="1:10" s="1603" customFormat="1" ht="12.75" customHeight="1">
      <c r="A27" s="1837">
        <v>23</v>
      </c>
      <c r="B27" s="1841" t="s">
        <v>5640</v>
      </c>
      <c r="C27" s="2078"/>
      <c r="D27" s="2078"/>
      <c r="E27" s="2078"/>
      <c r="F27" s="2078"/>
      <c r="G27" s="2078"/>
      <c r="H27" s="2077">
        <f t="shared" si="2"/>
        <v>0</v>
      </c>
      <c r="I27" s="2078"/>
      <c r="J27" s="1838"/>
    </row>
    <row r="28" spans="1:10" s="1603" customFormat="1" ht="12.75" customHeight="1">
      <c r="A28" s="1837">
        <v>24</v>
      </c>
      <c r="B28" s="1841" t="s">
        <v>5641</v>
      </c>
      <c r="C28" s="2078"/>
      <c r="D28" s="2078"/>
      <c r="E28" s="2078"/>
      <c r="F28" s="2078"/>
      <c r="G28" s="2078"/>
      <c r="H28" s="2077">
        <f t="shared" si="2"/>
        <v>0</v>
      </c>
      <c r="I28" s="2078"/>
      <c r="J28" s="1838"/>
    </row>
    <row r="29" spans="1:10" s="1603" customFormat="1" ht="12.75" customHeight="1">
      <c r="A29" s="1837">
        <v>25</v>
      </c>
      <c r="B29" s="1841" t="s">
        <v>5642</v>
      </c>
      <c r="C29" s="2078"/>
      <c r="D29" s="2078"/>
      <c r="E29" s="2078"/>
      <c r="F29" s="2078"/>
      <c r="G29" s="2078"/>
      <c r="H29" s="2077">
        <f t="shared" si="2"/>
        <v>0</v>
      </c>
      <c r="I29" s="2078"/>
      <c r="J29" s="1838"/>
    </row>
    <row r="30" spans="1:10" s="1603" customFormat="1" ht="29.25" customHeight="1">
      <c r="A30" s="1837">
        <v>26</v>
      </c>
      <c r="B30" s="1841" t="s">
        <v>5643</v>
      </c>
      <c r="C30" s="2077">
        <f>SUM(C31:C36)</f>
        <v>0</v>
      </c>
      <c r="D30" s="2077">
        <f t="shared" ref="D30:I30" si="5">SUM(D31:D36)</f>
        <v>0</v>
      </c>
      <c r="E30" s="2077">
        <f t="shared" si="5"/>
        <v>0</v>
      </c>
      <c r="F30" s="2077">
        <f t="shared" si="5"/>
        <v>0</v>
      </c>
      <c r="G30" s="2077">
        <f t="shared" si="5"/>
        <v>0</v>
      </c>
      <c r="H30" s="2077">
        <f t="shared" si="5"/>
        <v>0</v>
      </c>
      <c r="I30" s="2077">
        <f t="shared" si="5"/>
        <v>0</v>
      </c>
      <c r="J30" s="1838"/>
    </row>
    <row r="31" spans="1:10" s="1603" customFormat="1" ht="12.75" customHeight="1">
      <c r="A31" s="1837">
        <v>27</v>
      </c>
      <c r="B31" s="1841" t="s">
        <v>5644</v>
      </c>
      <c r="C31" s="2078"/>
      <c r="D31" s="2078"/>
      <c r="E31" s="2078"/>
      <c r="F31" s="2078"/>
      <c r="G31" s="2078"/>
      <c r="H31" s="2077">
        <f t="shared" si="2"/>
        <v>0</v>
      </c>
      <c r="I31" s="2078"/>
      <c r="J31" s="1838"/>
    </row>
    <row r="32" spans="1:10" s="1603" customFormat="1" ht="12.75" customHeight="1">
      <c r="A32" s="1837">
        <v>28</v>
      </c>
      <c r="B32" s="1841" t="s">
        <v>5645</v>
      </c>
      <c r="C32" s="2078"/>
      <c r="D32" s="2078"/>
      <c r="E32" s="2078"/>
      <c r="F32" s="2078"/>
      <c r="G32" s="2078"/>
      <c r="H32" s="2077">
        <f t="shared" si="2"/>
        <v>0</v>
      </c>
      <c r="I32" s="2078"/>
      <c r="J32" s="1838"/>
    </row>
    <row r="33" spans="1:10" s="1603" customFormat="1" ht="12.75" customHeight="1">
      <c r="A33" s="1837">
        <v>29</v>
      </c>
      <c r="B33" s="1841" t="s">
        <v>5646</v>
      </c>
      <c r="C33" s="2078"/>
      <c r="D33" s="2078"/>
      <c r="E33" s="2078"/>
      <c r="F33" s="2078"/>
      <c r="G33" s="2078"/>
      <c r="H33" s="2077">
        <f t="shared" si="2"/>
        <v>0</v>
      </c>
      <c r="I33" s="2078"/>
      <c r="J33" s="1838"/>
    </row>
    <row r="34" spans="1:10" s="1603" customFormat="1" ht="12.75" customHeight="1">
      <c r="A34" s="1837">
        <v>30</v>
      </c>
      <c r="B34" s="1841" t="s">
        <v>5647</v>
      </c>
      <c r="C34" s="2078"/>
      <c r="D34" s="2078"/>
      <c r="E34" s="2078"/>
      <c r="F34" s="2078"/>
      <c r="G34" s="2078"/>
      <c r="H34" s="2077">
        <f t="shared" si="2"/>
        <v>0</v>
      </c>
      <c r="I34" s="2078"/>
      <c r="J34" s="1838"/>
    </row>
    <row r="35" spans="1:10" s="1603" customFormat="1" ht="12.75" customHeight="1">
      <c r="A35" s="1837">
        <v>31</v>
      </c>
      <c r="B35" s="1841" t="s">
        <v>5648</v>
      </c>
      <c r="C35" s="2078"/>
      <c r="D35" s="2078"/>
      <c r="E35" s="2078"/>
      <c r="F35" s="2078"/>
      <c r="G35" s="2078"/>
      <c r="H35" s="2077">
        <f t="shared" si="2"/>
        <v>0</v>
      </c>
      <c r="I35" s="2078"/>
      <c r="J35" s="1838"/>
    </row>
    <row r="36" spans="1:10" s="1603" customFormat="1" ht="12.75" customHeight="1">
      <c r="A36" s="1837">
        <v>32</v>
      </c>
      <c r="B36" s="1841" t="s">
        <v>5649</v>
      </c>
      <c r="C36" s="2078"/>
      <c r="D36" s="2078"/>
      <c r="E36" s="2078"/>
      <c r="F36" s="2078"/>
      <c r="G36" s="2078"/>
      <c r="H36" s="2077">
        <f t="shared" si="2"/>
        <v>0</v>
      </c>
      <c r="I36" s="2078"/>
      <c r="J36" s="1838"/>
    </row>
    <row r="37" spans="1:10" s="1603" customFormat="1" ht="12.75" customHeight="1">
      <c r="A37" s="1837">
        <v>33</v>
      </c>
      <c r="B37" s="1841" t="s">
        <v>5650</v>
      </c>
      <c r="C37" s="2078"/>
      <c r="D37" s="2078"/>
      <c r="E37" s="2078"/>
      <c r="F37" s="2078"/>
      <c r="G37" s="1984" t="s">
        <v>5544</v>
      </c>
      <c r="H37" s="2077">
        <f>C37-D37-E37-F37</f>
        <v>0</v>
      </c>
      <c r="I37" s="2077">
        <f>I38+I39</f>
        <v>0</v>
      </c>
      <c r="J37" s="1838"/>
    </row>
    <row r="38" spans="1:10" s="1603" customFormat="1" ht="12.75" customHeight="1">
      <c r="A38" s="1837">
        <v>34</v>
      </c>
      <c r="B38" s="1841" t="s">
        <v>5651</v>
      </c>
      <c r="C38" s="1984" t="s">
        <v>5544</v>
      </c>
      <c r="D38" s="1984" t="s">
        <v>5544</v>
      </c>
      <c r="E38" s="1984" t="s">
        <v>5544</v>
      </c>
      <c r="F38" s="1984" t="s">
        <v>5544</v>
      </c>
      <c r="G38" s="1984" t="s">
        <v>5544</v>
      </c>
      <c r="H38" s="1984" t="s">
        <v>5544</v>
      </c>
      <c r="I38" s="2078"/>
      <c r="J38" s="1838"/>
    </row>
    <row r="39" spans="1:10" s="1603" customFormat="1" ht="12.75" customHeight="1">
      <c r="A39" s="1837">
        <v>35</v>
      </c>
      <c r="B39" s="1841" t="s">
        <v>5652</v>
      </c>
      <c r="C39" s="1984" t="s">
        <v>5544</v>
      </c>
      <c r="D39" s="1984" t="s">
        <v>5544</v>
      </c>
      <c r="E39" s="1984" t="s">
        <v>5544</v>
      </c>
      <c r="F39" s="1984" t="s">
        <v>5544</v>
      </c>
      <c r="G39" s="1984" t="s">
        <v>5544</v>
      </c>
      <c r="H39" s="1984" t="s">
        <v>5544</v>
      </c>
      <c r="I39" s="2078"/>
      <c r="J39" s="1838"/>
    </row>
    <row r="40" spans="1:10" s="1603" customFormat="1" ht="12.75" customHeight="1">
      <c r="A40" s="1837">
        <v>36</v>
      </c>
      <c r="B40" s="1841" t="s">
        <v>5653</v>
      </c>
      <c r="C40" s="2077">
        <f>SUM(C41:C43)</f>
        <v>0</v>
      </c>
      <c r="D40" s="2077">
        <f t="shared" ref="D40:I40" si="6">SUM(D41:D43)</f>
        <v>0</v>
      </c>
      <c r="E40" s="2077">
        <f t="shared" si="6"/>
        <v>0</v>
      </c>
      <c r="F40" s="2077">
        <f t="shared" si="6"/>
        <v>0</v>
      </c>
      <c r="G40" s="2077">
        <f t="shared" si="6"/>
        <v>0</v>
      </c>
      <c r="H40" s="2077">
        <f t="shared" si="6"/>
        <v>0</v>
      </c>
      <c r="I40" s="2077">
        <f t="shared" si="6"/>
        <v>0</v>
      </c>
      <c r="J40" s="1838"/>
    </row>
    <row r="41" spans="1:10" s="1603" customFormat="1" ht="12.75" customHeight="1">
      <c r="A41" s="1837">
        <v>37</v>
      </c>
      <c r="B41" s="1841" t="s">
        <v>5654</v>
      </c>
      <c r="C41" s="2078"/>
      <c r="D41" s="2078"/>
      <c r="E41" s="2078"/>
      <c r="F41" s="2078"/>
      <c r="G41" s="2078"/>
      <c r="H41" s="2077">
        <f t="shared" ref="H41:H43" si="7">C41-D41-E41-F41+G41</f>
        <v>0</v>
      </c>
      <c r="I41" s="2078"/>
      <c r="J41" s="1838"/>
    </row>
    <row r="42" spans="1:10" s="1603" customFormat="1" ht="24" customHeight="1">
      <c r="A42" s="1837">
        <v>38</v>
      </c>
      <c r="B42" s="1841" t="s">
        <v>5655</v>
      </c>
      <c r="C42" s="2078"/>
      <c r="D42" s="2078"/>
      <c r="E42" s="2078"/>
      <c r="F42" s="2078"/>
      <c r="G42" s="2078"/>
      <c r="H42" s="2077">
        <f t="shared" si="7"/>
        <v>0</v>
      </c>
      <c r="I42" s="2078"/>
      <c r="J42" s="1838"/>
    </row>
    <row r="43" spans="1:10" s="1603" customFormat="1" ht="12.75" customHeight="1">
      <c r="A43" s="1837">
        <v>39</v>
      </c>
      <c r="B43" s="1841" t="s">
        <v>5656</v>
      </c>
      <c r="C43" s="2078"/>
      <c r="D43" s="2078"/>
      <c r="E43" s="2078"/>
      <c r="F43" s="2078"/>
      <c r="G43" s="2078"/>
      <c r="H43" s="2077">
        <f t="shared" si="7"/>
        <v>0</v>
      </c>
      <c r="I43" s="2078"/>
      <c r="J43" s="1838"/>
    </row>
    <row r="44" spans="1:10" s="1603" customFormat="1" ht="40.5" customHeight="1">
      <c r="A44" s="1837">
        <v>40</v>
      </c>
      <c r="B44" s="1841" t="s">
        <v>5657</v>
      </c>
      <c r="C44" s="2077">
        <f>C5+C21+C30+C37+C40</f>
        <v>0</v>
      </c>
      <c r="D44" s="2077">
        <f t="shared" ref="D44:I44" si="8">D5+D21+D30+D37+D40</f>
        <v>0</v>
      </c>
      <c r="E44" s="2077">
        <f t="shared" si="8"/>
        <v>0</v>
      </c>
      <c r="F44" s="2077">
        <f t="shared" si="8"/>
        <v>0</v>
      </c>
      <c r="G44" s="2077">
        <f>G5+G21+G30+G40</f>
        <v>0</v>
      </c>
      <c r="H44" s="2077">
        <f t="shared" si="8"/>
        <v>0</v>
      </c>
      <c r="I44" s="2077">
        <f t="shared" si="8"/>
        <v>0</v>
      </c>
      <c r="J44" s="1841" t="s">
        <v>5658</v>
      </c>
    </row>
  </sheetData>
  <mergeCells count="3">
    <mergeCell ref="A2:I2"/>
    <mergeCell ref="A3:A4"/>
    <mergeCell ref="B3:B4"/>
  </mergeCells>
  <phoneticPr fontId="51" type="noConversion"/>
  <hyperlinks>
    <hyperlink ref="K12" location="A107020所得减免优惠明细表!A1" display="A107020所得减免优惠明细表!A1"/>
  </hyperlinks>
  <printOptions horizontalCentered="1"/>
  <pageMargins left="0.78740157480314998" right="0.35433070866141703" top="0.511811023622047" bottom="0.11811023622047198" header="0.511811023622047" footer="0.511811023622047"/>
  <pageSetup paperSize="9" orientation="landscape" r:id="rId1"/>
</worksheet>
</file>

<file path=xl/worksheets/sheet5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72">
    <tabColor rgb="FFFFFF00"/>
  </sheetPr>
  <dimension ref="A1:F26"/>
  <sheetViews>
    <sheetView workbookViewId="0">
      <selection activeCell="C10" sqref="C10"/>
    </sheetView>
  </sheetViews>
  <sheetFormatPr defaultRowHeight="15.6"/>
  <cols>
    <col min="1" max="1" width="5.19921875" style="1608" customWidth="1"/>
    <col min="2" max="2" width="56.3984375" style="1608" customWidth="1"/>
    <col min="3" max="3" width="19.19921875" style="1608" customWidth="1"/>
    <col min="4" max="4" width="11.8984375" style="1608" customWidth="1"/>
    <col min="5" max="5" width="9" style="1608"/>
    <col min="6" max="6" width="41.5" style="1608" customWidth="1"/>
    <col min="7" max="256" width="9" style="1608"/>
    <col min="257" max="257" width="5.19921875" style="1608" customWidth="1"/>
    <col min="258" max="258" width="56.3984375" style="1608" customWidth="1"/>
    <col min="259" max="259" width="19.19921875" style="1608" customWidth="1"/>
    <col min="260" max="260" width="11.8984375" style="1608" customWidth="1"/>
    <col min="261" max="261" width="9" style="1608"/>
    <col min="262" max="262" width="41.5" style="1608" customWidth="1"/>
    <col min="263" max="512" width="9" style="1608"/>
    <col min="513" max="513" width="5.19921875" style="1608" customWidth="1"/>
    <col min="514" max="514" width="56.3984375" style="1608" customWidth="1"/>
    <col min="515" max="515" width="19.19921875" style="1608" customWidth="1"/>
    <col min="516" max="516" width="11.8984375" style="1608" customWidth="1"/>
    <col min="517" max="517" width="9" style="1608"/>
    <col min="518" max="518" width="41.5" style="1608" customWidth="1"/>
    <col min="519" max="768" width="9" style="1608"/>
    <col min="769" max="769" width="5.19921875" style="1608" customWidth="1"/>
    <col min="770" max="770" width="56.3984375" style="1608" customWidth="1"/>
    <col min="771" max="771" width="19.19921875" style="1608" customWidth="1"/>
    <col min="772" max="772" width="11.8984375" style="1608" customWidth="1"/>
    <col min="773" max="773" width="9" style="1608"/>
    <col min="774" max="774" width="41.5" style="1608" customWidth="1"/>
    <col min="775" max="1024" width="9" style="1608"/>
    <col min="1025" max="1025" width="5.19921875" style="1608" customWidth="1"/>
    <col min="1026" max="1026" width="56.3984375" style="1608" customWidth="1"/>
    <col min="1027" max="1027" width="19.19921875" style="1608" customWidth="1"/>
    <col min="1028" max="1028" width="11.8984375" style="1608" customWidth="1"/>
    <col min="1029" max="1029" width="9" style="1608"/>
    <col min="1030" max="1030" width="41.5" style="1608" customWidth="1"/>
    <col min="1031" max="1280" width="9" style="1608"/>
    <col min="1281" max="1281" width="5.19921875" style="1608" customWidth="1"/>
    <col min="1282" max="1282" width="56.3984375" style="1608" customWidth="1"/>
    <col min="1283" max="1283" width="19.19921875" style="1608" customWidth="1"/>
    <col min="1284" max="1284" width="11.8984375" style="1608" customWidth="1"/>
    <col min="1285" max="1285" width="9" style="1608"/>
    <col min="1286" max="1286" width="41.5" style="1608" customWidth="1"/>
    <col min="1287" max="1536" width="9" style="1608"/>
    <col min="1537" max="1537" width="5.19921875" style="1608" customWidth="1"/>
    <col min="1538" max="1538" width="56.3984375" style="1608" customWidth="1"/>
    <col min="1539" max="1539" width="19.19921875" style="1608" customWidth="1"/>
    <col min="1540" max="1540" width="11.8984375" style="1608" customWidth="1"/>
    <col min="1541" max="1541" width="9" style="1608"/>
    <col min="1542" max="1542" width="41.5" style="1608" customWidth="1"/>
    <col min="1543" max="1792" width="9" style="1608"/>
    <col min="1793" max="1793" width="5.19921875" style="1608" customWidth="1"/>
    <col min="1794" max="1794" width="56.3984375" style="1608" customWidth="1"/>
    <col min="1795" max="1795" width="19.19921875" style="1608" customWidth="1"/>
    <col min="1796" max="1796" width="11.8984375" style="1608" customWidth="1"/>
    <col min="1797" max="1797" width="9" style="1608"/>
    <col min="1798" max="1798" width="41.5" style="1608" customWidth="1"/>
    <col min="1799" max="2048" width="9" style="1608"/>
    <col min="2049" max="2049" width="5.19921875" style="1608" customWidth="1"/>
    <col min="2050" max="2050" width="56.3984375" style="1608" customWidth="1"/>
    <col min="2051" max="2051" width="19.19921875" style="1608" customWidth="1"/>
    <col min="2052" max="2052" width="11.8984375" style="1608" customWidth="1"/>
    <col min="2053" max="2053" width="9" style="1608"/>
    <col min="2054" max="2054" width="41.5" style="1608" customWidth="1"/>
    <col min="2055" max="2304" width="9" style="1608"/>
    <col min="2305" max="2305" width="5.19921875" style="1608" customWidth="1"/>
    <col min="2306" max="2306" width="56.3984375" style="1608" customWidth="1"/>
    <col min="2307" max="2307" width="19.19921875" style="1608" customWidth="1"/>
    <col min="2308" max="2308" width="11.8984375" style="1608" customWidth="1"/>
    <col min="2309" max="2309" width="9" style="1608"/>
    <col min="2310" max="2310" width="41.5" style="1608" customWidth="1"/>
    <col min="2311" max="2560" width="9" style="1608"/>
    <col min="2561" max="2561" width="5.19921875" style="1608" customWidth="1"/>
    <col min="2562" max="2562" width="56.3984375" style="1608" customWidth="1"/>
    <col min="2563" max="2563" width="19.19921875" style="1608" customWidth="1"/>
    <col min="2564" max="2564" width="11.8984375" style="1608" customWidth="1"/>
    <col min="2565" max="2565" width="9" style="1608"/>
    <col min="2566" max="2566" width="41.5" style="1608" customWidth="1"/>
    <col min="2567" max="2816" width="9" style="1608"/>
    <col min="2817" max="2817" width="5.19921875" style="1608" customWidth="1"/>
    <col min="2818" max="2818" width="56.3984375" style="1608" customWidth="1"/>
    <col min="2819" max="2819" width="19.19921875" style="1608" customWidth="1"/>
    <col min="2820" max="2820" width="11.8984375" style="1608" customWidth="1"/>
    <col min="2821" max="2821" width="9" style="1608"/>
    <col min="2822" max="2822" width="41.5" style="1608" customWidth="1"/>
    <col min="2823" max="3072" width="9" style="1608"/>
    <col min="3073" max="3073" width="5.19921875" style="1608" customWidth="1"/>
    <col min="3074" max="3074" width="56.3984375" style="1608" customWidth="1"/>
    <col min="3075" max="3075" width="19.19921875" style="1608" customWidth="1"/>
    <col min="3076" max="3076" width="11.8984375" style="1608" customWidth="1"/>
    <col min="3077" max="3077" width="9" style="1608"/>
    <col min="3078" max="3078" width="41.5" style="1608" customWidth="1"/>
    <col min="3079" max="3328" width="9" style="1608"/>
    <col min="3329" max="3329" width="5.19921875" style="1608" customWidth="1"/>
    <col min="3330" max="3330" width="56.3984375" style="1608" customWidth="1"/>
    <col min="3331" max="3331" width="19.19921875" style="1608" customWidth="1"/>
    <col min="3332" max="3332" width="11.8984375" style="1608" customWidth="1"/>
    <col min="3333" max="3333" width="9" style="1608"/>
    <col min="3334" max="3334" width="41.5" style="1608" customWidth="1"/>
    <col min="3335" max="3584" width="9" style="1608"/>
    <col min="3585" max="3585" width="5.19921875" style="1608" customWidth="1"/>
    <col min="3586" max="3586" width="56.3984375" style="1608" customWidth="1"/>
    <col min="3587" max="3587" width="19.19921875" style="1608" customWidth="1"/>
    <col min="3588" max="3588" width="11.8984375" style="1608" customWidth="1"/>
    <col min="3589" max="3589" width="9" style="1608"/>
    <col min="3590" max="3590" width="41.5" style="1608" customWidth="1"/>
    <col min="3591" max="3840" width="9" style="1608"/>
    <col min="3841" max="3841" width="5.19921875" style="1608" customWidth="1"/>
    <col min="3842" max="3842" width="56.3984375" style="1608" customWidth="1"/>
    <col min="3843" max="3843" width="19.19921875" style="1608" customWidth="1"/>
    <col min="3844" max="3844" width="11.8984375" style="1608" customWidth="1"/>
    <col min="3845" max="3845" width="9" style="1608"/>
    <col min="3846" max="3846" width="41.5" style="1608" customWidth="1"/>
    <col min="3847" max="4096" width="9" style="1608"/>
    <col min="4097" max="4097" width="5.19921875" style="1608" customWidth="1"/>
    <col min="4098" max="4098" width="56.3984375" style="1608" customWidth="1"/>
    <col min="4099" max="4099" width="19.19921875" style="1608" customWidth="1"/>
    <col min="4100" max="4100" width="11.8984375" style="1608" customWidth="1"/>
    <col min="4101" max="4101" width="9" style="1608"/>
    <col min="4102" max="4102" width="41.5" style="1608" customWidth="1"/>
    <col min="4103" max="4352" width="9" style="1608"/>
    <col min="4353" max="4353" width="5.19921875" style="1608" customWidth="1"/>
    <col min="4354" max="4354" width="56.3984375" style="1608" customWidth="1"/>
    <col min="4355" max="4355" width="19.19921875" style="1608" customWidth="1"/>
    <col min="4356" max="4356" width="11.8984375" style="1608" customWidth="1"/>
    <col min="4357" max="4357" width="9" style="1608"/>
    <col min="4358" max="4358" width="41.5" style="1608" customWidth="1"/>
    <col min="4359" max="4608" width="9" style="1608"/>
    <col min="4609" max="4609" width="5.19921875" style="1608" customWidth="1"/>
    <col min="4610" max="4610" width="56.3984375" style="1608" customWidth="1"/>
    <col min="4611" max="4611" width="19.19921875" style="1608" customWidth="1"/>
    <col min="4612" max="4612" width="11.8984375" style="1608" customWidth="1"/>
    <col min="4613" max="4613" width="9" style="1608"/>
    <col min="4614" max="4614" width="41.5" style="1608" customWidth="1"/>
    <col min="4615" max="4864" width="9" style="1608"/>
    <col min="4865" max="4865" width="5.19921875" style="1608" customWidth="1"/>
    <col min="4866" max="4866" width="56.3984375" style="1608" customWidth="1"/>
    <col min="4867" max="4867" width="19.19921875" style="1608" customWidth="1"/>
    <col min="4868" max="4868" width="11.8984375" style="1608" customWidth="1"/>
    <col min="4869" max="4869" width="9" style="1608"/>
    <col min="4870" max="4870" width="41.5" style="1608" customWidth="1"/>
    <col min="4871" max="5120" width="9" style="1608"/>
    <col min="5121" max="5121" width="5.19921875" style="1608" customWidth="1"/>
    <col min="5122" max="5122" width="56.3984375" style="1608" customWidth="1"/>
    <col min="5123" max="5123" width="19.19921875" style="1608" customWidth="1"/>
    <col min="5124" max="5124" width="11.8984375" style="1608" customWidth="1"/>
    <col min="5125" max="5125" width="9" style="1608"/>
    <col min="5126" max="5126" width="41.5" style="1608" customWidth="1"/>
    <col min="5127" max="5376" width="9" style="1608"/>
    <col min="5377" max="5377" width="5.19921875" style="1608" customWidth="1"/>
    <col min="5378" max="5378" width="56.3984375" style="1608" customWidth="1"/>
    <col min="5379" max="5379" width="19.19921875" style="1608" customWidth="1"/>
    <col min="5380" max="5380" width="11.8984375" style="1608" customWidth="1"/>
    <col min="5381" max="5381" width="9" style="1608"/>
    <col min="5382" max="5382" width="41.5" style="1608" customWidth="1"/>
    <col min="5383" max="5632" width="9" style="1608"/>
    <col min="5633" max="5633" width="5.19921875" style="1608" customWidth="1"/>
    <col min="5634" max="5634" width="56.3984375" style="1608" customWidth="1"/>
    <col min="5635" max="5635" width="19.19921875" style="1608" customWidth="1"/>
    <col min="5636" max="5636" width="11.8984375" style="1608" customWidth="1"/>
    <col min="5637" max="5637" width="9" style="1608"/>
    <col min="5638" max="5638" width="41.5" style="1608" customWidth="1"/>
    <col min="5639" max="5888" width="9" style="1608"/>
    <col min="5889" max="5889" width="5.19921875" style="1608" customWidth="1"/>
    <col min="5890" max="5890" width="56.3984375" style="1608" customWidth="1"/>
    <col min="5891" max="5891" width="19.19921875" style="1608" customWidth="1"/>
    <col min="5892" max="5892" width="11.8984375" style="1608" customWidth="1"/>
    <col min="5893" max="5893" width="9" style="1608"/>
    <col min="5894" max="5894" width="41.5" style="1608" customWidth="1"/>
    <col min="5895" max="6144" width="9" style="1608"/>
    <col min="6145" max="6145" width="5.19921875" style="1608" customWidth="1"/>
    <col min="6146" max="6146" width="56.3984375" style="1608" customWidth="1"/>
    <col min="6147" max="6147" width="19.19921875" style="1608" customWidth="1"/>
    <col min="6148" max="6148" width="11.8984375" style="1608" customWidth="1"/>
    <col min="6149" max="6149" width="9" style="1608"/>
    <col min="6150" max="6150" width="41.5" style="1608" customWidth="1"/>
    <col min="6151" max="6400" width="9" style="1608"/>
    <col min="6401" max="6401" width="5.19921875" style="1608" customWidth="1"/>
    <col min="6402" max="6402" width="56.3984375" style="1608" customWidth="1"/>
    <col min="6403" max="6403" width="19.19921875" style="1608" customWidth="1"/>
    <col min="6404" max="6404" width="11.8984375" style="1608" customWidth="1"/>
    <col min="6405" max="6405" width="9" style="1608"/>
    <col min="6406" max="6406" width="41.5" style="1608" customWidth="1"/>
    <col min="6407" max="6656" width="9" style="1608"/>
    <col min="6657" max="6657" width="5.19921875" style="1608" customWidth="1"/>
    <col min="6658" max="6658" width="56.3984375" style="1608" customWidth="1"/>
    <col min="6659" max="6659" width="19.19921875" style="1608" customWidth="1"/>
    <col min="6660" max="6660" width="11.8984375" style="1608" customWidth="1"/>
    <col min="6661" max="6661" width="9" style="1608"/>
    <col min="6662" max="6662" width="41.5" style="1608" customWidth="1"/>
    <col min="6663" max="6912" width="9" style="1608"/>
    <col min="6913" max="6913" width="5.19921875" style="1608" customWidth="1"/>
    <col min="6914" max="6914" width="56.3984375" style="1608" customWidth="1"/>
    <col min="6915" max="6915" width="19.19921875" style="1608" customWidth="1"/>
    <col min="6916" max="6916" width="11.8984375" style="1608" customWidth="1"/>
    <col min="6917" max="6917" width="9" style="1608"/>
    <col min="6918" max="6918" width="41.5" style="1608" customWidth="1"/>
    <col min="6919" max="7168" width="9" style="1608"/>
    <col min="7169" max="7169" width="5.19921875" style="1608" customWidth="1"/>
    <col min="7170" max="7170" width="56.3984375" style="1608" customWidth="1"/>
    <col min="7171" max="7171" width="19.19921875" style="1608" customWidth="1"/>
    <col min="7172" max="7172" width="11.8984375" style="1608" customWidth="1"/>
    <col min="7173" max="7173" width="9" style="1608"/>
    <col min="7174" max="7174" width="41.5" style="1608" customWidth="1"/>
    <col min="7175" max="7424" width="9" style="1608"/>
    <col min="7425" max="7425" width="5.19921875" style="1608" customWidth="1"/>
    <col min="7426" max="7426" width="56.3984375" style="1608" customWidth="1"/>
    <col min="7427" max="7427" width="19.19921875" style="1608" customWidth="1"/>
    <col min="7428" max="7428" width="11.8984375" style="1608" customWidth="1"/>
    <col min="7429" max="7429" width="9" style="1608"/>
    <col min="7430" max="7430" width="41.5" style="1608" customWidth="1"/>
    <col min="7431" max="7680" width="9" style="1608"/>
    <col min="7681" max="7681" width="5.19921875" style="1608" customWidth="1"/>
    <col min="7682" max="7682" width="56.3984375" style="1608" customWidth="1"/>
    <col min="7683" max="7683" width="19.19921875" style="1608" customWidth="1"/>
    <col min="7684" max="7684" width="11.8984375" style="1608" customWidth="1"/>
    <col min="7685" max="7685" width="9" style="1608"/>
    <col min="7686" max="7686" width="41.5" style="1608" customWidth="1"/>
    <col min="7687" max="7936" width="9" style="1608"/>
    <col min="7937" max="7937" width="5.19921875" style="1608" customWidth="1"/>
    <col min="7938" max="7938" width="56.3984375" style="1608" customWidth="1"/>
    <col min="7939" max="7939" width="19.19921875" style="1608" customWidth="1"/>
    <col min="7940" max="7940" width="11.8984375" style="1608" customWidth="1"/>
    <col min="7941" max="7941" width="9" style="1608"/>
    <col min="7942" max="7942" width="41.5" style="1608" customWidth="1"/>
    <col min="7943" max="8192" width="9" style="1608"/>
    <col min="8193" max="8193" width="5.19921875" style="1608" customWidth="1"/>
    <col min="8194" max="8194" width="56.3984375" style="1608" customWidth="1"/>
    <col min="8195" max="8195" width="19.19921875" style="1608" customWidth="1"/>
    <col min="8196" max="8196" width="11.8984375" style="1608" customWidth="1"/>
    <col min="8197" max="8197" width="9" style="1608"/>
    <col min="8198" max="8198" width="41.5" style="1608" customWidth="1"/>
    <col min="8199" max="8448" width="9" style="1608"/>
    <col min="8449" max="8449" width="5.19921875" style="1608" customWidth="1"/>
    <col min="8450" max="8450" width="56.3984375" style="1608" customWidth="1"/>
    <col min="8451" max="8451" width="19.19921875" style="1608" customWidth="1"/>
    <col min="8452" max="8452" width="11.8984375" style="1608" customWidth="1"/>
    <col min="8453" max="8453" width="9" style="1608"/>
    <col min="8454" max="8454" width="41.5" style="1608" customWidth="1"/>
    <col min="8455" max="8704" width="9" style="1608"/>
    <col min="8705" max="8705" width="5.19921875" style="1608" customWidth="1"/>
    <col min="8706" max="8706" width="56.3984375" style="1608" customWidth="1"/>
    <col min="8707" max="8707" width="19.19921875" style="1608" customWidth="1"/>
    <col min="8708" max="8708" width="11.8984375" style="1608" customWidth="1"/>
    <col min="8709" max="8709" width="9" style="1608"/>
    <col min="8710" max="8710" width="41.5" style="1608" customWidth="1"/>
    <col min="8711" max="8960" width="9" style="1608"/>
    <col min="8961" max="8961" width="5.19921875" style="1608" customWidth="1"/>
    <col min="8962" max="8962" width="56.3984375" style="1608" customWidth="1"/>
    <col min="8963" max="8963" width="19.19921875" style="1608" customWidth="1"/>
    <col min="8964" max="8964" width="11.8984375" style="1608" customWidth="1"/>
    <col min="8965" max="8965" width="9" style="1608"/>
    <col min="8966" max="8966" width="41.5" style="1608" customWidth="1"/>
    <col min="8967" max="9216" width="9" style="1608"/>
    <col min="9217" max="9217" width="5.19921875" style="1608" customWidth="1"/>
    <col min="9218" max="9218" width="56.3984375" style="1608" customWidth="1"/>
    <col min="9219" max="9219" width="19.19921875" style="1608" customWidth="1"/>
    <col min="9220" max="9220" width="11.8984375" style="1608" customWidth="1"/>
    <col min="9221" max="9221" width="9" style="1608"/>
    <col min="9222" max="9222" width="41.5" style="1608" customWidth="1"/>
    <col min="9223" max="9472" width="9" style="1608"/>
    <col min="9473" max="9473" width="5.19921875" style="1608" customWidth="1"/>
    <col min="9474" max="9474" width="56.3984375" style="1608" customWidth="1"/>
    <col min="9475" max="9475" width="19.19921875" style="1608" customWidth="1"/>
    <col min="9476" max="9476" width="11.8984375" style="1608" customWidth="1"/>
    <col min="9477" max="9477" width="9" style="1608"/>
    <col min="9478" max="9478" width="41.5" style="1608" customWidth="1"/>
    <col min="9479" max="9728" width="9" style="1608"/>
    <col min="9729" max="9729" width="5.19921875" style="1608" customWidth="1"/>
    <col min="9730" max="9730" width="56.3984375" style="1608" customWidth="1"/>
    <col min="9731" max="9731" width="19.19921875" style="1608" customWidth="1"/>
    <col min="9732" max="9732" width="11.8984375" style="1608" customWidth="1"/>
    <col min="9733" max="9733" width="9" style="1608"/>
    <col min="9734" max="9734" width="41.5" style="1608" customWidth="1"/>
    <col min="9735" max="9984" width="9" style="1608"/>
    <col min="9985" max="9985" width="5.19921875" style="1608" customWidth="1"/>
    <col min="9986" max="9986" width="56.3984375" style="1608" customWidth="1"/>
    <col min="9987" max="9987" width="19.19921875" style="1608" customWidth="1"/>
    <col min="9988" max="9988" width="11.8984375" style="1608" customWidth="1"/>
    <col min="9989" max="9989" width="9" style="1608"/>
    <col min="9990" max="9990" width="41.5" style="1608" customWidth="1"/>
    <col min="9991" max="10240" width="9" style="1608"/>
    <col min="10241" max="10241" width="5.19921875" style="1608" customWidth="1"/>
    <col min="10242" max="10242" width="56.3984375" style="1608" customWidth="1"/>
    <col min="10243" max="10243" width="19.19921875" style="1608" customWidth="1"/>
    <col min="10244" max="10244" width="11.8984375" style="1608" customWidth="1"/>
    <col min="10245" max="10245" width="9" style="1608"/>
    <col min="10246" max="10246" width="41.5" style="1608" customWidth="1"/>
    <col min="10247" max="10496" width="9" style="1608"/>
    <col min="10497" max="10497" width="5.19921875" style="1608" customWidth="1"/>
    <col min="10498" max="10498" width="56.3984375" style="1608" customWidth="1"/>
    <col min="10499" max="10499" width="19.19921875" style="1608" customWidth="1"/>
    <col min="10500" max="10500" width="11.8984375" style="1608" customWidth="1"/>
    <col min="10501" max="10501" width="9" style="1608"/>
    <col min="10502" max="10502" width="41.5" style="1608" customWidth="1"/>
    <col min="10503" max="10752" width="9" style="1608"/>
    <col min="10753" max="10753" width="5.19921875" style="1608" customWidth="1"/>
    <col min="10754" max="10754" width="56.3984375" style="1608" customWidth="1"/>
    <col min="10755" max="10755" width="19.19921875" style="1608" customWidth="1"/>
    <col min="10756" max="10756" width="11.8984375" style="1608" customWidth="1"/>
    <col min="10757" max="10757" width="9" style="1608"/>
    <col min="10758" max="10758" width="41.5" style="1608" customWidth="1"/>
    <col min="10759" max="11008" width="9" style="1608"/>
    <col min="11009" max="11009" width="5.19921875" style="1608" customWidth="1"/>
    <col min="11010" max="11010" width="56.3984375" style="1608" customWidth="1"/>
    <col min="11011" max="11011" width="19.19921875" style="1608" customWidth="1"/>
    <col min="11012" max="11012" width="11.8984375" style="1608" customWidth="1"/>
    <col min="11013" max="11013" width="9" style="1608"/>
    <col min="11014" max="11014" width="41.5" style="1608" customWidth="1"/>
    <col min="11015" max="11264" width="9" style="1608"/>
    <col min="11265" max="11265" width="5.19921875" style="1608" customWidth="1"/>
    <col min="11266" max="11266" width="56.3984375" style="1608" customWidth="1"/>
    <col min="11267" max="11267" width="19.19921875" style="1608" customWidth="1"/>
    <col min="11268" max="11268" width="11.8984375" style="1608" customWidth="1"/>
    <col min="11269" max="11269" width="9" style="1608"/>
    <col min="11270" max="11270" width="41.5" style="1608" customWidth="1"/>
    <col min="11271" max="11520" width="9" style="1608"/>
    <col min="11521" max="11521" width="5.19921875" style="1608" customWidth="1"/>
    <col min="11522" max="11522" width="56.3984375" style="1608" customWidth="1"/>
    <col min="11523" max="11523" width="19.19921875" style="1608" customWidth="1"/>
    <col min="11524" max="11524" width="11.8984375" style="1608" customWidth="1"/>
    <col min="11525" max="11525" width="9" style="1608"/>
    <col min="11526" max="11526" width="41.5" style="1608" customWidth="1"/>
    <col min="11527" max="11776" width="9" style="1608"/>
    <col min="11777" max="11777" width="5.19921875" style="1608" customWidth="1"/>
    <col min="11778" max="11778" width="56.3984375" style="1608" customWidth="1"/>
    <col min="11779" max="11779" width="19.19921875" style="1608" customWidth="1"/>
    <col min="11780" max="11780" width="11.8984375" style="1608" customWidth="1"/>
    <col min="11781" max="11781" width="9" style="1608"/>
    <col min="11782" max="11782" width="41.5" style="1608" customWidth="1"/>
    <col min="11783" max="12032" width="9" style="1608"/>
    <col min="12033" max="12033" width="5.19921875" style="1608" customWidth="1"/>
    <col min="12034" max="12034" width="56.3984375" style="1608" customWidth="1"/>
    <col min="12035" max="12035" width="19.19921875" style="1608" customWidth="1"/>
    <col min="12036" max="12036" width="11.8984375" style="1608" customWidth="1"/>
    <col min="12037" max="12037" width="9" style="1608"/>
    <col min="12038" max="12038" width="41.5" style="1608" customWidth="1"/>
    <col min="12039" max="12288" width="9" style="1608"/>
    <col min="12289" max="12289" width="5.19921875" style="1608" customWidth="1"/>
    <col min="12290" max="12290" width="56.3984375" style="1608" customWidth="1"/>
    <col min="12291" max="12291" width="19.19921875" style="1608" customWidth="1"/>
    <col min="12292" max="12292" width="11.8984375" style="1608" customWidth="1"/>
    <col min="12293" max="12293" width="9" style="1608"/>
    <col min="12294" max="12294" width="41.5" style="1608" customWidth="1"/>
    <col min="12295" max="12544" width="9" style="1608"/>
    <col min="12545" max="12545" width="5.19921875" style="1608" customWidth="1"/>
    <col min="12546" max="12546" width="56.3984375" style="1608" customWidth="1"/>
    <col min="12547" max="12547" width="19.19921875" style="1608" customWidth="1"/>
    <col min="12548" max="12548" width="11.8984375" style="1608" customWidth="1"/>
    <col min="12549" max="12549" width="9" style="1608"/>
    <col min="12550" max="12550" width="41.5" style="1608" customWidth="1"/>
    <col min="12551" max="12800" width="9" style="1608"/>
    <col min="12801" max="12801" width="5.19921875" style="1608" customWidth="1"/>
    <col min="12802" max="12802" width="56.3984375" style="1608" customWidth="1"/>
    <col min="12803" max="12803" width="19.19921875" style="1608" customWidth="1"/>
    <col min="12804" max="12804" width="11.8984375" style="1608" customWidth="1"/>
    <col min="12805" max="12805" width="9" style="1608"/>
    <col min="12806" max="12806" width="41.5" style="1608" customWidth="1"/>
    <col min="12807" max="13056" width="9" style="1608"/>
    <col min="13057" max="13057" width="5.19921875" style="1608" customWidth="1"/>
    <col min="13058" max="13058" width="56.3984375" style="1608" customWidth="1"/>
    <col min="13059" max="13059" width="19.19921875" style="1608" customWidth="1"/>
    <col min="13060" max="13060" width="11.8984375" style="1608" customWidth="1"/>
    <col min="13061" max="13061" width="9" style="1608"/>
    <col min="13062" max="13062" width="41.5" style="1608" customWidth="1"/>
    <col min="13063" max="13312" width="9" style="1608"/>
    <col min="13313" max="13313" width="5.19921875" style="1608" customWidth="1"/>
    <col min="13314" max="13314" width="56.3984375" style="1608" customWidth="1"/>
    <col min="13315" max="13315" width="19.19921875" style="1608" customWidth="1"/>
    <col min="13316" max="13316" width="11.8984375" style="1608" customWidth="1"/>
    <col min="13317" max="13317" width="9" style="1608"/>
    <col min="13318" max="13318" width="41.5" style="1608" customWidth="1"/>
    <col min="13319" max="13568" width="9" style="1608"/>
    <col min="13569" max="13569" width="5.19921875" style="1608" customWidth="1"/>
    <col min="13570" max="13570" width="56.3984375" style="1608" customWidth="1"/>
    <col min="13571" max="13571" width="19.19921875" style="1608" customWidth="1"/>
    <col min="13572" max="13572" width="11.8984375" style="1608" customWidth="1"/>
    <col min="13573" max="13573" width="9" style="1608"/>
    <col min="13574" max="13574" width="41.5" style="1608" customWidth="1"/>
    <col min="13575" max="13824" width="9" style="1608"/>
    <col min="13825" max="13825" width="5.19921875" style="1608" customWidth="1"/>
    <col min="13826" max="13826" width="56.3984375" style="1608" customWidth="1"/>
    <col min="13827" max="13827" width="19.19921875" style="1608" customWidth="1"/>
    <col min="13828" max="13828" width="11.8984375" style="1608" customWidth="1"/>
    <col min="13829" max="13829" width="9" style="1608"/>
    <col min="13830" max="13830" width="41.5" style="1608" customWidth="1"/>
    <col min="13831" max="14080" width="9" style="1608"/>
    <col min="14081" max="14081" width="5.19921875" style="1608" customWidth="1"/>
    <col min="14082" max="14082" width="56.3984375" style="1608" customWidth="1"/>
    <col min="14083" max="14083" width="19.19921875" style="1608" customWidth="1"/>
    <col min="14084" max="14084" width="11.8984375" style="1608" customWidth="1"/>
    <col min="14085" max="14085" width="9" style="1608"/>
    <col min="14086" max="14086" width="41.5" style="1608" customWidth="1"/>
    <col min="14087" max="14336" width="9" style="1608"/>
    <col min="14337" max="14337" width="5.19921875" style="1608" customWidth="1"/>
    <col min="14338" max="14338" width="56.3984375" style="1608" customWidth="1"/>
    <col min="14339" max="14339" width="19.19921875" style="1608" customWidth="1"/>
    <col min="14340" max="14340" width="11.8984375" style="1608" customWidth="1"/>
    <col min="14341" max="14341" width="9" style="1608"/>
    <col min="14342" max="14342" width="41.5" style="1608" customWidth="1"/>
    <col min="14343" max="14592" width="9" style="1608"/>
    <col min="14593" max="14593" width="5.19921875" style="1608" customWidth="1"/>
    <col min="14594" max="14594" width="56.3984375" style="1608" customWidth="1"/>
    <col min="14595" max="14595" width="19.19921875" style="1608" customWidth="1"/>
    <col min="14596" max="14596" width="11.8984375" style="1608" customWidth="1"/>
    <col min="14597" max="14597" width="9" style="1608"/>
    <col min="14598" max="14598" width="41.5" style="1608" customWidth="1"/>
    <col min="14599" max="14848" width="9" style="1608"/>
    <col min="14849" max="14849" width="5.19921875" style="1608" customWidth="1"/>
    <col min="14850" max="14850" width="56.3984375" style="1608" customWidth="1"/>
    <col min="14851" max="14851" width="19.19921875" style="1608" customWidth="1"/>
    <col min="14852" max="14852" width="11.8984375" style="1608" customWidth="1"/>
    <col min="14853" max="14853" width="9" style="1608"/>
    <col min="14854" max="14854" width="41.5" style="1608" customWidth="1"/>
    <col min="14855" max="15104" width="9" style="1608"/>
    <col min="15105" max="15105" width="5.19921875" style="1608" customWidth="1"/>
    <col min="15106" max="15106" width="56.3984375" style="1608" customWidth="1"/>
    <col min="15107" max="15107" width="19.19921875" style="1608" customWidth="1"/>
    <col min="15108" max="15108" width="11.8984375" style="1608" customWidth="1"/>
    <col min="15109" max="15109" width="9" style="1608"/>
    <col min="15110" max="15110" width="41.5" style="1608" customWidth="1"/>
    <col min="15111" max="15360" width="9" style="1608"/>
    <col min="15361" max="15361" width="5.19921875" style="1608" customWidth="1"/>
    <col min="15362" max="15362" width="56.3984375" style="1608" customWidth="1"/>
    <col min="15363" max="15363" width="19.19921875" style="1608" customWidth="1"/>
    <col min="15364" max="15364" width="11.8984375" style="1608" customWidth="1"/>
    <col min="15365" max="15365" width="9" style="1608"/>
    <col min="15366" max="15366" width="41.5" style="1608" customWidth="1"/>
    <col min="15367" max="15616" width="9" style="1608"/>
    <col min="15617" max="15617" width="5.19921875" style="1608" customWidth="1"/>
    <col min="15618" max="15618" width="56.3984375" style="1608" customWidth="1"/>
    <col min="15619" max="15619" width="19.19921875" style="1608" customWidth="1"/>
    <col min="15620" max="15620" width="11.8984375" style="1608" customWidth="1"/>
    <col min="15621" max="15621" width="9" style="1608"/>
    <col min="15622" max="15622" width="41.5" style="1608" customWidth="1"/>
    <col min="15623" max="15872" width="9" style="1608"/>
    <col min="15873" max="15873" width="5.19921875" style="1608" customWidth="1"/>
    <col min="15874" max="15874" width="56.3984375" style="1608" customWidth="1"/>
    <col min="15875" max="15875" width="19.19921875" style="1608" customWidth="1"/>
    <col min="15876" max="15876" width="11.8984375" style="1608" customWidth="1"/>
    <col min="15877" max="15877" width="9" style="1608"/>
    <col min="15878" max="15878" width="41.5" style="1608" customWidth="1"/>
    <col min="15879" max="16128" width="9" style="1608"/>
    <col min="16129" max="16129" width="5.19921875" style="1608" customWidth="1"/>
    <col min="16130" max="16130" width="56.3984375" style="1608" customWidth="1"/>
    <col min="16131" max="16131" width="19.19921875" style="1608" customWidth="1"/>
    <col min="16132" max="16132" width="11.8984375" style="1608" customWidth="1"/>
    <col min="16133" max="16133" width="9" style="1608"/>
    <col min="16134" max="16134" width="41.5" style="1608" customWidth="1"/>
    <col min="16135" max="16384" width="9" style="1608"/>
  </cols>
  <sheetData>
    <row r="1" spans="1:6" ht="20.100000000000001" customHeight="1">
      <c r="A1" s="2169"/>
      <c r="B1" s="2169"/>
      <c r="C1" s="2169"/>
      <c r="D1" s="2170" t="str">
        <f>"索引号："&amp;档案索引!D12</f>
        <v>索引号：2B-7</v>
      </c>
    </row>
    <row r="2" spans="1:6" s="1609" customFormat="1" ht="25.5" customHeight="1">
      <c r="A2" s="3379" t="s">
        <v>5940</v>
      </c>
      <c r="B2" s="3379"/>
      <c r="C2" s="3439"/>
      <c r="D2" s="1878"/>
    </row>
    <row r="3" spans="1:6" s="1610" customFormat="1" ht="14.25" customHeight="1">
      <c r="A3" s="1879" t="s">
        <v>1854</v>
      </c>
      <c r="B3" s="1879" t="s">
        <v>666</v>
      </c>
      <c r="C3" s="1879" t="s">
        <v>2354</v>
      </c>
      <c r="D3" s="1879" t="s">
        <v>4901</v>
      </c>
      <c r="F3" s="1611"/>
    </row>
    <row r="4" spans="1:6" s="1610" customFormat="1" ht="14.25" customHeight="1">
      <c r="A4" s="3454" t="s">
        <v>6831</v>
      </c>
      <c r="B4" s="3455"/>
      <c r="C4" s="3455"/>
      <c r="D4" s="3456"/>
    </row>
    <row r="5" spans="1:6" s="1610" customFormat="1" ht="14.25" customHeight="1">
      <c r="A5" s="1879">
        <v>1</v>
      </c>
      <c r="B5" s="1881" t="s">
        <v>5661</v>
      </c>
      <c r="C5" s="1612"/>
      <c r="D5" s="1985"/>
    </row>
    <row r="6" spans="1:6" s="1610" customFormat="1" ht="14.25" customHeight="1">
      <c r="A6" s="1879">
        <v>2</v>
      </c>
      <c r="B6" s="1880" t="s">
        <v>5662</v>
      </c>
      <c r="C6" s="2285">
        <v>0.7</v>
      </c>
      <c r="D6" s="1985"/>
    </row>
    <row r="7" spans="1:6" s="1610" customFormat="1" ht="14.25" customHeight="1">
      <c r="A7" s="1879">
        <v>3</v>
      </c>
      <c r="B7" s="1880" t="s">
        <v>6832</v>
      </c>
      <c r="C7" s="2077">
        <f>ROUND(C5*C6,2)</f>
        <v>0</v>
      </c>
      <c r="D7" s="1985"/>
    </row>
    <row r="8" spans="1:6" s="1610" customFormat="1" ht="14.25" customHeight="1">
      <c r="A8" s="1879">
        <v>4</v>
      </c>
      <c r="B8" s="1880" t="s">
        <v>5663</v>
      </c>
      <c r="C8" s="2240"/>
      <c r="D8" s="1985"/>
    </row>
    <row r="9" spans="1:6" s="1610" customFormat="1" ht="14.25" customHeight="1">
      <c r="A9" s="1879">
        <v>5</v>
      </c>
      <c r="B9" s="1880" t="s">
        <v>6833</v>
      </c>
      <c r="C9" s="2077">
        <f>C7+C8</f>
        <v>0</v>
      </c>
      <c r="D9" s="1985"/>
    </row>
    <row r="10" spans="1:6" s="1610" customFormat="1" ht="14.25" customHeight="1">
      <c r="A10" s="1879">
        <v>6</v>
      </c>
      <c r="B10" s="1880" t="s">
        <v>5664</v>
      </c>
      <c r="C10" s="2077">
        <f ca="1">MAX('A100000中华人民共和国企业所得税年度纳税申报表（A类）'!$D$22-'A100000中华人民共和国企业所得税年度纳税申报表（A类）'!$D$23-$C$18,0)</f>
        <v>0</v>
      </c>
      <c r="D10" s="2286" t="s">
        <v>6846</v>
      </c>
    </row>
    <row r="11" spans="1:6" s="1610" customFormat="1" ht="14.25" customHeight="1">
      <c r="A11" s="1879">
        <v>7</v>
      </c>
      <c r="B11" s="1880" t="s">
        <v>6834</v>
      </c>
      <c r="C11" s="2077">
        <f ca="1">MIN(C9,C10)</f>
        <v>0</v>
      </c>
      <c r="D11" s="1985"/>
    </row>
    <row r="12" spans="1:6" s="1610" customFormat="1" ht="14.25" customHeight="1">
      <c r="A12" s="1879">
        <v>8</v>
      </c>
      <c r="B12" s="1880" t="s">
        <v>5667</v>
      </c>
      <c r="C12" s="2077">
        <f ca="1">C9-C11</f>
        <v>0</v>
      </c>
      <c r="D12" s="1985"/>
    </row>
    <row r="13" spans="1:6" s="1610" customFormat="1" ht="14.25" customHeight="1">
      <c r="A13" s="3454" t="s">
        <v>6835</v>
      </c>
      <c r="B13" s="3455"/>
      <c r="C13" s="3455"/>
      <c r="D13" s="3456"/>
    </row>
    <row r="14" spans="1:6" s="1610" customFormat="1" ht="14.25" customHeight="1">
      <c r="A14" s="1879">
        <v>9</v>
      </c>
      <c r="B14" s="1880" t="s">
        <v>6837</v>
      </c>
      <c r="C14" s="2240"/>
      <c r="D14" s="1985"/>
    </row>
    <row r="15" spans="1:6" s="1610" customFormat="1" ht="14.25" customHeight="1">
      <c r="A15" s="1879">
        <v>10</v>
      </c>
      <c r="B15" s="1880" t="s">
        <v>6838</v>
      </c>
      <c r="C15" s="2240"/>
      <c r="D15" s="1985"/>
    </row>
    <row r="16" spans="1:6" s="1610" customFormat="1" ht="14.25" customHeight="1">
      <c r="A16" s="1879">
        <v>11</v>
      </c>
      <c r="B16" s="1880" t="s">
        <v>6839</v>
      </c>
      <c r="C16" s="2240"/>
      <c r="D16" s="1985"/>
    </row>
    <row r="17" spans="1:5" s="1610" customFormat="1" ht="14.25" customHeight="1">
      <c r="A17" s="1879">
        <v>12</v>
      </c>
      <c r="B17" s="1880" t="s">
        <v>6840</v>
      </c>
      <c r="C17" s="2077">
        <f>C15+C16</f>
        <v>0</v>
      </c>
      <c r="D17" s="1985"/>
    </row>
    <row r="18" spans="1:5" s="1610" customFormat="1" ht="48.75" customHeight="1">
      <c r="A18" s="1879">
        <v>13</v>
      </c>
      <c r="B18" s="1880" t="s">
        <v>6841</v>
      </c>
      <c r="C18" s="2077">
        <f ca="1">MAX(0,MIN(C14,C17,'A100000中华人民共和国企业所得税年度纳税申报表（A类）'!$D$22-'A100000中华人民共和国企业所得税年度纳税申报表（A类）'!$D$23))</f>
        <v>0</v>
      </c>
      <c r="D18" s="1986" t="s">
        <v>5665</v>
      </c>
    </row>
    <row r="19" spans="1:5" s="1610" customFormat="1" ht="30" customHeight="1">
      <c r="A19" s="1879">
        <v>14</v>
      </c>
      <c r="B19" s="1880" t="s">
        <v>6842</v>
      </c>
      <c r="C19" s="2077">
        <f>MAX(C17-C14,0)</f>
        <v>0</v>
      </c>
      <c r="D19" s="1987" t="s">
        <v>5666</v>
      </c>
      <c r="E19" s="1675" t="s">
        <v>6468</v>
      </c>
    </row>
    <row r="20" spans="1:5" s="1610" customFormat="1" ht="30" customHeight="1">
      <c r="A20" s="3454" t="s">
        <v>6836</v>
      </c>
      <c r="B20" s="3455"/>
      <c r="C20" s="3455"/>
      <c r="D20" s="3456"/>
      <c r="E20" s="1675"/>
    </row>
    <row r="21" spans="1:5" s="1610" customFormat="1" ht="14.25" customHeight="1">
      <c r="A21" s="1879">
        <v>15</v>
      </c>
      <c r="B21" s="1880" t="s">
        <v>6843</v>
      </c>
      <c r="C21" s="2077">
        <f ca="1">C18+C11</f>
        <v>0</v>
      </c>
      <c r="D21" s="1985" t="s">
        <v>6844</v>
      </c>
    </row>
    <row r="22" spans="1:5">
      <c r="A22" s="1584"/>
      <c r="B22" s="1584"/>
      <c r="C22" s="1584"/>
      <c r="D22" s="1584"/>
    </row>
    <row r="23" spans="1:5">
      <c r="A23" s="1584"/>
      <c r="B23" s="1584"/>
      <c r="C23" s="1584"/>
      <c r="D23" s="1584"/>
    </row>
    <row r="24" spans="1:5">
      <c r="A24" s="1584"/>
      <c r="B24" s="1584"/>
      <c r="C24" s="1584"/>
      <c r="D24" s="1584"/>
    </row>
    <row r="25" spans="1:5">
      <c r="A25" s="1584"/>
      <c r="B25" s="1584"/>
      <c r="C25" s="1584"/>
      <c r="D25" s="1584"/>
    </row>
    <row r="26" spans="1:5">
      <c r="A26" s="1584"/>
      <c r="B26" s="1584"/>
      <c r="C26" s="1584"/>
      <c r="D26" s="1584"/>
    </row>
  </sheetData>
  <mergeCells count="4">
    <mergeCell ref="A2:C2"/>
    <mergeCell ref="A4:D4"/>
    <mergeCell ref="A13:D13"/>
    <mergeCell ref="A20:D20"/>
  </mergeCells>
  <phoneticPr fontId="51" type="noConversion"/>
  <hyperlinks>
    <hyperlink ref="E19" location="A107030抵扣应纳税所得额明细表!A1" display="A107030抵扣应纳税所得额明细表!A1"/>
  </hyperlinks>
  <printOptions horizontalCentered="1"/>
  <pageMargins left="0.78740157480314998" right="0.35433070866141703" top="0.511811023622047" bottom="0.11811023622047198" header="0.511811023622047" footer="0.511811023622047"/>
  <pageSetup paperSize="9" orientation="landscape" r:id="rId1"/>
</worksheet>
</file>

<file path=xl/worksheets/sheet5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73">
    <tabColor rgb="FFFFFF00"/>
  </sheetPr>
  <dimension ref="A1:K152"/>
  <sheetViews>
    <sheetView topLeftCell="A82" workbookViewId="0">
      <selection activeCell="A96" sqref="A96:D96"/>
    </sheetView>
  </sheetViews>
  <sheetFormatPr defaultRowHeight="15.6"/>
  <cols>
    <col min="1" max="1" width="5.19921875" style="1605" customWidth="1"/>
    <col min="2" max="2" width="61.59765625" style="1605" customWidth="1"/>
    <col min="3" max="3" width="12.3984375" style="1605" customWidth="1"/>
    <col min="4" max="4" width="20.19921875" style="1605" customWidth="1"/>
    <col min="5" max="5" width="9" style="1605"/>
    <col min="6" max="6" width="17.59765625" style="1605" customWidth="1"/>
    <col min="7" max="7" width="9" style="1605"/>
    <col min="8" max="8" width="11.19921875" style="1605" customWidth="1"/>
    <col min="9" max="250" width="9" style="1605"/>
    <col min="251" max="251" width="5.19921875" style="1605" customWidth="1"/>
    <col min="252" max="252" width="48.09765625" style="1605" customWidth="1"/>
    <col min="253" max="253" width="7.8984375" style="1605" customWidth="1"/>
    <col min="254" max="254" width="20.19921875" style="1605" customWidth="1"/>
    <col min="255" max="255" width="9" style="1605"/>
    <col min="256" max="256" width="17.59765625" style="1605" customWidth="1"/>
    <col min="257" max="506" width="9" style="1605"/>
    <col min="507" max="507" width="5.19921875" style="1605" customWidth="1"/>
    <col min="508" max="508" width="48.09765625" style="1605" customWidth="1"/>
    <col min="509" max="509" width="7.8984375" style="1605" customWidth="1"/>
    <col min="510" max="510" width="20.19921875" style="1605" customWidth="1"/>
    <col min="511" max="511" width="9" style="1605"/>
    <col min="512" max="512" width="17.59765625" style="1605" customWidth="1"/>
    <col min="513" max="762" width="9" style="1605"/>
    <col min="763" max="763" width="5.19921875" style="1605" customWidth="1"/>
    <col min="764" max="764" width="48.09765625" style="1605" customWidth="1"/>
    <col min="765" max="765" width="7.8984375" style="1605" customWidth="1"/>
    <col min="766" max="766" width="20.19921875" style="1605" customWidth="1"/>
    <col min="767" max="767" width="9" style="1605"/>
    <col min="768" max="768" width="17.59765625" style="1605" customWidth="1"/>
    <col min="769" max="1018" width="9" style="1605"/>
    <col min="1019" max="1019" width="5.19921875" style="1605" customWidth="1"/>
    <col min="1020" max="1020" width="48.09765625" style="1605" customWidth="1"/>
    <col min="1021" max="1021" width="7.8984375" style="1605" customWidth="1"/>
    <col min="1022" max="1022" width="20.19921875" style="1605" customWidth="1"/>
    <col min="1023" max="1023" width="9" style="1605"/>
    <col min="1024" max="1024" width="17.59765625" style="1605" customWidth="1"/>
    <col min="1025" max="1274" width="9" style="1605"/>
    <col min="1275" max="1275" width="5.19921875" style="1605" customWidth="1"/>
    <col min="1276" max="1276" width="48.09765625" style="1605" customWidth="1"/>
    <col min="1277" max="1277" width="7.8984375" style="1605" customWidth="1"/>
    <col min="1278" max="1278" width="20.19921875" style="1605" customWidth="1"/>
    <col min="1279" max="1279" width="9" style="1605"/>
    <col min="1280" max="1280" width="17.59765625" style="1605" customWidth="1"/>
    <col min="1281" max="1530" width="9" style="1605"/>
    <col min="1531" max="1531" width="5.19921875" style="1605" customWidth="1"/>
    <col min="1532" max="1532" width="48.09765625" style="1605" customWidth="1"/>
    <col min="1533" max="1533" width="7.8984375" style="1605" customWidth="1"/>
    <col min="1534" max="1534" width="20.19921875" style="1605" customWidth="1"/>
    <col min="1535" max="1535" width="9" style="1605"/>
    <col min="1536" max="1536" width="17.59765625" style="1605" customWidth="1"/>
    <col min="1537" max="1786" width="9" style="1605"/>
    <col min="1787" max="1787" width="5.19921875" style="1605" customWidth="1"/>
    <col min="1788" max="1788" width="48.09765625" style="1605" customWidth="1"/>
    <col min="1789" max="1789" width="7.8984375" style="1605" customWidth="1"/>
    <col min="1790" max="1790" width="20.19921875" style="1605" customWidth="1"/>
    <col min="1791" max="1791" width="9" style="1605"/>
    <col min="1792" max="1792" width="17.59765625" style="1605" customWidth="1"/>
    <col min="1793" max="2042" width="9" style="1605"/>
    <col min="2043" max="2043" width="5.19921875" style="1605" customWidth="1"/>
    <col min="2044" max="2044" width="48.09765625" style="1605" customWidth="1"/>
    <col min="2045" max="2045" width="7.8984375" style="1605" customWidth="1"/>
    <col min="2046" max="2046" width="20.19921875" style="1605" customWidth="1"/>
    <col min="2047" max="2047" width="9" style="1605"/>
    <col min="2048" max="2048" width="17.59765625" style="1605" customWidth="1"/>
    <col min="2049" max="2298" width="9" style="1605"/>
    <col min="2299" max="2299" width="5.19921875" style="1605" customWidth="1"/>
    <col min="2300" max="2300" width="48.09765625" style="1605" customWidth="1"/>
    <col min="2301" max="2301" width="7.8984375" style="1605" customWidth="1"/>
    <col min="2302" max="2302" width="20.19921875" style="1605" customWidth="1"/>
    <col min="2303" max="2303" width="9" style="1605"/>
    <col min="2304" max="2304" width="17.59765625" style="1605" customWidth="1"/>
    <col min="2305" max="2554" width="9" style="1605"/>
    <col min="2555" max="2555" width="5.19921875" style="1605" customWidth="1"/>
    <col min="2556" max="2556" width="48.09765625" style="1605" customWidth="1"/>
    <col min="2557" max="2557" width="7.8984375" style="1605" customWidth="1"/>
    <col min="2558" max="2558" width="20.19921875" style="1605" customWidth="1"/>
    <col min="2559" max="2559" width="9" style="1605"/>
    <col min="2560" max="2560" width="17.59765625" style="1605" customWidth="1"/>
    <col min="2561" max="2810" width="9" style="1605"/>
    <col min="2811" max="2811" width="5.19921875" style="1605" customWidth="1"/>
    <col min="2812" max="2812" width="48.09765625" style="1605" customWidth="1"/>
    <col min="2813" max="2813" width="7.8984375" style="1605" customWidth="1"/>
    <col min="2814" max="2814" width="20.19921875" style="1605" customWidth="1"/>
    <col min="2815" max="2815" width="9" style="1605"/>
    <col min="2816" max="2816" width="17.59765625" style="1605" customWidth="1"/>
    <col min="2817" max="3066" width="9" style="1605"/>
    <col min="3067" max="3067" width="5.19921875" style="1605" customWidth="1"/>
    <col min="3068" max="3068" width="48.09765625" style="1605" customWidth="1"/>
    <col min="3069" max="3069" width="7.8984375" style="1605" customWidth="1"/>
    <col min="3070" max="3070" width="20.19921875" style="1605" customWidth="1"/>
    <col min="3071" max="3071" width="9" style="1605"/>
    <col min="3072" max="3072" width="17.59765625" style="1605" customWidth="1"/>
    <col min="3073" max="3322" width="9" style="1605"/>
    <col min="3323" max="3323" width="5.19921875" style="1605" customWidth="1"/>
    <col min="3324" max="3324" width="48.09765625" style="1605" customWidth="1"/>
    <col min="3325" max="3325" width="7.8984375" style="1605" customWidth="1"/>
    <col min="3326" max="3326" width="20.19921875" style="1605" customWidth="1"/>
    <col min="3327" max="3327" width="9" style="1605"/>
    <col min="3328" max="3328" width="17.59765625" style="1605" customWidth="1"/>
    <col min="3329" max="3578" width="9" style="1605"/>
    <col min="3579" max="3579" width="5.19921875" style="1605" customWidth="1"/>
    <col min="3580" max="3580" width="48.09765625" style="1605" customWidth="1"/>
    <col min="3581" max="3581" width="7.8984375" style="1605" customWidth="1"/>
    <col min="3582" max="3582" width="20.19921875" style="1605" customWidth="1"/>
    <col min="3583" max="3583" width="9" style="1605"/>
    <col min="3584" max="3584" width="17.59765625" style="1605" customWidth="1"/>
    <col min="3585" max="3834" width="9" style="1605"/>
    <col min="3835" max="3835" width="5.19921875" style="1605" customWidth="1"/>
    <col min="3836" max="3836" width="48.09765625" style="1605" customWidth="1"/>
    <col min="3837" max="3837" width="7.8984375" style="1605" customWidth="1"/>
    <col min="3838" max="3838" width="20.19921875" style="1605" customWidth="1"/>
    <col min="3839" max="3839" width="9" style="1605"/>
    <col min="3840" max="3840" width="17.59765625" style="1605" customWidth="1"/>
    <col min="3841" max="4090" width="9" style="1605"/>
    <col min="4091" max="4091" width="5.19921875" style="1605" customWidth="1"/>
    <col min="4092" max="4092" width="48.09765625" style="1605" customWidth="1"/>
    <col min="4093" max="4093" width="7.8984375" style="1605" customWidth="1"/>
    <col min="4094" max="4094" width="20.19921875" style="1605" customWidth="1"/>
    <col min="4095" max="4095" width="9" style="1605"/>
    <col min="4096" max="4096" width="17.59765625" style="1605" customWidth="1"/>
    <col min="4097" max="4346" width="9" style="1605"/>
    <col min="4347" max="4347" width="5.19921875" style="1605" customWidth="1"/>
    <col min="4348" max="4348" width="48.09765625" style="1605" customWidth="1"/>
    <col min="4349" max="4349" width="7.8984375" style="1605" customWidth="1"/>
    <col min="4350" max="4350" width="20.19921875" style="1605" customWidth="1"/>
    <col min="4351" max="4351" width="9" style="1605"/>
    <col min="4352" max="4352" width="17.59765625" style="1605" customWidth="1"/>
    <col min="4353" max="4602" width="9" style="1605"/>
    <col min="4603" max="4603" width="5.19921875" style="1605" customWidth="1"/>
    <col min="4604" max="4604" width="48.09765625" style="1605" customWidth="1"/>
    <col min="4605" max="4605" width="7.8984375" style="1605" customWidth="1"/>
    <col min="4606" max="4606" width="20.19921875" style="1605" customWidth="1"/>
    <col min="4607" max="4607" width="9" style="1605"/>
    <col min="4608" max="4608" width="17.59765625" style="1605" customWidth="1"/>
    <col min="4609" max="4858" width="9" style="1605"/>
    <col min="4859" max="4859" width="5.19921875" style="1605" customWidth="1"/>
    <col min="4860" max="4860" width="48.09765625" style="1605" customWidth="1"/>
    <col min="4861" max="4861" width="7.8984375" style="1605" customWidth="1"/>
    <col min="4862" max="4862" width="20.19921875" style="1605" customWidth="1"/>
    <col min="4863" max="4863" width="9" style="1605"/>
    <col min="4864" max="4864" width="17.59765625" style="1605" customWidth="1"/>
    <col min="4865" max="5114" width="9" style="1605"/>
    <col min="5115" max="5115" width="5.19921875" style="1605" customWidth="1"/>
    <col min="5116" max="5116" width="48.09765625" style="1605" customWidth="1"/>
    <col min="5117" max="5117" width="7.8984375" style="1605" customWidth="1"/>
    <col min="5118" max="5118" width="20.19921875" style="1605" customWidth="1"/>
    <col min="5119" max="5119" width="9" style="1605"/>
    <col min="5120" max="5120" width="17.59765625" style="1605" customWidth="1"/>
    <col min="5121" max="5370" width="9" style="1605"/>
    <col min="5371" max="5371" width="5.19921875" style="1605" customWidth="1"/>
    <col min="5372" max="5372" width="48.09765625" style="1605" customWidth="1"/>
    <col min="5373" max="5373" width="7.8984375" style="1605" customWidth="1"/>
    <col min="5374" max="5374" width="20.19921875" style="1605" customWidth="1"/>
    <col min="5375" max="5375" width="9" style="1605"/>
    <col min="5376" max="5376" width="17.59765625" style="1605" customWidth="1"/>
    <col min="5377" max="5626" width="9" style="1605"/>
    <col min="5627" max="5627" width="5.19921875" style="1605" customWidth="1"/>
    <col min="5628" max="5628" width="48.09765625" style="1605" customWidth="1"/>
    <col min="5629" max="5629" width="7.8984375" style="1605" customWidth="1"/>
    <col min="5630" max="5630" width="20.19921875" style="1605" customWidth="1"/>
    <col min="5631" max="5631" width="9" style="1605"/>
    <col min="5632" max="5632" width="17.59765625" style="1605" customWidth="1"/>
    <col min="5633" max="5882" width="9" style="1605"/>
    <col min="5883" max="5883" width="5.19921875" style="1605" customWidth="1"/>
    <col min="5884" max="5884" width="48.09765625" style="1605" customWidth="1"/>
    <col min="5885" max="5885" width="7.8984375" style="1605" customWidth="1"/>
    <col min="5886" max="5886" width="20.19921875" style="1605" customWidth="1"/>
    <col min="5887" max="5887" width="9" style="1605"/>
    <col min="5888" max="5888" width="17.59765625" style="1605" customWidth="1"/>
    <col min="5889" max="6138" width="9" style="1605"/>
    <col min="6139" max="6139" width="5.19921875" style="1605" customWidth="1"/>
    <col min="6140" max="6140" width="48.09765625" style="1605" customWidth="1"/>
    <col min="6141" max="6141" width="7.8984375" style="1605" customWidth="1"/>
    <col min="6142" max="6142" width="20.19921875" style="1605" customWidth="1"/>
    <col min="6143" max="6143" width="9" style="1605"/>
    <col min="6144" max="6144" width="17.59765625" style="1605" customWidth="1"/>
    <col min="6145" max="6394" width="9" style="1605"/>
    <col min="6395" max="6395" width="5.19921875" style="1605" customWidth="1"/>
    <col min="6396" max="6396" width="48.09765625" style="1605" customWidth="1"/>
    <col min="6397" max="6397" width="7.8984375" style="1605" customWidth="1"/>
    <col min="6398" max="6398" width="20.19921875" style="1605" customWidth="1"/>
    <col min="6399" max="6399" width="9" style="1605"/>
    <col min="6400" max="6400" width="17.59765625" style="1605" customWidth="1"/>
    <col min="6401" max="6650" width="9" style="1605"/>
    <col min="6651" max="6651" width="5.19921875" style="1605" customWidth="1"/>
    <col min="6652" max="6652" width="48.09765625" style="1605" customWidth="1"/>
    <col min="6653" max="6653" width="7.8984375" style="1605" customWidth="1"/>
    <col min="6654" max="6654" width="20.19921875" style="1605" customWidth="1"/>
    <col min="6655" max="6655" width="9" style="1605"/>
    <col min="6656" max="6656" width="17.59765625" style="1605" customWidth="1"/>
    <col min="6657" max="6906" width="9" style="1605"/>
    <col min="6907" max="6907" width="5.19921875" style="1605" customWidth="1"/>
    <col min="6908" max="6908" width="48.09765625" style="1605" customWidth="1"/>
    <col min="6909" max="6909" width="7.8984375" style="1605" customWidth="1"/>
    <col min="6910" max="6910" width="20.19921875" style="1605" customWidth="1"/>
    <col min="6911" max="6911" width="9" style="1605"/>
    <col min="6912" max="6912" width="17.59765625" style="1605" customWidth="1"/>
    <col min="6913" max="7162" width="9" style="1605"/>
    <col min="7163" max="7163" width="5.19921875" style="1605" customWidth="1"/>
    <col min="7164" max="7164" width="48.09765625" style="1605" customWidth="1"/>
    <col min="7165" max="7165" width="7.8984375" style="1605" customWidth="1"/>
    <col min="7166" max="7166" width="20.19921875" style="1605" customWidth="1"/>
    <col min="7167" max="7167" width="9" style="1605"/>
    <col min="7168" max="7168" width="17.59765625" style="1605" customWidth="1"/>
    <col min="7169" max="7418" width="9" style="1605"/>
    <col min="7419" max="7419" width="5.19921875" style="1605" customWidth="1"/>
    <col min="7420" max="7420" width="48.09765625" style="1605" customWidth="1"/>
    <col min="7421" max="7421" width="7.8984375" style="1605" customWidth="1"/>
    <col min="7422" max="7422" width="20.19921875" style="1605" customWidth="1"/>
    <col min="7423" max="7423" width="9" style="1605"/>
    <col min="7424" max="7424" width="17.59765625" style="1605" customWidth="1"/>
    <col min="7425" max="7674" width="9" style="1605"/>
    <col min="7675" max="7675" width="5.19921875" style="1605" customWidth="1"/>
    <col min="7676" max="7676" width="48.09765625" style="1605" customWidth="1"/>
    <col min="7677" max="7677" width="7.8984375" style="1605" customWidth="1"/>
    <col min="7678" max="7678" width="20.19921875" style="1605" customWidth="1"/>
    <col min="7679" max="7679" width="9" style="1605"/>
    <col min="7680" max="7680" width="17.59765625" style="1605" customWidth="1"/>
    <col min="7681" max="7930" width="9" style="1605"/>
    <col min="7931" max="7931" width="5.19921875" style="1605" customWidth="1"/>
    <col min="7932" max="7932" width="48.09765625" style="1605" customWidth="1"/>
    <col min="7933" max="7933" width="7.8984375" style="1605" customWidth="1"/>
    <col min="7934" max="7934" width="20.19921875" style="1605" customWidth="1"/>
    <col min="7935" max="7935" width="9" style="1605"/>
    <col min="7936" max="7936" width="17.59765625" style="1605" customWidth="1"/>
    <col min="7937" max="8186" width="9" style="1605"/>
    <col min="8187" max="8187" width="5.19921875" style="1605" customWidth="1"/>
    <col min="8188" max="8188" width="48.09765625" style="1605" customWidth="1"/>
    <col min="8189" max="8189" width="7.8984375" style="1605" customWidth="1"/>
    <col min="8190" max="8190" width="20.19921875" style="1605" customWidth="1"/>
    <col min="8191" max="8191" width="9" style="1605"/>
    <col min="8192" max="8192" width="17.59765625" style="1605" customWidth="1"/>
    <col min="8193" max="8442" width="9" style="1605"/>
    <col min="8443" max="8443" width="5.19921875" style="1605" customWidth="1"/>
    <col min="8444" max="8444" width="48.09765625" style="1605" customWidth="1"/>
    <col min="8445" max="8445" width="7.8984375" style="1605" customWidth="1"/>
    <col min="8446" max="8446" width="20.19921875" style="1605" customWidth="1"/>
    <col min="8447" max="8447" width="9" style="1605"/>
    <col min="8448" max="8448" width="17.59765625" style="1605" customWidth="1"/>
    <col min="8449" max="8698" width="9" style="1605"/>
    <col min="8699" max="8699" width="5.19921875" style="1605" customWidth="1"/>
    <col min="8700" max="8700" width="48.09765625" style="1605" customWidth="1"/>
    <col min="8701" max="8701" width="7.8984375" style="1605" customWidth="1"/>
    <col min="8702" max="8702" width="20.19921875" style="1605" customWidth="1"/>
    <col min="8703" max="8703" width="9" style="1605"/>
    <col min="8704" max="8704" width="17.59765625" style="1605" customWidth="1"/>
    <col min="8705" max="8954" width="9" style="1605"/>
    <col min="8955" max="8955" width="5.19921875" style="1605" customWidth="1"/>
    <col min="8956" max="8956" width="48.09765625" style="1605" customWidth="1"/>
    <col min="8957" max="8957" width="7.8984375" style="1605" customWidth="1"/>
    <col min="8958" max="8958" width="20.19921875" style="1605" customWidth="1"/>
    <col min="8959" max="8959" width="9" style="1605"/>
    <col min="8960" max="8960" width="17.59765625" style="1605" customWidth="1"/>
    <col min="8961" max="9210" width="9" style="1605"/>
    <col min="9211" max="9211" width="5.19921875" style="1605" customWidth="1"/>
    <col min="9212" max="9212" width="48.09765625" style="1605" customWidth="1"/>
    <col min="9213" max="9213" width="7.8984375" style="1605" customWidth="1"/>
    <col min="9214" max="9214" width="20.19921875" style="1605" customWidth="1"/>
    <col min="9215" max="9215" width="9" style="1605"/>
    <col min="9216" max="9216" width="17.59765625" style="1605" customWidth="1"/>
    <col min="9217" max="9466" width="9" style="1605"/>
    <col min="9467" max="9467" width="5.19921875" style="1605" customWidth="1"/>
    <col min="9468" max="9468" width="48.09765625" style="1605" customWidth="1"/>
    <col min="9469" max="9469" width="7.8984375" style="1605" customWidth="1"/>
    <col min="9470" max="9470" width="20.19921875" style="1605" customWidth="1"/>
    <col min="9471" max="9471" width="9" style="1605"/>
    <col min="9472" max="9472" width="17.59765625" style="1605" customWidth="1"/>
    <col min="9473" max="9722" width="9" style="1605"/>
    <col min="9723" max="9723" width="5.19921875" style="1605" customWidth="1"/>
    <col min="9724" max="9724" width="48.09765625" style="1605" customWidth="1"/>
    <col min="9725" max="9725" width="7.8984375" style="1605" customWidth="1"/>
    <col min="9726" max="9726" width="20.19921875" style="1605" customWidth="1"/>
    <col min="9727" max="9727" width="9" style="1605"/>
    <col min="9728" max="9728" width="17.59765625" style="1605" customWidth="1"/>
    <col min="9729" max="9978" width="9" style="1605"/>
    <col min="9979" max="9979" width="5.19921875" style="1605" customWidth="1"/>
    <col min="9980" max="9980" width="48.09765625" style="1605" customWidth="1"/>
    <col min="9981" max="9981" width="7.8984375" style="1605" customWidth="1"/>
    <col min="9982" max="9982" width="20.19921875" style="1605" customWidth="1"/>
    <col min="9983" max="9983" width="9" style="1605"/>
    <col min="9984" max="9984" width="17.59765625" style="1605" customWidth="1"/>
    <col min="9985" max="10234" width="9" style="1605"/>
    <col min="10235" max="10235" width="5.19921875" style="1605" customWidth="1"/>
    <col min="10236" max="10236" width="48.09765625" style="1605" customWidth="1"/>
    <col min="10237" max="10237" width="7.8984375" style="1605" customWidth="1"/>
    <col min="10238" max="10238" width="20.19921875" style="1605" customWidth="1"/>
    <col min="10239" max="10239" width="9" style="1605"/>
    <col min="10240" max="10240" width="17.59765625" style="1605" customWidth="1"/>
    <col min="10241" max="10490" width="9" style="1605"/>
    <col min="10491" max="10491" width="5.19921875" style="1605" customWidth="1"/>
    <col min="10492" max="10492" width="48.09765625" style="1605" customWidth="1"/>
    <col min="10493" max="10493" width="7.8984375" style="1605" customWidth="1"/>
    <col min="10494" max="10494" width="20.19921875" style="1605" customWidth="1"/>
    <col min="10495" max="10495" width="9" style="1605"/>
    <col min="10496" max="10496" width="17.59765625" style="1605" customWidth="1"/>
    <col min="10497" max="10746" width="9" style="1605"/>
    <col min="10747" max="10747" width="5.19921875" style="1605" customWidth="1"/>
    <col min="10748" max="10748" width="48.09765625" style="1605" customWidth="1"/>
    <col min="10749" max="10749" width="7.8984375" style="1605" customWidth="1"/>
    <col min="10750" max="10750" width="20.19921875" style="1605" customWidth="1"/>
    <col min="10751" max="10751" width="9" style="1605"/>
    <col min="10752" max="10752" width="17.59765625" style="1605" customWidth="1"/>
    <col min="10753" max="11002" width="9" style="1605"/>
    <col min="11003" max="11003" width="5.19921875" style="1605" customWidth="1"/>
    <col min="11004" max="11004" width="48.09765625" style="1605" customWidth="1"/>
    <col min="11005" max="11005" width="7.8984375" style="1605" customWidth="1"/>
    <col min="11006" max="11006" width="20.19921875" style="1605" customWidth="1"/>
    <col min="11007" max="11007" width="9" style="1605"/>
    <col min="11008" max="11008" width="17.59765625" style="1605" customWidth="1"/>
    <col min="11009" max="11258" width="9" style="1605"/>
    <col min="11259" max="11259" width="5.19921875" style="1605" customWidth="1"/>
    <col min="11260" max="11260" width="48.09765625" style="1605" customWidth="1"/>
    <col min="11261" max="11261" width="7.8984375" style="1605" customWidth="1"/>
    <col min="11262" max="11262" width="20.19921875" style="1605" customWidth="1"/>
    <col min="11263" max="11263" width="9" style="1605"/>
    <col min="11264" max="11264" width="17.59765625" style="1605" customWidth="1"/>
    <col min="11265" max="11514" width="9" style="1605"/>
    <col min="11515" max="11515" width="5.19921875" style="1605" customWidth="1"/>
    <col min="11516" max="11516" width="48.09765625" style="1605" customWidth="1"/>
    <col min="11517" max="11517" width="7.8984375" style="1605" customWidth="1"/>
    <col min="11518" max="11518" width="20.19921875" style="1605" customWidth="1"/>
    <col min="11519" max="11519" width="9" style="1605"/>
    <col min="11520" max="11520" width="17.59765625" style="1605" customWidth="1"/>
    <col min="11521" max="11770" width="9" style="1605"/>
    <col min="11771" max="11771" width="5.19921875" style="1605" customWidth="1"/>
    <col min="11772" max="11772" width="48.09765625" style="1605" customWidth="1"/>
    <col min="11773" max="11773" width="7.8984375" style="1605" customWidth="1"/>
    <col min="11774" max="11774" width="20.19921875" style="1605" customWidth="1"/>
    <col min="11775" max="11775" width="9" style="1605"/>
    <col min="11776" max="11776" width="17.59765625" style="1605" customWidth="1"/>
    <col min="11777" max="12026" width="9" style="1605"/>
    <col min="12027" max="12027" width="5.19921875" style="1605" customWidth="1"/>
    <col min="12028" max="12028" width="48.09765625" style="1605" customWidth="1"/>
    <col min="12029" max="12029" width="7.8984375" style="1605" customWidth="1"/>
    <col min="12030" max="12030" width="20.19921875" style="1605" customWidth="1"/>
    <col min="12031" max="12031" width="9" style="1605"/>
    <col min="12032" max="12032" width="17.59765625" style="1605" customWidth="1"/>
    <col min="12033" max="12282" width="9" style="1605"/>
    <col min="12283" max="12283" width="5.19921875" style="1605" customWidth="1"/>
    <col min="12284" max="12284" width="48.09765625" style="1605" customWidth="1"/>
    <col min="12285" max="12285" width="7.8984375" style="1605" customWidth="1"/>
    <col min="12286" max="12286" width="20.19921875" style="1605" customWidth="1"/>
    <col min="12287" max="12287" width="9" style="1605"/>
    <col min="12288" max="12288" width="17.59765625" style="1605" customWidth="1"/>
    <col min="12289" max="12538" width="9" style="1605"/>
    <col min="12539" max="12539" width="5.19921875" style="1605" customWidth="1"/>
    <col min="12540" max="12540" width="48.09765625" style="1605" customWidth="1"/>
    <col min="12541" max="12541" width="7.8984375" style="1605" customWidth="1"/>
    <col min="12542" max="12542" width="20.19921875" style="1605" customWidth="1"/>
    <col min="12543" max="12543" width="9" style="1605"/>
    <col min="12544" max="12544" width="17.59765625" style="1605" customWidth="1"/>
    <col min="12545" max="12794" width="9" style="1605"/>
    <col min="12795" max="12795" width="5.19921875" style="1605" customWidth="1"/>
    <col min="12796" max="12796" width="48.09765625" style="1605" customWidth="1"/>
    <col min="12797" max="12797" width="7.8984375" style="1605" customWidth="1"/>
    <col min="12798" max="12798" width="20.19921875" style="1605" customWidth="1"/>
    <col min="12799" max="12799" width="9" style="1605"/>
    <col min="12800" max="12800" width="17.59765625" style="1605" customWidth="1"/>
    <col min="12801" max="13050" width="9" style="1605"/>
    <col min="13051" max="13051" width="5.19921875" style="1605" customWidth="1"/>
    <col min="13052" max="13052" width="48.09765625" style="1605" customWidth="1"/>
    <col min="13053" max="13053" width="7.8984375" style="1605" customWidth="1"/>
    <col min="13054" max="13054" width="20.19921875" style="1605" customWidth="1"/>
    <col min="13055" max="13055" width="9" style="1605"/>
    <col min="13056" max="13056" width="17.59765625" style="1605" customWidth="1"/>
    <col min="13057" max="13306" width="9" style="1605"/>
    <col min="13307" max="13307" width="5.19921875" style="1605" customWidth="1"/>
    <col min="13308" max="13308" width="48.09765625" style="1605" customWidth="1"/>
    <col min="13309" max="13309" width="7.8984375" style="1605" customWidth="1"/>
    <col min="13310" max="13310" width="20.19921875" style="1605" customWidth="1"/>
    <col min="13311" max="13311" width="9" style="1605"/>
    <col min="13312" max="13312" width="17.59765625" style="1605" customWidth="1"/>
    <col min="13313" max="13562" width="9" style="1605"/>
    <col min="13563" max="13563" width="5.19921875" style="1605" customWidth="1"/>
    <col min="13564" max="13564" width="48.09765625" style="1605" customWidth="1"/>
    <col min="13565" max="13565" width="7.8984375" style="1605" customWidth="1"/>
    <col min="13566" max="13566" width="20.19921875" style="1605" customWidth="1"/>
    <col min="13567" max="13567" width="9" style="1605"/>
    <col min="13568" max="13568" width="17.59765625" style="1605" customWidth="1"/>
    <col min="13569" max="13818" width="9" style="1605"/>
    <col min="13819" max="13819" width="5.19921875" style="1605" customWidth="1"/>
    <col min="13820" max="13820" width="48.09765625" style="1605" customWidth="1"/>
    <col min="13821" max="13821" width="7.8984375" style="1605" customWidth="1"/>
    <col min="13822" max="13822" width="20.19921875" style="1605" customWidth="1"/>
    <col min="13823" max="13823" width="9" style="1605"/>
    <col min="13824" max="13824" width="17.59765625" style="1605" customWidth="1"/>
    <col min="13825" max="14074" width="9" style="1605"/>
    <col min="14075" max="14075" width="5.19921875" style="1605" customWidth="1"/>
    <col min="14076" max="14076" width="48.09765625" style="1605" customWidth="1"/>
    <col min="14077" max="14077" width="7.8984375" style="1605" customWidth="1"/>
    <col min="14078" max="14078" width="20.19921875" style="1605" customWidth="1"/>
    <col min="14079" max="14079" width="9" style="1605"/>
    <col min="14080" max="14080" width="17.59765625" style="1605" customWidth="1"/>
    <col min="14081" max="14330" width="9" style="1605"/>
    <col min="14331" max="14331" width="5.19921875" style="1605" customWidth="1"/>
    <col min="14332" max="14332" width="48.09765625" style="1605" customWidth="1"/>
    <col min="14333" max="14333" width="7.8984375" style="1605" customWidth="1"/>
    <col min="14334" max="14334" width="20.19921875" style="1605" customWidth="1"/>
    <col min="14335" max="14335" width="9" style="1605"/>
    <col min="14336" max="14336" width="17.59765625" style="1605" customWidth="1"/>
    <col min="14337" max="14586" width="9" style="1605"/>
    <col min="14587" max="14587" width="5.19921875" style="1605" customWidth="1"/>
    <col min="14588" max="14588" width="48.09765625" style="1605" customWidth="1"/>
    <col min="14589" max="14589" width="7.8984375" style="1605" customWidth="1"/>
    <col min="14590" max="14590" width="20.19921875" style="1605" customWidth="1"/>
    <col min="14591" max="14591" width="9" style="1605"/>
    <col min="14592" max="14592" width="17.59765625" style="1605" customWidth="1"/>
    <col min="14593" max="14842" width="9" style="1605"/>
    <col min="14843" max="14843" width="5.19921875" style="1605" customWidth="1"/>
    <col min="14844" max="14844" width="48.09765625" style="1605" customWidth="1"/>
    <col min="14845" max="14845" width="7.8984375" style="1605" customWidth="1"/>
    <col min="14846" max="14846" width="20.19921875" style="1605" customWidth="1"/>
    <col min="14847" max="14847" width="9" style="1605"/>
    <col min="14848" max="14848" width="17.59765625" style="1605" customWidth="1"/>
    <col min="14849" max="15098" width="9" style="1605"/>
    <col min="15099" max="15099" width="5.19921875" style="1605" customWidth="1"/>
    <col min="15100" max="15100" width="48.09765625" style="1605" customWidth="1"/>
    <col min="15101" max="15101" width="7.8984375" style="1605" customWidth="1"/>
    <col min="15102" max="15102" width="20.19921875" style="1605" customWidth="1"/>
    <col min="15103" max="15103" width="9" style="1605"/>
    <col min="15104" max="15104" width="17.59765625" style="1605" customWidth="1"/>
    <col min="15105" max="15354" width="9" style="1605"/>
    <col min="15355" max="15355" width="5.19921875" style="1605" customWidth="1"/>
    <col min="15356" max="15356" width="48.09765625" style="1605" customWidth="1"/>
    <col min="15357" max="15357" width="7.8984375" style="1605" customWidth="1"/>
    <col min="15358" max="15358" width="20.19921875" style="1605" customWidth="1"/>
    <col min="15359" max="15359" width="9" style="1605"/>
    <col min="15360" max="15360" width="17.59765625" style="1605" customWidth="1"/>
    <col min="15361" max="15610" width="9" style="1605"/>
    <col min="15611" max="15611" width="5.19921875" style="1605" customWidth="1"/>
    <col min="15612" max="15612" width="48.09765625" style="1605" customWidth="1"/>
    <col min="15613" max="15613" width="7.8984375" style="1605" customWidth="1"/>
    <col min="15614" max="15614" width="20.19921875" style="1605" customWidth="1"/>
    <col min="15615" max="15615" width="9" style="1605"/>
    <col min="15616" max="15616" width="17.59765625" style="1605" customWidth="1"/>
    <col min="15617" max="15866" width="9" style="1605"/>
    <col min="15867" max="15867" width="5.19921875" style="1605" customWidth="1"/>
    <col min="15868" max="15868" width="48.09765625" style="1605" customWidth="1"/>
    <col min="15869" max="15869" width="7.8984375" style="1605" customWidth="1"/>
    <col min="15870" max="15870" width="20.19921875" style="1605" customWidth="1"/>
    <col min="15871" max="15871" width="9" style="1605"/>
    <col min="15872" max="15872" width="17.59765625" style="1605" customWidth="1"/>
    <col min="15873" max="16122" width="9" style="1605"/>
    <col min="16123" max="16123" width="5.19921875" style="1605" customWidth="1"/>
    <col min="16124" max="16124" width="48.09765625" style="1605" customWidth="1"/>
    <col min="16125" max="16125" width="7.8984375" style="1605" customWidth="1"/>
    <col min="16126" max="16126" width="20.19921875" style="1605" customWidth="1"/>
    <col min="16127" max="16127" width="9" style="1605"/>
    <col min="16128" max="16128" width="17.59765625" style="1605" customWidth="1"/>
    <col min="16129" max="16384" width="9" style="1605"/>
  </cols>
  <sheetData>
    <row r="1" spans="1:11" s="1583" customFormat="1" ht="20.100000000000001" customHeight="1">
      <c r="A1" s="3438"/>
      <c r="B1" s="3438"/>
      <c r="C1" s="3438"/>
      <c r="D1" s="2171" t="str">
        <f>"索引号："&amp;档案索引!D13</f>
        <v>索引号：2B-8</v>
      </c>
      <c r="F1" s="2459" t="s">
        <v>7168</v>
      </c>
      <c r="G1" s="1603" t="s">
        <v>7154</v>
      </c>
      <c r="H1" s="1603" t="s">
        <v>7155</v>
      </c>
    </row>
    <row r="2" spans="1:11" s="1589" customFormat="1" ht="25.5" customHeight="1">
      <c r="A2" s="3379" t="s">
        <v>5941</v>
      </c>
      <c r="B2" s="3379"/>
      <c r="C2" s="3379"/>
      <c r="D2" s="1882"/>
      <c r="F2" s="1603">
        <f>截止月-起始月+1</f>
        <v>12</v>
      </c>
      <c r="G2" s="2454">
        <f>IF(F2=12,ROUND((社保明细工资人数!J8/2+社保明细工资人数!J11+社保明细工资人数!J14+社保明细工资人数!J17+社保明细工资人数!J20/2)/4,0),"请自行计算")</f>
        <v>0</v>
      </c>
      <c r="H2" s="2454">
        <f>IF(F2=12,ROUND((资产负债!C35/2+资产负债!I11+资产负债!I14+资产负债!I17+资产负债!D35/2)/4/10000,2),"请自行计算")</f>
        <v>0</v>
      </c>
    </row>
    <row r="3" spans="1:11" s="1603" customFormat="1" ht="14.25" customHeight="1">
      <c r="A3" s="1837" t="s">
        <v>1854</v>
      </c>
      <c r="B3" s="1837" t="s">
        <v>1628</v>
      </c>
      <c r="C3" s="1837" t="s">
        <v>5016</v>
      </c>
      <c r="D3" s="1874" t="s">
        <v>4901</v>
      </c>
      <c r="G3" s="1603" t="str">
        <f>TEXT(基本情况!B45,"yyyy年m月")</f>
        <v>1900年1月</v>
      </c>
      <c r="H3" s="1603" t="str">
        <f>IF(A000000企业基础信息表!E7="否",IF(AND(LEFT(A000000企业基础信息表!B7,2)&gt;"05",LEFT(A000000企业基础信息表!B7,2)&lt;"47",G2&lt;=100,H2&lt;=30000000),"工业企业",IF(OR(LEFT(A000000企业基础信息表!B7,2)&gt;"50",LEFT(A000000企业基础信息表!B7,2)&lt;"06"),IF(AND(G2&lt;=80,H2&lt;=10000000),"其他企业",""),"")),"")</f>
        <v>其他企业</v>
      </c>
      <c r="I3" s="1603">
        <f>IFERROR(VLOOKUP(G3,B77:D87,2,FALSE),C76)</f>
        <v>7.4999999999999997E-2</v>
      </c>
      <c r="J3" s="1603">
        <f>IFERROR(VLOOKUP(G3,B77:D87,3,FALSE),D76)</f>
        <v>3.7499999999999999E-2</v>
      </c>
    </row>
    <row r="4" spans="1:11" s="1603" customFormat="1" ht="14.25" customHeight="1">
      <c r="A4" s="2241">
        <v>1</v>
      </c>
      <c r="B4" s="1838" t="s">
        <v>6847</v>
      </c>
      <c r="C4" s="2460"/>
      <c r="D4" s="1898"/>
      <c r="F4" s="1604"/>
      <c r="G4" s="1604"/>
      <c r="H4" s="2453">
        <f ca="1">IF(H3&lt;&gt;"",IF('A100000中华人民共和国企业所得税年度纳税申报表（A类）'!D26&lt;=300000,ROUND('A100000中华人民共和国企业所得税年度纳税申报表（A类）'!D26*0.15,2),""))</f>
        <v>0</v>
      </c>
      <c r="I4" s="1604"/>
      <c r="J4" s="1604"/>
      <c r="K4" s="1604"/>
    </row>
    <row r="5" spans="1:11" s="1603" customFormat="1" ht="14.25" customHeight="1">
      <c r="A5" s="2241">
        <v>2</v>
      </c>
      <c r="B5" s="1838" t="s">
        <v>6848</v>
      </c>
      <c r="C5" s="2460"/>
      <c r="D5" s="1979"/>
      <c r="F5" s="1604"/>
      <c r="G5" s="1604"/>
      <c r="H5" s="2453">
        <f ca="1">IF(H3&lt;&gt;"",IF('A100000中华人民共和国企业所得税年度纳税申报表（A类）'!D26&lt;=300000,ROUND('A100000中华人民共和国企业所得税年度纳税申报表（A类）'!D26*0.15,2),""))</f>
        <v>0</v>
      </c>
      <c r="I5" s="1604"/>
      <c r="J5" s="1604"/>
      <c r="K5" s="1604"/>
    </row>
    <row r="6" spans="1:11" s="1603" customFormat="1" ht="14.25" customHeight="1">
      <c r="A6" s="2241">
        <v>3</v>
      </c>
      <c r="B6" s="1838" t="s">
        <v>6849</v>
      </c>
      <c r="C6" s="2242">
        <f>A107041高新技术企业优惠情况及明细表!D34</f>
        <v>0</v>
      </c>
      <c r="D6" s="1838"/>
      <c r="H6" s="3460" t="s">
        <v>7169</v>
      </c>
      <c r="I6" s="3460"/>
      <c r="J6" s="3460"/>
    </row>
    <row r="7" spans="1:11" s="1603" customFormat="1" ht="15" customHeight="1">
      <c r="A7" s="2288">
        <v>4</v>
      </c>
      <c r="B7" s="1883" t="s">
        <v>6850</v>
      </c>
      <c r="C7" s="2084"/>
      <c r="D7" s="2290" t="s">
        <v>6882</v>
      </c>
      <c r="H7" s="3460"/>
      <c r="I7" s="3460"/>
      <c r="J7" s="3460"/>
    </row>
    <row r="8" spans="1:11" s="1603" customFormat="1" ht="14.25" customHeight="1">
      <c r="A8" s="2241">
        <v>5</v>
      </c>
      <c r="B8" s="1838" t="s">
        <v>6851</v>
      </c>
      <c r="C8" s="2240"/>
      <c r="D8" s="2290" t="s">
        <v>6882</v>
      </c>
    </row>
    <row r="9" spans="1:11" s="1603" customFormat="1" ht="14.25" customHeight="1">
      <c r="A9" s="2241">
        <v>6</v>
      </c>
      <c r="B9" s="1838" t="s">
        <v>6852</v>
      </c>
      <c r="C9" s="2077">
        <f>C10+C14+C18+C22+SUM(C26:C29)+C32+SUM(C35:C50)</f>
        <v>0</v>
      </c>
      <c r="D9" s="1838"/>
    </row>
    <row r="10" spans="1:11" s="1603" customFormat="1" ht="14.25" customHeight="1">
      <c r="A10" s="2241">
        <v>7</v>
      </c>
      <c r="B10" s="1838" t="s">
        <v>6853</v>
      </c>
      <c r="C10" s="2077">
        <f>C11+C12+C13</f>
        <v>0</v>
      </c>
      <c r="D10" s="1838"/>
    </row>
    <row r="11" spans="1:11" s="1603" customFormat="1" ht="14.25" customHeight="1">
      <c r="A11" s="2241">
        <v>7.1</v>
      </c>
      <c r="B11" s="1838" t="s">
        <v>6881</v>
      </c>
      <c r="C11" s="2240"/>
      <c r="D11" s="1838"/>
    </row>
    <row r="12" spans="1:11" s="1603" customFormat="1" ht="14.25" customHeight="1">
      <c r="A12" s="2241">
        <v>7.2</v>
      </c>
      <c r="B12" s="2289" t="s">
        <v>6880</v>
      </c>
      <c r="C12" s="2240"/>
      <c r="D12" s="1838"/>
    </row>
    <row r="13" spans="1:11" s="1603" customFormat="1" ht="14.25" customHeight="1">
      <c r="A13" s="2241">
        <v>7.3</v>
      </c>
      <c r="B13" s="2289" t="s">
        <v>6879</v>
      </c>
      <c r="C13" s="2240"/>
      <c r="D13" s="1838"/>
    </row>
    <row r="14" spans="1:11" s="1603" customFormat="1" ht="14.25" customHeight="1">
      <c r="A14" s="2241">
        <v>8</v>
      </c>
      <c r="B14" s="1838" t="s">
        <v>6854</v>
      </c>
      <c r="C14" s="2077">
        <f>C15+C16+C17</f>
        <v>0</v>
      </c>
      <c r="D14" s="1838"/>
    </row>
    <row r="15" spans="1:11" s="1603" customFormat="1" ht="14.25" customHeight="1">
      <c r="A15" s="2241">
        <v>8.1</v>
      </c>
      <c r="B15" s="1838" t="s">
        <v>6881</v>
      </c>
      <c r="C15" s="2240"/>
      <c r="D15" s="1838"/>
    </row>
    <row r="16" spans="1:11" s="1603" customFormat="1" ht="14.25" customHeight="1">
      <c r="A16" s="2241">
        <v>8.1999999999999993</v>
      </c>
      <c r="B16" s="2289" t="s">
        <v>6880</v>
      </c>
      <c r="C16" s="2240"/>
      <c r="D16" s="1838"/>
    </row>
    <row r="17" spans="1:4" s="1603" customFormat="1" ht="14.25" customHeight="1">
      <c r="A17" s="2241">
        <v>8.3000000000000007</v>
      </c>
      <c r="B17" s="2289" t="s">
        <v>6879</v>
      </c>
      <c r="C17" s="2240"/>
      <c r="D17" s="1838"/>
    </row>
    <row r="18" spans="1:4" s="1603" customFormat="1" ht="14.25" customHeight="1">
      <c r="A18" s="2241">
        <v>9</v>
      </c>
      <c r="B18" s="1838" t="s">
        <v>6855</v>
      </c>
      <c r="C18" s="2077">
        <f>C19+C20+C21</f>
        <v>0</v>
      </c>
      <c r="D18" s="1838"/>
    </row>
    <row r="19" spans="1:4" s="1603" customFormat="1" ht="14.25" customHeight="1">
      <c r="A19" s="2241">
        <v>9.1</v>
      </c>
      <c r="B19" s="1838" t="s">
        <v>6883</v>
      </c>
      <c r="C19" s="2240"/>
      <c r="D19" s="1838"/>
    </row>
    <row r="20" spans="1:4" s="1603" customFormat="1" ht="14.25" customHeight="1">
      <c r="A20" s="2241">
        <v>9.1999999999999993</v>
      </c>
      <c r="B20" s="2289" t="s">
        <v>6880</v>
      </c>
      <c r="C20" s="2240"/>
      <c r="D20" s="1838"/>
    </row>
    <row r="21" spans="1:4" s="1603" customFormat="1" ht="14.25" customHeight="1">
      <c r="A21" s="2241">
        <v>9.3000000000000007</v>
      </c>
      <c r="B21" s="2289" t="s">
        <v>6879</v>
      </c>
      <c r="C21" s="2240"/>
      <c r="D21" s="1838"/>
    </row>
    <row r="22" spans="1:4" s="1603" customFormat="1" ht="14.25" customHeight="1">
      <c r="A22" s="2241">
        <v>10</v>
      </c>
      <c r="B22" s="1838" t="s">
        <v>6856</v>
      </c>
      <c r="C22" s="2077">
        <f>C23+C24+C25</f>
        <v>0</v>
      </c>
      <c r="D22" s="1838"/>
    </row>
    <row r="23" spans="1:4" s="1603" customFormat="1" ht="14.25" customHeight="1">
      <c r="A23" s="2241">
        <v>10.1</v>
      </c>
      <c r="B23" s="1838" t="s">
        <v>6884</v>
      </c>
      <c r="C23" s="2240"/>
      <c r="D23" s="1838"/>
    </row>
    <row r="24" spans="1:4" s="1603" customFormat="1" ht="14.25" customHeight="1">
      <c r="A24" s="2241">
        <v>10.199999999999999</v>
      </c>
      <c r="B24" s="1838" t="s">
        <v>6857</v>
      </c>
      <c r="C24" s="2240"/>
      <c r="D24" s="1838"/>
    </row>
    <row r="25" spans="1:4" s="1603" customFormat="1" ht="14.25" customHeight="1">
      <c r="A25" s="2241">
        <v>10.3</v>
      </c>
      <c r="B25" s="1838" t="s">
        <v>6858</v>
      </c>
      <c r="C25" s="2240"/>
      <c r="D25" s="1838"/>
    </row>
    <row r="26" spans="1:4" s="1603" customFormat="1" ht="14.25" customHeight="1">
      <c r="A26" s="2241">
        <v>11</v>
      </c>
      <c r="B26" s="1838" t="s">
        <v>6859</v>
      </c>
      <c r="C26" s="2240"/>
      <c r="D26" s="1838"/>
    </row>
    <row r="27" spans="1:4" s="1603" customFormat="1" ht="14.25" customHeight="1">
      <c r="A27" s="2241">
        <v>12</v>
      </c>
      <c r="B27" s="1838" t="s">
        <v>6860</v>
      </c>
      <c r="C27" s="2240"/>
      <c r="D27" s="1838"/>
    </row>
    <row r="28" spans="1:4" s="1603" customFormat="1" ht="14.25" customHeight="1">
      <c r="A28" s="2241">
        <v>13</v>
      </c>
      <c r="B28" s="1838" t="s">
        <v>6861</v>
      </c>
      <c r="C28" s="2240"/>
      <c r="D28" s="1838"/>
    </row>
    <row r="29" spans="1:4" s="1603" customFormat="1" ht="14.25" customHeight="1">
      <c r="A29" s="2241">
        <v>14</v>
      </c>
      <c r="B29" s="1838" t="s">
        <v>6862</v>
      </c>
      <c r="C29" s="2077">
        <f>C30+C31+C32</f>
        <v>0</v>
      </c>
      <c r="D29" s="1838"/>
    </row>
    <row r="30" spans="1:4" s="1603" customFormat="1" ht="14.25" customHeight="1">
      <c r="A30" s="2241">
        <v>14.1</v>
      </c>
      <c r="B30" s="1838" t="s">
        <v>6885</v>
      </c>
      <c r="C30" s="2240"/>
      <c r="D30" s="1838"/>
    </row>
    <row r="31" spans="1:4" s="1603" customFormat="1" ht="14.25" customHeight="1">
      <c r="A31" s="2241">
        <v>14.2</v>
      </c>
      <c r="B31" s="1838" t="s">
        <v>6886</v>
      </c>
      <c r="C31" s="2240"/>
      <c r="D31" s="1838"/>
    </row>
    <row r="32" spans="1:4" s="1603" customFormat="1" ht="14.25" customHeight="1">
      <c r="A32" s="2241">
        <v>15</v>
      </c>
      <c r="B32" s="1838" t="s">
        <v>6863</v>
      </c>
      <c r="C32" s="2077">
        <f>C33+C34+C35</f>
        <v>0</v>
      </c>
      <c r="D32" s="1838"/>
    </row>
    <row r="33" spans="1:5" s="1603" customFormat="1" ht="14.25" customHeight="1">
      <c r="A33" s="2241">
        <v>15.1</v>
      </c>
      <c r="B33" s="1838" t="s">
        <v>6887</v>
      </c>
      <c r="C33" s="2240"/>
      <c r="D33" s="1838"/>
    </row>
    <row r="34" spans="1:5" s="1603" customFormat="1" ht="14.25" customHeight="1">
      <c r="A34" s="2241">
        <v>15.2</v>
      </c>
      <c r="B34" s="1838" t="s">
        <v>6888</v>
      </c>
      <c r="C34" s="2240"/>
      <c r="D34" s="1838"/>
    </row>
    <row r="35" spans="1:5" s="1603" customFormat="1" ht="14.25" customHeight="1">
      <c r="A35" s="2241">
        <v>16</v>
      </c>
      <c r="B35" s="1838" t="s">
        <v>6864</v>
      </c>
      <c r="C35" s="2242">
        <f>软件、集成电路企业优惠情况审核表!E45</f>
        <v>0</v>
      </c>
      <c r="D35" s="1838"/>
    </row>
    <row r="36" spans="1:5" s="1603" customFormat="1" ht="14.25" customHeight="1">
      <c r="A36" s="2241">
        <v>17</v>
      </c>
      <c r="B36" s="1838" t="s">
        <v>6865</v>
      </c>
      <c r="C36" s="2240"/>
      <c r="D36" s="1838"/>
    </row>
    <row r="37" spans="1:5" s="1603" customFormat="1" ht="14.25" customHeight="1">
      <c r="A37" s="2241">
        <v>18</v>
      </c>
      <c r="B37" s="1838" t="s">
        <v>6866</v>
      </c>
      <c r="C37" s="2240"/>
      <c r="D37" s="1838"/>
    </row>
    <row r="38" spans="1:5" s="1603" customFormat="1" ht="14.25" customHeight="1">
      <c r="A38" s="2241">
        <v>19</v>
      </c>
      <c r="B38" s="1838" t="s">
        <v>6867</v>
      </c>
      <c r="C38" s="2240"/>
      <c r="D38" s="1838"/>
    </row>
    <row r="39" spans="1:5" s="1603" customFormat="1" ht="14.25" customHeight="1">
      <c r="A39" s="2241">
        <v>20</v>
      </c>
      <c r="B39" s="1838" t="s">
        <v>6868</v>
      </c>
      <c r="C39" s="2240"/>
      <c r="D39" s="1838"/>
    </row>
    <row r="40" spans="1:5" s="1603" customFormat="1" ht="14.25" customHeight="1">
      <c r="A40" s="2241">
        <v>21</v>
      </c>
      <c r="B40" s="1838" t="s">
        <v>6869</v>
      </c>
      <c r="C40" s="2240"/>
      <c r="D40" s="1838"/>
    </row>
    <row r="41" spans="1:5" s="1603" customFormat="1" ht="14.25" customHeight="1">
      <c r="A41" s="2241">
        <v>22</v>
      </c>
      <c r="B41" s="1838" t="s">
        <v>6870</v>
      </c>
      <c r="C41" s="2240"/>
      <c r="D41" s="1838"/>
    </row>
    <row r="42" spans="1:5" s="1603" customFormat="1" ht="14.25" customHeight="1">
      <c r="A42" s="2241">
        <v>23</v>
      </c>
      <c r="B42" s="1838" t="s">
        <v>6871</v>
      </c>
      <c r="C42" s="2240"/>
      <c r="D42" s="1838"/>
    </row>
    <row r="43" spans="1:5" s="1603" customFormat="1" ht="14.25" customHeight="1">
      <c r="A43" s="2241">
        <v>24</v>
      </c>
      <c r="B43" s="1838" t="s">
        <v>5670</v>
      </c>
      <c r="C43" s="2078"/>
      <c r="D43" s="1838"/>
    </row>
    <row r="44" spans="1:5" s="1603" customFormat="1" ht="14.25" customHeight="1">
      <c r="A44" s="2241">
        <v>25</v>
      </c>
      <c r="B44" s="1838" t="s">
        <v>6872</v>
      </c>
      <c r="C44" s="2078"/>
      <c r="D44" s="1838"/>
    </row>
    <row r="45" spans="1:5" s="1603" customFormat="1" ht="14.25" customHeight="1">
      <c r="A45" s="2241">
        <v>26</v>
      </c>
      <c r="B45" s="1838" t="s">
        <v>6873</v>
      </c>
      <c r="C45" s="2078"/>
      <c r="D45" s="1838"/>
    </row>
    <row r="46" spans="1:5" s="1603" customFormat="1" ht="14.25" customHeight="1">
      <c r="A46" s="2241">
        <v>27</v>
      </c>
      <c r="B46" s="1838" t="s">
        <v>6874</v>
      </c>
      <c r="C46" s="2078"/>
      <c r="D46" s="1838"/>
      <c r="E46" s="1772" t="s">
        <v>6470</v>
      </c>
    </row>
    <row r="47" spans="1:5" s="1603" customFormat="1" ht="14.25" customHeight="1">
      <c r="A47" s="2241">
        <v>28</v>
      </c>
      <c r="B47" s="1838" t="s">
        <v>6875</v>
      </c>
      <c r="C47" s="2078"/>
      <c r="D47" s="1838"/>
    </row>
    <row r="48" spans="1:5" s="1603" customFormat="1" ht="14.25" customHeight="1">
      <c r="A48" s="2241">
        <v>29</v>
      </c>
      <c r="B48" s="1838" t="s">
        <v>6889</v>
      </c>
      <c r="C48" s="2078"/>
      <c r="D48" s="1838"/>
    </row>
    <row r="49" spans="1:4" s="1603" customFormat="1" ht="14.25" customHeight="1">
      <c r="A49" s="2241">
        <v>30</v>
      </c>
      <c r="B49" s="1838" t="s">
        <v>6890</v>
      </c>
      <c r="C49" s="2078"/>
      <c r="D49" s="1838"/>
    </row>
    <row r="50" spans="1:4" s="1603" customFormat="1" ht="14.25" customHeight="1">
      <c r="A50" s="2241">
        <v>31</v>
      </c>
      <c r="B50" s="1838" t="s">
        <v>6891</v>
      </c>
      <c r="C50" s="2078"/>
      <c r="D50" s="1838"/>
    </row>
    <row r="51" spans="1:4" s="1603" customFormat="1" ht="14.25" customHeight="1">
      <c r="A51" s="2241">
        <v>32</v>
      </c>
      <c r="B51" s="1838" t="s">
        <v>6876</v>
      </c>
      <c r="C51" s="2078"/>
      <c r="D51" s="1838"/>
    </row>
    <row r="52" spans="1:4" s="1603" customFormat="1" ht="14.25" customHeight="1">
      <c r="A52" s="2241">
        <v>33</v>
      </c>
      <c r="B52" s="1838" t="s">
        <v>6877</v>
      </c>
      <c r="C52" s="2078"/>
      <c r="D52" s="1838"/>
    </row>
    <row r="53" spans="1:4" s="1603" customFormat="1" ht="14.25" customHeight="1">
      <c r="A53" s="2241">
        <v>34</v>
      </c>
      <c r="B53" s="1838" t="s">
        <v>6878</v>
      </c>
      <c r="C53" s="2077">
        <f>C4+C6+C9-C51+C52</f>
        <v>0</v>
      </c>
      <c r="D53" s="2293" t="s">
        <v>6894</v>
      </c>
    </row>
    <row r="54" spans="1:4">
      <c r="A54" s="3461"/>
      <c r="B54" s="3461"/>
      <c r="C54" s="3461"/>
      <c r="D54" s="2431"/>
    </row>
    <row r="55" spans="1:4">
      <c r="A55" s="3462" t="s">
        <v>7048</v>
      </c>
      <c r="B55" s="3462"/>
      <c r="C55" s="3462"/>
      <c r="D55" s="3462"/>
    </row>
    <row r="56" spans="1:4">
      <c r="A56" s="2432"/>
      <c r="B56" s="2432"/>
      <c r="C56" s="2432"/>
      <c r="D56" s="2432"/>
    </row>
    <row r="57" spans="1:4">
      <c r="A57" s="3457" t="s">
        <v>7049</v>
      </c>
      <c r="B57" s="3457"/>
      <c r="C57" s="3457"/>
      <c r="D57" s="3457"/>
    </row>
    <row r="58" spans="1:4">
      <c r="A58" s="3457" t="s">
        <v>7050</v>
      </c>
      <c r="B58" s="3457"/>
      <c r="C58" s="3457"/>
      <c r="D58" s="3457"/>
    </row>
    <row r="59" spans="1:4">
      <c r="A59" s="3457" t="s">
        <v>7051</v>
      </c>
      <c r="B59" s="3457"/>
      <c r="C59" s="3457"/>
      <c r="D59" s="3457"/>
    </row>
    <row r="60" spans="1:4">
      <c r="A60" s="3457" t="s">
        <v>7052</v>
      </c>
      <c r="B60" s="3457"/>
      <c r="C60" s="3457"/>
      <c r="D60" s="3457"/>
    </row>
    <row r="61" spans="1:4">
      <c r="A61" s="3457" t="s">
        <v>7053</v>
      </c>
      <c r="B61" s="3457"/>
      <c r="C61" s="3457"/>
      <c r="D61" s="3457"/>
    </row>
    <row r="62" spans="1:4">
      <c r="A62" s="3457" t="s">
        <v>7054</v>
      </c>
      <c r="B62" s="3457"/>
      <c r="C62" s="3457"/>
      <c r="D62" s="3457"/>
    </row>
    <row r="63" spans="1:4">
      <c r="A63" s="3457" t="s">
        <v>7055</v>
      </c>
      <c r="B63" s="3457"/>
      <c r="C63" s="3457"/>
      <c r="D63" s="3457"/>
    </row>
    <row r="64" spans="1:4">
      <c r="A64" s="3457" t="s">
        <v>7056</v>
      </c>
      <c r="B64" s="3457"/>
      <c r="C64" s="3457"/>
      <c r="D64" s="3457"/>
    </row>
    <row r="65" spans="1:4">
      <c r="A65" s="3457" t="s">
        <v>7054</v>
      </c>
      <c r="B65" s="3457"/>
      <c r="C65" s="3457"/>
      <c r="D65" s="3457"/>
    </row>
    <row r="66" spans="1:4">
      <c r="A66" s="3457" t="s">
        <v>7057</v>
      </c>
      <c r="B66" s="3457"/>
      <c r="C66" s="3457"/>
      <c r="D66" s="3457"/>
    </row>
    <row r="67" spans="1:4">
      <c r="A67" s="3457" t="s">
        <v>7058</v>
      </c>
      <c r="B67" s="3457"/>
      <c r="C67" s="3457"/>
      <c r="D67" s="3457"/>
    </row>
    <row r="68" spans="1:4">
      <c r="A68" s="3457" t="s">
        <v>7059</v>
      </c>
      <c r="B68" s="3457"/>
      <c r="C68" s="3457"/>
      <c r="D68" s="3457"/>
    </row>
    <row r="69" spans="1:4">
      <c r="A69" s="3457" t="s">
        <v>7060</v>
      </c>
      <c r="B69" s="3457"/>
      <c r="C69" s="3457"/>
      <c r="D69" s="3457"/>
    </row>
    <row r="70" spans="1:4">
      <c r="A70" s="3457" t="s">
        <v>7061</v>
      </c>
      <c r="B70" s="3457"/>
      <c r="C70" s="3457"/>
      <c r="D70" s="3457"/>
    </row>
    <row r="71" spans="1:4">
      <c r="A71" s="3457" t="s">
        <v>7062</v>
      </c>
      <c r="B71" s="3457"/>
      <c r="C71" s="3457"/>
      <c r="D71" s="3457"/>
    </row>
    <row r="72" spans="1:4">
      <c r="A72" s="3457" t="s">
        <v>7063</v>
      </c>
      <c r="B72" s="3457"/>
      <c r="C72" s="3457"/>
      <c r="D72" s="3457"/>
    </row>
    <row r="73" spans="1:4" ht="16.2" thickBot="1">
      <c r="A73" s="3457" t="s">
        <v>7064</v>
      </c>
      <c r="B73" s="3457"/>
      <c r="C73" s="3457"/>
      <c r="D73" s="3457"/>
    </row>
    <row r="74" spans="1:4" ht="16.8" thickTop="1" thickBot="1">
      <c r="A74" s="2433"/>
      <c r="B74" s="2434"/>
      <c r="C74" s="3458" t="s">
        <v>1149</v>
      </c>
      <c r="D74" s="3459"/>
    </row>
    <row r="75" spans="1:4" ht="16.2" thickBot="1">
      <c r="A75" s="2433"/>
      <c r="B75" s="2435" t="s">
        <v>7065</v>
      </c>
      <c r="C75" s="2436" t="s">
        <v>7066</v>
      </c>
      <c r="D75" s="2437" t="s">
        <v>7067</v>
      </c>
    </row>
    <row r="76" spans="1:4" ht="16.2" thickBot="1">
      <c r="A76" s="2433"/>
      <c r="B76" s="2435" t="s">
        <v>7068</v>
      </c>
      <c r="C76" s="2438">
        <v>7.4999999999999997E-2</v>
      </c>
      <c r="D76" s="2439">
        <v>3.7499999999999999E-2</v>
      </c>
    </row>
    <row r="77" spans="1:4" ht="16.2" thickBot="1">
      <c r="A77" s="2433"/>
      <c r="B77" s="2440" t="s">
        <v>7069</v>
      </c>
      <c r="C77" s="2438">
        <v>7.7299999999999994E-2</v>
      </c>
      <c r="D77" s="2439">
        <v>4.0899999999999999E-2</v>
      </c>
    </row>
    <row r="78" spans="1:4" ht="16.2" thickBot="1">
      <c r="A78" s="2433"/>
      <c r="B78" s="2440" t="s">
        <v>7070</v>
      </c>
      <c r="C78" s="2438">
        <v>0.08</v>
      </c>
      <c r="D78" s="2439">
        <v>4.4999999999999998E-2</v>
      </c>
    </row>
    <row r="79" spans="1:4" ht="16.2" thickBot="1">
      <c r="A79" s="2433"/>
      <c r="B79" s="2440" t="s">
        <v>7071</v>
      </c>
      <c r="C79" s="2438">
        <v>8.3299999999999999E-2</v>
      </c>
      <c r="D79" s="2439">
        <v>0.05</v>
      </c>
    </row>
    <row r="80" spans="1:4" ht="16.2" thickBot="1">
      <c r="A80" s="2433"/>
      <c r="B80" s="2440" t="s">
        <v>7072</v>
      </c>
      <c r="C80" s="2438">
        <v>8.7499999999999994E-2</v>
      </c>
      <c r="D80" s="2439">
        <v>5.6300000000000003E-2</v>
      </c>
    </row>
    <row r="81" spans="1:4" ht="16.2" thickBot="1">
      <c r="A81" s="2433"/>
      <c r="B81" s="2440" t="s">
        <v>7073</v>
      </c>
      <c r="C81" s="2438">
        <v>9.2899999999999996E-2</v>
      </c>
      <c r="D81" s="2439">
        <v>6.4299999999999996E-2</v>
      </c>
    </row>
    <row r="82" spans="1:4" ht="16.2" thickBot="1">
      <c r="A82" s="2433"/>
      <c r="B82" s="2440" t="s">
        <v>7074</v>
      </c>
      <c r="C82" s="2438">
        <v>0.1</v>
      </c>
      <c r="D82" s="2439">
        <v>7.4999999999999997E-2</v>
      </c>
    </row>
    <row r="83" spans="1:4" ht="16.2" thickBot="1">
      <c r="A83" s="2433"/>
      <c r="B83" s="2440" t="s">
        <v>7075</v>
      </c>
      <c r="C83" s="2438">
        <v>0.11</v>
      </c>
      <c r="D83" s="2439">
        <v>0.09</v>
      </c>
    </row>
    <row r="84" spans="1:4" ht="16.2" thickBot="1">
      <c r="A84" s="2433"/>
      <c r="B84" s="2440" t="s">
        <v>7076</v>
      </c>
      <c r="C84" s="2438">
        <v>0.125</v>
      </c>
      <c r="D84" s="2439">
        <v>0.1125</v>
      </c>
    </row>
    <row r="85" spans="1:4" ht="16.2" thickBot="1">
      <c r="A85" s="2433"/>
      <c r="B85" s="2440" t="s">
        <v>7077</v>
      </c>
      <c r="C85" s="2438">
        <v>0.15</v>
      </c>
      <c r="D85" s="2441">
        <v>0.15</v>
      </c>
    </row>
    <row r="86" spans="1:4" ht="16.2" thickBot="1">
      <c r="A86" s="2433"/>
      <c r="B86" s="2440" t="s">
        <v>7078</v>
      </c>
      <c r="C86" s="2438">
        <v>0.15</v>
      </c>
      <c r="D86" s="2441">
        <v>0.15</v>
      </c>
    </row>
    <row r="87" spans="1:4" ht="16.2" thickBot="1">
      <c r="A87" s="2433"/>
      <c r="B87" s="2442" t="s">
        <v>7079</v>
      </c>
      <c r="C87" s="2443">
        <v>0.15</v>
      </c>
      <c r="D87" s="2444">
        <v>0.15</v>
      </c>
    </row>
    <row r="88" spans="1:4" ht="16.2" thickTop="1">
      <c r="A88" s="3457" t="s">
        <v>7080</v>
      </c>
      <c r="B88" s="3457"/>
      <c r="C88" s="3457"/>
      <c r="D88" s="3457"/>
    </row>
    <row r="89" spans="1:4">
      <c r="A89" s="3457" t="s">
        <v>7081</v>
      </c>
      <c r="B89" s="3457"/>
      <c r="C89" s="3457"/>
      <c r="D89" s="3457"/>
    </row>
    <row r="90" spans="1:4">
      <c r="A90" s="3457" t="s">
        <v>7082</v>
      </c>
      <c r="B90" s="3457"/>
      <c r="C90" s="3457"/>
      <c r="D90" s="3457"/>
    </row>
    <row r="91" spans="1:4">
      <c r="A91" s="3457" t="s">
        <v>7083</v>
      </c>
      <c r="B91" s="3457"/>
      <c r="C91" s="3457"/>
      <c r="D91" s="3457"/>
    </row>
    <row r="92" spans="1:4">
      <c r="A92" s="3457" t="s">
        <v>7084</v>
      </c>
      <c r="B92" s="3457"/>
      <c r="C92" s="3457"/>
      <c r="D92" s="3457"/>
    </row>
    <row r="93" spans="1:4">
      <c r="A93" s="3457" t="s">
        <v>7085</v>
      </c>
      <c r="B93" s="3457"/>
      <c r="C93" s="3457"/>
      <c r="D93" s="3457"/>
    </row>
    <row r="94" spans="1:4">
      <c r="A94" s="3457" t="s">
        <v>7086</v>
      </c>
      <c r="B94" s="3457"/>
      <c r="C94" s="3457"/>
      <c r="D94" s="3457"/>
    </row>
    <row r="95" spans="1:4">
      <c r="A95" s="3457" t="s">
        <v>7087</v>
      </c>
      <c r="B95" s="3457"/>
      <c r="C95" s="3457"/>
      <c r="D95" s="3457"/>
    </row>
    <row r="96" spans="1:4">
      <c r="A96" s="3457" t="s">
        <v>7088</v>
      </c>
      <c r="B96" s="3457"/>
      <c r="C96" s="3457"/>
      <c r="D96" s="3457"/>
    </row>
    <row r="97" spans="1:4">
      <c r="A97" s="3457" t="s">
        <v>7089</v>
      </c>
      <c r="B97" s="3457"/>
      <c r="C97" s="3457"/>
      <c r="D97" s="3457"/>
    </row>
    <row r="98" spans="1:4">
      <c r="A98" s="3457" t="s">
        <v>7090</v>
      </c>
      <c r="B98" s="3457"/>
      <c r="C98" s="3457"/>
      <c r="D98" s="3457"/>
    </row>
    <row r="99" spans="1:4">
      <c r="A99" s="3457" t="s">
        <v>7091</v>
      </c>
      <c r="B99" s="3457"/>
      <c r="C99" s="3457"/>
      <c r="D99" s="3457"/>
    </row>
    <row r="100" spans="1:4">
      <c r="A100" s="3457" t="s">
        <v>7092</v>
      </c>
      <c r="B100" s="3457"/>
      <c r="C100" s="3457"/>
      <c r="D100" s="3457"/>
    </row>
    <row r="101" spans="1:4">
      <c r="A101" s="3457" t="s">
        <v>7093</v>
      </c>
      <c r="B101" s="3457"/>
      <c r="C101" s="3457"/>
      <c r="D101" s="3457"/>
    </row>
    <row r="102" spans="1:4">
      <c r="A102" s="3457" t="s">
        <v>7094</v>
      </c>
      <c r="B102" s="3457"/>
      <c r="C102" s="3457"/>
      <c r="D102" s="3457"/>
    </row>
    <row r="103" spans="1:4">
      <c r="A103" s="3457" t="s">
        <v>7095</v>
      </c>
      <c r="B103" s="3457"/>
      <c r="C103" s="3457"/>
      <c r="D103" s="3457"/>
    </row>
    <row r="104" spans="1:4">
      <c r="A104" s="3457" t="s">
        <v>7096</v>
      </c>
      <c r="B104" s="3457"/>
      <c r="C104" s="3457"/>
      <c r="D104" s="3457"/>
    </row>
    <row r="105" spans="1:4">
      <c r="A105" s="3457" t="s">
        <v>7097</v>
      </c>
      <c r="B105" s="3457"/>
      <c r="C105" s="3457"/>
      <c r="D105" s="3457"/>
    </row>
    <row r="106" spans="1:4">
      <c r="A106" s="3457" t="s">
        <v>7098</v>
      </c>
      <c r="B106" s="3457"/>
      <c r="C106" s="3457"/>
      <c r="D106" s="3457"/>
    </row>
    <row r="107" spans="1:4">
      <c r="A107" s="3457" t="s">
        <v>7099</v>
      </c>
      <c r="B107" s="3457"/>
      <c r="C107" s="3457"/>
      <c r="D107" s="3457"/>
    </row>
    <row r="108" spans="1:4">
      <c r="A108" s="3457" t="s">
        <v>7100</v>
      </c>
      <c r="B108" s="3457"/>
      <c r="C108" s="3457"/>
      <c r="D108" s="3457"/>
    </row>
    <row r="109" spans="1:4">
      <c r="A109" s="3457" t="s">
        <v>7101</v>
      </c>
      <c r="B109" s="3457"/>
      <c r="C109" s="3457"/>
      <c r="D109" s="3457"/>
    </row>
    <row r="110" spans="1:4">
      <c r="A110" s="3457" t="s">
        <v>7102</v>
      </c>
      <c r="B110" s="3457"/>
      <c r="C110" s="3457"/>
      <c r="D110" s="3457"/>
    </row>
    <row r="111" spans="1:4">
      <c r="A111" s="3457" t="s">
        <v>7103</v>
      </c>
      <c r="B111" s="3457"/>
      <c r="C111" s="3457"/>
      <c r="D111" s="3457"/>
    </row>
    <row r="112" spans="1:4">
      <c r="A112" s="3457" t="s">
        <v>7104</v>
      </c>
      <c r="B112" s="3457"/>
      <c r="C112" s="3457"/>
      <c r="D112" s="3457"/>
    </row>
    <row r="113" spans="1:4">
      <c r="A113" s="3457" t="s">
        <v>7105</v>
      </c>
      <c r="B113" s="3457"/>
      <c r="C113" s="3457"/>
      <c r="D113" s="3457"/>
    </row>
    <row r="114" spans="1:4">
      <c r="A114" s="3457" t="s">
        <v>7106</v>
      </c>
      <c r="B114" s="3457"/>
      <c r="C114" s="3457"/>
      <c r="D114" s="3457"/>
    </row>
    <row r="115" spans="1:4">
      <c r="A115" s="3457" t="s">
        <v>7107</v>
      </c>
      <c r="B115" s="3457"/>
      <c r="C115" s="3457"/>
      <c r="D115" s="3457"/>
    </row>
    <row r="116" spans="1:4">
      <c r="A116" s="3457" t="s">
        <v>7108</v>
      </c>
      <c r="B116" s="3457"/>
      <c r="C116" s="3457"/>
      <c r="D116" s="3457"/>
    </row>
    <row r="117" spans="1:4">
      <c r="A117" s="3457" t="s">
        <v>7109</v>
      </c>
      <c r="B117" s="3457"/>
      <c r="C117" s="3457"/>
      <c r="D117" s="3457"/>
    </row>
    <row r="118" spans="1:4">
      <c r="A118" s="3457" t="s">
        <v>7110</v>
      </c>
      <c r="B118" s="3457"/>
      <c r="C118" s="3457"/>
      <c r="D118" s="3457"/>
    </row>
    <row r="119" spans="1:4">
      <c r="A119" s="3457" t="s">
        <v>7111</v>
      </c>
      <c r="B119" s="3457"/>
      <c r="C119" s="3457"/>
      <c r="D119" s="3457"/>
    </row>
    <row r="120" spans="1:4">
      <c r="A120" s="3457" t="s">
        <v>7112</v>
      </c>
      <c r="B120" s="3457"/>
      <c r="C120" s="3457"/>
      <c r="D120" s="3457"/>
    </row>
    <row r="121" spans="1:4">
      <c r="A121" s="3457" t="s">
        <v>7113</v>
      </c>
      <c r="B121" s="3457"/>
      <c r="C121" s="3457"/>
      <c r="D121" s="3457"/>
    </row>
    <row r="122" spans="1:4">
      <c r="A122" s="3457" t="s">
        <v>7114</v>
      </c>
      <c r="B122" s="3457"/>
      <c r="C122" s="3457"/>
      <c r="D122" s="3457"/>
    </row>
    <row r="123" spans="1:4">
      <c r="A123" s="3457" t="s">
        <v>7115</v>
      </c>
      <c r="B123" s="3457"/>
      <c r="C123" s="3457"/>
      <c r="D123" s="3457"/>
    </row>
    <row r="124" spans="1:4">
      <c r="A124" s="3457" t="s">
        <v>7116</v>
      </c>
      <c r="B124" s="3457"/>
      <c r="C124" s="3457"/>
      <c r="D124" s="3457"/>
    </row>
    <row r="125" spans="1:4">
      <c r="A125" s="3457" t="s">
        <v>7117</v>
      </c>
      <c r="B125" s="3457"/>
      <c r="C125" s="3457"/>
      <c r="D125" s="3457"/>
    </row>
    <row r="126" spans="1:4">
      <c r="A126" s="3457" t="s">
        <v>7118</v>
      </c>
      <c r="B126" s="3457"/>
      <c r="C126" s="3457"/>
      <c r="D126" s="3457"/>
    </row>
    <row r="127" spans="1:4">
      <c r="A127" s="3457" t="s">
        <v>7119</v>
      </c>
      <c r="B127" s="3457"/>
      <c r="C127" s="3457"/>
      <c r="D127" s="3457"/>
    </row>
    <row r="128" spans="1:4">
      <c r="A128" s="3457" t="s">
        <v>7120</v>
      </c>
      <c r="B128" s="3457"/>
      <c r="C128" s="3457"/>
      <c r="D128" s="3457"/>
    </row>
    <row r="129" spans="1:4">
      <c r="A129" s="3457" t="s">
        <v>7121</v>
      </c>
      <c r="B129" s="3457"/>
      <c r="C129" s="3457"/>
      <c r="D129" s="3457"/>
    </row>
    <row r="130" spans="1:4">
      <c r="A130" s="3457" t="s">
        <v>7122</v>
      </c>
      <c r="B130" s="3457"/>
      <c r="C130" s="3457"/>
      <c r="D130" s="3457"/>
    </row>
    <row r="131" spans="1:4">
      <c r="A131" s="3457" t="s">
        <v>7123</v>
      </c>
      <c r="B131" s="3457"/>
      <c r="C131" s="3457"/>
      <c r="D131" s="3457"/>
    </row>
    <row r="132" spans="1:4">
      <c r="A132" s="3457" t="s">
        <v>7124</v>
      </c>
      <c r="B132" s="3457"/>
      <c r="C132" s="3457"/>
      <c r="D132" s="3457"/>
    </row>
    <row r="133" spans="1:4">
      <c r="A133" s="3457" t="s">
        <v>7125</v>
      </c>
      <c r="B133" s="3457"/>
      <c r="C133" s="3457"/>
      <c r="D133" s="3457"/>
    </row>
    <row r="134" spans="1:4">
      <c r="A134" s="3457" t="s">
        <v>7126</v>
      </c>
      <c r="B134" s="3457"/>
      <c r="C134" s="3457"/>
      <c r="D134" s="3457"/>
    </row>
    <row r="135" spans="1:4">
      <c r="A135" s="3457" t="s">
        <v>7127</v>
      </c>
      <c r="B135" s="3457"/>
      <c r="C135" s="3457"/>
      <c r="D135" s="3457"/>
    </row>
    <row r="136" spans="1:4">
      <c r="A136" s="3457" t="s">
        <v>7128</v>
      </c>
      <c r="B136" s="3457"/>
      <c r="C136" s="3457"/>
      <c r="D136" s="3457"/>
    </row>
    <row r="137" spans="1:4">
      <c r="A137" s="3457" t="s">
        <v>7129</v>
      </c>
      <c r="B137" s="3457"/>
      <c r="C137" s="3457"/>
      <c r="D137" s="3457"/>
    </row>
    <row r="138" spans="1:4">
      <c r="A138" s="3457" t="s">
        <v>7130</v>
      </c>
      <c r="B138" s="3457"/>
      <c r="C138" s="3457"/>
      <c r="D138" s="3457"/>
    </row>
    <row r="139" spans="1:4">
      <c r="A139" s="3457" t="s">
        <v>7131</v>
      </c>
      <c r="B139" s="3457"/>
      <c r="C139" s="3457"/>
      <c r="D139" s="3457"/>
    </row>
    <row r="140" spans="1:4">
      <c r="A140" s="3457" t="s">
        <v>7132</v>
      </c>
      <c r="B140" s="3457"/>
      <c r="C140" s="3457"/>
      <c r="D140" s="3457"/>
    </row>
    <row r="141" spans="1:4">
      <c r="A141" s="3457" t="s">
        <v>7133</v>
      </c>
      <c r="B141" s="3457"/>
      <c r="C141" s="3457"/>
      <c r="D141" s="3457"/>
    </row>
    <row r="142" spans="1:4">
      <c r="A142" s="3457" t="s">
        <v>7134</v>
      </c>
      <c r="B142" s="3457"/>
      <c r="C142" s="3457"/>
      <c r="D142" s="3457"/>
    </row>
    <row r="143" spans="1:4">
      <c r="A143" s="3457" t="s">
        <v>7135</v>
      </c>
      <c r="B143" s="3457"/>
      <c r="C143" s="3457"/>
      <c r="D143" s="3457"/>
    </row>
    <row r="144" spans="1:4">
      <c r="A144" s="3457" t="s">
        <v>7136</v>
      </c>
      <c r="B144" s="3457"/>
      <c r="C144" s="3457"/>
      <c r="D144" s="3457"/>
    </row>
    <row r="145" spans="1:4">
      <c r="A145" s="3457" t="s">
        <v>7137</v>
      </c>
      <c r="B145" s="3457"/>
      <c r="C145" s="3457"/>
      <c r="D145" s="3457"/>
    </row>
    <row r="146" spans="1:4">
      <c r="A146" s="3457" t="s">
        <v>7138</v>
      </c>
      <c r="B146" s="3457"/>
      <c r="C146" s="3457"/>
      <c r="D146" s="3457"/>
    </row>
    <row r="147" spans="1:4">
      <c r="A147" s="3457" t="s">
        <v>7139</v>
      </c>
      <c r="B147" s="3457"/>
      <c r="C147" s="3457"/>
      <c r="D147" s="3457"/>
    </row>
    <row r="148" spans="1:4">
      <c r="A148" s="3457" t="s">
        <v>7140</v>
      </c>
      <c r="B148" s="3457"/>
      <c r="C148" s="3457"/>
      <c r="D148" s="3457"/>
    </row>
    <row r="149" spans="1:4">
      <c r="A149" s="3457" t="s">
        <v>7141</v>
      </c>
      <c r="B149" s="3457"/>
      <c r="C149" s="3457"/>
      <c r="D149" s="3457"/>
    </row>
    <row r="150" spans="1:4">
      <c r="A150" s="3457" t="s">
        <v>7142</v>
      </c>
      <c r="B150" s="3457"/>
      <c r="C150" s="3457"/>
      <c r="D150" s="3457"/>
    </row>
    <row r="151" spans="1:4">
      <c r="A151" s="3457" t="s">
        <v>7143</v>
      </c>
      <c r="B151" s="3457"/>
      <c r="C151" s="3457"/>
      <c r="D151" s="3457"/>
    </row>
    <row r="152" spans="1:4">
      <c r="A152" s="3457" t="s">
        <v>7144</v>
      </c>
      <c r="B152" s="3457"/>
      <c r="C152" s="3457"/>
      <c r="D152" s="3457"/>
    </row>
  </sheetData>
  <mergeCells count="88">
    <mergeCell ref="H6:J7"/>
    <mergeCell ref="A1:C1"/>
    <mergeCell ref="A2:C2"/>
    <mergeCell ref="A54:C54"/>
    <mergeCell ref="A55:D55"/>
    <mergeCell ref="A57:D57"/>
    <mergeCell ref="A58:D58"/>
    <mergeCell ref="A59:D59"/>
    <mergeCell ref="A60:D60"/>
    <mergeCell ref="A61:D61"/>
    <mergeCell ref="A62:D62"/>
    <mergeCell ref="A63:D63"/>
    <mergeCell ref="A64:D64"/>
    <mergeCell ref="A65:D65"/>
    <mergeCell ref="A66:D66"/>
    <mergeCell ref="A67:D67"/>
    <mergeCell ref="A68:D68"/>
    <mergeCell ref="A69:D69"/>
    <mergeCell ref="A70:D70"/>
    <mergeCell ref="A71:D71"/>
    <mergeCell ref="A72:D72"/>
    <mergeCell ref="A73:D73"/>
    <mergeCell ref="C74:D74"/>
    <mergeCell ref="A88:D88"/>
    <mergeCell ref="A89:D89"/>
    <mergeCell ref="A90:D90"/>
    <mergeCell ref="A91:D91"/>
    <mergeCell ref="A92:D92"/>
    <mergeCell ref="A93:D93"/>
    <mergeCell ref="A94:D94"/>
    <mergeCell ref="A95:D95"/>
    <mergeCell ref="A96:D96"/>
    <mergeCell ref="A97:D97"/>
    <mergeCell ref="A98:D98"/>
    <mergeCell ref="A99:D99"/>
    <mergeCell ref="A100:D100"/>
    <mergeCell ref="A101:D101"/>
    <mergeCell ref="A102:D102"/>
    <mergeCell ref="A103:D103"/>
    <mergeCell ref="A104:D104"/>
    <mergeCell ref="A105:D105"/>
    <mergeCell ref="A106:D106"/>
    <mergeCell ref="A107:D107"/>
    <mergeCell ref="A108:D108"/>
    <mergeCell ref="A109:D109"/>
    <mergeCell ref="A110:D110"/>
    <mergeCell ref="A111:D111"/>
    <mergeCell ref="A112:D112"/>
    <mergeCell ref="A113:D113"/>
    <mergeCell ref="A114:D114"/>
    <mergeCell ref="A115:D115"/>
    <mergeCell ref="A116:D116"/>
    <mergeCell ref="A117:D117"/>
    <mergeCell ref="A118:D118"/>
    <mergeCell ref="A119:D119"/>
    <mergeCell ref="A120:D120"/>
    <mergeCell ref="A121:D121"/>
    <mergeCell ref="A122:D122"/>
    <mergeCell ref="A123:D123"/>
    <mergeCell ref="A124:D124"/>
    <mergeCell ref="A125:D125"/>
    <mergeCell ref="A126:D126"/>
    <mergeCell ref="A127:D127"/>
    <mergeCell ref="A128:D128"/>
    <mergeCell ref="A129:D129"/>
    <mergeCell ref="A130:D130"/>
    <mergeCell ref="A131:D131"/>
    <mergeCell ref="A132:D132"/>
    <mergeCell ref="A133:D133"/>
    <mergeCell ref="A134:D134"/>
    <mergeCell ref="A135:D135"/>
    <mergeCell ref="A136:D136"/>
    <mergeCell ref="A137:D137"/>
    <mergeCell ref="A138:D138"/>
    <mergeCell ref="A139:D139"/>
    <mergeCell ref="A140:D140"/>
    <mergeCell ref="A141:D141"/>
    <mergeCell ref="A142:D142"/>
    <mergeCell ref="A143:D143"/>
    <mergeCell ref="A144:D144"/>
    <mergeCell ref="A145:D145"/>
    <mergeCell ref="A151:D151"/>
    <mergeCell ref="A152:D152"/>
    <mergeCell ref="A146:D146"/>
    <mergeCell ref="A147:D147"/>
    <mergeCell ref="A148:D148"/>
    <mergeCell ref="A149:D149"/>
    <mergeCell ref="A150:D150"/>
  </mergeCells>
  <phoneticPr fontId="51" type="noConversion"/>
  <hyperlinks>
    <hyperlink ref="E46" location="A107040减免所得税优惠明细表!A1" display="A107040减免所得税优惠明细表!A1"/>
  </hyperlinks>
  <printOptions horizontalCentered="1"/>
  <pageMargins left="0.78740157480314998" right="0.35433070866141703" top="0.511811023622047" bottom="0.11811023622047198" header="0.511811023622047" footer="0.511811023622047"/>
  <pageSetup paperSize="9" orientation="portrait" r:id="rId1"/>
</worksheet>
</file>

<file path=xl/worksheets/sheet5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74">
    <tabColor theme="9" tint="0.39997558519241921"/>
  </sheetPr>
  <dimension ref="A1:I34"/>
  <sheetViews>
    <sheetView topLeftCell="A17" workbookViewId="0">
      <selection activeCell="D33" sqref="D33"/>
    </sheetView>
  </sheetViews>
  <sheetFormatPr defaultColWidth="22.8984375" defaultRowHeight="15.6"/>
  <cols>
    <col min="1" max="1" width="5.19921875" style="1614" customWidth="1"/>
    <col min="2" max="2" width="5.19921875" style="1532" customWidth="1"/>
    <col min="3" max="3" width="50.3984375" style="1532" customWidth="1"/>
    <col min="4" max="4" width="26.09765625" style="1532" customWidth="1"/>
    <col min="5" max="5" width="26.19921875" style="1532" customWidth="1"/>
    <col min="6" max="256" width="22.8984375" style="1532"/>
    <col min="257" max="258" width="5.19921875" style="1532" customWidth="1"/>
    <col min="259" max="259" width="50.3984375" style="1532" customWidth="1"/>
    <col min="260" max="261" width="26.19921875" style="1532" customWidth="1"/>
    <col min="262" max="512" width="22.8984375" style="1532"/>
    <col min="513" max="514" width="5.19921875" style="1532" customWidth="1"/>
    <col min="515" max="515" width="50.3984375" style="1532" customWidth="1"/>
    <col min="516" max="517" width="26.19921875" style="1532" customWidth="1"/>
    <col min="518" max="768" width="22.8984375" style="1532"/>
    <col min="769" max="770" width="5.19921875" style="1532" customWidth="1"/>
    <col min="771" max="771" width="50.3984375" style="1532" customWidth="1"/>
    <col min="772" max="773" width="26.19921875" style="1532" customWidth="1"/>
    <col min="774" max="1024" width="22.8984375" style="1532"/>
    <col min="1025" max="1026" width="5.19921875" style="1532" customWidth="1"/>
    <col min="1027" max="1027" width="50.3984375" style="1532" customWidth="1"/>
    <col min="1028" max="1029" width="26.19921875" style="1532" customWidth="1"/>
    <col min="1030" max="1280" width="22.8984375" style="1532"/>
    <col min="1281" max="1282" width="5.19921875" style="1532" customWidth="1"/>
    <col min="1283" max="1283" width="50.3984375" style="1532" customWidth="1"/>
    <col min="1284" max="1285" width="26.19921875" style="1532" customWidth="1"/>
    <col min="1286" max="1536" width="22.8984375" style="1532"/>
    <col min="1537" max="1538" width="5.19921875" style="1532" customWidth="1"/>
    <col min="1539" max="1539" width="50.3984375" style="1532" customWidth="1"/>
    <col min="1540" max="1541" width="26.19921875" style="1532" customWidth="1"/>
    <col min="1542" max="1792" width="22.8984375" style="1532"/>
    <col min="1793" max="1794" width="5.19921875" style="1532" customWidth="1"/>
    <col min="1795" max="1795" width="50.3984375" style="1532" customWidth="1"/>
    <col min="1796" max="1797" width="26.19921875" style="1532" customWidth="1"/>
    <col min="1798" max="2048" width="22.8984375" style="1532"/>
    <col min="2049" max="2050" width="5.19921875" style="1532" customWidth="1"/>
    <col min="2051" max="2051" width="50.3984375" style="1532" customWidth="1"/>
    <col min="2052" max="2053" width="26.19921875" style="1532" customWidth="1"/>
    <col min="2054" max="2304" width="22.8984375" style="1532"/>
    <col min="2305" max="2306" width="5.19921875" style="1532" customWidth="1"/>
    <col min="2307" max="2307" width="50.3984375" style="1532" customWidth="1"/>
    <col min="2308" max="2309" width="26.19921875" style="1532" customWidth="1"/>
    <col min="2310" max="2560" width="22.8984375" style="1532"/>
    <col min="2561" max="2562" width="5.19921875" style="1532" customWidth="1"/>
    <col min="2563" max="2563" width="50.3984375" style="1532" customWidth="1"/>
    <col min="2564" max="2565" width="26.19921875" style="1532" customWidth="1"/>
    <col min="2566" max="2816" width="22.8984375" style="1532"/>
    <col min="2817" max="2818" width="5.19921875" style="1532" customWidth="1"/>
    <col min="2819" max="2819" width="50.3984375" style="1532" customWidth="1"/>
    <col min="2820" max="2821" width="26.19921875" style="1532" customWidth="1"/>
    <col min="2822" max="3072" width="22.8984375" style="1532"/>
    <col min="3073" max="3074" width="5.19921875" style="1532" customWidth="1"/>
    <col min="3075" max="3075" width="50.3984375" style="1532" customWidth="1"/>
    <col min="3076" max="3077" width="26.19921875" style="1532" customWidth="1"/>
    <col min="3078" max="3328" width="22.8984375" style="1532"/>
    <col min="3329" max="3330" width="5.19921875" style="1532" customWidth="1"/>
    <col min="3331" max="3331" width="50.3984375" style="1532" customWidth="1"/>
    <col min="3332" max="3333" width="26.19921875" style="1532" customWidth="1"/>
    <col min="3334" max="3584" width="22.8984375" style="1532"/>
    <col min="3585" max="3586" width="5.19921875" style="1532" customWidth="1"/>
    <col min="3587" max="3587" width="50.3984375" style="1532" customWidth="1"/>
    <col min="3588" max="3589" width="26.19921875" style="1532" customWidth="1"/>
    <col min="3590" max="3840" width="22.8984375" style="1532"/>
    <col min="3841" max="3842" width="5.19921875" style="1532" customWidth="1"/>
    <col min="3843" max="3843" width="50.3984375" style="1532" customWidth="1"/>
    <col min="3844" max="3845" width="26.19921875" style="1532" customWidth="1"/>
    <col min="3846" max="4096" width="22.8984375" style="1532"/>
    <col min="4097" max="4098" width="5.19921875" style="1532" customWidth="1"/>
    <col min="4099" max="4099" width="50.3984375" style="1532" customWidth="1"/>
    <col min="4100" max="4101" width="26.19921875" style="1532" customWidth="1"/>
    <col min="4102" max="4352" width="22.8984375" style="1532"/>
    <col min="4353" max="4354" width="5.19921875" style="1532" customWidth="1"/>
    <col min="4355" max="4355" width="50.3984375" style="1532" customWidth="1"/>
    <col min="4356" max="4357" width="26.19921875" style="1532" customWidth="1"/>
    <col min="4358" max="4608" width="22.8984375" style="1532"/>
    <col min="4609" max="4610" width="5.19921875" style="1532" customWidth="1"/>
    <col min="4611" max="4611" width="50.3984375" style="1532" customWidth="1"/>
    <col min="4612" max="4613" width="26.19921875" style="1532" customWidth="1"/>
    <col min="4614" max="4864" width="22.8984375" style="1532"/>
    <col min="4865" max="4866" width="5.19921875" style="1532" customWidth="1"/>
    <col min="4867" max="4867" width="50.3984375" style="1532" customWidth="1"/>
    <col min="4868" max="4869" width="26.19921875" style="1532" customWidth="1"/>
    <col min="4870" max="5120" width="22.8984375" style="1532"/>
    <col min="5121" max="5122" width="5.19921875" style="1532" customWidth="1"/>
    <col min="5123" max="5123" width="50.3984375" style="1532" customWidth="1"/>
    <col min="5124" max="5125" width="26.19921875" style="1532" customWidth="1"/>
    <col min="5126" max="5376" width="22.8984375" style="1532"/>
    <col min="5377" max="5378" width="5.19921875" style="1532" customWidth="1"/>
    <col min="5379" max="5379" width="50.3984375" style="1532" customWidth="1"/>
    <col min="5380" max="5381" width="26.19921875" style="1532" customWidth="1"/>
    <col min="5382" max="5632" width="22.8984375" style="1532"/>
    <col min="5633" max="5634" width="5.19921875" style="1532" customWidth="1"/>
    <col min="5635" max="5635" width="50.3984375" style="1532" customWidth="1"/>
    <col min="5636" max="5637" width="26.19921875" style="1532" customWidth="1"/>
    <col min="5638" max="5888" width="22.8984375" style="1532"/>
    <col min="5889" max="5890" width="5.19921875" style="1532" customWidth="1"/>
    <col min="5891" max="5891" width="50.3984375" style="1532" customWidth="1"/>
    <col min="5892" max="5893" width="26.19921875" style="1532" customWidth="1"/>
    <col min="5894" max="6144" width="22.8984375" style="1532"/>
    <col min="6145" max="6146" width="5.19921875" style="1532" customWidth="1"/>
    <col min="6147" max="6147" width="50.3984375" style="1532" customWidth="1"/>
    <col min="6148" max="6149" width="26.19921875" style="1532" customWidth="1"/>
    <col min="6150" max="6400" width="22.8984375" style="1532"/>
    <col min="6401" max="6402" width="5.19921875" style="1532" customWidth="1"/>
    <col min="6403" max="6403" width="50.3984375" style="1532" customWidth="1"/>
    <col min="6404" max="6405" width="26.19921875" style="1532" customWidth="1"/>
    <col min="6406" max="6656" width="22.8984375" style="1532"/>
    <col min="6657" max="6658" width="5.19921875" style="1532" customWidth="1"/>
    <col min="6659" max="6659" width="50.3984375" style="1532" customWidth="1"/>
    <col min="6660" max="6661" width="26.19921875" style="1532" customWidth="1"/>
    <col min="6662" max="6912" width="22.8984375" style="1532"/>
    <col min="6913" max="6914" width="5.19921875" style="1532" customWidth="1"/>
    <col min="6915" max="6915" width="50.3984375" style="1532" customWidth="1"/>
    <col min="6916" max="6917" width="26.19921875" style="1532" customWidth="1"/>
    <col min="6918" max="7168" width="22.8984375" style="1532"/>
    <col min="7169" max="7170" width="5.19921875" style="1532" customWidth="1"/>
    <col min="7171" max="7171" width="50.3984375" style="1532" customWidth="1"/>
    <col min="7172" max="7173" width="26.19921875" style="1532" customWidth="1"/>
    <col min="7174" max="7424" width="22.8984375" style="1532"/>
    <col min="7425" max="7426" width="5.19921875" style="1532" customWidth="1"/>
    <col min="7427" max="7427" width="50.3984375" style="1532" customWidth="1"/>
    <col min="7428" max="7429" width="26.19921875" style="1532" customWidth="1"/>
    <col min="7430" max="7680" width="22.8984375" style="1532"/>
    <col min="7681" max="7682" width="5.19921875" style="1532" customWidth="1"/>
    <col min="7683" max="7683" width="50.3984375" style="1532" customWidth="1"/>
    <col min="7684" max="7685" width="26.19921875" style="1532" customWidth="1"/>
    <col min="7686" max="7936" width="22.8984375" style="1532"/>
    <col min="7937" max="7938" width="5.19921875" style="1532" customWidth="1"/>
    <col min="7939" max="7939" width="50.3984375" style="1532" customWidth="1"/>
    <col min="7940" max="7941" width="26.19921875" style="1532" customWidth="1"/>
    <col min="7942" max="8192" width="22.8984375" style="1532"/>
    <col min="8193" max="8194" width="5.19921875" style="1532" customWidth="1"/>
    <col min="8195" max="8195" width="50.3984375" style="1532" customWidth="1"/>
    <col min="8196" max="8197" width="26.19921875" style="1532" customWidth="1"/>
    <col min="8198" max="8448" width="22.8984375" style="1532"/>
    <col min="8449" max="8450" width="5.19921875" style="1532" customWidth="1"/>
    <col min="8451" max="8451" width="50.3984375" style="1532" customWidth="1"/>
    <col min="8452" max="8453" width="26.19921875" style="1532" customWidth="1"/>
    <col min="8454" max="8704" width="22.8984375" style="1532"/>
    <col min="8705" max="8706" width="5.19921875" style="1532" customWidth="1"/>
    <col min="8707" max="8707" width="50.3984375" style="1532" customWidth="1"/>
    <col min="8708" max="8709" width="26.19921875" style="1532" customWidth="1"/>
    <col min="8710" max="8960" width="22.8984375" style="1532"/>
    <col min="8961" max="8962" width="5.19921875" style="1532" customWidth="1"/>
    <col min="8963" max="8963" width="50.3984375" style="1532" customWidth="1"/>
    <col min="8964" max="8965" width="26.19921875" style="1532" customWidth="1"/>
    <col min="8966" max="9216" width="22.8984375" style="1532"/>
    <col min="9217" max="9218" width="5.19921875" style="1532" customWidth="1"/>
    <col min="9219" max="9219" width="50.3984375" style="1532" customWidth="1"/>
    <col min="9220" max="9221" width="26.19921875" style="1532" customWidth="1"/>
    <col min="9222" max="9472" width="22.8984375" style="1532"/>
    <col min="9473" max="9474" width="5.19921875" style="1532" customWidth="1"/>
    <col min="9475" max="9475" width="50.3984375" style="1532" customWidth="1"/>
    <col min="9476" max="9477" width="26.19921875" style="1532" customWidth="1"/>
    <col min="9478" max="9728" width="22.8984375" style="1532"/>
    <col min="9729" max="9730" width="5.19921875" style="1532" customWidth="1"/>
    <col min="9731" max="9731" width="50.3984375" style="1532" customWidth="1"/>
    <col min="9732" max="9733" width="26.19921875" style="1532" customWidth="1"/>
    <col min="9734" max="9984" width="22.8984375" style="1532"/>
    <col min="9985" max="9986" width="5.19921875" style="1532" customWidth="1"/>
    <col min="9987" max="9987" width="50.3984375" style="1532" customWidth="1"/>
    <col min="9988" max="9989" width="26.19921875" style="1532" customWidth="1"/>
    <col min="9990" max="10240" width="22.8984375" style="1532"/>
    <col min="10241" max="10242" width="5.19921875" style="1532" customWidth="1"/>
    <col min="10243" max="10243" width="50.3984375" style="1532" customWidth="1"/>
    <col min="10244" max="10245" width="26.19921875" style="1532" customWidth="1"/>
    <col min="10246" max="10496" width="22.8984375" style="1532"/>
    <col min="10497" max="10498" width="5.19921875" style="1532" customWidth="1"/>
    <col min="10499" max="10499" width="50.3984375" style="1532" customWidth="1"/>
    <col min="10500" max="10501" width="26.19921875" style="1532" customWidth="1"/>
    <col min="10502" max="10752" width="22.8984375" style="1532"/>
    <col min="10753" max="10754" width="5.19921875" style="1532" customWidth="1"/>
    <col min="10755" max="10755" width="50.3984375" style="1532" customWidth="1"/>
    <col min="10756" max="10757" width="26.19921875" style="1532" customWidth="1"/>
    <col min="10758" max="11008" width="22.8984375" style="1532"/>
    <col min="11009" max="11010" width="5.19921875" style="1532" customWidth="1"/>
    <col min="11011" max="11011" width="50.3984375" style="1532" customWidth="1"/>
    <col min="11012" max="11013" width="26.19921875" style="1532" customWidth="1"/>
    <col min="11014" max="11264" width="22.8984375" style="1532"/>
    <col min="11265" max="11266" width="5.19921875" style="1532" customWidth="1"/>
    <col min="11267" max="11267" width="50.3984375" style="1532" customWidth="1"/>
    <col min="11268" max="11269" width="26.19921875" style="1532" customWidth="1"/>
    <col min="11270" max="11520" width="22.8984375" style="1532"/>
    <col min="11521" max="11522" width="5.19921875" style="1532" customWidth="1"/>
    <col min="11523" max="11523" width="50.3984375" style="1532" customWidth="1"/>
    <col min="11524" max="11525" width="26.19921875" style="1532" customWidth="1"/>
    <col min="11526" max="11776" width="22.8984375" style="1532"/>
    <col min="11777" max="11778" width="5.19921875" style="1532" customWidth="1"/>
    <col min="11779" max="11779" width="50.3984375" style="1532" customWidth="1"/>
    <col min="11780" max="11781" width="26.19921875" style="1532" customWidth="1"/>
    <col min="11782" max="12032" width="22.8984375" style="1532"/>
    <col min="12033" max="12034" width="5.19921875" style="1532" customWidth="1"/>
    <col min="12035" max="12035" width="50.3984375" style="1532" customWidth="1"/>
    <col min="12036" max="12037" width="26.19921875" style="1532" customWidth="1"/>
    <col min="12038" max="12288" width="22.8984375" style="1532"/>
    <col min="12289" max="12290" width="5.19921875" style="1532" customWidth="1"/>
    <col min="12291" max="12291" width="50.3984375" style="1532" customWidth="1"/>
    <col min="12292" max="12293" width="26.19921875" style="1532" customWidth="1"/>
    <col min="12294" max="12544" width="22.8984375" style="1532"/>
    <col min="12545" max="12546" width="5.19921875" style="1532" customWidth="1"/>
    <col min="12547" max="12547" width="50.3984375" style="1532" customWidth="1"/>
    <col min="12548" max="12549" width="26.19921875" style="1532" customWidth="1"/>
    <col min="12550" max="12800" width="22.8984375" style="1532"/>
    <col min="12801" max="12802" width="5.19921875" style="1532" customWidth="1"/>
    <col min="12803" max="12803" width="50.3984375" style="1532" customWidth="1"/>
    <col min="12804" max="12805" width="26.19921875" style="1532" customWidth="1"/>
    <col min="12806" max="13056" width="22.8984375" style="1532"/>
    <col min="13057" max="13058" width="5.19921875" style="1532" customWidth="1"/>
    <col min="13059" max="13059" width="50.3984375" style="1532" customWidth="1"/>
    <col min="13060" max="13061" width="26.19921875" style="1532" customWidth="1"/>
    <col min="13062" max="13312" width="22.8984375" style="1532"/>
    <col min="13313" max="13314" width="5.19921875" style="1532" customWidth="1"/>
    <col min="13315" max="13315" width="50.3984375" style="1532" customWidth="1"/>
    <col min="13316" max="13317" width="26.19921875" style="1532" customWidth="1"/>
    <col min="13318" max="13568" width="22.8984375" style="1532"/>
    <col min="13569" max="13570" width="5.19921875" style="1532" customWidth="1"/>
    <col min="13571" max="13571" width="50.3984375" style="1532" customWidth="1"/>
    <col min="13572" max="13573" width="26.19921875" style="1532" customWidth="1"/>
    <col min="13574" max="13824" width="22.8984375" style="1532"/>
    <col min="13825" max="13826" width="5.19921875" style="1532" customWidth="1"/>
    <col min="13827" max="13827" width="50.3984375" style="1532" customWidth="1"/>
    <col min="13828" max="13829" width="26.19921875" style="1532" customWidth="1"/>
    <col min="13830" max="14080" width="22.8984375" style="1532"/>
    <col min="14081" max="14082" width="5.19921875" style="1532" customWidth="1"/>
    <col min="14083" max="14083" width="50.3984375" style="1532" customWidth="1"/>
    <col min="14084" max="14085" width="26.19921875" style="1532" customWidth="1"/>
    <col min="14086" max="14336" width="22.8984375" style="1532"/>
    <col min="14337" max="14338" width="5.19921875" style="1532" customWidth="1"/>
    <col min="14339" max="14339" width="50.3984375" style="1532" customWidth="1"/>
    <col min="14340" max="14341" width="26.19921875" style="1532" customWidth="1"/>
    <col min="14342" max="14592" width="22.8984375" style="1532"/>
    <col min="14593" max="14594" width="5.19921875" style="1532" customWidth="1"/>
    <col min="14595" max="14595" width="50.3984375" style="1532" customWidth="1"/>
    <col min="14596" max="14597" width="26.19921875" style="1532" customWidth="1"/>
    <col min="14598" max="14848" width="22.8984375" style="1532"/>
    <col min="14849" max="14850" width="5.19921875" style="1532" customWidth="1"/>
    <col min="14851" max="14851" width="50.3984375" style="1532" customWidth="1"/>
    <col min="14852" max="14853" width="26.19921875" style="1532" customWidth="1"/>
    <col min="14854" max="15104" width="22.8984375" style="1532"/>
    <col min="15105" max="15106" width="5.19921875" style="1532" customWidth="1"/>
    <col min="15107" max="15107" width="50.3984375" style="1532" customWidth="1"/>
    <col min="15108" max="15109" width="26.19921875" style="1532" customWidth="1"/>
    <col min="15110" max="15360" width="22.8984375" style="1532"/>
    <col min="15361" max="15362" width="5.19921875" style="1532" customWidth="1"/>
    <col min="15363" max="15363" width="50.3984375" style="1532" customWidth="1"/>
    <col min="15364" max="15365" width="26.19921875" style="1532" customWidth="1"/>
    <col min="15366" max="15616" width="22.8984375" style="1532"/>
    <col min="15617" max="15618" width="5.19921875" style="1532" customWidth="1"/>
    <col min="15619" max="15619" width="50.3984375" style="1532" customWidth="1"/>
    <col min="15620" max="15621" width="26.19921875" style="1532" customWidth="1"/>
    <col min="15622" max="15872" width="22.8984375" style="1532"/>
    <col min="15873" max="15874" width="5.19921875" style="1532" customWidth="1"/>
    <col min="15875" max="15875" width="50.3984375" style="1532" customWidth="1"/>
    <col min="15876" max="15877" width="26.19921875" style="1532" customWidth="1"/>
    <col min="15878" max="16128" width="22.8984375" style="1532"/>
    <col min="16129" max="16130" width="5.19921875" style="1532" customWidth="1"/>
    <col min="16131" max="16131" width="50.3984375" style="1532" customWidth="1"/>
    <col min="16132" max="16133" width="26.19921875" style="1532" customWidth="1"/>
    <col min="16134" max="16384" width="22.8984375" style="1532"/>
  </cols>
  <sheetData>
    <row r="1" spans="1:9" ht="20.100000000000001" customHeight="1">
      <c r="A1" s="3440"/>
      <c r="B1" s="3440"/>
      <c r="C1" s="3440"/>
      <c r="D1" s="3440"/>
      <c r="E1" s="2167" t="str">
        <f>"索引号："&amp;档案索引!D14</f>
        <v>索引号：2B-9</v>
      </c>
    </row>
    <row r="2" spans="1:9" ht="25.5" customHeight="1">
      <c r="A2" s="3379" t="s">
        <v>5942</v>
      </c>
      <c r="B2" s="3379"/>
      <c r="C2" s="3379"/>
      <c r="D2" s="3379"/>
      <c r="E2" s="1856"/>
    </row>
    <row r="3" spans="1:9" ht="14.25" customHeight="1">
      <c r="A3" s="1831" t="s">
        <v>5673</v>
      </c>
      <c r="B3" s="3385" t="s">
        <v>5674</v>
      </c>
      <c r="C3" s="3385"/>
      <c r="D3" s="3385"/>
      <c r="E3" s="1854" t="s">
        <v>4901</v>
      </c>
      <c r="F3" s="1537"/>
      <c r="G3" s="1565"/>
      <c r="H3" s="1537"/>
      <c r="I3" s="1537"/>
    </row>
    <row r="4" spans="1:9" ht="15" customHeight="1">
      <c r="A4" s="1849">
        <v>1</v>
      </c>
      <c r="B4" s="3383" t="s">
        <v>5674</v>
      </c>
      <c r="C4" s="1884" t="s">
        <v>5675</v>
      </c>
      <c r="D4" s="1652"/>
      <c r="E4" s="1988"/>
    </row>
    <row r="5" spans="1:9" ht="19.5" customHeight="1">
      <c r="A5" s="1849">
        <v>2</v>
      </c>
      <c r="B5" s="3387"/>
      <c r="C5" s="1884" t="s">
        <v>5676</v>
      </c>
      <c r="D5" s="1652"/>
      <c r="E5" s="1855"/>
    </row>
    <row r="6" spans="1:9" ht="27" customHeight="1">
      <c r="A6" s="1849">
        <v>3</v>
      </c>
      <c r="B6" s="3387"/>
      <c r="C6" s="1885" t="s">
        <v>5677</v>
      </c>
      <c r="D6" s="1652"/>
      <c r="E6" s="1855"/>
    </row>
    <row r="7" spans="1:9" ht="18" customHeight="1">
      <c r="A7" s="1849">
        <v>4</v>
      </c>
      <c r="B7" s="3387"/>
      <c r="C7" s="1884" t="s">
        <v>5678</v>
      </c>
      <c r="D7" s="1652"/>
      <c r="E7" s="1855"/>
    </row>
    <row r="8" spans="1:9" ht="18.75" customHeight="1">
      <c r="A8" s="1849">
        <v>5</v>
      </c>
      <c r="B8" s="3387"/>
      <c r="C8" s="1884" t="s">
        <v>5679</v>
      </c>
      <c r="D8" s="1652"/>
      <c r="E8" s="1855"/>
    </row>
    <row r="9" spans="1:9" ht="18" customHeight="1">
      <c r="A9" s="1849">
        <v>6</v>
      </c>
      <c r="B9" s="3384"/>
      <c r="C9" s="1886" t="s">
        <v>5680</v>
      </c>
      <c r="D9" s="1652"/>
      <c r="E9" s="1855"/>
    </row>
    <row r="10" spans="1:9" ht="14.25" customHeight="1">
      <c r="A10" s="1849">
        <v>7</v>
      </c>
      <c r="B10" s="3385" t="s">
        <v>5681</v>
      </c>
      <c r="C10" s="1887" t="s">
        <v>5682</v>
      </c>
      <c r="D10" s="2077">
        <f>D11+D12</f>
        <v>0</v>
      </c>
      <c r="E10" s="1943"/>
    </row>
    <row r="11" spans="1:9" ht="14.25" customHeight="1">
      <c r="A11" s="1849">
        <v>8</v>
      </c>
      <c r="B11" s="3385"/>
      <c r="C11" s="1887" t="s">
        <v>5683</v>
      </c>
      <c r="D11" s="2079"/>
      <c r="E11" s="1943"/>
    </row>
    <row r="12" spans="1:9" ht="14.25" customHeight="1">
      <c r="A12" s="1849">
        <v>9</v>
      </c>
      <c r="B12" s="3385"/>
      <c r="C12" s="1887" t="s">
        <v>5684</v>
      </c>
      <c r="D12" s="2079"/>
      <c r="E12" s="1943"/>
    </row>
    <row r="13" spans="1:9" ht="14.25" customHeight="1">
      <c r="A13" s="1849">
        <v>10</v>
      </c>
      <c r="B13" s="3385"/>
      <c r="C13" s="1887" t="s">
        <v>5685</v>
      </c>
      <c r="D13" s="2079"/>
      <c r="E13" s="1943"/>
      <c r="F13" s="1675" t="s">
        <v>6472</v>
      </c>
    </row>
    <row r="14" spans="1:9" ht="23.25" customHeight="1">
      <c r="A14" s="1849">
        <v>11</v>
      </c>
      <c r="B14" s="3385"/>
      <c r="C14" s="1888" t="s">
        <v>5686</v>
      </c>
      <c r="D14" s="2080">
        <f>IFERROR(ROUND(D10/D13*100,2),0)</f>
        <v>0</v>
      </c>
      <c r="E14" s="1943"/>
    </row>
    <row r="15" spans="1:9" ht="14.25" customHeight="1">
      <c r="A15" s="1849">
        <v>12</v>
      </c>
      <c r="B15" s="3385" t="s">
        <v>5687</v>
      </c>
      <c r="C15" s="1889" t="s">
        <v>5688</v>
      </c>
      <c r="D15" s="2079"/>
      <c r="E15" s="1943"/>
    </row>
    <row r="16" spans="1:9" ht="14.25" customHeight="1">
      <c r="A16" s="1849">
        <v>13</v>
      </c>
      <c r="B16" s="3385"/>
      <c r="C16" s="1889" t="s">
        <v>5689</v>
      </c>
      <c r="D16" s="2079"/>
      <c r="E16" s="1943"/>
    </row>
    <row r="17" spans="1:5" ht="14.25" customHeight="1">
      <c r="A17" s="1849">
        <v>14</v>
      </c>
      <c r="B17" s="3385"/>
      <c r="C17" s="1887" t="s">
        <v>5690</v>
      </c>
      <c r="D17" s="2079"/>
      <c r="E17" s="1943"/>
    </row>
    <row r="18" spans="1:5" ht="24" customHeight="1">
      <c r="A18" s="1849">
        <v>15</v>
      </c>
      <c r="B18" s="3385"/>
      <c r="C18" s="1888" t="s">
        <v>5691</v>
      </c>
      <c r="D18" s="2080">
        <f>IFERROR(ROUND(D15/D17*100,2),0)</f>
        <v>0</v>
      </c>
      <c r="E18" s="1988"/>
    </row>
    <row r="19" spans="1:5" ht="14.25" customHeight="1">
      <c r="A19" s="1849">
        <v>16</v>
      </c>
      <c r="B19" s="3385"/>
      <c r="C19" s="1890" t="s">
        <v>5692</v>
      </c>
      <c r="D19" s="2077">
        <f>IFERROR(ROUND(D16/D17*100,2),0)</f>
        <v>0</v>
      </c>
      <c r="E19" s="1943"/>
    </row>
    <row r="20" spans="1:5" ht="14.25" customHeight="1">
      <c r="A20" s="1849">
        <v>17</v>
      </c>
      <c r="B20" s="3385" t="s">
        <v>5693</v>
      </c>
      <c r="C20" s="1889" t="s">
        <v>5694</v>
      </c>
      <c r="D20" s="2077">
        <f>D21+D30</f>
        <v>0</v>
      </c>
      <c r="E20" s="1943"/>
    </row>
    <row r="21" spans="1:5" ht="14.25" customHeight="1">
      <c r="A21" s="1849">
        <v>18</v>
      </c>
      <c r="B21" s="3385"/>
      <c r="C21" s="1891" t="s">
        <v>5695</v>
      </c>
      <c r="D21" s="2077">
        <f>SUM(D22:D27,D29)</f>
        <v>0</v>
      </c>
      <c r="E21" s="1943"/>
    </row>
    <row r="22" spans="1:5" ht="14.25" customHeight="1">
      <c r="A22" s="1849">
        <v>19</v>
      </c>
      <c r="B22" s="3385"/>
      <c r="C22" s="1891" t="s">
        <v>5696</v>
      </c>
      <c r="D22" s="2079"/>
      <c r="E22" s="1943"/>
    </row>
    <row r="23" spans="1:5" ht="14.25" customHeight="1">
      <c r="A23" s="1849">
        <v>20</v>
      </c>
      <c r="B23" s="3385"/>
      <c r="C23" s="1891" t="s">
        <v>5697</v>
      </c>
      <c r="D23" s="2079"/>
      <c r="E23" s="1943"/>
    </row>
    <row r="24" spans="1:5" ht="14.25" customHeight="1">
      <c r="A24" s="1849">
        <v>21</v>
      </c>
      <c r="B24" s="3385"/>
      <c r="C24" s="1891" t="s">
        <v>5698</v>
      </c>
      <c r="D24" s="2079"/>
      <c r="E24" s="1943"/>
    </row>
    <row r="25" spans="1:5" ht="14.25" customHeight="1">
      <c r="A25" s="1849">
        <v>22</v>
      </c>
      <c r="B25" s="3385"/>
      <c r="C25" s="1891" t="s">
        <v>5699</v>
      </c>
      <c r="D25" s="2079"/>
      <c r="E25" s="1943"/>
    </row>
    <row r="26" spans="1:5" ht="14.25" customHeight="1">
      <c r="A26" s="1849">
        <v>23</v>
      </c>
      <c r="B26" s="3385"/>
      <c r="C26" s="1891" t="s">
        <v>5700</v>
      </c>
      <c r="D26" s="2079"/>
      <c r="E26" s="1943"/>
    </row>
    <row r="27" spans="1:5" ht="14.25" customHeight="1">
      <c r="A27" s="1849">
        <v>24</v>
      </c>
      <c r="B27" s="3385"/>
      <c r="C27" s="1891" t="s">
        <v>5701</v>
      </c>
      <c r="D27" s="2079"/>
      <c r="E27" s="1943"/>
    </row>
    <row r="28" spans="1:5" ht="14.25" customHeight="1">
      <c r="A28" s="1849">
        <v>25</v>
      </c>
      <c r="B28" s="3385"/>
      <c r="C28" s="1891" t="s">
        <v>5702</v>
      </c>
      <c r="D28" s="2079"/>
      <c r="E28" s="1943"/>
    </row>
    <row r="29" spans="1:5" ht="14.25" customHeight="1">
      <c r="A29" s="1849">
        <v>26</v>
      </c>
      <c r="B29" s="3385"/>
      <c r="C29" s="1891" t="s">
        <v>5703</v>
      </c>
      <c r="D29" s="2079"/>
      <c r="E29" s="1943"/>
    </row>
    <row r="30" spans="1:5" ht="14.25" customHeight="1">
      <c r="A30" s="1849">
        <v>27</v>
      </c>
      <c r="B30" s="3385"/>
      <c r="C30" s="1891" t="s">
        <v>5704</v>
      </c>
      <c r="D30" s="2077">
        <f>D31+D32</f>
        <v>0</v>
      </c>
      <c r="E30" s="1943"/>
    </row>
    <row r="31" spans="1:5" ht="14.25" customHeight="1">
      <c r="A31" s="1849">
        <v>28</v>
      </c>
      <c r="B31" s="3385"/>
      <c r="C31" s="1891" t="s">
        <v>5705</v>
      </c>
      <c r="D31" s="2079"/>
      <c r="E31" s="1943"/>
    </row>
    <row r="32" spans="1:5" ht="14.25" customHeight="1">
      <c r="A32" s="1849">
        <v>29</v>
      </c>
      <c r="B32" s="3385"/>
      <c r="C32" s="1891" t="s">
        <v>5706</v>
      </c>
      <c r="D32" s="2079"/>
      <c r="E32" s="1943"/>
    </row>
    <row r="33" spans="1:5" ht="14.25" customHeight="1">
      <c r="A33" s="1849">
        <v>30</v>
      </c>
      <c r="B33" s="3385"/>
      <c r="C33" s="1891" t="s">
        <v>7695</v>
      </c>
      <c r="D33" s="2079"/>
      <c r="E33" s="1943"/>
    </row>
    <row r="34" spans="1:5">
      <c r="A34" s="1848">
        <v>31</v>
      </c>
      <c r="B34" s="3463" t="s">
        <v>5708</v>
      </c>
      <c r="C34" s="3464"/>
      <c r="D34" s="2077">
        <f>IF(D4="",0,'A100000中华人民共和国企业所得税年度纳税申报表（A类）'!D26*0.1)</f>
        <v>0</v>
      </c>
      <c r="E34" s="1831" t="s">
        <v>5709</v>
      </c>
    </row>
  </sheetData>
  <mergeCells count="8">
    <mergeCell ref="B20:B33"/>
    <mergeCell ref="B34:C34"/>
    <mergeCell ref="B15:B19"/>
    <mergeCell ref="A1:D1"/>
    <mergeCell ref="A2:D2"/>
    <mergeCell ref="B3:D3"/>
    <mergeCell ref="B4:B9"/>
    <mergeCell ref="B10:B14"/>
  </mergeCells>
  <phoneticPr fontId="51" type="noConversion"/>
  <dataValidations count="1">
    <dataValidation type="list" allowBlank="1" showInputMessage="1" showErrorMessage="1" sqref="D7:D9 IZ7:IZ9 SV7:SV9 ACR7:ACR9 AMN7:AMN9 AWJ7:AWJ9 BGF7:BGF9 BQB7:BQB9 BZX7:BZX9 CJT7:CJT9 CTP7:CTP9 DDL7:DDL9 DNH7:DNH9 DXD7:DXD9 EGZ7:EGZ9 EQV7:EQV9 FAR7:FAR9 FKN7:FKN9 FUJ7:FUJ9 GEF7:GEF9 GOB7:GOB9 GXX7:GXX9 HHT7:HHT9 HRP7:HRP9 IBL7:IBL9 ILH7:ILH9 IVD7:IVD9 JEZ7:JEZ9 JOV7:JOV9 JYR7:JYR9 KIN7:KIN9 KSJ7:KSJ9 LCF7:LCF9 LMB7:LMB9 LVX7:LVX9 MFT7:MFT9 MPP7:MPP9 MZL7:MZL9 NJH7:NJH9 NTD7:NTD9 OCZ7:OCZ9 OMV7:OMV9 OWR7:OWR9 PGN7:PGN9 PQJ7:PQJ9 QAF7:QAF9 QKB7:QKB9 QTX7:QTX9 RDT7:RDT9 RNP7:RNP9 RXL7:RXL9 SHH7:SHH9 SRD7:SRD9 TAZ7:TAZ9 TKV7:TKV9 TUR7:TUR9 UEN7:UEN9 UOJ7:UOJ9 UYF7:UYF9 VIB7:VIB9 VRX7:VRX9 WBT7:WBT9 WLP7:WLP9 WVL7:WVL9 D65457:D65459 IZ65457:IZ65459 SV65457:SV65459 ACR65457:ACR65459 AMN65457:AMN65459 AWJ65457:AWJ65459 BGF65457:BGF65459 BQB65457:BQB65459 BZX65457:BZX65459 CJT65457:CJT65459 CTP65457:CTP65459 DDL65457:DDL65459 DNH65457:DNH65459 DXD65457:DXD65459 EGZ65457:EGZ65459 EQV65457:EQV65459 FAR65457:FAR65459 FKN65457:FKN65459 FUJ65457:FUJ65459 GEF65457:GEF65459 GOB65457:GOB65459 GXX65457:GXX65459 HHT65457:HHT65459 HRP65457:HRP65459 IBL65457:IBL65459 ILH65457:ILH65459 IVD65457:IVD65459 JEZ65457:JEZ65459 JOV65457:JOV65459 JYR65457:JYR65459 KIN65457:KIN65459 KSJ65457:KSJ65459 LCF65457:LCF65459 LMB65457:LMB65459 LVX65457:LVX65459 MFT65457:MFT65459 MPP65457:MPP65459 MZL65457:MZL65459 NJH65457:NJH65459 NTD65457:NTD65459 OCZ65457:OCZ65459 OMV65457:OMV65459 OWR65457:OWR65459 PGN65457:PGN65459 PQJ65457:PQJ65459 QAF65457:QAF65459 QKB65457:QKB65459 QTX65457:QTX65459 RDT65457:RDT65459 RNP65457:RNP65459 RXL65457:RXL65459 SHH65457:SHH65459 SRD65457:SRD65459 TAZ65457:TAZ65459 TKV65457:TKV65459 TUR65457:TUR65459 UEN65457:UEN65459 UOJ65457:UOJ65459 UYF65457:UYF65459 VIB65457:VIB65459 VRX65457:VRX65459 WBT65457:WBT65459 WLP65457:WLP65459 WVL65457:WVL65459 D130993:D130995 IZ130993:IZ130995 SV130993:SV130995 ACR130993:ACR130995 AMN130993:AMN130995 AWJ130993:AWJ130995 BGF130993:BGF130995 BQB130993:BQB130995 BZX130993:BZX130995 CJT130993:CJT130995 CTP130993:CTP130995 DDL130993:DDL130995 DNH130993:DNH130995 DXD130993:DXD130995 EGZ130993:EGZ130995 EQV130993:EQV130995 FAR130993:FAR130995 FKN130993:FKN130995 FUJ130993:FUJ130995 GEF130993:GEF130995 GOB130993:GOB130995 GXX130993:GXX130995 HHT130993:HHT130995 HRP130993:HRP130995 IBL130993:IBL130995 ILH130993:ILH130995 IVD130993:IVD130995 JEZ130993:JEZ130995 JOV130993:JOV130995 JYR130993:JYR130995 KIN130993:KIN130995 KSJ130993:KSJ130995 LCF130993:LCF130995 LMB130993:LMB130995 LVX130993:LVX130995 MFT130993:MFT130995 MPP130993:MPP130995 MZL130993:MZL130995 NJH130993:NJH130995 NTD130993:NTD130995 OCZ130993:OCZ130995 OMV130993:OMV130995 OWR130993:OWR130995 PGN130993:PGN130995 PQJ130993:PQJ130995 QAF130993:QAF130995 QKB130993:QKB130995 QTX130993:QTX130995 RDT130993:RDT130995 RNP130993:RNP130995 RXL130993:RXL130995 SHH130993:SHH130995 SRD130993:SRD130995 TAZ130993:TAZ130995 TKV130993:TKV130995 TUR130993:TUR130995 UEN130993:UEN130995 UOJ130993:UOJ130995 UYF130993:UYF130995 VIB130993:VIB130995 VRX130993:VRX130995 WBT130993:WBT130995 WLP130993:WLP130995 WVL130993:WVL130995 D196529:D196531 IZ196529:IZ196531 SV196529:SV196531 ACR196529:ACR196531 AMN196529:AMN196531 AWJ196529:AWJ196531 BGF196529:BGF196531 BQB196529:BQB196531 BZX196529:BZX196531 CJT196529:CJT196531 CTP196529:CTP196531 DDL196529:DDL196531 DNH196529:DNH196531 DXD196529:DXD196531 EGZ196529:EGZ196531 EQV196529:EQV196531 FAR196529:FAR196531 FKN196529:FKN196531 FUJ196529:FUJ196531 GEF196529:GEF196531 GOB196529:GOB196531 GXX196529:GXX196531 HHT196529:HHT196531 HRP196529:HRP196531 IBL196529:IBL196531 ILH196529:ILH196531 IVD196529:IVD196531 JEZ196529:JEZ196531 JOV196529:JOV196531 JYR196529:JYR196531 KIN196529:KIN196531 KSJ196529:KSJ196531 LCF196529:LCF196531 LMB196529:LMB196531 LVX196529:LVX196531 MFT196529:MFT196531 MPP196529:MPP196531 MZL196529:MZL196531 NJH196529:NJH196531 NTD196529:NTD196531 OCZ196529:OCZ196531 OMV196529:OMV196531 OWR196529:OWR196531 PGN196529:PGN196531 PQJ196529:PQJ196531 QAF196529:QAF196531 QKB196529:QKB196531 QTX196529:QTX196531 RDT196529:RDT196531 RNP196529:RNP196531 RXL196529:RXL196531 SHH196529:SHH196531 SRD196529:SRD196531 TAZ196529:TAZ196531 TKV196529:TKV196531 TUR196529:TUR196531 UEN196529:UEN196531 UOJ196529:UOJ196531 UYF196529:UYF196531 VIB196529:VIB196531 VRX196529:VRX196531 WBT196529:WBT196531 WLP196529:WLP196531 WVL196529:WVL196531 D262065:D262067 IZ262065:IZ262067 SV262065:SV262067 ACR262065:ACR262067 AMN262065:AMN262067 AWJ262065:AWJ262067 BGF262065:BGF262067 BQB262065:BQB262067 BZX262065:BZX262067 CJT262065:CJT262067 CTP262065:CTP262067 DDL262065:DDL262067 DNH262065:DNH262067 DXD262065:DXD262067 EGZ262065:EGZ262067 EQV262065:EQV262067 FAR262065:FAR262067 FKN262065:FKN262067 FUJ262065:FUJ262067 GEF262065:GEF262067 GOB262065:GOB262067 GXX262065:GXX262067 HHT262065:HHT262067 HRP262065:HRP262067 IBL262065:IBL262067 ILH262065:ILH262067 IVD262065:IVD262067 JEZ262065:JEZ262067 JOV262065:JOV262067 JYR262065:JYR262067 KIN262065:KIN262067 KSJ262065:KSJ262067 LCF262065:LCF262067 LMB262065:LMB262067 LVX262065:LVX262067 MFT262065:MFT262067 MPP262065:MPP262067 MZL262065:MZL262067 NJH262065:NJH262067 NTD262065:NTD262067 OCZ262065:OCZ262067 OMV262065:OMV262067 OWR262065:OWR262067 PGN262065:PGN262067 PQJ262065:PQJ262067 QAF262065:QAF262067 QKB262065:QKB262067 QTX262065:QTX262067 RDT262065:RDT262067 RNP262065:RNP262067 RXL262065:RXL262067 SHH262065:SHH262067 SRD262065:SRD262067 TAZ262065:TAZ262067 TKV262065:TKV262067 TUR262065:TUR262067 UEN262065:UEN262067 UOJ262065:UOJ262067 UYF262065:UYF262067 VIB262065:VIB262067 VRX262065:VRX262067 WBT262065:WBT262067 WLP262065:WLP262067 WVL262065:WVL262067 D327601:D327603 IZ327601:IZ327603 SV327601:SV327603 ACR327601:ACR327603 AMN327601:AMN327603 AWJ327601:AWJ327603 BGF327601:BGF327603 BQB327601:BQB327603 BZX327601:BZX327603 CJT327601:CJT327603 CTP327601:CTP327603 DDL327601:DDL327603 DNH327601:DNH327603 DXD327601:DXD327603 EGZ327601:EGZ327603 EQV327601:EQV327603 FAR327601:FAR327603 FKN327601:FKN327603 FUJ327601:FUJ327603 GEF327601:GEF327603 GOB327601:GOB327603 GXX327601:GXX327603 HHT327601:HHT327603 HRP327601:HRP327603 IBL327601:IBL327603 ILH327601:ILH327603 IVD327601:IVD327603 JEZ327601:JEZ327603 JOV327601:JOV327603 JYR327601:JYR327603 KIN327601:KIN327603 KSJ327601:KSJ327603 LCF327601:LCF327603 LMB327601:LMB327603 LVX327601:LVX327603 MFT327601:MFT327603 MPP327601:MPP327603 MZL327601:MZL327603 NJH327601:NJH327603 NTD327601:NTD327603 OCZ327601:OCZ327603 OMV327601:OMV327603 OWR327601:OWR327603 PGN327601:PGN327603 PQJ327601:PQJ327603 QAF327601:QAF327603 QKB327601:QKB327603 QTX327601:QTX327603 RDT327601:RDT327603 RNP327601:RNP327603 RXL327601:RXL327603 SHH327601:SHH327603 SRD327601:SRD327603 TAZ327601:TAZ327603 TKV327601:TKV327603 TUR327601:TUR327603 UEN327601:UEN327603 UOJ327601:UOJ327603 UYF327601:UYF327603 VIB327601:VIB327603 VRX327601:VRX327603 WBT327601:WBT327603 WLP327601:WLP327603 WVL327601:WVL327603 D393137:D393139 IZ393137:IZ393139 SV393137:SV393139 ACR393137:ACR393139 AMN393137:AMN393139 AWJ393137:AWJ393139 BGF393137:BGF393139 BQB393137:BQB393139 BZX393137:BZX393139 CJT393137:CJT393139 CTP393137:CTP393139 DDL393137:DDL393139 DNH393137:DNH393139 DXD393137:DXD393139 EGZ393137:EGZ393139 EQV393137:EQV393139 FAR393137:FAR393139 FKN393137:FKN393139 FUJ393137:FUJ393139 GEF393137:GEF393139 GOB393137:GOB393139 GXX393137:GXX393139 HHT393137:HHT393139 HRP393137:HRP393139 IBL393137:IBL393139 ILH393137:ILH393139 IVD393137:IVD393139 JEZ393137:JEZ393139 JOV393137:JOV393139 JYR393137:JYR393139 KIN393137:KIN393139 KSJ393137:KSJ393139 LCF393137:LCF393139 LMB393137:LMB393139 LVX393137:LVX393139 MFT393137:MFT393139 MPP393137:MPP393139 MZL393137:MZL393139 NJH393137:NJH393139 NTD393137:NTD393139 OCZ393137:OCZ393139 OMV393137:OMV393139 OWR393137:OWR393139 PGN393137:PGN393139 PQJ393137:PQJ393139 QAF393137:QAF393139 QKB393137:QKB393139 QTX393137:QTX393139 RDT393137:RDT393139 RNP393137:RNP393139 RXL393137:RXL393139 SHH393137:SHH393139 SRD393137:SRD393139 TAZ393137:TAZ393139 TKV393137:TKV393139 TUR393137:TUR393139 UEN393137:UEN393139 UOJ393137:UOJ393139 UYF393137:UYF393139 VIB393137:VIB393139 VRX393137:VRX393139 WBT393137:WBT393139 WLP393137:WLP393139 WVL393137:WVL393139 D458673:D458675 IZ458673:IZ458675 SV458673:SV458675 ACR458673:ACR458675 AMN458673:AMN458675 AWJ458673:AWJ458675 BGF458673:BGF458675 BQB458673:BQB458675 BZX458673:BZX458675 CJT458673:CJT458675 CTP458673:CTP458675 DDL458673:DDL458675 DNH458673:DNH458675 DXD458673:DXD458675 EGZ458673:EGZ458675 EQV458673:EQV458675 FAR458673:FAR458675 FKN458673:FKN458675 FUJ458673:FUJ458675 GEF458673:GEF458675 GOB458673:GOB458675 GXX458673:GXX458675 HHT458673:HHT458675 HRP458673:HRP458675 IBL458673:IBL458675 ILH458673:ILH458675 IVD458673:IVD458675 JEZ458673:JEZ458675 JOV458673:JOV458675 JYR458673:JYR458675 KIN458673:KIN458675 KSJ458673:KSJ458675 LCF458673:LCF458675 LMB458673:LMB458675 LVX458673:LVX458675 MFT458673:MFT458675 MPP458673:MPP458675 MZL458673:MZL458675 NJH458673:NJH458675 NTD458673:NTD458675 OCZ458673:OCZ458675 OMV458673:OMV458675 OWR458673:OWR458675 PGN458673:PGN458675 PQJ458673:PQJ458675 QAF458673:QAF458675 QKB458673:QKB458675 QTX458673:QTX458675 RDT458673:RDT458675 RNP458673:RNP458675 RXL458673:RXL458675 SHH458673:SHH458675 SRD458673:SRD458675 TAZ458673:TAZ458675 TKV458673:TKV458675 TUR458673:TUR458675 UEN458673:UEN458675 UOJ458673:UOJ458675 UYF458673:UYF458675 VIB458673:VIB458675 VRX458673:VRX458675 WBT458673:WBT458675 WLP458673:WLP458675 WVL458673:WVL458675 D524209:D524211 IZ524209:IZ524211 SV524209:SV524211 ACR524209:ACR524211 AMN524209:AMN524211 AWJ524209:AWJ524211 BGF524209:BGF524211 BQB524209:BQB524211 BZX524209:BZX524211 CJT524209:CJT524211 CTP524209:CTP524211 DDL524209:DDL524211 DNH524209:DNH524211 DXD524209:DXD524211 EGZ524209:EGZ524211 EQV524209:EQV524211 FAR524209:FAR524211 FKN524209:FKN524211 FUJ524209:FUJ524211 GEF524209:GEF524211 GOB524209:GOB524211 GXX524209:GXX524211 HHT524209:HHT524211 HRP524209:HRP524211 IBL524209:IBL524211 ILH524209:ILH524211 IVD524209:IVD524211 JEZ524209:JEZ524211 JOV524209:JOV524211 JYR524209:JYR524211 KIN524209:KIN524211 KSJ524209:KSJ524211 LCF524209:LCF524211 LMB524209:LMB524211 LVX524209:LVX524211 MFT524209:MFT524211 MPP524209:MPP524211 MZL524209:MZL524211 NJH524209:NJH524211 NTD524209:NTD524211 OCZ524209:OCZ524211 OMV524209:OMV524211 OWR524209:OWR524211 PGN524209:PGN524211 PQJ524209:PQJ524211 QAF524209:QAF524211 QKB524209:QKB524211 QTX524209:QTX524211 RDT524209:RDT524211 RNP524209:RNP524211 RXL524209:RXL524211 SHH524209:SHH524211 SRD524209:SRD524211 TAZ524209:TAZ524211 TKV524209:TKV524211 TUR524209:TUR524211 UEN524209:UEN524211 UOJ524209:UOJ524211 UYF524209:UYF524211 VIB524209:VIB524211 VRX524209:VRX524211 WBT524209:WBT524211 WLP524209:WLP524211 WVL524209:WVL524211 D589745:D589747 IZ589745:IZ589747 SV589745:SV589747 ACR589745:ACR589747 AMN589745:AMN589747 AWJ589745:AWJ589747 BGF589745:BGF589747 BQB589745:BQB589747 BZX589745:BZX589747 CJT589745:CJT589747 CTP589745:CTP589747 DDL589745:DDL589747 DNH589745:DNH589747 DXD589745:DXD589747 EGZ589745:EGZ589747 EQV589745:EQV589747 FAR589745:FAR589747 FKN589745:FKN589747 FUJ589745:FUJ589747 GEF589745:GEF589747 GOB589745:GOB589747 GXX589745:GXX589747 HHT589745:HHT589747 HRP589745:HRP589747 IBL589745:IBL589747 ILH589745:ILH589747 IVD589745:IVD589747 JEZ589745:JEZ589747 JOV589745:JOV589747 JYR589745:JYR589747 KIN589745:KIN589747 KSJ589745:KSJ589747 LCF589745:LCF589747 LMB589745:LMB589747 LVX589745:LVX589747 MFT589745:MFT589747 MPP589745:MPP589747 MZL589745:MZL589747 NJH589745:NJH589747 NTD589745:NTD589747 OCZ589745:OCZ589747 OMV589745:OMV589747 OWR589745:OWR589747 PGN589745:PGN589747 PQJ589745:PQJ589747 QAF589745:QAF589747 QKB589745:QKB589747 QTX589745:QTX589747 RDT589745:RDT589747 RNP589745:RNP589747 RXL589745:RXL589747 SHH589745:SHH589747 SRD589745:SRD589747 TAZ589745:TAZ589747 TKV589745:TKV589747 TUR589745:TUR589747 UEN589745:UEN589747 UOJ589745:UOJ589747 UYF589745:UYF589747 VIB589745:VIB589747 VRX589745:VRX589747 WBT589745:WBT589747 WLP589745:WLP589747 WVL589745:WVL589747 D655281:D655283 IZ655281:IZ655283 SV655281:SV655283 ACR655281:ACR655283 AMN655281:AMN655283 AWJ655281:AWJ655283 BGF655281:BGF655283 BQB655281:BQB655283 BZX655281:BZX655283 CJT655281:CJT655283 CTP655281:CTP655283 DDL655281:DDL655283 DNH655281:DNH655283 DXD655281:DXD655283 EGZ655281:EGZ655283 EQV655281:EQV655283 FAR655281:FAR655283 FKN655281:FKN655283 FUJ655281:FUJ655283 GEF655281:GEF655283 GOB655281:GOB655283 GXX655281:GXX655283 HHT655281:HHT655283 HRP655281:HRP655283 IBL655281:IBL655283 ILH655281:ILH655283 IVD655281:IVD655283 JEZ655281:JEZ655283 JOV655281:JOV655283 JYR655281:JYR655283 KIN655281:KIN655283 KSJ655281:KSJ655283 LCF655281:LCF655283 LMB655281:LMB655283 LVX655281:LVX655283 MFT655281:MFT655283 MPP655281:MPP655283 MZL655281:MZL655283 NJH655281:NJH655283 NTD655281:NTD655283 OCZ655281:OCZ655283 OMV655281:OMV655283 OWR655281:OWR655283 PGN655281:PGN655283 PQJ655281:PQJ655283 QAF655281:QAF655283 QKB655281:QKB655283 QTX655281:QTX655283 RDT655281:RDT655283 RNP655281:RNP655283 RXL655281:RXL655283 SHH655281:SHH655283 SRD655281:SRD655283 TAZ655281:TAZ655283 TKV655281:TKV655283 TUR655281:TUR655283 UEN655281:UEN655283 UOJ655281:UOJ655283 UYF655281:UYF655283 VIB655281:VIB655283 VRX655281:VRX655283 WBT655281:WBT655283 WLP655281:WLP655283 WVL655281:WVL655283 D720817:D720819 IZ720817:IZ720819 SV720817:SV720819 ACR720817:ACR720819 AMN720817:AMN720819 AWJ720817:AWJ720819 BGF720817:BGF720819 BQB720817:BQB720819 BZX720817:BZX720819 CJT720817:CJT720819 CTP720817:CTP720819 DDL720817:DDL720819 DNH720817:DNH720819 DXD720817:DXD720819 EGZ720817:EGZ720819 EQV720817:EQV720819 FAR720817:FAR720819 FKN720817:FKN720819 FUJ720817:FUJ720819 GEF720817:GEF720819 GOB720817:GOB720819 GXX720817:GXX720819 HHT720817:HHT720819 HRP720817:HRP720819 IBL720817:IBL720819 ILH720817:ILH720819 IVD720817:IVD720819 JEZ720817:JEZ720819 JOV720817:JOV720819 JYR720817:JYR720819 KIN720817:KIN720819 KSJ720817:KSJ720819 LCF720817:LCF720819 LMB720817:LMB720819 LVX720817:LVX720819 MFT720817:MFT720819 MPP720817:MPP720819 MZL720817:MZL720819 NJH720817:NJH720819 NTD720817:NTD720819 OCZ720817:OCZ720819 OMV720817:OMV720819 OWR720817:OWR720819 PGN720817:PGN720819 PQJ720817:PQJ720819 QAF720817:QAF720819 QKB720817:QKB720819 QTX720817:QTX720819 RDT720817:RDT720819 RNP720817:RNP720819 RXL720817:RXL720819 SHH720817:SHH720819 SRD720817:SRD720819 TAZ720817:TAZ720819 TKV720817:TKV720819 TUR720817:TUR720819 UEN720817:UEN720819 UOJ720817:UOJ720819 UYF720817:UYF720819 VIB720817:VIB720819 VRX720817:VRX720819 WBT720817:WBT720819 WLP720817:WLP720819 WVL720817:WVL720819 D786353:D786355 IZ786353:IZ786355 SV786353:SV786355 ACR786353:ACR786355 AMN786353:AMN786355 AWJ786353:AWJ786355 BGF786353:BGF786355 BQB786353:BQB786355 BZX786353:BZX786355 CJT786353:CJT786355 CTP786353:CTP786355 DDL786353:DDL786355 DNH786353:DNH786355 DXD786353:DXD786355 EGZ786353:EGZ786355 EQV786353:EQV786355 FAR786353:FAR786355 FKN786353:FKN786355 FUJ786353:FUJ786355 GEF786353:GEF786355 GOB786353:GOB786355 GXX786353:GXX786355 HHT786353:HHT786355 HRP786353:HRP786355 IBL786353:IBL786355 ILH786353:ILH786355 IVD786353:IVD786355 JEZ786353:JEZ786355 JOV786353:JOV786355 JYR786353:JYR786355 KIN786353:KIN786355 KSJ786353:KSJ786355 LCF786353:LCF786355 LMB786353:LMB786355 LVX786353:LVX786355 MFT786353:MFT786355 MPP786353:MPP786355 MZL786353:MZL786355 NJH786353:NJH786355 NTD786353:NTD786355 OCZ786353:OCZ786355 OMV786353:OMV786355 OWR786353:OWR786355 PGN786353:PGN786355 PQJ786353:PQJ786355 QAF786353:QAF786355 QKB786353:QKB786355 QTX786353:QTX786355 RDT786353:RDT786355 RNP786353:RNP786355 RXL786353:RXL786355 SHH786353:SHH786355 SRD786353:SRD786355 TAZ786353:TAZ786355 TKV786353:TKV786355 TUR786353:TUR786355 UEN786353:UEN786355 UOJ786353:UOJ786355 UYF786353:UYF786355 VIB786353:VIB786355 VRX786353:VRX786355 WBT786353:WBT786355 WLP786353:WLP786355 WVL786353:WVL786355 D851889:D851891 IZ851889:IZ851891 SV851889:SV851891 ACR851889:ACR851891 AMN851889:AMN851891 AWJ851889:AWJ851891 BGF851889:BGF851891 BQB851889:BQB851891 BZX851889:BZX851891 CJT851889:CJT851891 CTP851889:CTP851891 DDL851889:DDL851891 DNH851889:DNH851891 DXD851889:DXD851891 EGZ851889:EGZ851891 EQV851889:EQV851891 FAR851889:FAR851891 FKN851889:FKN851891 FUJ851889:FUJ851891 GEF851889:GEF851891 GOB851889:GOB851891 GXX851889:GXX851891 HHT851889:HHT851891 HRP851889:HRP851891 IBL851889:IBL851891 ILH851889:ILH851891 IVD851889:IVD851891 JEZ851889:JEZ851891 JOV851889:JOV851891 JYR851889:JYR851891 KIN851889:KIN851891 KSJ851889:KSJ851891 LCF851889:LCF851891 LMB851889:LMB851891 LVX851889:LVX851891 MFT851889:MFT851891 MPP851889:MPP851891 MZL851889:MZL851891 NJH851889:NJH851891 NTD851889:NTD851891 OCZ851889:OCZ851891 OMV851889:OMV851891 OWR851889:OWR851891 PGN851889:PGN851891 PQJ851889:PQJ851891 QAF851889:QAF851891 QKB851889:QKB851891 QTX851889:QTX851891 RDT851889:RDT851891 RNP851889:RNP851891 RXL851889:RXL851891 SHH851889:SHH851891 SRD851889:SRD851891 TAZ851889:TAZ851891 TKV851889:TKV851891 TUR851889:TUR851891 UEN851889:UEN851891 UOJ851889:UOJ851891 UYF851889:UYF851891 VIB851889:VIB851891 VRX851889:VRX851891 WBT851889:WBT851891 WLP851889:WLP851891 WVL851889:WVL851891 D917425:D917427 IZ917425:IZ917427 SV917425:SV917427 ACR917425:ACR917427 AMN917425:AMN917427 AWJ917425:AWJ917427 BGF917425:BGF917427 BQB917425:BQB917427 BZX917425:BZX917427 CJT917425:CJT917427 CTP917425:CTP917427 DDL917425:DDL917427 DNH917425:DNH917427 DXD917425:DXD917427 EGZ917425:EGZ917427 EQV917425:EQV917427 FAR917425:FAR917427 FKN917425:FKN917427 FUJ917425:FUJ917427 GEF917425:GEF917427 GOB917425:GOB917427 GXX917425:GXX917427 HHT917425:HHT917427 HRP917425:HRP917427 IBL917425:IBL917427 ILH917425:ILH917427 IVD917425:IVD917427 JEZ917425:JEZ917427 JOV917425:JOV917427 JYR917425:JYR917427 KIN917425:KIN917427 KSJ917425:KSJ917427 LCF917425:LCF917427 LMB917425:LMB917427 LVX917425:LVX917427 MFT917425:MFT917427 MPP917425:MPP917427 MZL917425:MZL917427 NJH917425:NJH917427 NTD917425:NTD917427 OCZ917425:OCZ917427 OMV917425:OMV917427 OWR917425:OWR917427 PGN917425:PGN917427 PQJ917425:PQJ917427 QAF917425:QAF917427 QKB917425:QKB917427 QTX917425:QTX917427 RDT917425:RDT917427 RNP917425:RNP917427 RXL917425:RXL917427 SHH917425:SHH917427 SRD917425:SRD917427 TAZ917425:TAZ917427 TKV917425:TKV917427 TUR917425:TUR917427 UEN917425:UEN917427 UOJ917425:UOJ917427 UYF917425:UYF917427 VIB917425:VIB917427 VRX917425:VRX917427 WBT917425:WBT917427 WLP917425:WLP917427 WVL917425:WVL917427 D982961:D982963 IZ982961:IZ982963 SV982961:SV982963 ACR982961:ACR982963 AMN982961:AMN982963 AWJ982961:AWJ982963 BGF982961:BGF982963 BQB982961:BQB982963 BZX982961:BZX982963 CJT982961:CJT982963 CTP982961:CTP982963 DDL982961:DDL982963 DNH982961:DNH982963 DXD982961:DXD982963 EGZ982961:EGZ982963 EQV982961:EQV982963 FAR982961:FAR982963 FKN982961:FKN982963 FUJ982961:FUJ982963 GEF982961:GEF982963 GOB982961:GOB982963 GXX982961:GXX982963 HHT982961:HHT982963 HRP982961:HRP982963 IBL982961:IBL982963 ILH982961:ILH982963 IVD982961:IVD982963 JEZ982961:JEZ982963 JOV982961:JOV982963 JYR982961:JYR982963 KIN982961:KIN982963 KSJ982961:KSJ982963 LCF982961:LCF982963 LMB982961:LMB982963 LVX982961:LVX982963 MFT982961:MFT982963 MPP982961:MPP982963 MZL982961:MZL982963 NJH982961:NJH982963 NTD982961:NTD982963 OCZ982961:OCZ982963 OMV982961:OMV982963 OWR982961:OWR982963 PGN982961:PGN982963 PQJ982961:PQJ982963 QAF982961:QAF982963 QKB982961:QKB982963 QTX982961:QTX982963 RDT982961:RDT982963 RNP982961:RNP982963 RXL982961:RXL982963 SHH982961:SHH982963 SRD982961:SRD982963 TAZ982961:TAZ982963 TKV982961:TKV982963 TUR982961:TUR982963 UEN982961:UEN982963 UOJ982961:UOJ982963 UYF982961:UYF982963 VIB982961:VIB982963 VRX982961:VRX982963 WBT982961:WBT982963 WLP982961:WLP982963 WVL982961:WVL982963">
      <formula1>"是,否"</formula1>
    </dataValidation>
  </dataValidations>
  <hyperlinks>
    <hyperlink ref="F13" location="A107041高新技术企业优惠情况及明细表!A1" display="A107041高新技术企业优惠情况及明细表!A1"/>
  </hyperlinks>
  <printOptions horizontalCentered="1"/>
  <pageMargins left="0.78740157480314998" right="0.35433070866141703" top="0.511811023622047" bottom="0.11811023622047198" header="0.511811023622047" footer="0.511811023622047"/>
  <pageSetup paperSize="9" orientation="portrait" r:id="rId1"/>
</worksheet>
</file>

<file path=xl/worksheets/sheet6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75">
    <tabColor theme="9" tint="0.39997558519241921"/>
  </sheetPr>
  <dimension ref="A1:L45"/>
  <sheetViews>
    <sheetView topLeftCell="A23" workbookViewId="0">
      <selection activeCell="E33" sqref="E33"/>
    </sheetView>
  </sheetViews>
  <sheetFormatPr defaultRowHeight="15.6"/>
  <cols>
    <col min="1" max="1" width="4.69921875" style="1532" customWidth="1"/>
    <col min="2" max="2" width="5.19921875" style="1614" customWidth="1"/>
    <col min="3" max="3" width="5.69921875" style="1532" customWidth="1"/>
    <col min="4" max="4" width="79.8984375" style="1532" customWidth="1"/>
    <col min="5" max="5" width="16.19921875" style="1532" customWidth="1"/>
    <col min="6" max="6" width="13.3984375" style="1532" customWidth="1"/>
    <col min="7" max="256" width="9" style="1532"/>
    <col min="257" max="257" width="4.69921875" style="1532" customWidth="1"/>
    <col min="258" max="258" width="5.19921875" style="1532" customWidth="1"/>
    <col min="259" max="259" width="5.69921875" style="1532" customWidth="1"/>
    <col min="260" max="260" width="79.8984375" style="1532" customWidth="1"/>
    <col min="261" max="261" width="16.19921875" style="1532" customWidth="1"/>
    <col min="262" max="262" width="13.3984375" style="1532" customWidth="1"/>
    <col min="263" max="512" width="9" style="1532"/>
    <col min="513" max="513" width="4.69921875" style="1532" customWidth="1"/>
    <col min="514" max="514" width="5.19921875" style="1532" customWidth="1"/>
    <col min="515" max="515" width="5.69921875" style="1532" customWidth="1"/>
    <col min="516" max="516" width="79.8984375" style="1532" customWidth="1"/>
    <col min="517" max="517" width="16.19921875" style="1532" customWidth="1"/>
    <col min="518" max="518" width="13.3984375" style="1532" customWidth="1"/>
    <col min="519" max="768" width="9" style="1532"/>
    <col min="769" max="769" width="4.69921875" style="1532" customWidth="1"/>
    <col min="770" max="770" width="5.19921875" style="1532" customWidth="1"/>
    <col min="771" max="771" width="5.69921875" style="1532" customWidth="1"/>
    <col min="772" max="772" width="79.8984375" style="1532" customWidth="1"/>
    <col min="773" max="773" width="16.19921875" style="1532" customWidth="1"/>
    <col min="774" max="774" width="13.3984375" style="1532" customWidth="1"/>
    <col min="775" max="1024" width="9" style="1532"/>
    <col min="1025" max="1025" width="4.69921875" style="1532" customWidth="1"/>
    <col min="1026" max="1026" width="5.19921875" style="1532" customWidth="1"/>
    <col min="1027" max="1027" width="5.69921875" style="1532" customWidth="1"/>
    <col min="1028" max="1028" width="79.8984375" style="1532" customWidth="1"/>
    <col min="1029" max="1029" width="16.19921875" style="1532" customWidth="1"/>
    <col min="1030" max="1030" width="13.3984375" style="1532" customWidth="1"/>
    <col min="1031" max="1280" width="9" style="1532"/>
    <col min="1281" max="1281" width="4.69921875" style="1532" customWidth="1"/>
    <col min="1282" max="1282" width="5.19921875" style="1532" customWidth="1"/>
    <col min="1283" max="1283" width="5.69921875" style="1532" customWidth="1"/>
    <col min="1284" max="1284" width="79.8984375" style="1532" customWidth="1"/>
    <col min="1285" max="1285" width="16.19921875" style="1532" customWidth="1"/>
    <col min="1286" max="1286" width="13.3984375" style="1532" customWidth="1"/>
    <col min="1287" max="1536" width="9" style="1532"/>
    <col min="1537" max="1537" width="4.69921875" style="1532" customWidth="1"/>
    <col min="1538" max="1538" width="5.19921875" style="1532" customWidth="1"/>
    <col min="1539" max="1539" width="5.69921875" style="1532" customWidth="1"/>
    <col min="1540" max="1540" width="79.8984375" style="1532" customWidth="1"/>
    <col min="1541" max="1541" width="16.19921875" style="1532" customWidth="1"/>
    <col min="1542" max="1542" width="13.3984375" style="1532" customWidth="1"/>
    <col min="1543" max="1792" width="9" style="1532"/>
    <col min="1793" max="1793" width="4.69921875" style="1532" customWidth="1"/>
    <col min="1794" max="1794" width="5.19921875" style="1532" customWidth="1"/>
    <col min="1795" max="1795" width="5.69921875" style="1532" customWidth="1"/>
    <col min="1796" max="1796" width="79.8984375" style="1532" customWidth="1"/>
    <col min="1797" max="1797" width="16.19921875" style="1532" customWidth="1"/>
    <col min="1798" max="1798" width="13.3984375" style="1532" customWidth="1"/>
    <col min="1799" max="2048" width="9" style="1532"/>
    <col min="2049" max="2049" width="4.69921875" style="1532" customWidth="1"/>
    <col min="2050" max="2050" width="5.19921875" style="1532" customWidth="1"/>
    <col min="2051" max="2051" width="5.69921875" style="1532" customWidth="1"/>
    <col min="2052" max="2052" width="79.8984375" style="1532" customWidth="1"/>
    <col min="2053" max="2053" width="16.19921875" style="1532" customWidth="1"/>
    <col min="2054" max="2054" width="13.3984375" style="1532" customWidth="1"/>
    <col min="2055" max="2304" width="9" style="1532"/>
    <col min="2305" max="2305" width="4.69921875" style="1532" customWidth="1"/>
    <col min="2306" max="2306" width="5.19921875" style="1532" customWidth="1"/>
    <col min="2307" max="2307" width="5.69921875" style="1532" customWidth="1"/>
    <col min="2308" max="2308" width="79.8984375" style="1532" customWidth="1"/>
    <col min="2309" max="2309" width="16.19921875" style="1532" customWidth="1"/>
    <col min="2310" max="2310" width="13.3984375" style="1532" customWidth="1"/>
    <col min="2311" max="2560" width="9" style="1532"/>
    <col min="2561" max="2561" width="4.69921875" style="1532" customWidth="1"/>
    <col min="2562" max="2562" width="5.19921875" style="1532" customWidth="1"/>
    <col min="2563" max="2563" width="5.69921875" style="1532" customWidth="1"/>
    <col min="2564" max="2564" width="79.8984375" style="1532" customWidth="1"/>
    <col min="2565" max="2565" width="16.19921875" style="1532" customWidth="1"/>
    <col min="2566" max="2566" width="13.3984375" style="1532" customWidth="1"/>
    <col min="2567" max="2816" width="9" style="1532"/>
    <col min="2817" max="2817" width="4.69921875" style="1532" customWidth="1"/>
    <col min="2818" max="2818" width="5.19921875" style="1532" customWidth="1"/>
    <col min="2819" max="2819" width="5.69921875" style="1532" customWidth="1"/>
    <col min="2820" max="2820" width="79.8984375" style="1532" customWidth="1"/>
    <col min="2821" max="2821" width="16.19921875" style="1532" customWidth="1"/>
    <col min="2822" max="2822" width="13.3984375" style="1532" customWidth="1"/>
    <col min="2823" max="3072" width="9" style="1532"/>
    <col min="3073" max="3073" width="4.69921875" style="1532" customWidth="1"/>
    <col min="3074" max="3074" width="5.19921875" style="1532" customWidth="1"/>
    <col min="3075" max="3075" width="5.69921875" style="1532" customWidth="1"/>
    <col min="3076" max="3076" width="79.8984375" style="1532" customWidth="1"/>
    <col min="3077" max="3077" width="16.19921875" style="1532" customWidth="1"/>
    <col min="3078" max="3078" width="13.3984375" style="1532" customWidth="1"/>
    <col min="3079" max="3328" width="9" style="1532"/>
    <col min="3329" max="3329" width="4.69921875" style="1532" customWidth="1"/>
    <col min="3330" max="3330" width="5.19921875" style="1532" customWidth="1"/>
    <col min="3331" max="3331" width="5.69921875" style="1532" customWidth="1"/>
    <col min="3332" max="3332" width="79.8984375" style="1532" customWidth="1"/>
    <col min="3333" max="3333" width="16.19921875" style="1532" customWidth="1"/>
    <col min="3334" max="3334" width="13.3984375" style="1532" customWidth="1"/>
    <col min="3335" max="3584" width="9" style="1532"/>
    <col min="3585" max="3585" width="4.69921875" style="1532" customWidth="1"/>
    <col min="3586" max="3586" width="5.19921875" style="1532" customWidth="1"/>
    <col min="3587" max="3587" width="5.69921875" style="1532" customWidth="1"/>
    <col min="3588" max="3588" width="79.8984375" style="1532" customWidth="1"/>
    <col min="3589" max="3589" width="16.19921875" style="1532" customWidth="1"/>
    <col min="3590" max="3590" width="13.3984375" style="1532" customWidth="1"/>
    <col min="3591" max="3840" width="9" style="1532"/>
    <col min="3841" max="3841" width="4.69921875" style="1532" customWidth="1"/>
    <col min="3842" max="3842" width="5.19921875" style="1532" customWidth="1"/>
    <col min="3843" max="3843" width="5.69921875" style="1532" customWidth="1"/>
    <col min="3844" max="3844" width="79.8984375" style="1532" customWidth="1"/>
    <col min="3845" max="3845" width="16.19921875" style="1532" customWidth="1"/>
    <col min="3846" max="3846" width="13.3984375" style="1532" customWidth="1"/>
    <col min="3847" max="4096" width="9" style="1532"/>
    <col min="4097" max="4097" width="4.69921875" style="1532" customWidth="1"/>
    <col min="4098" max="4098" width="5.19921875" style="1532" customWidth="1"/>
    <col min="4099" max="4099" width="5.69921875" style="1532" customWidth="1"/>
    <col min="4100" max="4100" width="79.8984375" style="1532" customWidth="1"/>
    <col min="4101" max="4101" width="16.19921875" style="1532" customWidth="1"/>
    <col min="4102" max="4102" width="13.3984375" style="1532" customWidth="1"/>
    <col min="4103" max="4352" width="9" style="1532"/>
    <col min="4353" max="4353" width="4.69921875" style="1532" customWidth="1"/>
    <col min="4354" max="4354" width="5.19921875" style="1532" customWidth="1"/>
    <col min="4355" max="4355" width="5.69921875" style="1532" customWidth="1"/>
    <col min="4356" max="4356" width="79.8984375" style="1532" customWidth="1"/>
    <col min="4357" max="4357" width="16.19921875" style="1532" customWidth="1"/>
    <col min="4358" max="4358" width="13.3984375" style="1532" customWidth="1"/>
    <col min="4359" max="4608" width="9" style="1532"/>
    <col min="4609" max="4609" width="4.69921875" style="1532" customWidth="1"/>
    <col min="4610" max="4610" width="5.19921875" style="1532" customWidth="1"/>
    <col min="4611" max="4611" width="5.69921875" style="1532" customWidth="1"/>
    <col min="4612" max="4612" width="79.8984375" style="1532" customWidth="1"/>
    <col min="4613" max="4613" width="16.19921875" style="1532" customWidth="1"/>
    <col min="4614" max="4614" width="13.3984375" style="1532" customWidth="1"/>
    <col min="4615" max="4864" width="9" style="1532"/>
    <col min="4865" max="4865" width="4.69921875" style="1532" customWidth="1"/>
    <col min="4866" max="4866" width="5.19921875" style="1532" customWidth="1"/>
    <col min="4867" max="4867" width="5.69921875" style="1532" customWidth="1"/>
    <col min="4868" max="4868" width="79.8984375" style="1532" customWidth="1"/>
    <col min="4869" max="4869" width="16.19921875" style="1532" customWidth="1"/>
    <col min="4870" max="4870" width="13.3984375" style="1532" customWidth="1"/>
    <col min="4871" max="5120" width="9" style="1532"/>
    <col min="5121" max="5121" width="4.69921875" style="1532" customWidth="1"/>
    <col min="5122" max="5122" width="5.19921875" style="1532" customWidth="1"/>
    <col min="5123" max="5123" width="5.69921875" style="1532" customWidth="1"/>
    <col min="5124" max="5124" width="79.8984375" style="1532" customWidth="1"/>
    <col min="5125" max="5125" width="16.19921875" style="1532" customWidth="1"/>
    <col min="5126" max="5126" width="13.3984375" style="1532" customWidth="1"/>
    <col min="5127" max="5376" width="9" style="1532"/>
    <col min="5377" max="5377" width="4.69921875" style="1532" customWidth="1"/>
    <col min="5378" max="5378" width="5.19921875" style="1532" customWidth="1"/>
    <col min="5379" max="5379" width="5.69921875" style="1532" customWidth="1"/>
    <col min="5380" max="5380" width="79.8984375" style="1532" customWidth="1"/>
    <col min="5381" max="5381" width="16.19921875" style="1532" customWidth="1"/>
    <col min="5382" max="5382" width="13.3984375" style="1532" customWidth="1"/>
    <col min="5383" max="5632" width="9" style="1532"/>
    <col min="5633" max="5633" width="4.69921875" style="1532" customWidth="1"/>
    <col min="5634" max="5634" width="5.19921875" style="1532" customWidth="1"/>
    <col min="5635" max="5635" width="5.69921875" style="1532" customWidth="1"/>
    <col min="5636" max="5636" width="79.8984375" style="1532" customWidth="1"/>
    <col min="5637" max="5637" width="16.19921875" style="1532" customWidth="1"/>
    <col min="5638" max="5638" width="13.3984375" style="1532" customWidth="1"/>
    <col min="5639" max="5888" width="9" style="1532"/>
    <col min="5889" max="5889" width="4.69921875" style="1532" customWidth="1"/>
    <col min="5890" max="5890" width="5.19921875" style="1532" customWidth="1"/>
    <col min="5891" max="5891" width="5.69921875" style="1532" customWidth="1"/>
    <col min="5892" max="5892" width="79.8984375" style="1532" customWidth="1"/>
    <col min="5893" max="5893" width="16.19921875" style="1532" customWidth="1"/>
    <col min="5894" max="5894" width="13.3984375" style="1532" customWidth="1"/>
    <col min="5895" max="6144" width="9" style="1532"/>
    <col min="6145" max="6145" width="4.69921875" style="1532" customWidth="1"/>
    <col min="6146" max="6146" width="5.19921875" style="1532" customWidth="1"/>
    <col min="6147" max="6147" width="5.69921875" style="1532" customWidth="1"/>
    <col min="6148" max="6148" width="79.8984375" style="1532" customWidth="1"/>
    <col min="6149" max="6149" width="16.19921875" style="1532" customWidth="1"/>
    <col min="6150" max="6150" width="13.3984375" style="1532" customWidth="1"/>
    <col min="6151" max="6400" width="9" style="1532"/>
    <col min="6401" max="6401" width="4.69921875" style="1532" customWidth="1"/>
    <col min="6402" max="6402" width="5.19921875" style="1532" customWidth="1"/>
    <col min="6403" max="6403" width="5.69921875" style="1532" customWidth="1"/>
    <col min="6404" max="6404" width="79.8984375" style="1532" customWidth="1"/>
    <col min="6405" max="6405" width="16.19921875" style="1532" customWidth="1"/>
    <col min="6406" max="6406" width="13.3984375" style="1532" customWidth="1"/>
    <col min="6407" max="6656" width="9" style="1532"/>
    <col min="6657" max="6657" width="4.69921875" style="1532" customWidth="1"/>
    <col min="6658" max="6658" width="5.19921875" style="1532" customWidth="1"/>
    <col min="6659" max="6659" width="5.69921875" style="1532" customWidth="1"/>
    <col min="6660" max="6660" width="79.8984375" style="1532" customWidth="1"/>
    <col min="6661" max="6661" width="16.19921875" style="1532" customWidth="1"/>
    <col min="6662" max="6662" width="13.3984375" style="1532" customWidth="1"/>
    <col min="6663" max="6912" width="9" style="1532"/>
    <col min="6913" max="6913" width="4.69921875" style="1532" customWidth="1"/>
    <col min="6914" max="6914" width="5.19921875" style="1532" customWidth="1"/>
    <col min="6915" max="6915" width="5.69921875" style="1532" customWidth="1"/>
    <col min="6916" max="6916" width="79.8984375" style="1532" customWidth="1"/>
    <col min="6917" max="6917" width="16.19921875" style="1532" customWidth="1"/>
    <col min="6918" max="6918" width="13.3984375" style="1532" customWidth="1"/>
    <col min="6919" max="7168" width="9" style="1532"/>
    <col min="7169" max="7169" width="4.69921875" style="1532" customWidth="1"/>
    <col min="7170" max="7170" width="5.19921875" style="1532" customWidth="1"/>
    <col min="7171" max="7171" width="5.69921875" style="1532" customWidth="1"/>
    <col min="7172" max="7172" width="79.8984375" style="1532" customWidth="1"/>
    <col min="7173" max="7173" width="16.19921875" style="1532" customWidth="1"/>
    <col min="7174" max="7174" width="13.3984375" style="1532" customWidth="1"/>
    <col min="7175" max="7424" width="9" style="1532"/>
    <col min="7425" max="7425" width="4.69921875" style="1532" customWidth="1"/>
    <col min="7426" max="7426" width="5.19921875" style="1532" customWidth="1"/>
    <col min="7427" max="7427" width="5.69921875" style="1532" customWidth="1"/>
    <col min="7428" max="7428" width="79.8984375" style="1532" customWidth="1"/>
    <col min="7429" max="7429" width="16.19921875" style="1532" customWidth="1"/>
    <col min="7430" max="7430" width="13.3984375" style="1532" customWidth="1"/>
    <col min="7431" max="7680" width="9" style="1532"/>
    <col min="7681" max="7681" width="4.69921875" style="1532" customWidth="1"/>
    <col min="7682" max="7682" width="5.19921875" style="1532" customWidth="1"/>
    <col min="7683" max="7683" width="5.69921875" style="1532" customWidth="1"/>
    <col min="7684" max="7684" width="79.8984375" style="1532" customWidth="1"/>
    <col min="7685" max="7685" width="16.19921875" style="1532" customWidth="1"/>
    <col min="7686" max="7686" width="13.3984375" style="1532" customWidth="1"/>
    <col min="7687" max="7936" width="9" style="1532"/>
    <col min="7937" max="7937" width="4.69921875" style="1532" customWidth="1"/>
    <col min="7938" max="7938" width="5.19921875" style="1532" customWidth="1"/>
    <col min="7939" max="7939" width="5.69921875" style="1532" customWidth="1"/>
    <col min="7940" max="7940" width="79.8984375" style="1532" customWidth="1"/>
    <col min="7941" max="7941" width="16.19921875" style="1532" customWidth="1"/>
    <col min="7942" max="7942" width="13.3984375" style="1532" customWidth="1"/>
    <col min="7943" max="8192" width="9" style="1532"/>
    <col min="8193" max="8193" width="4.69921875" style="1532" customWidth="1"/>
    <col min="8194" max="8194" width="5.19921875" style="1532" customWidth="1"/>
    <col min="8195" max="8195" width="5.69921875" style="1532" customWidth="1"/>
    <col min="8196" max="8196" width="79.8984375" style="1532" customWidth="1"/>
    <col min="8197" max="8197" width="16.19921875" style="1532" customWidth="1"/>
    <col min="8198" max="8198" width="13.3984375" style="1532" customWidth="1"/>
    <col min="8199" max="8448" width="9" style="1532"/>
    <col min="8449" max="8449" width="4.69921875" style="1532" customWidth="1"/>
    <col min="8450" max="8450" width="5.19921875" style="1532" customWidth="1"/>
    <col min="8451" max="8451" width="5.69921875" style="1532" customWidth="1"/>
    <col min="8452" max="8452" width="79.8984375" style="1532" customWidth="1"/>
    <col min="8453" max="8453" width="16.19921875" style="1532" customWidth="1"/>
    <col min="8454" max="8454" width="13.3984375" style="1532" customWidth="1"/>
    <col min="8455" max="8704" width="9" style="1532"/>
    <col min="8705" max="8705" width="4.69921875" style="1532" customWidth="1"/>
    <col min="8706" max="8706" width="5.19921875" style="1532" customWidth="1"/>
    <col min="8707" max="8707" width="5.69921875" style="1532" customWidth="1"/>
    <col min="8708" max="8708" width="79.8984375" style="1532" customWidth="1"/>
    <col min="8709" max="8709" width="16.19921875" style="1532" customWidth="1"/>
    <col min="8710" max="8710" width="13.3984375" style="1532" customWidth="1"/>
    <col min="8711" max="8960" width="9" style="1532"/>
    <col min="8961" max="8961" width="4.69921875" style="1532" customWidth="1"/>
    <col min="8962" max="8962" width="5.19921875" style="1532" customWidth="1"/>
    <col min="8963" max="8963" width="5.69921875" style="1532" customWidth="1"/>
    <col min="8964" max="8964" width="79.8984375" style="1532" customWidth="1"/>
    <col min="8965" max="8965" width="16.19921875" style="1532" customWidth="1"/>
    <col min="8966" max="8966" width="13.3984375" style="1532" customWidth="1"/>
    <col min="8967" max="9216" width="9" style="1532"/>
    <col min="9217" max="9217" width="4.69921875" style="1532" customWidth="1"/>
    <col min="9218" max="9218" width="5.19921875" style="1532" customWidth="1"/>
    <col min="9219" max="9219" width="5.69921875" style="1532" customWidth="1"/>
    <col min="9220" max="9220" width="79.8984375" style="1532" customWidth="1"/>
    <col min="9221" max="9221" width="16.19921875" style="1532" customWidth="1"/>
    <col min="9222" max="9222" width="13.3984375" style="1532" customWidth="1"/>
    <col min="9223" max="9472" width="9" style="1532"/>
    <col min="9473" max="9473" width="4.69921875" style="1532" customWidth="1"/>
    <col min="9474" max="9474" width="5.19921875" style="1532" customWidth="1"/>
    <col min="9475" max="9475" width="5.69921875" style="1532" customWidth="1"/>
    <col min="9476" max="9476" width="79.8984375" style="1532" customWidth="1"/>
    <col min="9477" max="9477" width="16.19921875" style="1532" customWidth="1"/>
    <col min="9478" max="9478" width="13.3984375" style="1532" customWidth="1"/>
    <col min="9479" max="9728" width="9" style="1532"/>
    <col min="9729" max="9729" width="4.69921875" style="1532" customWidth="1"/>
    <col min="9730" max="9730" width="5.19921875" style="1532" customWidth="1"/>
    <col min="9731" max="9731" width="5.69921875" style="1532" customWidth="1"/>
    <col min="9732" max="9732" width="79.8984375" style="1532" customWidth="1"/>
    <col min="9733" max="9733" width="16.19921875" style="1532" customWidth="1"/>
    <col min="9734" max="9734" width="13.3984375" style="1532" customWidth="1"/>
    <col min="9735" max="9984" width="9" style="1532"/>
    <col min="9985" max="9985" width="4.69921875" style="1532" customWidth="1"/>
    <col min="9986" max="9986" width="5.19921875" style="1532" customWidth="1"/>
    <col min="9987" max="9987" width="5.69921875" style="1532" customWidth="1"/>
    <col min="9988" max="9988" width="79.8984375" style="1532" customWidth="1"/>
    <col min="9989" max="9989" width="16.19921875" style="1532" customWidth="1"/>
    <col min="9990" max="9990" width="13.3984375" style="1532" customWidth="1"/>
    <col min="9991" max="10240" width="9" style="1532"/>
    <col min="10241" max="10241" width="4.69921875" style="1532" customWidth="1"/>
    <col min="10242" max="10242" width="5.19921875" style="1532" customWidth="1"/>
    <col min="10243" max="10243" width="5.69921875" style="1532" customWidth="1"/>
    <col min="10244" max="10244" width="79.8984375" style="1532" customWidth="1"/>
    <col min="10245" max="10245" width="16.19921875" style="1532" customWidth="1"/>
    <col min="10246" max="10246" width="13.3984375" style="1532" customWidth="1"/>
    <col min="10247" max="10496" width="9" style="1532"/>
    <col min="10497" max="10497" width="4.69921875" style="1532" customWidth="1"/>
    <col min="10498" max="10498" width="5.19921875" style="1532" customWidth="1"/>
    <col min="10499" max="10499" width="5.69921875" style="1532" customWidth="1"/>
    <col min="10500" max="10500" width="79.8984375" style="1532" customWidth="1"/>
    <col min="10501" max="10501" width="16.19921875" style="1532" customWidth="1"/>
    <col min="10502" max="10502" width="13.3984375" style="1532" customWidth="1"/>
    <col min="10503" max="10752" width="9" style="1532"/>
    <col min="10753" max="10753" width="4.69921875" style="1532" customWidth="1"/>
    <col min="10754" max="10754" width="5.19921875" style="1532" customWidth="1"/>
    <col min="10755" max="10755" width="5.69921875" style="1532" customWidth="1"/>
    <col min="10756" max="10756" width="79.8984375" style="1532" customWidth="1"/>
    <col min="10757" max="10757" width="16.19921875" style="1532" customWidth="1"/>
    <col min="10758" max="10758" width="13.3984375" style="1532" customWidth="1"/>
    <col min="10759" max="11008" width="9" style="1532"/>
    <col min="11009" max="11009" width="4.69921875" style="1532" customWidth="1"/>
    <col min="11010" max="11010" width="5.19921875" style="1532" customWidth="1"/>
    <col min="11011" max="11011" width="5.69921875" style="1532" customWidth="1"/>
    <col min="11012" max="11012" width="79.8984375" style="1532" customWidth="1"/>
    <col min="11013" max="11013" width="16.19921875" style="1532" customWidth="1"/>
    <col min="11014" max="11014" width="13.3984375" style="1532" customWidth="1"/>
    <col min="11015" max="11264" width="9" style="1532"/>
    <col min="11265" max="11265" width="4.69921875" style="1532" customWidth="1"/>
    <col min="11266" max="11266" width="5.19921875" style="1532" customWidth="1"/>
    <col min="11267" max="11267" width="5.69921875" style="1532" customWidth="1"/>
    <col min="11268" max="11268" width="79.8984375" style="1532" customWidth="1"/>
    <col min="11269" max="11269" width="16.19921875" style="1532" customWidth="1"/>
    <col min="11270" max="11270" width="13.3984375" style="1532" customWidth="1"/>
    <col min="11271" max="11520" width="9" style="1532"/>
    <col min="11521" max="11521" width="4.69921875" style="1532" customWidth="1"/>
    <col min="11522" max="11522" width="5.19921875" style="1532" customWidth="1"/>
    <col min="11523" max="11523" width="5.69921875" style="1532" customWidth="1"/>
    <col min="11524" max="11524" width="79.8984375" style="1532" customWidth="1"/>
    <col min="11525" max="11525" width="16.19921875" style="1532" customWidth="1"/>
    <col min="11526" max="11526" width="13.3984375" style="1532" customWidth="1"/>
    <col min="11527" max="11776" width="9" style="1532"/>
    <col min="11777" max="11777" width="4.69921875" style="1532" customWidth="1"/>
    <col min="11778" max="11778" width="5.19921875" style="1532" customWidth="1"/>
    <col min="11779" max="11779" width="5.69921875" style="1532" customWidth="1"/>
    <col min="11780" max="11780" width="79.8984375" style="1532" customWidth="1"/>
    <col min="11781" max="11781" width="16.19921875" style="1532" customWidth="1"/>
    <col min="11782" max="11782" width="13.3984375" style="1532" customWidth="1"/>
    <col min="11783" max="12032" width="9" style="1532"/>
    <col min="12033" max="12033" width="4.69921875" style="1532" customWidth="1"/>
    <col min="12034" max="12034" width="5.19921875" style="1532" customWidth="1"/>
    <col min="12035" max="12035" width="5.69921875" style="1532" customWidth="1"/>
    <col min="12036" max="12036" width="79.8984375" style="1532" customWidth="1"/>
    <col min="12037" max="12037" width="16.19921875" style="1532" customWidth="1"/>
    <col min="12038" max="12038" width="13.3984375" style="1532" customWidth="1"/>
    <col min="12039" max="12288" width="9" style="1532"/>
    <col min="12289" max="12289" width="4.69921875" style="1532" customWidth="1"/>
    <col min="12290" max="12290" width="5.19921875" style="1532" customWidth="1"/>
    <col min="12291" max="12291" width="5.69921875" style="1532" customWidth="1"/>
    <col min="12292" max="12292" width="79.8984375" style="1532" customWidth="1"/>
    <col min="12293" max="12293" width="16.19921875" style="1532" customWidth="1"/>
    <col min="12294" max="12294" width="13.3984375" style="1532" customWidth="1"/>
    <col min="12295" max="12544" width="9" style="1532"/>
    <col min="12545" max="12545" width="4.69921875" style="1532" customWidth="1"/>
    <col min="12546" max="12546" width="5.19921875" style="1532" customWidth="1"/>
    <col min="12547" max="12547" width="5.69921875" style="1532" customWidth="1"/>
    <col min="12548" max="12548" width="79.8984375" style="1532" customWidth="1"/>
    <col min="12549" max="12549" width="16.19921875" style="1532" customWidth="1"/>
    <col min="12550" max="12550" width="13.3984375" style="1532" customWidth="1"/>
    <col min="12551" max="12800" width="9" style="1532"/>
    <col min="12801" max="12801" width="4.69921875" style="1532" customWidth="1"/>
    <col min="12802" max="12802" width="5.19921875" style="1532" customWidth="1"/>
    <col min="12803" max="12803" width="5.69921875" style="1532" customWidth="1"/>
    <col min="12804" max="12804" width="79.8984375" style="1532" customWidth="1"/>
    <col min="12805" max="12805" width="16.19921875" style="1532" customWidth="1"/>
    <col min="12806" max="12806" width="13.3984375" style="1532" customWidth="1"/>
    <col min="12807" max="13056" width="9" style="1532"/>
    <col min="13057" max="13057" width="4.69921875" style="1532" customWidth="1"/>
    <col min="13058" max="13058" width="5.19921875" style="1532" customWidth="1"/>
    <col min="13059" max="13059" width="5.69921875" style="1532" customWidth="1"/>
    <col min="13060" max="13060" width="79.8984375" style="1532" customWidth="1"/>
    <col min="13061" max="13061" width="16.19921875" style="1532" customWidth="1"/>
    <col min="13062" max="13062" width="13.3984375" style="1532" customWidth="1"/>
    <col min="13063" max="13312" width="9" style="1532"/>
    <col min="13313" max="13313" width="4.69921875" style="1532" customWidth="1"/>
    <col min="13314" max="13314" width="5.19921875" style="1532" customWidth="1"/>
    <col min="13315" max="13315" width="5.69921875" style="1532" customWidth="1"/>
    <col min="13316" max="13316" width="79.8984375" style="1532" customWidth="1"/>
    <col min="13317" max="13317" width="16.19921875" style="1532" customWidth="1"/>
    <col min="13318" max="13318" width="13.3984375" style="1532" customWidth="1"/>
    <col min="13319" max="13568" width="9" style="1532"/>
    <col min="13569" max="13569" width="4.69921875" style="1532" customWidth="1"/>
    <col min="13570" max="13570" width="5.19921875" style="1532" customWidth="1"/>
    <col min="13571" max="13571" width="5.69921875" style="1532" customWidth="1"/>
    <col min="13572" max="13572" width="79.8984375" style="1532" customWidth="1"/>
    <col min="13573" max="13573" width="16.19921875" style="1532" customWidth="1"/>
    <col min="13574" max="13574" width="13.3984375" style="1532" customWidth="1"/>
    <col min="13575" max="13824" width="9" style="1532"/>
    <col min="13825" max="13825" width="4.69921875" style="1532" customWidth="1"/>
    <col min="13826" max="13826" width="5.19921875" style="1532" customWidth="1"/>
    <col min="13827" max="13827" width="5.69921875" style="1532" customWidth="1"/>
    <col min="13828" max="13828" width="79.8984375" style="1532" customWidth="1"/>
    <col min="13829" max="13829" width="16.19921875" style="1532" customWidth="1"/>
    <col min="13830" max="13830" width="13.3984375" style="1532" customWidth="1"/>
    <col min="13831" max="14080" width="9" style="1532"/>
    <col min="14081" max="14081" width="4.69921875" style="1532" customWidth="1"/>
    <col min="14082" max="14082" width="5.19921875" style="1532" customWidth="1"/>
    <col min="14083" max="14083" width="5.69921875" style="1532" customWidth="1"/>
    <col min="14084" max="14084" width="79.8984375" style="1532" customWidth="1"/>
    <col min="14085" max="14085" width="16.19921875" style="1532" customWidth="1"/>
    <col min="14086" max="14086" width="13.3984375" style="1532" customWidth="1"/>
    <col min="14087" max="14336" width="9" style="1532"/>
    <col min="14337" max="14337" width="4.69921875" style="1532" customWidth="1"/>
    <col min="14338" max="14338" width="5.19921875" style="1532" customWidth="1"/>
    <col min="14339" max="14339" width="5.69921875" style="1532" customWidth="1"/>
    <col min="14340" max="14340" width="79.8984375" style="1532" customWidth="1"/>
    <col min="14341" max="14341" width="16.19921875" style="1532" customWidth="1"/>
    <col min="14342" max="14342" width="13.3984375" style="1532" customWidth="1"/>
    <col min="14343" max="14592" width="9" style="1532"/>
    <col min="14593" max="14593" width="4.69921875" style="1532" customWidth="1"/>
    <col min="14594" max="14594" width="5.19921875" style="1532" customWidth="1"/>
    <col min="14595" max="14595" width="5.69921875" style="1532" customWidth="1"/>
    <col min="14596" max="14596" width="79.8984375" style="1532" customWidth="1"/>
    <col min="14597" max="14597" width="16.19921875" style="1532" customWidth="1"/>
    <col min="14598" max="14598" width="13.3984375" style="1532" customWidth="1"/>
    <col min="14599" max="14848" width="9" style="1532"/>
    <col min="14849" max="14849" width="4.69921875" style="1532" customWidth="1"/>
    <col min="14850" max="14850" width="5.19921875" style="1532" customWidth="1"/>
    <col min="14851" max="14851" width="5.69921875" style="1532" customWidth="1"/>
    <col min="14852" max="14852" width="79.8984375" style="1532" customWidth="1"/>
    <col min="14853" max="14853" width="16.19921875" style="1532" customWidth="1"/>
    <col min="14854" max="14854" width="13.3984375" style="1532" customWidth="1"/>
    <col min="14855" max="15104" width="9" style="1532"/>
    <col min="15105" max="15105" width="4.69921875" style="1532" customWidth="1"/>
    <col min="15106" max="15106" width="5.19921875" style="1532" customWidth="1"/>
    <col min="15107" max="15107" width="5.69921875" style="1532" customWidth="1"/>
    <col min="15108" max="15108" width="79.8984375" style="1532" customWidth="1"/>
    <col min="15109" max="15109" width="16.19921875" style="1532" customWidth="1"/>
    <col min="15110" max="15110" width="13.3984375" style="1532" customWidth="1"/>
    <col min="15111" max="15360" width="9" style="1532"/>
    <col min="15361" max="15361" width="4.69921875" style="1532" customWidth="1"/>
    <col min="15362" max="15362" width="5.19921875" style="1532" customWidth="1"/>
    <col min="15363" max="15363" width="5.69921875" style="1532" customWidth="1"/>
    <col min="15364" max="15364" width="79.8984375" style="1532" customWidth="1"/>
    <col min="15365" max="15365" width="16.19921875" style="1532" customWidth="1"/>
    <col min="15366" max="15366" width="13.3984375" style="1532" customWidth="1"/>
    <col min="15367" max="15616" width="9" style="1532"/>
    <col min="15617" max="15617" width="4.69921875" style="1532" customWidth="1"/>
    <col min="15618" max="15618" width="5.19921875" style="1532" customWidth="1"/>
    <col min="15619" max="15619" width="5.69921875" style="1532" customWidth="1"/>
    <col min="15620" max="15620" width="79.8984375" style="1532" customWidth="1"/>
    <col min="15621" max="15621" width="16.19921875" style="1532" customWidth="1"/>
    <col min="15622" max="15622" width="13.3984375" style="1532" customWidth="1"/>
    <col min="15623" max="15872" width="9" style="1532"/>
    <col min="15873" max="15873" width="4.69921875" style="1532" customWidth="1"/>
    <col min="15874" max="15874" width="5.19921875" style="1532" customWidth="1"/>
    <col min="15875" max="15875" width="5.69921875" style="1532" customWidth="1"/>
    <col min="15876" max="15876" width="79.8984375" style="1532" customWidth="1"/>
    <col min="15877" max="15877" width="16.19921875" style="1532" customWidth="1"/>
    <col min="15878" max="15878" width="13.3984375" style="1532" customWidth="1"/>
    <col min="15879" max="16128" width="9" style="1532"/>
    <col min="16129" max="16129" width="4.69921875" style="1532" customWidth="1"/>
    <col min="16130" max="16130" width="5.19921875" style="1532" customWidth="1"/>
    <col min="16131" max="16131" width="5.69921875" style="1532" customWidth="1"/>
    <col min="16132" max="16132" width="79.8984375" style="1532" customWidth="1"/>
    <col min="16133" max="16133" width="16.19921875" style="1532" customWidth="1"/>
    <col min="16134" max="16134" width="13.3984375" style="1532" customWidth="1"/>
    <col min="16135" max="16384" width="9" style="1532"/>
  </cols>
  <sheetData>
    <row r="1" spans="1:12" ht="20.100000000000001" customHeight="1">
      <c r="A1" s="2172"/>
      <c r="B1" s="2172"/>
      <c r="C1" s="2172"/>
      <c r="D1" s="2172"/>
      <c r="E1" s="2172"/>
      <c r="F1" s="2071" t="str">
        <f>"索引号："&amp;档案索引!D15</f>
        <v>索引号：2B-10</v>
      </c>
    </row>
    <row r="2" spans="1:12" ht="25.5" customHeight="1">
      <c r="A2" s="2092"/>
      <c r="B2" s="3379" t="s">
        <v>5943</v>
      </c>
      <c r="C2" s="3379"/>
      <c r="D2" s="3379"/>
      <c r="E2" s="3379"/>
      <c r="F2" s="1856"/>
    </row>
    <row r="3" spans="1:12" ht="14.25" customHeight="1">
      <c r="A3" s="1943"/>
      <c r="B3" s="1848" t="s">
        <v>5712</v>
      </c>
      <c r="C3" s="3385" t="s">
        <v>5713</v>
      </c>
      <c r="D3" s="3385"/>
      <c r="E3" s="3385"/>
      <c r="F3" s="2068" t="s">
        <v>6634</v>
      </c>
      <c r="G3" s="1614"/>
    </row>
    <row r="4" spans="1:12" ht="14.25" customHeight="1">
      <c r="A4" s="3465" t="s">
        <v>5715</v>
      </c>
      <c r="B4" s="1848">
        <v>1</v>
      </c>
      <c r="C4" s="3467" t="s">
        <v>5716</v>
      </c>
      <c r="D4" s="1940" t="s">
        <v>5717</v>
      </c>
      <c r="E4" s="1523"/>
      <c r="F4" s="1943"/>
    </row>
    <row r="5" spans="1:12" ht="14.25" customHeight="1">
      <c r="A5" s="3466"/>
      <c r="B5" s="1848">
        <v>2</v>
      </c>
      <c r="C5" s="3468"/>
      <c r="D5" s="1942" t="s">
        <v>5718</v>
      </c>
      <c r="E5" s="1523"/>
      <c r="F5" s="1943"/>
    </row>
    <row r="6" spans="1:12" ht="14.25" customHeight="1">
      <c r="A6" s="3466"/>
      <c r="B6" s="1848">
        <v>3</v>
      </c>
      <c r="C6" s="3468"/>
      <c r="D6" s="1940" t="s">
        <v>5719</v>
      </c>
      <c r="E6" s="1523"/>
      <c r="F6" s="1943"/>
    </row>
    <row r="7" spans="1:12" ht="14.25" customHeight="1">
      <c r="A7" s="3466"/>
      <c r="B7" s="1848">
        <v>4</v>
      </c>
      <c r="C7" s="3468"/>
      <c r="D7" s="1940" t="s">
        <v>5720</v>
      </c>
      <c r="E7" s="1523"/>
      <c r="F7" s="1943"/>
    </row>
    <row r="8" spans="1:12" ht="14.25" customHeight="1">
      <c r="A8" s="3466"/>
      <c r="B8" s="1848">
        <v>5</v>
      </c>
      <c r="C8" s="3468"/>
      <c r="D8" s="1942" t="s">
        <v>5721</v>
      </c>
      <c r="E8" s="1523"/>
      <c r="F8" s="1941"/>
      <c r="L8" s="1615"/>
    </row>
    <row r="9" spans="1:12" ht="14.25" customHeight="1">
      <c r="A9" s="3466"/>
      <c r="B9" s="1848">
        <v>6</v>
      </c>
      <c r="C9" s="3468"/>
      <c r="D9" s="1940" t="s">
        <v>5722</v>
      </c>
      <c r="E9" s="1523"/>
      <c r="F9" s="1941"/>
      <c r="L9" s="1615"/>
    </row>
    <row r="10" spans="1:12" ht="14.25" customHeight="1">
      <c r="A10" s="3466"/>
      <c r="B10" s="1848">
        <v>7</v>
      </c>
      <c r="C10" s="3469"/>
      <c r="D10" s="1940" t="s">
        <v>5723</v>
      </c>
      <c r="E10" s="1523"/>
      <c r="F10" s="1943"/>
    </row>
    <row r="11" spans="1:12" ht="14.25" customHeight="1">
      <c r="A11" s="3465" t="s">
        <v>5724</v>
      </c>
      <c r="B11" s="1848">
        <v>8</v>
      </c>
      <c r="C11" s="3385" t="s">
        <v>5725</v>
      </c>
      <c r="D11" s="1944" t="s">
        <v>5726</v>
      </c>
      <c r="E11" s="2079"/>
      <c r="F11" s="1943"/>
    </row>
    <row r="12" spans="1:12" ht="14.25" customHeight="1">
      <c r="A12" s="3466"/>
      <c r="B12" s="1848">
        <v>9</v>
      </c>
      <c r="C12" s="3385"/>
      <c r="D12" s="1944" t="s">
        <v>5727</v>
      </c>
      <c r="E12" s="2079"/>
      <c r="F12" s="1943"/>
    </row>
    <row r="13" spans="1:12" ht="14.25" customHeight="1">
      <c r="A13" s="3466"/>
      <c r="B13" s="1848">
        <v>10</v>
      </c>
      <c r="C13" s="3385"/>
      <c r="D13" s="1944" t="s">
        <v>5728</v>
      </c>
      <c r="E13" s="2079"/>
      <c r="F13" s="1943"/>
    </row>
    <row r="14" spans="1:12" ht="22.5" customHeight="1">
      <c r="A14" s="3466"/>
      <c r="B14" s="1848">
        <v>11</v>
      </c>
      <c r="C14" s="3385"/>
      <c r="D14" s="1944" t="s">
        <v>5729</v>
      </c>
      <c r="E14" s="2077">
        <f>IFERROR(ROUND(E12/E11*100,2),0)</f>
        <v>0</v>
      </c>
      <c r="F14" s="1988"/>
    </row>
    <row r="15" spans="1:12" ht="14.25" customHeight="1">
      <c r="A15" s="3466"/>
      <c r="B15" s="1848">
        <v>12</v>
      </c>
      <c r="C15" s="3385"/>
      <c r="D15" s="1944" t="s">
        <v>5730</v>
      </c>
      <c r="E15" s="2077">
        <f>IFERROR(ROUND(E13/E11*100,2),0)</f>
        <v>0</v>
      </c>
      <c r="F15" s="1943"/>
    </row>
    <row r="16" spans="1:12" ht="14.25" customHeight="1">
      <c r="A16" s="3466"/>
      <c r="B16" s="1848">
        <v>13</v>
      </c>
      <c r="C16" s="3385" t="s">
        <v>5731</v>
      </c>
      <c r="D16" s="1944" t="s">
        <v>5732</v>
      </c>
      <c r="E16" s="2079"/>
      <c r="F16" s="1943"/>
      <c r="G16" s="1675" t="s">
        <v>6474</v>
      </c>
    </row>
    <row r="17" spans="1:6" ht="14.25" customHeight="1">
      <c r="A17" s="3466"/>
      <c r="B17" s="1848">
        <v>14</v>
      </c>
      <c r="C17" s="3385"/>
      <c r="D17" s="1944" t="s">
        <v>5733</v>
      </c>
      <c r="E17" s="2079"/>
      <c r="F17" s="1943"/>
    </row>
    <row r="18" spans="1:6" ht="14.25" customHeight="1">
      <c r="A18" s="3466"/>
      <c r="B18" s="1848">
        <v>15</v>
      </c>
      <c r="C18" s="3385"/>
      <c r="D18" s="1944" t="s">
        <v>5734</v>
      </c>
      <c r="E18" s="2077">
        <f>IFERROR(ROUND(E17/E16*100,2),0)</f>
        <v>0</v>
      </c>
      <c r="F18" s="1943"/>
    </row>
    <row r="19" spans="1:6" ht="14.25" customHeight="1">
      <c r="A19" s="3466"/>
      <c r="B19" s="1848">
        <v>16</v>
      </c>
      <c r="C19" s="3385"/>
      <c r="D19" s="1944" t="s">
        <v>5735</v>
      </c>
      <c r="E19" s="2079"/>
      <c r="F19" s="1943"/>
    </row>
    <row r="20" spans="1:6" ht="14.25" customHeight="1">
      <c r="A20" s="3466"/>
      <c r="B20" s="1848">
        <v>17</v>
      </c>
      <c r="C20" s="3385"/>
      <c r="D20" s="1944" t="s">
        <v>5736</v>
      </c>
      <c r="E20" s="2079"/>
      <c r="F20" s="1943"/>
    </row>
    <row r="21" spans="1:6" ht="15.75" customHeight="1">
      <c r="A21" s="3466"/>
      <c r="B21" s="1848">
        <v>18</v>
      </c>
      <c r="C21" s="3385"/>
      <c r="D21" s="1944" t="s">
        <v>5737</v>
      </c>
      <c r="E21" s="2077">
        <f>IFERROR(ROUND(E19/E16*100,2),0)</f>
        <v>0</v>
      </c>
      <c r="F21" s="1854"/>
    </row>
    <row r="22" spans="1:6" ht="14.25" customHeight="1">
      <c r="A22" s="3466"/>
      <c r="B22" s="1848">
        <v>19</v>
      </c>
      <c r="C22" s="3385"/>
      <c r="D22" s="1944" t="s">
        <v>5738</v>
      </c>
      <c r="E22" s="2077">
        <f>IFERROR(ROUND(E20/$E$16*100,2),0)</f>
        <v>0</v>
      </c>
      <c r="F22" s="1854"/>
    </row>
    <row r="23" spans="1:6" ht="14.25" customHeight="1">
      <c r="A23" s="3466"/>
      <c r="B23" s="1848">
        <v>20</v>
      </c>
      <c r="C23" s="3385"/>
      <c r="D23" s="1944" t="s">
        <v>5739</v>
      </c>
      <c r="E23" s="2079"/>
      <c r="F23" s="1943"/>
    </row>
    <row r="24" spans="1:6" ht="14.25" customHeight="1">
      <c r="A24" s="3466"/>
      <c r="B24" s="1848">
        <v>21</v>
      </c>
      <c r="C24" s="3385"/>
      <c r="D24" s="1944" t="s">
        <v>5740</v>
      </c>
      <c r="E24" s="2079"/>
      <c r="F24" s="1943"/>
    </row>
    <row r="25" spans="1:6" ht="14.25" customHeight="1">
      <c r="A25" s="3466"/>
      <c r="B25" s="1848">
        <v>22</v>
      </c>
      <c r="C25" s="3385"/>
      <c r="D25" s="1944" t="s">
        <v>5741</v>
      </c>
      <c r="E25" s="2079"/>
      <c r="F25" s="1943"/>
    </row>
    <row r="26" spans="1:6" ht="14.25" customHeight="1">
      <c r="A26" s="3466"/>
      <c r="B26" s="1848">
        <v>23</v>
      </c>
      <c r="C26" s="3385"/>
      <c r="D26" s="1944" t="s">
        <v>5742</v>
      </c>
      <c r="E26" s="2079"/>
      <c r="F26" s="1854"/>
    </row>
    <row r="27" spans="1:6" ht="18" customHeight="1">
      <c r="A27" s="3466"/>
      <c r="B27" s="1848">
        <v>24</v>
      </c>
      <c r="C27" s="3385"/>
      <c r="D27" s="1944" t="s">
        <v>5743</v>
      </c>
      <c r="E27" s="2077">
        <f>IFERROR(ROUND(E23/$E$16*100,2),0)</f>
        <v>0</v>
      </c>
      <c r="F27" s="1854"/>
    </row>
    <row r="28" spans="1:6" ht="14.25" customHeight="1">
      <c r="A28" s="3466"/>
      <c r="B28" s="1848">
        <v>25</v>
      </c>
      <c r="C28" s="3385"/>
      <c r="D28" s="1944" t="s">
        <v>5744</v>
      </c>
      <c r="E28" s="2077">
        <f>IFERROR(ROUND(E24/$E$16*100,2),0)</f>
        <v>0</v>
      </c>
      <c r="F28" s="1854"/>
    </row>
    <row r="29" spans="1:6" ht="19.5" customHeight="1">
      <c r="A29" s="3466"/>
      <c r="B29" s="1848">
        <v>26</v>
      </c>
      <c r="C29" s="3385"/>
      <c r="D29" s="1944" t="s">
        <v>5745</v>
      </c>
      <c r="E29" s="2077">
        <f>IFERROR(ROUND(E25/$E$16*100,2),0)</f>
        <v>0</v>
      </c>
      <c r="F29" s="1854"/>
    </row>
    <row r="30" spans="1:6" ht="14.25" customHeight="1">
      <c r="A30" s="3466"/>
      <c r="B30" s="1848">
        <v>27</v>
      </c>
      <c r="C30" s="3385"/>
      <c r="D30" s="1944" t="s">
        <v>5746</v>
      </c>
      <c r="E30" s="2077">
        <f>IFERROR(ROUND(E26/$E$16*100,2),0)</f>
        <v>0</v>
      </c>
      <c r="F30" s="1854"/>
    </row>
    <row r="31" spans="1:6" ht="14.25" customHeight="1">
      <c r="A31" s="3466"/>
      <c r="B31" s="1848">
        <v>28</v>
      </c>
      <c r="C31" s="3385" t="s">
        <v>5747</v>
      </c>
      <c r="D31" s="1944" t="s">
        <v>5748</v>
      </c>
      <c r="E31" s="2079"/>
      <c r="F31" s="1943"/>
    </row>
    <row r="32" spans="1:6" ht="14.25" customHeight="1">
      <c r="A32" s="3466"/>
      <c r="B32" s="1848">
        <v>29</v>
      </c>
      <c r="C32" s="3385"/>
      <c r="D32" s="1944" t="s">
        <v>5749</v>
      </c>
      <c r="E32" s="2079"/>
      <c r="F32" s="1943"/>
    </row>
    <row r="33" spans="1:6" ht="14.25" customHeight="1">
      <c r="A33" s="3466"/>
      <c r="B33" s="1848">
        <v>30</v>
      </c>
      <c r="C33" s="3385"/>
      <c r="D33" s="1944" t="s">
        <v>7696</v>
      </c>
      <c r="E33" s="2079"/>
      <c r="F33" s="1943"/>
    </row>
    <row r="34" spans="1:6" ht="14.25" customHeight="1">
      <c r="A34" s="3466"/>
      <c r="B34" s="1848">
        <v>31</v>
      </c>
      <c r="C34" s="3385"/>
      <c r="D34" s="1944" t="s">
        <v>5751</v>
      </c>
      <c r="E34" s="2077">
        <f>IFERROR(ROUND(E32/E31*100,2),0)</f>
        <v>0</v>
      </c>
      <c r="F34" s="1854"/>
    </row>
    <row r="35" spans="1:6">
      <c r="A35" s="3465" t="s">
        <v>5752</v>
      </c>
      <c r="B35" s="1848">
        <v>32</v>
      </c>
      <c r="C35" s="3470" t="s">
        <v>5725</v>
      </c>
      <c r="D35" s="1940" t="s">
        <v>5753</v>
      </c>
      <c r="E35" s="2079"/>
      <c r="F35" s="1943"/>
    </row>
    <row r="36" spans="1:6" ht="14.25" customHeight="1">
      <c r="A36" s="3466"/>
      <c r="B36" s="1848">
        <v>33</v>
      </c>
      <c r="C36" s="3470"/>
      <c r="D36" s="1940" t="s">
        <v>5754</v>
      </c>
      <c r="E36" s="2079"/>
      <c r="F36" s="1943"/>
    </row>
    <row r="37" spans="1:6" ht="14.25" customHeight="1">
      <c r="A37" s="3466"/>
      <c r="B37" s="1848">
        <v>34</v>
      </c>
      <c r="C37" s="3470"/>
      <c r="D37" s="1940" t="s">
        <v>5755</v>
      </c>
      <c r="E37" s="2077">
        <f>IFERROR(ROUND(E36/E35*100,2),0)</f>
        <v>0</v>
      </c>
      <c r="F37" s="1854"/>
    </row>
    <row r="38" spans="1:6">
      <c r="A38" s="3466"/>
      <c r="B38" s="1848">
        <v>35</v>
      </c>
      <c r="C38" s="3470" t="s">
        <v>5731</v>
      </c>
      <c r="D38" s="1940" t="s">
        <v>5756</v>
      </c>
      <c r="E38" s="2079"/>
      <c r="F38" s="1943"/>
    </row>
    <row r="39" spans="1:6" ht="16.5" customHeight="1">
      <c r="A39" s="3466"/>
      <c r="B39" s="1848">
        <v>36</v>
      </c>
      <c r="C39" s="3470"/>
      <c r="D39" s="1940" t="s">
        <v>5757</v>
      </c>
      <c r="E39" s="2079"/>
      <c r="F39" s="1943"/>
    </row>
    <row r="40" spans="1:6" ht="24" customHeight="1">
      <c r="A40" s="3466"/>
      <c r="B40" s="1848">
        <v>37</v>
      </c>
      <c r="C40" s="3470"/>
      <c r="D40" s="1940" t="s">
        <v>5758</v>
      </c>
      <c r="E40" s="2079"/>
      <c r="F40" s="1943"/>
    </row>
    <row r="41" spans="1:6" ht="18.75" customHeight="1">
      <c r="A41" s="3466"/>
      <c r="B41" s="1848">
        <v>38</v>
      </c>
      <c r="C41" s="3470"/>
      <c r="D41" s="1940" t="s">
        <v>5759</v>
      </c>
      <c r="E41" s="2077">
        <f>IFERROR(ROUND(E39/E38*100,2),0)</f>
        <v>0</v>
      </c>
      <c r="F41" s="1943"/>
    </row>
    <row r="42" spans="1:6" ht="20.25" customHeight="1">
      <c r="A42" s="3466"/>
      <c r="B42" s="1848">
        <v>39</v>
      </c>
      <c r="C42" s="3470"/>
      <c r="D42" s="1940" t="s">
        <v>5760</v>
      </c>
      <c r="E42" s="2077">
        <f>IFERROR(ROUND(E40/E39*100,2),0)</f>
        <v>0</v>
      </c>
      <c r="F42" s="1943"/>
    </row>
    <row r="43" spans="1:6" ht="24" customHeight="1">
      <c r="A43" s="3466"/>
      <c r="B43" s="1848">
        <v>40</v>
      </c>
      <c r="C43" s="3470" t="s">
        <v>5761</v>
      </c>
      <c r="D43" s="1940" t="s">
        <v>5762</v>
      </c>
      <c r="E43" s="2079"/>
      <c r="F43" s="1943"/>
    </row>
    <row r="44" spans="1:6" ht="40.5" customHeight="1">
      <c r="A44" s="3466"/>
      <c r="B44" s="1848">
        <v>41</v>
      </c>
      <c r="C44" s="3470"/>
      <c r="D44" s="1940" t="s">
        <v>5763</v>
      </c>
      <c r="E44" s="2077">
        <f>IFERROR(ROUND(E43/E39*100,2),0)</f>
        <v>0</v>
      </c>
      <c r="F44" s="1854"/>
    </row>
    <row r="45" spans="1:6" ht="27" customHeight="1">
      <c r="A45" s="1943"/>
      <c r="B45" s="1848">
        <v>42</v>
      </c>
      <c r="C45" s="3471" t="s">
        <v>5764</v>
      </c>
      <c r="D45" s="3472"/>
      <c r="E45" s="2079"/>
      <c r="F45" s="1972" t="s">
        <v>5765</v>
      </c>
    </row>
  </sheetData>
  <mergeCells count="13">
    <mergeCell ref="A35:A44"/>
    <mergeCell ref="C35:C37"/>
    <mergeCell ref="C38:C42"/>
    <mergeCell ref="C43:C44"/>
    <mergeCell ref="C45:D45"/>
    <mergeCell ref="A11:A34"/>
    <mergeCell ref="C11:C15"/>
    <mergeCell ref="C16:C30"/>
    <mergeCell ref="C31:C34"/>
    <mergeCell ref="B2:E2"/>
    <mergeCell ref="C3:E3"/>
    <mergeCell ref="A4:A10"/>
    <mergeCell ref="C4:C10"/>
  </mergeCells>
  <phoneticPr fontId="51" type="noConversion"/>
  <hyperlinks>
    <hyperlink ref="G16" location="A107042软件、集成电路企业优惠情况及明细表!A1" display="A107042软件、集成电路企业优惠情况及明细表!A1"/>
  </hyperlinks>
  <printOptions horizontalCentered="1"/>
  <pageMargins left="0.78740157480314998" right="0.35433070866141703" top="0.511811023622047" bottom="0.11811023622047198" header="0.511811023622047" footer="0.511811023622047"/>
  <pageSetup paperSize="9" orientation="portrait" r:id="rId1"/>
  <headerFooter alignWithMargins="0"/>
</worksheet>
</file>

<file path=xl/worksheets/sheet6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76">
    <tabColor rgb="FFFFFF00"/>
  </sheetPr>
  <dimension ref="A1:S22"/>
  <sheetViews>
    <sheetView workbookViewId="0">
      <selection activeCell="A11" sqref="A11"/>
    </sheetView>
  </sheetViews>
  <sheetFormatPr defaultRowHeight="15.6"/>
  <cols>
    <col min="1" max="1" width="3.3984375" style="1570" customWidth="1"/>
    <col min="2" max="2" width="7.59765625" style="1570" customWidth="1"/>
    <col min="3" max="3" width="4.69921875" style="1570" customWidth="1"/>
    <col min="4" max="14" width="11.5" style="1570" customWidth="1"/>
    <col min="15" max="18" width="9" style="1570"/>
    <col min="19" max="19" width="33.19921875" style="1570" customWidth="1"/>
    <col min="20" max="256" width="9" style="1570"/>
    <col min="257" max="257" width="5.19921875" style="1570" customWidth="1"/>
    <col min="258" max="258" width="8.8984375" style="1570" customWidth="1"/>
    <col min="259" max="259" width="7.09765625" style="1570" customWidth="1"/>
    <col min="260" max="260" width="7.69921875" style="1570" customWidth="1"/>
    <col min="261" max="261" width="8.8984375" style="1570" customWidth="1"/>
    <col min="262" max="262" width="8.09765625" style="1570" customWidth="1"/>
    <col min="263" max="263" width="7.8984375" style="1570" customWidth="1"/>
    <col min="264" max="264" width="8" style="1570" customWidth="1"/>
    <col min="265" max="265" width="8.09765625" style="1570" customWidth="1"/>
    <col min="266" max="266" width="8" style="1570" customWidth="1"/>
    <col min="267" max="267" width="7.19921875" style="1570" customWidth="1"/>
    <col min="268" max="268" width="8.3984375" style="1570" customWidth="1"/>
    <col min="269" max="269" width="17.3984375" style="1570" customWidth="1"/>
    <col min="270" max="270" width="8.8984375" style="1570" customWidth="1"/>
    <col min="271" max="274" width="9" style="1570"/>
    <col min="275" max="275" width="33.19921875" style="1570" customWidth="1"/>
    <col min="276" max="512" width="9" style="1570"/>
    <col min="513" max="513" width="5.19921875" style="1570" customWidth="1"/>
    <col min="514" max="514" width="8.8984375" style="1570" customWidth="1"/>
    <col min="515" max="515" width="7.09765625" style="1570" customWidth="1"/>
    <col min="516" max="516" width="7.69921875" style="1570" customWidth="1"/>
    <col min="517" max="517" width="8.8984375" style="1570" customWidth="1"/>
    <col min="518" max="518" width="8.09765625" style="1570" customWidth="1"/>
    <col min="519" max="519" width="7.8984375" style="1570" customWidth="1"/>
    <col min="520" max="520" width="8" style="1570" customWidth="1"/>
    <col min="521" max="521" width="8.09765625" style="1570" customWidth="1"/>
    <col min="522" max="522" width="8" style="1570" customWidth="1"/>
    <col min="523" max="523" width="7.19921875" style="1570" customWidth="1"/>
    <col min="524" max="524" width="8.3984375" style="1570" customWidth="1"/>
    <col min="525" max="525" width="17.3984375" style="1570" customWidth="1"/>
    <col min="526" max="526" width="8.8984375" style="1570" customWidth="1"/>
    <col min="527" max="530" width="9" style="1570"/>
    <col min="531" max="531" width="33.19921875" style="1570" customWidth="1"/>
    <col min="532" max="768" width="9" style="1570"/>
    <col min="769" max="769" width="5.19921875" style="1570" customWidth="1"/>
    <col min="770" max="770" width="8.8984375" style="1570" customWidth="1"/>
    <col min="771" max="771" width="7.09765625" style="1570" customWidth="1"/>
    <col min="772" max="772" width="7.69921875" style="1570" customWidth="1"/>
    <col min="773" max="773" width="8.8984375" style="1570" customWidth="1"/>
    <col min="774" max="774" width="8.09765625" style="1570" customWidth="1"/>
    <col min="775" max="775" width="7.8984375" style="1570" customWidth="1"/>
    <col min="776" max="776" width="8" style="1570" customWidth="1"/>
    <col min="777" max="777" width="8.09765625" style="1570" customWidth="1"/>
    <col min="778" max="778" width="8" style="1570" customWidth="1"/>
    <col min="779" max="779" width="7.19921875" style="1570" customWidth="1"/>
    <col min="780" max="780" width="8.3984375" style="1570" customWidth="1"/>
    <col min="781" max="781" width="17.3984375" style="1570" customWidth="1"/>
    <col min="782" max="782" width="8.8984375" style="1570" customWidth="1"/>
    <col min="783" max="786" width="9" style="1570"/>
    <col min="787" max="787" width="33.19921875" style="1570" customWidth="1"/>
    <col min="788" max="1024" width="9" style="1570"/>
    <col min="1025" max="1025" width="5.19921875" style="1570" customWidth="1"/>
    <col min="1026" max="1026" width="8.8984375" style="1570" customWidth="1"/>
    <col min="1027" max="1027" width="7.09765625" style="1570" customWidth="1"/>
    <col min="1028" max="1028" width="7.69921875" style="1570" customWidth="1"/>
    <col min="1029" max="1029" width="8.8984375" style="1570" customWidth="1"/>
    <col min="1030" max="1030" width="8.09765625" style="1570" customWidth="1"/>
    <col min="1031" max="1031" width="7.8984375" style="1570" customWidth="1"/>
    <col min="1032" max="1032" width="8" style="1570" customWidth="1"/>
    <col min="1033" max="1033" width="8.09765625" style="1570" customWidth="1"/>
    <col min="1034" max="1034" width="8" style="1570" customWidth="1"/>
    <col min="1035" max="1035" width="7.19921875" style="1570" customWidth="1"/>
    <col min="1036" max="1036" width="8.3984375" style="1570" customWidth="1"/>
    <col min="1037" max="1037" width="17.3984375" style="1570" customWidth="1"/>
    <col min="1038" max="1038" width="8.8984375" style="1570" customWidth="1"/>
    <col min="1039" max="1042" width="9" style="1570"/>
    <col min="1043" max="1043" width="33.19921875" style="1570" customWidth="1"/>
    <col min="1044" max="1280" width="9" style="1570"/>
    <col min="1281" max="1281" width="5.19921875" style="1570" customWidth="1"/>
    <col min="1282" max="1282" width="8.8984375" style="1570" customWidth="1"/>
    <col min="1283" max="1283" width="7.09765625" style="1570" customWidth="1"/>
    <col min="1284" max="1284" width="7.69921875" style="1570" customWidth="1"/>
    <col min="1285" max="1285" width="8.8984375" style="1570" customWidth="1"/>
    <col min="1286" max="1286" width="8.09765625" style="1570" customWidth="1"/>
    <col min="1287" max="1287" width="7.8984375" style="1570" customWidth="1"/>
    <col min="1288" max="1288" width="8" style="1570" customWidth="1"/>
    <col min="1289" max="1289" width="8.09765625" style="1570" customWidth="1"/>
    <col min="1290" max="1290" width="8" style="1570" customWidth="1"/>
    <col min="1291" max="1291" width="7.19921875" style="1570" customWidth="1"/>
    <col min="1292" max="1292" width="8.3984375" style="1570" customWidth="1"/>
    <col min="1293" max="1293" width="17.3984375" style="1570" customWidth="1"/>
    <col min="1294" max="1294" width="8.8984375" style="1570" customWidth="1"/>
    <col min="1295" max="1298" width="9" style="1570"/>
    <col min="1299" max="1299" width="33.19921875" style="1570" customWidth="1"/>
    <col min="1300" max="1536" width="9" style="1570"/>
    <col min="1537" max="1537" width="5.19921875" style="1570" customWidth="1"/>
    <col min="1538" max="1538" width="8.8984375" style="1570" customWidth="1"/>
    <col min="1539" max="1539" width="7.09765625" style="1570" customWidth="1"/>
    <col min="1540" max="1540" width="7.69921875" style="1570" customWidth="1"/>
    <col min="1541" max="1541" width="8.8984375" style="1570" customWidth="1"/>
    <col min="1542" max="1542" width="8.09765625" style="1570" customWidth="1"/>
    <col min="1543" max="1543" width="7.8984375" style="1570" customWidth="1"/>
    <col min="1544" max="1544" width="8" style="1570" customWidth="1"/>
    <col min="1545" max="1545" width="8.09765625" style="1570" customWidth="1"/>
    <col min="1546" max="1546" width="8" style="1570" customWidth="1"/>
    <col min="1547" max="1547" width="7.19921875" style="1570" customWidth="1"/>
    <col min="1548" max="1548" width="8.3984375" style="1570" customWidth="1"/>
    <col min="1549" max="1549" width="17.3984375" style="1570" customWidth="1"/>
    <col min="1550" max="1550" width="8.8984375" style="1570" customWidth="1"/>
    <col min="1551" max="1554" width="9" style="1570"/>
    <col min="1555" max="1555" width="33.19921875" style="1570" customWidth="1"/>
    <col min="1556" max="1792" width="9" style="1570"/>
    <col min="1793" max="1793" width="5.19921875" style="1570" customWidth="1"/>
    <col min="1794" max="1794" width="8.8984375" style="1570" customWidth="1"/>
    <col min="1795" max="1795" width="7.09765625" style="1570" customWidth="1"/>
    <col min="1796" max="1796" width="7.69921875" style="1570" customWidth="1"/>
    <col min="1797" max="1797" width="8.8984375" style="1570" customWidth="1"/>
    <col min="1798" max="1798" width="8.09765625" style="1570" customWidth="1"/>
    <col min="1799" max="1799" width="7.8984375" style="1570" customWidth="1"/>
    <col min="1800" max="1800" width="8" style="1570" customWidth="1"/>
    <col min="1801" max="1801" width="8.09765625" style="1570" customWidth="1"/>
    <col min="1802" max="1802" width="8" style="1570" customWidth="1"/>
    <col min="1803" max="1803" width="7.19921875" style="1570" customWidth="1"/>
    <col min="1804" max="1804" width="8.3984375" style="1570" customWidth="1"/>
    <col min="1805" max="1805" width="17.3984375" style="1570" customWidth="1"/>
    <col min="1806" max="1806" width="8.8984375" style="1570" customWidth="1"/>
    <col min="1807" max="1810" width="9" style="1570"/>
    <col min="1811" max="1811" width="33.19921875" style="1570" customWidth="1"/>
    <col min="1812" max="2048" width="9" style="1570"/>
    <col min="2049" max="2049" width="5.19921875" style="1570" customWidth="1"/>
    <col min="2050" max="2050" width="8.8984375" style="1570" customWidth="1"/>
    <col min="2051" max="2051" width="7.09765625" style="1570" customWidth="1"/>
    <col min="2052" max="2052" width="7.69921875" style="1570" customWidth="1"/>
    <col min="2053" max="2053" width="8.8984375" style="1570" customWidth="1"/>
    <col min="2054" max="2054" width="8.09765625" style="1570" customWidth="1"/>
    <col min="2055" max="2055" width="7.8984375" style="1570" customWidth="1"/>
    <col min="2056" max="2056" width="8" style="1570" customWidth="1"/>
    <col min="2057" max="2057" width="8.09765625" style="1570" customWidth="1"/>
    <col min="2058" max="2058" width="8" style="1570" customWidth="1"/>
    <col min="2059" max="2059" width="7.19921875" style="1570" customWidth="1"/>
    <col min="2060" max="2060" width="8.3984375" style="1570" customWidth="1"/>
    <col min="2061" max="2061" width="17.3984375" style="1570" customWidth="1"/>
    <col min="2062" max="2062" width="8.8984375" style="1570" customWidth="1"/>
    <col min="2063" max="2066" width="9" style="1570"/>
    <col min="2067" max="2067" width="33.19921875" style="1570" customWidth="1"/>
    <col min="2068" max="2304" width="9" style="1570"/>
    <col min="2305" max="2305" width="5.19921875" style="1570" customWidth="1"/>
    <col min="2306" max="2306" width="8.8984375" style="1570" customWidth="1"/>
    <col min="2307" max="2307" width="7.09765625" style="1570" customWidth="1"/>
    <col min="2308" max="2308" width="7.69921875" style="1570" customWidth="1"/>
    <col min="2309" max="2309" width="8.8984375" style="1570" customWidth="1"/>
    <col min="2310" max="2310" width="8.09765625" style="1570" customWidth="1"/>
    <col min="2311" max="2311" width="7.8984375" style="1570" customWidth="1"/>
    <col min="2312" max="2312" width="8" style="1570" customWidth="1"/>
    <col min="2313" max="2313" width="8.09765625" style="1570" customWidth="1"/>
    <col min="2314" max="2314" width="8" style="1570" customWidth="1"/>
    <col min="2315" max="2315" width="7.19921875" style="1570" customWidth="1"/>
    <col min="2316" max="2316" width="8.3984375" style="1570" customWidth="1"/>
    <col min="2317" max="2317" width="17.3984375" style="1570" customWidth="1"/>
    <col min="2318" max="2318" width="8.8984375" style="1570" customWidth="1"/>
    <col min="2319" max="2322" width="9" style="1570"/>
    <col min="2323" max="2323" width="33.19921875" style="1570" customWidth="1"/>
    <col min="2324" max="2560" width="9" style="1570"/>
    <col min="2561" max="2561" width="5.19921875" style="1570" customWidth="1"/>
    <col min="2562" max="2562" width="8.8984375" style="1570" customWidth="1"/>
    <col min="2563" max="2563" width="7.09765625" style="1570" customWidth="1"/>
    <col min="2564" max="2564" width="7.69921875" style="1570" customWidth="1"/>
    <col min="2565" max="2565" width="8.8984375" style="1570" customWidth="1"/>
    <col min="2566" max="2566" width="8.09765625" style="1570" customWidth="1"/>
    <col min="2567" max="2567" width="7.8984375" style="1570" customWidth="1"/>
    <col min="2568" max="2568" width="8" style="1570" customWidth="1"/>
    <col min="2569" max="2569" width="8.09765625" style="1570" customWidth="1"/>
    <col min="2570" max="2570" width="8" style="1570" customWidth="1"/>
    <col min="2571" max="2571" width="7.19921875" style="1570" customWidth="1"/>
    <col min="2572" max="2572" width="8.3984375" style="1570" customWidth="1"/>
    <col min="2573" max="2573" width="17.3984375" style="1570" customWidth="1"/>
    <col min="2574" max="2574" width="8.8984375" style="1570" customWidth="1"/>
    <col min="2575" max="2578" width="9" style="1570"/>
    <col min="2579" max="2579" width="33.19921875" style="1570" customWidth="1"/>
    <col min="2580" max="2816" width="9" style="1570"/>
    <col min="2817" max="2817" width="5.19921875" style="1570" customWidth="1"/>
    <col min="2818" max="2818" width="8.8984375" style="1570" customWidth="1"/>
    <col min="2819" max="2819" width="7.09765625" style="1570" customWidth="1"/>
    <col min="2820" max="2820" width="7.69921875" style="1570" customWidth="1"/>
    <col min="2821" max="2821" width="8.8984375" style="1570" customWidth="1"/>
    <col min="2822" max="2822" width="8.09765625" style="1570" customWidth="1"/>
    <col min="2823" max="2823" width="7.8984375" style="1570" customWidth="1"/>
    <col min="2824" max="2824" width="8" style="1570" customWidth="1"/>
    <col min="2825" max="2825" width="8.09765625" style="1570" customWidth="1"/>
    <col min="2826" max="2826" width="8" style="1570" customWidth="1"/>
    <col min="2827" max="2827" width="7.19921875" style="1570" customWidth="1"/>
    <col min="2828" max="2828" width="8.3984375" style="1570" customWidth="1"/>
    <col min="2829" max="2829" width="17.3984375" style="1570" customWidth="1"/>
    <col min="2830" max="2830" width="8.8984375" style="1570" customWidth="1"/>
    <col min="2831" max="2834" width="9" style="1570"/>
    <col min="2835" max="2835" width="33.19921875" style="1570" customWidth="1"/>
    <col min="2836" max="3072" width="9" style="1570"/>
    <col min="3073" max="3073" width="5.19921875" style="1570" customWidth="1"/>
    <col min="3074" max="3074" width="8.8984375" style="1570" customWidth="1"/>
    <col min="3075" max="3075" width="7.09765625" style="1570" customWidth="1"/>
    <col min="3076" max="3076" width="7.69921875" style="1570" customWidth="1"/>
    <col min="3077" max="3077" width="8.8984375" style="1570" customWidth="1"/>
    <col min="3078" max="3078" width="8.09765625" style="1570" customWidth="1"/>
    <col min="3079" max="3079" width="7.8984375" style="1570" customWidth="1"/>
    <col min="3080" max="3080" width="8" style="1570" customWidth="1"/>
    <col min="3081" max="3081" width="8.09765625" style="1570" customWidth="1"/>
    <col min="3082" max="3082" width="8" style="1570" customWidth="1"/>
    <col min="3083" max="3083" width="7.19921875" style="1570" customWidth="1"/>
    <col min="3084" max="3084" width="8.3984375" style="1570" customWidth="1"/>
    <col min="3085" max="3085" width="17.3984375" style="1570" customWidth="1"/>
    <col min="3086" max="3086" width="8.8984375" style="1570" customWidth="1"/>
    <col min="3087" max="3090" width="9" style="1570"/>
    <col min="3091" max="3091" width="33.19921875" style="1570" customWidth="1"/>
    <col min="3092" max="3328" width="9" style="1570"/>
    <col min="3329" max="3329" width="5.19921875" style="1570" customWidth="1"/>
    <col min="3330" max="3330" width="8.8984375" style="1570" customWidth="1"/>
    <col min="3331" max="3331" width="7.09765625" style="1570" customWidth="1"/>
    <col min="3332" max="3332" width="7.69921875" style="1570" customWidth="1"/>
    <col min="3333" max="3333" width="8.8984375" style="1570" customWidth="1"/>
    <col min="3334" max="3334" width="8.09765625" style="1570" customWidth="1"/>
    <col min="3335" max="3335" width="7.8984375" style="1570" customWidth="1"/>
    <col min="3336" max="3336" width="8" style="1570" customWidth="1"/>
    <col min="3337" max="3337" width="8.09765625" style="1570" customWidth="1"/>
    <col min="3338" max="3338" width="8" style="1570" customWidth="1"/>
    <col min="3339" max="3339" width="7.19921875" style="1570" customWidth="1"/>
    <col min="3340" max="3340" width="8.3984375" style="1570" customWidth="1"/>
    <col min="3341" max="3341" width="17.3984375" style="1570" customWidth="1"/>
    <col min="3342" max="3342" width="8.8984375" style="1570" customWidth="1"/>
    <col min="3343" max="3346" width="9" style="1570"/>
    <col min="3347" max="3347" width="33.19921875" style="1570" customWidth="1"/>
    <col min="3348" max="3584" width="9" style="1570"/>
    <col min="3585" max="3585" width="5.19921875" style="1570" customWidth="1"/>
    <col min="3586" max="3586" width="8.8984375" style="1570" customWidth="1"/>
    <col min="3587" max="3587" width="7.09765625" style="1570" customWidth="1"/>
    <col min="3588" max="3588" width="7.69921875" style="1570" customWidth="1"/>
    <col min="3589" max="3589" width="8.8984375" style="1570" customWidth="1"/>
    <col min="3590" max="3590" width="8.09765625" style="1570" customWidth="1"/>
    <col min="3591" max="3591" width="7.8984375" style="1570" customWidth="1"/>
    <col min="3592" max="3592" width="8" style="1570" customWidth="1"/>
    <col min="3593" max="3593" width="8.09765625" style="1570" customWidth="1"/>
    <col min="3594" max="3594" width="8" style="1570" customWidth="1"/>
    <col min="3595" max="3595" width="7.19921875" style="1570" customWidth="1"/>
    <col min="3596" max="3596" width="8.3984375" style="1570" customWidth="1"/>
    <col min="3597" max="3597" width="17.3984375" style="1570" customWidth="1"/>
    <col min="3598" max="3598" width="8.8984375" style="1570" customWidth="1"/>
    <col min="3599" max="3602" width="9" style="1570"/>
    <col min="3603" max="3603" width="33.19921875" style="1570" customWidth="1"/>
    <col min="3604" max="3840" width="9" style="1570"/>
    <col min="3841" max="3841" width="5.19921875" style="1570" customWidth="1"/>
    <col min="3842" max="3842" width="8.8984375" style="1570" customWidth="1"/>
    <col min="3843" max="3843" width="7.09765625" style="1570" customWidth="1"/>
    <col min="3844" max="3844" width="7.69921875" style="1570" customWidth="1"/>
    <col min="3845" max="3845" width="8.8984375" style="1570" customWidth="1"/>
    <col min="3846" max="3846" width="8.09765625" style="1570" customWidth="1"/>
    <col min="3847" max="3847" width="7.8984375" style="1570" customWidth="1"/>
    <col min="3848" max="3848" width="8" style="1570" customWidth="1"/>
    <col min="3849" max="3849" width="8.09765625" style="1570" customWidth="1"/>
    <col min="3850" max="3850" width="8" style="1570" customWidth="1"/>
    <col min="3851" max="3851" width="7.19921875" style="1570" customWidth="1"/>
    <col min="3852" max="3852" width="8.3984375" style="1570" customWidth="1"/>
    <col min="3853" max="3853" width="17.3984375" style="1570" customWidth="1"/>
    <col min="3854" max="3854" width="8.8984375" style="1570" customWidth="1"/>
    <col min="3855" max="3858" width="9" style="1570"/>
    <col min="3859" max="3859" width="33.19921875" style="1570" customWidth="1"/>
    <col min="3860" max="4096" width="9" style="1570"/>
    <col min="4097" max="4097" width="5.19921875" style="1570" customWidth="1"/>
    <col min="4098" max="4098" width="8.8984375" style="1570" customWidth="1"/>
    <col min="4099" max="4099" width="7.09765625" style="1570" customWidth="1"/>
    <col min="4100" max="4100" width="7.69921875" style="1570" customWidth="1"/>
    <col min="4101" max="4101" width="8.8984375" style="1570" customWidth="1"/>
    <col min="4102" max="4102" width="8.09765625" style="1570" customWidth="1"/>
    <col min="4103" max="4103" width="7.8984375" style="1570" customWidth="1"/>
    <col min="4104" max="4104" width="8" style="1570" customWidth="1"/>
    <col min="4105" max="4105" width="8.09765625" style="1570" customWidth="1"/>
    <col min="4106" max="4106" width="8" style="1570" customWidth="1"/>
    <col min="4107" max="4107" width="7.19921875" style="1570" customWidth="1"/>
    <col min="4108" max="4108" width="8.3984375" style="1570" customWidth="1"/>
    <col min="4109" max="4109" width="17.3984375" style="1570" customWidth="1"/>
    <col min="4110" max="4110" width="8.8984375" style="1570" customWidth="1"/>
    <col min="4111" max="4114" width="9" style="1570"/>
    <col min="4115" max="4115" width="33.19921875" style="1570" customWidth="1"/>
    <col min="4116" max="4352" width="9" style="1570"/>
    <col min="4353" max="4353" width="5.19921875" style="1570" customWidth="1"/>
    <col min="4354" max="4354" width="8.8984375" style="1570" customWidth="1"/>
    <col min="4355" max="4355" width="7.09765625" style="1570" customWidth="1"/>
    <col min="4356" max="4356" width="7.69921875" style="1570" customWidth="1"/>
    <col min="4357" max="4357" width="8.8984375" style="1570" customWidth="1"/>
    <col min="4358" max="4358" width="8.09765625" style="1570" customWidth="1"/>
    <col min="4359" max="4359" width="7.8984375" style="1570" customWidth="1"/>
    <col min="4360" max="4360" width="8" style="1570" customWidth="1"/>
    <col min="4361" max="4361" width="8.09765625" style="1570" customWidth="1"/>
    <col min="4362" max="4362" width="8" style="1570" customWidth="1"/>
    <col min="4363" max="4363" width="7.19921875" style="1570" customWidth="1"/>
    <col min="4364" max="4364" width="8.3984375" style="1570" customWidth="1"/>
    <col min="4365" max="4365" width="17.3984375" style="1570" customWidth="1"/>
    <col min="4366" max="4366" width="8.8984375" style="1570" customWidth="1"/>
    <col min="4367" max="4370" width="9" style="1570"/>
    <col min="4371" max="4371" width="33.19921875" style="1570" customWidth="1"/>
    <col min="4372" max="4608" width="9" style="1570"/>
    <col min="4609" max="4609" width="5.19921875" style="1570" customWidth="1"/>
    <col min="4610" max="4610" width="8.8984375" style="1570" customWidth="1"/>
    <col min="4611" max="4611" width="7.09765625" style="1570" customWidth="1"/>
    <col min="4612" max="4612" width="7.69921875" style="1570" customWidth="1"/>
    <col min="4613" max="4613" width="8.8984375" style="1570" customWidth="1"/>
    <col min="4614" max="4614" width="8.09765625" style="1570" customWidth="1"/>
    <col min="4615" max="4615" width="7.8984375" style="1570" customWidth="1"/>
    <col min="4616" max="4616" width="8" style="1570" customWidth="1"/>
    <col min="4617" max="4617" width="8.09765625" style="1570" customWidth="1"/>
    <col min="4618" max="4618" width="8" style="1570" customWidth="1"/>
    <col min="4619" max="4619" width="7.19921875" style="1570" customWidth="1"/>
    <col min="4620" max="4620" width="8.3984375" style="1570" customWidth="1"/>
    <col min="4621" max="4621" width="17.3984375" style="1570" customWidth="1"/>
    <col min="4622" max="4622" width="8.8984375" style="1570" customWidth="1"/>
    <col min="4623" max="4626" width="9" style="1570"/>
    <col min="4627" max="4627" width="33.19921875" style="1570" customWidth="1"/>
    <col min="4628" max="4864" width="9" style="1570"/>
    <col min="4865" max="4865" width="5.19921875" style="1570" customWidth="1"/>
    <col min="4866" max="4866" width="8.8984375" style="1570" customWidth="1"/>
    <col min="4867" max="4867" width="7.09765625" style="1570" customWidth="1"/>
    <col min="4868" max="4868" width="7.69921875" style="1570" customWidth="1"/>
    <col min="4869" max="4869" width="8.8984375" style="1570" customWidth="1"/>
    <col min="4870" max="4870" width="8.09765625" style="1570" customWidth="1"/>
    <col min="4871" max="4871" width="7.8984375" style="1570" customWidth="1"/>
    <col min="4872" max="4872" width="8" style="1570" customWidth="1"/>
    <col min="4873" max="4873" width="8.09765625" style="1570" customWidth="1"/>
    <col min="4874" max="4874" width="8" style="1570" customWidth="1"/>
    <col min="4875" max="4875" width="7.19921875" style="1570" customWidth="1"/>
    <col min="4876" max="4876" width="8.3984375" style="1570" customWidth="1"/>
    <col min="4877" max="4877" width="17.3984375" style="1570" customWidth="1"/>
    <col min="4878" max="4878" width="8.8984375" style="1570" customWidth="1"/>
    <col min="4879" max="4882" width="9" style="1570"/>
    <col min="4883" max="4883" width="33.19921875" style="1570" customWidth="1"/>
    <col min="4884" max="5120" width="9" style="1570"/>
    <col min="5121" max="5121" width="5.19921875" style="1570" customWidth="1"/>
    <col min="5122" max="5122" width="8.8984375" style="1570" customWidth="1"/>
    <col min="5123" max="5123" width="7.09765625" style="1570" customWidth="1"/>
    <col min="5124" max="5124" width="7.69921875" style="1570" customWidth="1"/>
    <col min="5125" max="5125" width="8.8984375" style="1570" customWidth="1"/>
    <col min="5126" max="5126" width="8.09765625" style="1570" customWidth="1"/>
    <col min="5127" max="5127" width="7.8984375" style="1570" customWidth="1"/>
    <col min="5128" max="5128" width="8" style="1570" customWidth="1"/>
    <col min="5129" max="5129" width="8.09765625" style="1570" customWidth="1"/>
    <col min="5130" max="5130" width="8" style="1570" customWidth="1"/>
    <col min="5131" max="5131" width="7.19921875" style="1570" customWidth="1"/>
    <col min="5132" max="5132" width="8.3984375" style="1570" customWidth="1"/>
    <col min="5133" max="5133" width="17.3984375" style="1570" customWidth="1"/>
    <col min="5134" max="5134" width="8.8984375" style="1570" customWidth="1"/>
    <col min="5135" max="5138" width="9" style="1570"/>
    <col min="5139" max="5139" width="33.19921875" style="1570" customWidth="1"/>
    <col min="5140" max="5376" width="9" style="1570"/>
    <col min="5377" max="5377" width="5.19921875" style="1570" customWidth="1"/>
    <col min="5378" max="5378" width="8.8984375" style="1570" customWidth="1"/>
    <col min="5379" max="5379" width="7.09765625" style="1570" customWidth="1"/>
    <col min="5380" max="5380" width="7.69921875" style="1570" customWidth="1"/>
    <col min="5381" max="5381" width="8.8984375" style="1570" customWidth="1"/>
    <col min="5382" max="5382" width="8.09765625" style="1570" customWidth="1"/>
    <col min="5383" max="5383" width="7.8984375" style="1570" customWidth="1"/>
    <col min="5384" max="5384" width="8" style="1570" customWidth="1"/>
    <col min="5385" max="5385" width="8.09765625" style="1570" customWidth="1"/>
    <col min="5386" max="5386" width="8" style="1570" customWidth="1"/>
    <col min="5387" max="5387" width="7.19921875" style="1570" customWidth="1"/>
    <col min="5388" max="5388" width="8.3984375" style="1570" customWidth="1"/>
    <col min="5389" max="5389" width="17.3984375" style="1570" customWidth="1"/>
    <col min="5390" max="5390" width="8.8984375" style="1570" customWidth="1"/>
    <col min="5391" max="5394" width="9" style="1570"/>
    <col min="5395" max="5395" width="33.19921875" style="1570" customWidth="1"/>
    <col min="5396" max="5632" width="9" style="1570"/>
    <col min="5633" max="5633" width="5.19921875" style="1570" customWidth="1"/>
    <col min="5634" max="5634" width="8.8984375" style="1570" customWidth="1"/>
    <col min="5635" max="5635" width="7.09765625" style="1570" customWidth="1"/>
    <col min="5636" max="5636" width="7.69921875" style="1570" customWidth="1"/>
    <col min="5637" max="5637" width="8.8984375" style="1570" customWidth="1"/>
    <col min="5638" max="5638" width="8.09765625" style="1570" customWidth="1"/>
    <col min="5639" max="5639" width="7.8984375" style="1570" customWidth="1"/>
    <col min="5640" max="5640" width="8" style="1570" customWidth="1"/>
    <col min="5641" max="5641" width="8.09765625" style="1570" customWidth="1"/>
    <col min="5642" max="5642" width="8" style="1570" customWidth="1"/>
    <col min="5643" max="5643" width="7.19921875" style="1570" customWidth="1"/>
    <col min="5644" max="5644" width="8.3984375" style="1570" customWidth="1"/>
    <col min="5645" max="5645" width="17.3984375" style="1570" customWidth="1"/>
    <col min="5646" max="5646" width="8.8984375" style="1570" customWidth="1"/>
    <col min="5647" max="5650" width="9" style="1570"/>
    <col min="5651" max="5651" width="33.19921875" style="1570" customWidth="1"/>
    <col min="5652" max="5888" width="9" style="1570"/>
    <col min="5889" max="5889" width="5.19921875" style="1570" customWidth="1"/>
    <col min="5890" max="5890" width="8.8984375" style="1570" customWidth="1"/>
    <col min="5891" max="5891" width="7.09765625" style="1570" customWidth="1"/>
    <col min="5892" max="5892" width="7.69921875" style="1570" customWidth="1"/>
    <col min="5893" max="5893" width="8.8984375" style="1570" customWidth="1"/>
    <col min="5894" max="5894" width="8.09765625" style="1570" customWidth="1"/>
    <col min="5895" max="5895" width="7.8984375" style="1570" customWidth="1"/>
    <col min="5896" max="5896" width="8" style="1570" customWidth="1"/>
    <col min="5897" max="5897" width="8.09765625" style="1570" customWidth="1"/>
    <col min="5898" max="5898" width="8" style="1570" customWidth="1"/>
    <col min="5899" max="5899" width="7.19921875" style="1570" customWidth="1"/>
    <col min="5900" max="5900" width="8.3984375" style="1570" customWidth="1"/>
    <col min="5901" max="5901" width="17.3984375" style="1570" customWidth="1"/>
    <col min="5902" max="5902" width="8.8984375" style="1570" customWidth="1"/>
    <col min="5903" max="5906" width="9" style="1570"/>
    <col min="5907" max="5907" width="33.19921875" style="1570" customWidth="1"/>
    <col min="5908" max="6144" width="9" style="1570"/>
    <col min="6145" max="6145" width="5.19921875" style="1570" customWidth="1"/>
    <col min="6146" max="6146" width="8.8984375" style="1570" customWidth="1"/>
    <col min="6147" max="6147" width="7.09765625" style="1570" customWidth="1"/>
    <col min="6148" max="6148" width="7.69921875" style="1570" customWidth="1"/>
    <col min="6149" max="6149" width="8.8984375" style="1570" customWidth="1"/>
    <col min="6150" max="6150" width="8.09765625" style="1570" customWidth="1"/>
    <col min="6151" max="6151" width="7.8984375" style="1570" customWidth="1"/>
    <col min="6152" max="6152" width="8" style="1570" customWidth="1"/>
    <col min="6153" max="6153" width="8.09765625" style="1570" customWidth="1"/>
    <col min="6154" max="6154" width="8" style="1570" customWidth="1"/>
    <col min="6155" max="6155" width="7.19921875" style="1570" customWidth="1"/>
    <col min="6156" max="6156" width="8.3984375" style="1570" customWidth="1"/>
    <col min="6157" max="6157" width="17.3984375" style="1570" customWidth="1"/>
    <col min="6158" max="6158" width="8.8984375" style="1570" customWidth="1"/>
    <col min="6159" max="6162" width="9" style="1570"/>
    <col min="6163" max="6163" width="33.19921875" style="1570" customWidth="1"/>
    <col min="6164" max="6400" width="9" style="1570"/>
    <col min="6401" max="6401" width="5.19921875" style="1570" customWidth="1"/>
    <col min="6402" max="6402" width="8.8984375" style="1570" customWidth="1"/>
    <col min="6403" max="6403" width="7.09765625" style="1570" customWidth="1"/>
    <col min="6404" max="6404" width="7.69921875" style="1570" customWidth="1"/>
    <col min="6405" max="6405" width="8.8984375" style="1570" customWidth="1"/>
    <col min="6406" max="6406" width="8.09765625" style="1570" customWidth="1"/>
    <col min="6407" max="6407" width="7.8984375" style="1570" customWidth="1"/>
    <col min="6408" max="6408" width="8" style="1570" customWidth="1"/>
    <col min="6409" max="6409" width="8.09765625" style="1570" customWidth="1"/>
    <col min="6410" max="6410" width="8" style="1570" customWidth="1"/>
    <col min="6411" max="6411" width="7.19921875" style="1570" customWidth="1"/>
    <col min="6412" max="6412" width="8.3984375" style="1570" customWidth="1"/>
    <col min="6413" max="6413" width="17.3984375" style="1570" customWidth="1"/>
    <col min="6414" max="6414" width="8.8984375" style="1570" customWidth="1"/>
    <col min="6415" max="6418" width="9" style="1570"/>
    <col min="6419" max="6419" width="33.19921875" style="1570" customWidth="1"/>
    <col min="6420" max="6656" width="9" style="1570"/>
    <col min="6657" max="6657" width="5.19921875" style="1570" customWidth="1"/>
    <col min="6658" max="6658" width="8.8984375" style="1570" customWidth="1"/>
    <col min="6659" max="6659" width="7.09765625" style="1570" customWidth="1"/>
    <col min="6660" max="6660" width="7.69921875" style="1570" customWidth="1"/>
    <col min="6661" max="6661" width="8.8984375" style="1570" customWidth="1"/>
    <col min="6662" max="6662" width="8.09765625" style="1570" customWidth="1"/>
    <col min="6663" max="6663" width="7.8984375" style="1570" customWidth="1"/>
    <col min="6664" max="6664" width="8" style="1570" customWidth="1"/>
    <col min="6665" max="6665" width="8.09765625" style="1570" customWidth="1"/>
    <col min="6666" max="6666" width="8" style="1570" customWidth="1"/>
    <col min="6667" max="6667" width="7.19921875" style="1570" customWidth="1"/>
    <col min="6668" max="6668" width="8.3984375" style="1570" customWidth="1"/>
    <col min="6669" max="6669" width="17.3984375" style="1570" customWidth="1"/>
    <col min="6670" max="6670" width="8.8984375" style="1570" customWidth="1"/>
    <col min="6671" max="6674" width="9" style="1570"/>
    <col min="6675" max="6675" width="33.19921875" style="1570" customWidth="1"/>
    <col min="6676" max="6912" width="9" style="1570"/>
    <col min="6913" max="6913" width="5.19921875" style="1570" customWidth="1"/>
    <col min="6914" max="6914" width="8.8984375" style="1570" customWidth="1"/>
    <col min="6915" max="6915" width="7.09765625" style="1570" customWidth="1"/>
    <col min="6916" max="6916" width="7.69921875" style="1570" customWidth="1"/>
    <col min="6917" max="6917" width="8.8984375" style="1570" customWidth="1"/>
    <col min="6918" max="6918" width="8.09765625" style="1570" customWidth="1"/>
    <col min="6919" max="6919" width="7.8984375" style="1570" customWidth="1"/>
    <col min="6920" max="6920" width="8" style="1570" customWidth="1"/>
    <col min="6921" max="6921" width="8.09765625" style="1570" customWidth="1"/>
    <col min="6922" max="6922" width="8" style="1570" customWidth="1"/>
    <col min="6923" max="6923" width="7.19921875" style="1570" customWidth="1"/>
    <col min="6924" max="6924" width="8.3984375" style="1570" customWidth="1"/>
    <col min="6925" max="6925" width="17.3984375" style="1570" customWidth="1"/>
    <col min="6926" max="6926" width="8.8984375" style="1570" customWidth="1"/>
    <col min="6927" max="6930" width="9" style="1570"/>
    <col min="6931" max="6931" width="33.19921875" style="1570" customWidth="1"/>
    <col min="6932" max="7168" width="9" style="1570"/>
    <col min="7169" max="7169" width="5.19921875" style="1570" customWidth="1"/>
    <col min="7170" max="7170" width="8.8984375" style="1570" customWidth="1"/>
    <col min="7171" max="7171" width="7.09765625" style="1570" customWidth="1"/>
    <col min="7172" max="7172" width="7.69921875" style="1570" customWidth="1"/>
    <col min="7173" max="7173" width="8.8984375" style="1570" customWidth="1"/>
    <col min="7174" max="7174" width="8.09765625" style="1570" customWidth="1"/>
    <col min="7175" max="7175" width="7.8984375" style="1570" customWidth="1"/>
    <col min="7176" max="7176" width="8" style="1570" customWidth="1"/>
    <col min="7177" max="7177" width="8.09765625" style="1570" customWidth="1"/>
    <col min="7178" max="7178" width="8" style="1570" customWidth="1"/>
    <col min="7179" max="7179" width="7.19921875" style="1570" customWidth="1"/>
    <col min="7180" max="7180" width="8.3984375" style="1570" customWidth="1"/>
    <col min="7181" max="7181" width="17.3984375" style="1570" customWidth="1"/>
    <col min="7182" max="7182" width="8.8984375" style="1570" customWidth="1"/>
    <col min="7183" max="7186" width="9" style="1570"/>
    <col min="7187" max="7187" width="33.19921875" style="1570" customWidth="1"/>
    <col min="7188" max="7424" width="9" style="1570"/>
    <col min="7425" max="7425" width="5.19921875" style="1570" customWidth="1"/>
    <col min="7426" max="7426" width="8.8984375" style="1570" customWidth="1"/>
    <col min="7427" max="7427" width="7.09765625" style="1570" customWidth="1"/>
    <col min="7428" max="7428" width="7.69921875" style="1570" customWidth="1"/>
    <col min="7429" max="7429" width="8.8984375" style="1570" customWidth="1"/>
    <col min="7430" max="7430" width="8.09765625" style="1570" customWidth="1"/>
    <col min="7431" max="7431" width="7.8984375" style="1570" customWidth="1"/>
    <col min="7432" max="7432" width="8" style="1570" customWidth="1"/>
    <col min="7433" max="7433" width="8.09765625" style="1570" customWidth="1"/>
    <col min="7434" max="7434" width="8" style="1570" customWidth="1"/>
    <col min="7435" max="7435" width="7.19921875" style="1570" customWidth="1"/>
    <col min="7436" max="7436" width="8.3984375" style="1570" customWidth="1"/>
    <col min="7437" max="7437" width="17.3984375" style="1570" customWidth="1"/>
    <col min="7438" max="7438" width="8.8984375" style="1570" customWidth="1"/>
    <col min="7439" max="7442" width="9" style="1570"/>
    <col min="7443" max="7443" width="33.19921875" style="1570" customWidth="1"/>
    <col min="7444" max="7680" width="9" style="1570"/>
    <col min="7681" max="7681" width="5.19921875" style="1570" customWidth="1"/>
    <col min="7682" max="7682" width="8.8984375" style="1570" customWidth="1"/>
    <col min="7683" max="7683" width="7.09765625" style="1570" customWidth="1"/>
    <col min="7684" max="7684" width="7.69921875" style="1570" customWidth="1"/>
    <col min="7685" max="7685" width="8.8984375" style="1570" customWidth="1"/>
    <col min="7686" max="7686" width="8.09765625" style="1570" customWidth="1"/>
    <col min="7687" max="7687" width="7.8984375" style="1570" customWidth="1"/>
    <col min="7688" max="7688" width="8" style="1570" customWidth="1"/>
    <col min="7689" max="7689" width="8.09765625" style="1570" customWidth="1"/>
    <col min="7690" max="7690" width="8" style="1570" customWidth="1"/>
    <col min="7691" max="7691" width="7.19921875" style="1570" customWidth="1"/>
    <col min="7692" max="7692" width="8.3984375" style="1570" customWidth="1"/>
    <col min="7693" max="7693" width="17.3984375" style="1570" customWidth="1"/>
    <col min="7694" max="7694" width="8.8984375" style="1570" customWidth="1"/>
    <col min="7695" max="7698" width="9" style="1570"/>
    <col min="7699" max="7699" width="33.19921875" style="1570" customWidth="1"/>
    <col min="7700" max="7936" width="9" style="1570"/>
    <col min="7937" max="7937" width="5.19921875" style="1570" customWidth="1"/>
    <col min="7938" max="7938" width="8.8984375" style="1570" customWidth="1"/>
    <col min="7939" max="7939" width="7.09765625" style="1570" customWidth="1"/>
    <col min="7940" max="7940" width="7.69921875" style="1570" customWidth="1"/>
    <col min="7941" max="7941" width="8.8984375" style="1570" customWidth="1"/>
    <col min="7942" max="7942" width="8.09765625" style="1570" customWidth="1"/>
    <col min="7943" max="7943" width="7.8984375" style="1570" customWidth="1"/>
    <col min="7944" max="7944" width="8" style="1570" customWidth="1"/>
    <col min="7945" max="7945" width="8.09765625" style="1570" customWidth="1"/>
    <col min="7946" max="7946" width="8" style="1570" customWidth="1"/>
    <col min="7947" max="7947" width="7.19921875" style="1570" customWidth="1"/>
    <col min="7948" max="7948" width="8.3984375" style="1570" customWidth="1"/>
    <col min="7949" max="7949" width="17.3984375" style="1570" customWidth="1"/>
    <col min="7950" max="7950" width="8.8984375" style="1570" customWidth="1"/>
    <col min="7951" max="7954" width="9" style="1570"/>
    <col min="7955" max="7955" width="33.19921875" style="1570" customWidth="1"/>
    <col min="7956" max="8192" width="9" style="1570"/>
    <col min="8193" max="8193" width="5.19921875" style="1570" customWidth="1"/>
    <col min="8194" max="8194" width="8.8984375" style="1570" customWidth="1"/>
    <col min="8195" max="8195" width="7.09765625" style="1570" customWidth="1"/>
    <col min="8196" max="8196" width="7.69921875" style="1570" customWidth="1"/>
    <col min="8197" max="8197" width="8.8984375" style="1570" customWidth="1"/>
    <col min="8198" max="8198" width="8.09765625" style="1570" customWidth="1"/>
    <col min="8199" max="8199" width="7.8984375" style="1570" customWidth="1"/>
    <col min="8200" max="8200" width="8" style="1570" customWidth="1"/>
    <col min="8201" max="8201" width="8.09765625" style="1570" customWidth="1"/>
    <col min="8202" max="8202" width="8" style="1570" customWidth="1"/>
    <col min="8203" max="8203" width="7.19921875" style="1570" customWidth="1"/>
    <col min="8204" max="8204" width="8.3984375" style="1570" customWidth="1"/>
    <col min="8205" max="8205" width="17.3984375" style="1570" customWidth="1"/>
    <col min="8206" max="8206" width="8.8984375" style="1570" customWidth="1"/>
    <col min="8207" max="8210" width="9" style="1570"/>
    <col min="8211" max="8211" width="33.19921875" style="1570" customWidth="1"/>
    <col min="8212" max="8448" width="9" style="1570"/>
    <col min="8449" max="8449" width="5.19921875" style="1570" customWidth="1"/>
    <col min="8450" max="8450" width="8.8984375" style="1570" customWidth="1"/>
    <col min="8451" max="8451" width="7.09765625" style="1570" customWidth="1"/>
    <col min="8452" max="8452" width="7.69921875" style="1570" customWidth="1"/>
    <col min="8453" max="8453" width="8.8984375" style="1570" customWidth="1"/>
    <col min="8454" max="8454" width="8.09765625" style="1570" customWidth="1"/>
    <col min="8455" max="8455" width="7.8984375" style="1570" customWidth="1"/>
    <col min="8456" max="8456" width="8" style="1570" customWidth="1"/>
    <col min="8457" max="8457" width="8.09765625" style="1570" customWidth="1"/>
    <col min="8458" max="8458" width="8" style="1570" customWidth="1"/>
    <col min="8459" max="8459" width="7.19921875" style="1570" customWidth="1"/>
    <col min="8460" max="8460" width="8.3984375" style="1570" customWidth="1"/>
    <col min="8461" max="8461" width="17.3984375" style="1570" customWidth="1"/>
    <col min="8462" max="8462" width="8.8984375" style="1570" customWidth="1"/>
    <col min="8463" max="8466" width="9" style="1570"/>
    <col min="8467" max="8467" width="33.19921875" style="1570" customWidth="1"/>
    <col min="8468" max="8704" width="9" style="1570"/>
    <col min="8705" max="8705" width="5.19921875" style="1570" customWidth="1"/>
    <col min="8706" max="8706" width="8.8984375" style="1570" customWidth="1"/>
    <col min="8707" max="8707" width="7.09765625" style="1570" customWidth="1"/>
    <col min="8708" max="8708" width="7.69921875" style="1570" customWidth="1"/>
    <col min="8709" max="8709" width="8.8984375" style="1570" customWidth="1"/>
    <col min="8710" max="8710" width="8.09765625" style="1570" customWidth="1"/>
    <col min="8711" max="8711" width="7.8984375" style="1570" customWidth="1"/>
    <col min="8712" max="8712" width="8" style="1570" customWidth="1"/>
    <col min="8713" max="8713" width="8.09765625" style="1570" customWidth="1"/>
    <col min="8714" max="8714" width="8" style="1570" customWidth="1"/>
    <col min="8715" max="8715" width="7.19921875" style="1570" customWidth="1"/>
    <col min="8716" max="8716" width="8.3984375" style="1570" customWidth="1"/>
    <col min="8717" max="8717" width="17.3984375" style="1570" customWidth="1"/>
    <col min="8718" max="8718" width="8.8984375" style="1570" customWidth="1"/>
    <col min="8719" max="8722" width="9" style="1570"/>
    <col min="8723" max="8723" width="33.19921875" style="1570" customWidth="1"/>
    <col min="8724" max="8960" width="9" style="1570"/>
    <col min="8961" max="8961" width="5.19921875" style="1570" customWidth="1"/>
    <col min="8962" max="8962" width="8.8984375" style="1570" customWidth="1"/>
    <col min="8963" max="8963" width="7.09765625" style="1570" customWidth="1"/>
    <col min="8964" max="8964" width="7.69921875" style="1570" customWidth="1"/>
    <col min="8965" max="8965" width="8.8984375" style="1570" customWidth="1"/>
    <col min="8966" max="8966" width="8.09765625" style="1570" customWidth="1"/>
    <col min="8967" max="8967" width="7.8984375" style="1570" customWidth="1"/>
    <col min="8968" max="8968" width="8" style="1570" customWidth="1"/>
    <col min="8969" max="8969" width="8.09765625" style="1570" customWidth="1"/>
    <col min="8970" max="8970" width="8" style="1570" customWidth="1"/>
    <col min="8971" max="8971" width="7.19921875" style="1570" customWidth="1"/>
    <col min="8972" max="8972" width="8.3984375" style="1570" customWidth="1"/>
    <col min="8973" max="8973" width="17.3984375" style="1570" customWidth="1"/>
    <col min="8974" max="8974" width="8.8984375" style="1570" customWidth="1"/>
    <col min="8975" max="8978" width="9" style="1570"/>
    <col min="8979" max="8979" width="33.19921875" style="1570" customWidth="1"/>
    <col min="8980" max="9216" width="9" style="1570"/>
    <col min="9217" max="9217" width="5.19921875" style="1570" customWidth="1"/>
    <col min="9218" max="9218" width="8.8984375" style="1570" customWidth="1"/>
    <col min="9219" max="9219" width="7.09765625" style="1570" customWidth="1"/>
    <col min="9220" max="9220" width="7.69921875" style="1570" customWidth="1"/>
    <col min="9221" max="9221" width="8.8984375" style="1570" customWidth="1"/>
    <col min="9222" max="9222" width="8.09765625" style="1570" customWidth="1"/>
    <col min="9223" max="9223" width="7.8984375" style="1570" customWidth="1"/>
    <col min="9224" max="9224" width="8" style="1570" customWidth="1"/>
    <col min="9225" max="9225" width="8.09765625" style="1570" customWidth="1"/>
    <col min="9226" max="9226" width="8" style="1570" customWidth="1"/>
    <col min="9227" max="9227" width="7.19921875" style="1570" customWidth="1"/>
    <col min="9228" max="9228" width="8.3984375" style="1570" customWidth="1"/>
    <col min="9229" max="9229" width="17.3984375" style="1570" customWidth="1"/>
    <col min="9230" max="9230" width="8.8984375" style="1570" customWidth="1"/>
    <col min="9231" max="9234" width="9" style="1570"/>
    <col min="9235" max="9235" width="33.19921875" style="1570" customWidth="1"/>
    <col min="9236" max="9472" width="9" style="1570"/>
    <col min="9473" max="9473" width="5.19921875" style="1570" customWidth="1"/>
    <col min="9474" max="9474" width="8.8984375" style="1570" customWidth="1"/>
    <col min="9475" max="9475" width="7.09765625" style="1570" customWidth="1"/>
    <col min="9476" max="9476" width="7.69921875" style="1570" customWidth="1"/>
    <col min="9477" max="9477" width="8.8984375" style="1570" customWidth="1"/>
    <col min="9478" max="9478" width="8.09765625" style="1570" customWidth="1"/>
    <col min="9479" max="9479" width="7.8984375" style="1570" customWidth="1"/>
    <col min="9480" max="9480" width="8" style="1570" customWidth="1"/>
    <col min="9481" max="9481" width="8.09765625" style="1570" customWidth="1"/>
    <col min="9482" max="9482" width="8" style="1570" customWidth="1"/>
    <col min="9483" max="9483" width="7.19921875" style="1570" customWidth="1"/>
    <col min="9484" max="9484" width="8.3984375" style="1570" customWidth="1"/>
    <col min="9485" max="9485" width="17.3984375" style="1570" customWidth="1"/>
    <col min="9486" max="9486" width="8.8984375" style="1570" customWidth="1"/>
    <col min="9487" max="9490" width="9" style="1570"/>
    <col min="9491" max="9491" width="33.19921875" style="1570" customWidth="1"/>
    <col min="9492" max="9728" width="9" style="1570"/>
    <col min="9729" max="9729" width="5.19921875" style="1570" customWidth="1"/>
    <col min="9730" max="9730" width="8.8984375" style="1570" customWidth="1"/>
    <col min="9731" max="9731" width="7.09765625" style="1570" customWidth="1"/>
    <col min="9732" max="9732" width="7.69921875" style="1570" customWidth="1"/>
    <col min="9733" max="9733" width="8.8984375" style="1570" customWidth="1"/>
    <col min="9734" max="9734" width="8.09765625" style="1570" customWidth="1"/>
    <col min="9735" max="9735" width="7.8984375" style="1570" customWidth="1"/>
    <col min="9736" max="9736" width="8" style="1570" customWidth="1"/>
    <col min="9737" max="9737" width="8.09765625" style="1570" customWidth="1"/>
    <col min="9738" max="9738" width="8" style="1570" customWidth="1"/>
    <col min="9739" max="9739" width="7.19921875" style="1570" customWidth="1"/>
    <col min="9740" max="9740" width="8.3984375" style="1570" customWidth="1"/>
    <col min="9741" max="9741" width="17.3984375" style="1570" customWidth="1"/>
    <col min="9742" max="9742" width="8.8984375" style="1570" customWidth="1"/>
    <col min="9743" max="9746" width="9" style="1570"/>
    <col min="9747" max="9747" width="33.19921875" style="1570" customWidth="1"/>
    <col min="9748" max="9984" width="9" style="1570"/>
    <col min="9985" max="9985" width="5.19921875" style="1570" customWidth="1"/>
    <col min="9986" max="9986" width="8.8984375" style="1570" customWidth="1"/>
    <col min="9987" max="9987" width="7.09765625" style="1570" customWidth="1"/>
    <col min="9988" max="9988" width="7.69921875" style="1570" customWidth="1"/>
    <col min="9989" max="9989" width="8.8984375" style="1570" customWidth="1"/>
    <col min="9990" max="9990" width="8.09765625" style="1570" customWidth="1"/>
    <col min="9991" max="9991" width="7.8984375" style="1570" customWidth="1"/>
    <col min="9992" max="9992" width="8" style="1570" customWidth="1"/>
    <col min="9993" max="9993" width="8.09765625" style="1570" customWidth="1"/>
    <col min="9994" max="9994" width="8" style="1570" customWidth="1"/>
    <col min="9995" max="9995" width="7.19921875" style="1570" customWidth="1"/>
    <col min="9996" max="9996" width="8.3984375" style="1570" customWidth="1"/>
    <col min="9997" max="9997" width="17.3984375" style="1570" customWidth="1"/>
    <col min="9998" max="9998" width="8.8984375" style="1570" customWidth="1"/>
    <col min="9999" max="10002" width="9" style="1570"/>
    <col min="10003" max="10003" width="33.19921875" style="1570" customWidth="1"/>
    <col min="10004" max="10240" width="9" style="1570"/>
    <col min="10241" max="10241" width="5.19921875" style="1570" customWidth="1"/>
    <col min="10242" max="10242" width="8.8984375" style="1570" customWidth="1"/>
    <col min="10243" max="10243" width="7.09765625" style="1570" customWidth="1"/>
    <col min="10244" max="10244" width="7.69921875" style="1570" customWidth="1"/>
    <col min="10245" max="10245" width="8.8984375" style="1570" customWidth="1"/>
    <col min="10246" max="10246" width="8.09765625" style="1570" customWidth="1"/>
    <col min="10247" max="10247" width="7.8984375" style="1570" customWidth="1"/>
    <col min="10248" max="10248" width="8" style="1570" customWidth="1"/>
    <col min="10249" max="10249" width="8.09765625" style="1570" customWidth="1"/>
    <col min="10250" max="10250" width="8" style="1570" customWidth="1"/>
    <col min="10251" max="10251" width="7.19921875" style="1570" customWidth="1"/>
    <col min="10252" max="10252" width="8.3984375" style="1570" customWidth="1"/>
    <col min="10253" max="10253" width="17.3984375" style="1570" customWidth="1"/>
    <col min="10254" max="10254" width="8.8984375" style="1570" customWidth="1"/>
    <col min="10255" max="10258" width="9" style="1570"/>
    <col min="10259" max="10259" width="33.19921875" style="1570" customWidth="1"/>
    <col min="10260" max="10496" width="9" style="1570"/>
    <col min="10497" max="10497" width="5.19921875" style="1570" customWidth="1"/>
    <col min="10498" max="10498" width="8.8984375" style="1570" customWidth="1"/>
    <col min="10499" max="10499" width="7.09765625" style="1570" customWidth="1"/>
    <col min="10500" max="10500" width="7.69921875" style="1570" customWidth="1"/>
    <col min="10501" max="10501" width="8.8984375" style="1570" customWidth="1"/>
    <col min="10502" max="10502" width="8.09765625" style="1570" customWidth="1"/>
    <col min="10503" max="10503" width="7.8984375" style="1570" customWidth="1"/>
    <col min="10504" max="10504" width="8" style="1570" customWidth="1"/>
    <col min="10505" max="10505" width="8.09765625" style="1570" customWidth="1"/>
    <col min="10506" max="10506" width="8" style="1570" customWidth="1"/>
    <col min="10507" max="10507" width="7.19921875" style="1570" customWidth="1"/>
    <col min="10508" max="10508" width="8.3984375" style="1570" customWidth="1"/>
    <col min="10509" max="10509" width="17.3984375" style="1570" customWidth="1"/>
    <col min="10510" max="10510" width="8.8984375" style="1570" customWidth="1"/>
    <col min="10511" max="10514" width="9" style="1570"/>
    <col min="10515" max="10515" width="33.19921875" style="1570" customWidth="1"/>
    <col min="10516" max="10752" width="9" style="1570"/>
    <col min="10753" max="10753" width="5.19921875" style="1570" customWidth="1"/>
    <col min="10754" max="10754" width="8.8984375" style="1570" customWidth="1"/>
    <col min="10755" max="10755" width="7.09765625" style="1570" customWidth="1"/>
    <col min="10756" max="10756" width="7.69921875" style="1570" customWidth="1"/>
    <col min="10757" max="10757" width="8.8984375" style="1570" customWidth="1"/>
    <col min="10758" max="10758" width="8.09765625" style="1570" customWidth="1"/>
    <col min="10759" max="10759" width="7.8984375" style="1570" customWidth="1"/>
    <col min="10760" max="10760" width="8" style="1570" customWidth="1"/>
    <col min="10761" max="10761" width="8.09765625" style="1570" customWidth="1"/>
    <col min="10762" max="10762" width="8" style="1570" customWidth="1"/>
    <col min="10763" max="10763" width="7.19921875" style="1570" customWidth="1"/>
    <col min="10764" max="10764" width="8.3984375" style="1570" customWidth="1"/>
    <col min="10765" max="10765" width="17.3984375" style="1570" customWidth="1"/>
    <col min="10766" max="10766" width="8.8984375" style="1570" customWidth="1"/>
    <col min="10767" max="10770" width="9" style="1570"/>
    <col min="10771" max="10771" width="33.19921875" style="1570" customWidth="1"/>
    <col min="10772" max="11008" width="9" style="1570"/>
    <col min="11009" max="11009" width="5.19921875" style="1570" customWidth="1"/>
    <col min="11010" max="11010" width="8.8984375" style="1570" customWidth="1"/>
    <col min="11011" max="11011" width="7.09765625" style="1570" customWidth="1"/>
    <col min="11012" max="11012" width="7.69921875" style="1570" customWidth="1"/>
    <col min="11013" max="11013" width="8.8984375" style="1570" customWidth="1"/>
    <col min="11014" max="11014" width="8.09765625" style="1570" customWidth="1"/>
    <col min="11015" max="11015" width="7.8984375" style="1570" customWidth="1"/>
    <col min="11016" max="11016" width="8" style="1570" customWidth="1"/>
    <col min="11017" max="11017" width="8.09765625" style="1570" customWidth="1"/>
    <col min="11018" max="11018" width="8" style="1570" customWidth="1"/>
    <col min="11019" max="11019" width="7.19921875" style="1570" customWidth="1"/>
    <col min="11020" max="11020" width="8.3984375" style="1570" customWidth="1"/>
    <col min="11021" max="11021" width="17.3984375" style="1570" customWidth="1"/>
    <col min="11022" max="11022" width="8.8984375" style="1570" customWidth="1"/>
    <col min="11023" max="11026" width="9" style="1570"/>
    <col min="11027" max="11027" width="33.19921875" style="1570" customWidth="1"/>
    <col min="11028" max="11264" width="9" style="1570"/>
    <col min="11265" max="11265" width="5.19921875" style="1570" customWidth="1"/>
    <col min="11266" max="11266" width="8.8984375" style="1570" customWidth="1"/>
    <col min="11267" max="11267" width="7.09765625" style="1570" customWidth="1"/>
    <col min="11268" max="11268" width="7.69921875" style="1570" customWidth="1"/>
    <col min="11269" max="11269" width="8.8984375" style="1570" customWidth="1"/>
    <col min="11270" max="11270" width="8.09765625" style="1570" customWidth="1"/>
    <col min="11271" max="11271" width="7.8984375" style="1570" customWidth="1"/>
    <col min="11272" max="11272" width="8" style="1570" customWidth="1"/>
    <col min="11273" max="11273" width="8.09765625" style="1570" customWidth="1"/>
    <col min="11274" max="11274" width="8" style="1570" customWidth="1"/>
    <col min="11275" max="11275" width="7.19921875" style="1570" customWidth="1"/>
    <col min="11276" max="11276" width="8.3984375" style="1570" customWidth="1"/>
    <col min="11277" max="11277" width="17.3984375" style="1570" customWidth="1"/>
    <col min="11278" max="11278" width="8.8984375" style="1570" customWidth="1"/>
    <col min="11279" max="11282" width="9" style="1570"/>
    <col min="11283" max="11283" width="33.19921875" style="1570" customWidth="1"/>
    <col min="11284" max="11520" width="9" style="1570"/>
    <col min="11521" max="11521" width="5.19921875" style="1570" customWidth="1"/>
    <col min="11522" max="11522" width="8.8984375" style="1570" customWidth="1"/>
    <col min="11523" max="11523" width="7.09765625" style="1570" customWidth="1"/>
    <col min="11524" max="11524" width="7.69921875" style="1570" customWidth="1"/>
    <col min="11525" max="11525" width="8.8984375" style="1570" customWidth="1"/>
    <col min="11526" max="11526" width="8.09765625" style="1570" customWidth="1"/>
    <col min="11527" max="11527" width="7.8984375" style="1570" customWidth="1"/>
    <col min="11528" max="11528" width="8" style="1570" customWidth="1"/>
    <col min="11529" max="11529" width="8.09765625" style="1570" customWidth="1"/>
    <col min="11530" max="11530" width="8" style="1570" customWidth="1"/>
    <col min="11531" max="11531" width="7.19921875" style="1570" customWidth="1"/>
    <col min="11532" max="11532" width="8.3984375" style="1570" customWidth="1"/>
    <col min="11533" max="11533" width="17.3984375" style="1570" customWidth="1"/>
    <col min="11534" max="11534" width="8.8984375" style="1570" customWidth="1"/>
    <col min="11535" max="11538" width="9" style="1570"/>
    <col min="11539" max="11539" width="33.19921875" style="1570" customWidth="1"/>
    <col min="11540" max="11776" width="9" style="1570"/>
    <col min="11777" max="11777" width="5.19921875" style="1570" customWidth="1"/>
    <col min="11778" max="11778" width="8.8984375" style="1570" customWidth="1"/>
    <col min="11779" max="11779" width="7.09765625" style="1570" customWidth="1"/>
    <col min="11780" max="11780" width="7.69921875" style="1570" customWidth="1"/>
    <col min="11781" max="11781" width="8.8984375" style="1570" customWidth="1"/>
    <col min="11782" max="11782" width="8.09765625" style="1570" customWidth="1"/>
    <col min="11783" max="11783" width="7.8984375" style="1570" customWidth="1"/>
    <col min="11784" max="11784" width="8" style="1570" customWidth="1"/>
    <col min="11785" max="11785" width="8.09765625" style="1570" customWidth="1"/>
    <col min="11786" max="11786" width="8" style="1570" customWidth="1"/>
    <col min="11787" max="11787" width="7.19921875" style="1570" customWidth="1"/>
    <col min="11788" max="11788" width="8.3984375" style="1570" customWidth="1"/>
    <col min="11789" max="11789" width="17.3984375" style="1570" customWidth="1"/>
    <col min="11790" max="11790" width="8.8984375" style="1570" customWidth="1"/>
    <col min="11791" max="11794" width="9" style="1570"/>
    <col min="11795" max="11795" width="33.19921875" style="1570" customWidth="1"/>
    <col min="11796" max="12032" width="9" style="1570"/>
    <col min="12033" max="12033" width="5.19921875" style="1570" customWidth="1"/>
    <col min="12034" max="12034" width="8.8984375" style="1570" customWidth="1"/>
    <col min="12035" max="12035" width="7.09765625" style="1570" customWidth="1"/>
    <col min="12036" max="12036" width="7.69921875" style="1570" customWidth="1"/>
    <col min="12037" max="12037" width="8.8984375" style="1570" customWidth="1"/>
    <col min="12038" max="12038" width="8.09765625" style="1570" customWidth="1"/>
    <col min="12039" max="12039" width="7.8984375" style="1570" customWidth="1"/>
    <col min="12040" max="12040" width="8" style="1570" customWidth="1"/>
    <col min="12041" max="12041" width="8.09765625" style="1570" customWidth="1"/>
    <col min="12042" max="12042" width="8" style="1570" customWidth="1"/>
    <col min="12043" max="12043" width="7.19921875" style="1570" customWidth="1"/>
    <col min="12044" max="12044" width="8.3984375" style="1570" customWidth="1"/>
    <col min="12045" max="12045" width="17.3984375" style="1570" customWidth="1"/>
    <col min="12046" max="12046" width="8.8984375" style="1570" customWidth="1"/>
    <col min="12047" max="12050" width="9" style="1570"/>
    <col min="12051" max="12051" width="33.19921875" style="1570" customWidth="1"/>
    <col min="12052" max="12288" width="9" style="1570"/>
    <col min="12289" max="12289" width="5.19921875" style="1570" customWidth="1"/>
    <col min="12290" max="12290" width="8.8984375" style="1570" customWidth="1"/>
    <col min="12291" max="12291" width="7.09765625" style="1570" customWidth="1"/>
    <col min="12292" max="12292" width="7.69921875" style="1570" customWidth="1"/>
    <col min="12293" max="12293" width="8.8984375" style="1570" customWidth="1"/>
    <col min="12294" max="12294" width="8.09765625" style="1570" customWidth="1"/>
    <col min="12295" max="12295" width="7.8984375" style="1570" customWidth="1"/>
    <col min="12296" max="12296" width="8" style="1570" customWidth="1"/>
    <col min="12297" max="12297" width="8.09765625" style="1570" customWidth="1"/>
    <col min="12298" max="12298" width="8" style="1570" customWidth="1"/>
    <col min="12299" max="12299" width="7.19921875" style="1570" customWidth="1"/>
    <col min="12300" max="12300" width="8.3984375" style="1570" customWidth="1"/>
    <col min="12301" max="12301" width="17.3984375" style="1570" customWidth="1"/>
    <col min="12302" max="12302" width="8.8984375" style="1570" customWidth="1"/>
    <col min="12303" max="12306" width="9" style="1570"/>
    <col min="12307" max="12307" width="33.19921875" style="1570" customWidth="1"/>
    <col min="12308" max="12544" width="9" style="1570"/>
    <col min="12545" max="12545" width="5.19921875" style="1570" customWidth="1"/>
    <col min="12546" max="12546" width="8.8984375" style="1570" customWidth="1"/>
    <col min="12547" max="12547" width="7.09765625" style="1570" customWidth="1"/>
    <col min="12548" max="12548" width="7.69921875" style="1570" customWidth="1"/>
    <col min="12549" max="12549" width="8.8984375" style="1570" customWidth="1"/>
    <col min="12550" max="12550" width="8.09765625" style="1570" customWidth="1"/>
    <col min="12551" max="12551" width="7.8984375" style="1570" customWidth="1"/>
    <col min="12552" max="12552" width="8" style="1570" customWidth="1"/>
    <col min="12553" max="12553" width="8.09765625" style="1570" customWidth="1"/>
    <col min="12554" max="12554" width="8" style="1570" customWidth="1"/>
    <col min="12555" max="12555" width="7.19921875" style="1570" customWidth="1"/>
    <col min="12556" max="12556" width="8.3984375" style="1570" customWidth="1"/>
    <col min="12557" max="12557" width="17.3984375" style="1570" customWidth="1"/>
    <col min="12558" max="12558" width="8.8984375" style="1570" customWidth="1"/>
    <col min="12559" max="12562" width="9" style="1570"/>
    <col min="12563" max="12563" width="33.19921875" style="1570" customWidth="1"/>
    <col min="12564" max="12800" width="9" style="1570"/>
    <col min="12801" max="12801" width="5.19921875" style="1570" customWidth="1"/>
    <col min="12802" max="12802" width="8.8984375" style="1570" customWidth="1"/>
    <col min="12803" max="12803" width="7.09765625" style="1570" customWidth="1"/>
    <col min="12804" max="12804" width="7.69921875" style="1570" customWidth="1"/>
    <col min="12805" max="12805" width="8.8984375" style="1570" customWidth="1"/>
    <col min="12806" max="12806" width="8.09765625" style="1570" customWidth="1"/>
    <col min="12807" max="12807" width="7.8984375" style="1570" customWidth="1"/>
    <col min="12808" max="12808" width="8" style="1570" customWidth="1"/>
    <col min="12809" max="12809" width="8.09765625" style="1570" customWidth="1"/>
    <col min="12810" max="12810" width="8" style="1570" customWidth="1"/>
    <col min="12811" max="12811" width="7.19921875" style="1570" customWidth="1"/>
    <col min="12812" max="12812" width="8.3984375" style="1570" customWidth="1"/>
    <col min="12813" max="12813" width="17.3984375" style="1570" customWidth="1"/>
    <col min="12814" max="12814" width="8.8984375" style="1570" customWidth="1"/>
    <col min="12815" max="12818" width="9" style="1570"/>
    <col min="12819" max="12819" width="33.19921875" style="1570" customWidth="1"/>
    <col min="12820" max="13056" width="9" style="1570"/>
    <col min="13057" max="13057" width="5.19921875" style="1570" customWidth="1"/>
    <col min="13058" max="13058" width="8.8984375" style="1570" customWidth="1"/>
    <col min="13059" max="13059" width="7.09765625" style="1570" customWidth="1"/>
    <col min="13060" max="13060" width="7.69921875" style="1570" customWidth="1"/>
    <col min="13061" max="13061" width="8.8984375" style="1570" customWidth="1"/>
    <col min="13062" max="13062" width="8.09765625" style="1570" customWidth="1"/>
    <col min="13063" max="13063" width="7.8984375" style="1570" customWidth="1"/>
    <col min="13064" max="13064" width="8" style="1570" customWidth="1"/>
    <col min="13065" max="13065" width="8.09765625" style="1570" customWidth="1"/>
    <col min="13066" max="13066" width="8" style="1570" customWidth="1"/>
    <col min="13067" max="13067" width="7.19921875" style="1570" customWidth="1"/>
    <col min="13068" max="13068" width="8.3984375" style="1570" customWidth="1"/>
    <col min="13069" max="13069" width="17.3984375" style="1570" customWidth="1"/>
    <col min="13070" max="13070" width="8.8984375" style="1570" customWidth="1"/>
    <col min="13071" max="13074" width="9" style="1570"/>
    <col min="13075" max="13075" width="33.19921875" style="1570" customWidth="1"/>
    <col min="13076" max="13312" width="9" style="1570"/>
    <col min="13313" max="13313" width="5.19921875" style="1570" customWidth="1"/>
    <col min="13314" max="13314" width="8.8984375" style="1570" customWidth="1"/>
    <col min="13315" max="13315" width="7.09765625" style="1570" customWidth="1"/>
    <col min="13316" max="13316" width="7.69921875" style="1570" customWidth="1"/>
    <col min="13317" max="13317" width="8.8984375" style="1570" customWidth="1"/>
    <col min="13318" max="13318" width="8.09765625" style="1570" customWidth="1"/>
    <col min="13319" max="13319" width="7.8984375" style="1570" customWidth="1"/>
    <col min="13320" max="13320" width="8" style="1570" customWidth="1"/>
    <col min="13321" max="13321" width="8.09765625" style="1570" customWidth="1"/>
    <col min="13322" max="13322" width="8" style="1570" customWidth="1"/>
    <col min="13323" max="13323" width="7.19921875" style="1570" customWidth="1"/>
    <col min="13324" max="13324" width="8.3984375" style="1570" customWidth="1"/>
    <col min="13325" max="13325" width="17.3984375" style="1570" customWidth="1"/>
    <col min="13326" max="13326" width="8.8984375" style="1570" customWidth="1"/>
    <col min="13327" max="13330" width="9" style="1570"/>
    <col min="13331" max="13331" width="33.19921875" style="1570" customWidth="1"/>
    <col min="13332" max="13568" width="9" style="1570"/>
    <col min="13569" max="13569" width="5.19921875" style="1570" customWidth="1"/>
    <col min="13570" max="13570" width="8.8984375" style="1570" customWidth="1"/>
    <col min="13571" max="13571" width="7.09765625" style="1570" customWidth="1"/>
    <col min="13572" max="13572" width="7.69921875" style="1570" customWidth="1"/>
    <col min="13573" max="13573" width="8.8984375" style="1570" customWidth="1"/>
    <col min="13574" max="13574" width="8.09765625" style="1570" customWidth="1"/>
    <col min="13575" max="13575" width="7.8984375" style="1570" customWidth="1"/>
    <col min="13576" max="13576" width="8" style="1570" customWidth="1"/>
    <col min="13577" max="13577" width="8.09765625" style="1570" customWidth="1"/>
    <col min="13578" max="13578" width="8" style="1570" customWidth="1"/>
    <col min="13579" max="13579" width="7.19921875" style="1570" customWidth="1"/>
    <col min="13580" max="13580" width="8.3984375" style="1570" customWidth="1"/>
    <col min="13581" max="13581" width="17.3984375" style="1570" customWidth="1"/>
    <col min="13582" max="13582" width="8.8984375" style="1570" customWidth="1"/>
    <col min="13583" max="13586" width="9" style="1570"/>
    <col min="13587" max="13587" width="33.19921875" style="1570" customWidth="1"/>
    <col min="13588" max="13824" width="9" style="1570"/>
    <col min="13825" max="13825" width="5.19921875" style="1570" customWidth="1"/>
    <col min="13826" max="13826" width="8.8984375" style="1570" customWidth="1"/>
    <col min="13827" max="13827" width="7.09765625" style="1570" customWidth="1"/>
    <col min="13828" max="13828" width="7.69921875" style="1570" customWidth="1"/>
    <col min="13829" max="13829" width="8.8984375" style="1570" customWidth="1"/>
    <col min="13830" max="13830" width="8.09765625" style="1570" customWidth="1"/>
    <col min="13831" max="13831" width="7.8984375" style="1570" customWidth="1"/>
    <col min="13832" max="13832" width="8" style="1570" customWidth="1"/>
    <col min="13833" max="13833" width="8.09765625" style="1570" customWidth="1"/>
    <col min="13834" max="13834" width="8" style="1570" customWidth="1"/>
    <col min="13835" max="13835" width="7.19921875" style="1570" customWidth="1"/>
    <col min="13836" max="13836" width="8.3984375" style="1570" customWidth="1"/>
    <col min="13837" max="13837" width="17.3984375" style="1570" customWidth="1"/>
    <col min="13838" max="13838" width="8.8984375" style="1570" customWidth="1"/>
    <col min="13839" max="13842" width="9" style="1570"/>
    <col min="13843" max="13843" width="33.19921875" style="1570" customWidth="1"/>
    <col min="13844" max="14080" width="9" style="1570"/>
    <col min="14081" max="14081" width="5.19921875" style="1570" customWidth="1"/>
    <col min="14082" max="14082" width="8.8984375" style="1570" customWidth="1"/>
    <col min="14083" max="14083" width="7.09765625" style="1570" customWidth="1"/>
    <col min="14084" max="14084" width="7.69921875" style="1570" customWidth="1"/>
    <col min="14085" max="14085" width="8.8984375" style="1570" customWidth="1"/>
    <col min="14086" max="14086" width="8.09765625" style="1570" customWidth="1"/>
    <col min="14087" max="14087" width="7.8984375" style="1570" customWidth="1"/>
    <col min="14088" max="14088" width="8" style="1570" customWidth="1"/>
    <col min="14089" max="14089" width="8.09765625" style="1570" customWidth="1"/>
    <col min="14090" max="14090" width="8" style="1570" customWidth="1"/>
    <col min="14091" max="14091" width="7.19921875" style="1570" customWidth="1"/>
    <col min="14092" max="14092" width="8.3984375" style="1570" customWidth="1"/>
    <col min="14093" max="14093" width="17.3984375" style="1570" customWidth="1"/>
    <col min="14094" max="14094" width="8.8984375" style="1570" customWidth="1"/>
    <col min="14095" max="14098" width="9" style="1570"/>
    <col min="14099" max="14099" width="33.19921875" style="1570" customWidth="1"/>
    <col min="14100" max="14336" width="9" style="1570"/>
    <col min="14337" max="14337" width="5.19921875" style="1570" customWidth="1"/>
    <col min="14338" max="14338" width="8.8984375" style="1570" customWidth="1"/>
    <col min="14339" max="14339" width="7.09765625" style="1570" customWidth="1"/>
    <col min="14340" max="14340" width="7.69921875" style="1570" customWidth="1"/>
    <col min="14341" max="14341" width="8.8984375" style="1570" customWidth="1"/>
    <col min="14342" max="14342" width="8.09765625" style="1570" customWidth="1"/>
    <col min="14343" max="14343" width="7.8984375" style="1570" customWidth="1"/>
    <col min="14344" max="14344" width="8" style="1570" customWidth="1"/>
    <col min="14345" max="14345" width="8.09765625" style="1570" customWidth="1"/>
    <col min="14346" max="14346" width="8" style="1570" customWidth="1"/>
    <col min="14347" max="14347" width="7.19921875" style="1570" customWidth="1"/>
    <col min="14348" max="14348" width="8.3984375" style="1570" customWidth="1"/>
    <col min="14349" max="14349" width="17.3984375" style="1570" customWidth="1"/>
    <col min="14350" max="14350" width="8.8984375" style="1570" customWidth="1"/>
    <col min="14351" max="14354" width="9" style="1570"/>
    <col min="14355" max="14355" width="33.19921875" style="1570" customWidth="1"/>
    <col min="14356" max="14592" width="9" style="1570"/>
    <col min="14593" max="14593" width="5.19921875" style="1570" customWidth="1"/>
    <col min="14594" max="14594" width="8.8984375" style="1570" customWidth="1"/>
    <col min="14595" max="14595" width="7.09765625" style="1570" customWidth="1"/>
    <col min="14596" max="14596" width="7.69921875" style="1570" customWidth="1"/>
    <col min="14597" max="14597" width="8.8984375" style="1570" customWidth="1"/>
    <col min="14598" max="14598" width="8.09765625" style="1570" customWidth="1"/>
    <col min="14599" max="14599" width="7.8984375" style="1570" customWidth="1"/>
    <col min="14600" max="14600" width="8" style="1570" customWidth="1"/>
    <col min="14601" max="14601" width="8.09765625" style="1570" customWidth="1"/>
    <col min="14602" max="14602" width="8" style="1570" customWidth="1"/>
    <col min="14603" max="14603" width="7.19921875" style="1570" customWidth="1"/>
    <col min="14604" max="14604" width="8.3984375" style="1570" customWidth="1"/>
    <col min="14605" max="14605" width="17.3984375" style="1570" customWidth="1"/>
    <col min="14606" max="14606" width="8.8984375" style="1570" customWidth="1"/>
    <col min="14607" max="14610" width="9" style="1570"/>
    <col min="14611" max="14611" width="33.19921875" style="1570" customWidth="1"/>
    <col min="14612" max="14848" width="9" style="1570"/>
    <col min="14849" max="14849" width="5.19921875" style="1570" customWidth="1"/>
    <col min="14850" max="14850" width="8.8984375" style="1570" customWidth="1"/>
    <col min="14851" max="14851" width="7.09765625" style="1570" customWidth="1"/>
    <col min="14852" max="14852" width="7.69921875" style="1570" customWidth="1"/>
    <col min="14853" max="14853" width="8.8984375" style="1570" customWidth="1"/>
    <col min="14854" max="14854" width="8.09765625" style="1570" customWidth="1"/>
    <col min="14855" max="14855" width="7.8984375" style="1570" customWidth="1"/>
    <col min="14856" max="14856" width="8" style="1570" customWidth="1"/>
    <col min="14857" max="14857" width="8.09765625" style="1570" customWidth="1"/>
    <col min="14858" max="14858" width="8" style="1570" customWidth="1"/>
    <col min="14859" max="14859" width="7.19921875" style="1570" customWidth="1"/>
    <col min="14860" max="14860" width="8.3984375" style="1570" customWidth="1"/>
    <col min="14861" max="14861" width="17.3984375" style="1570" customWidth="1"/>
    <col min="14862" max="14862" width="8.8984375" style="1570" customWidth="1"/>
    <col min="14863" max="14866" width="9" style="1570"/>
    <col min="14867" max="14867" width="33.19921875" style="1570" customWidth="1"/>
    <col min="14868" max="15104" width="9" style="1570"/>
    <col min="15105" max="15105" width="5.19921875" style="1570" customWidth="1"/>
    <col min="15106" max="15106" width="8.8984375" style="1570" customWidth="1"/>
    <col min="15107" max="15107" width="7.09765625" style="1570" customWidth="1"/>
    <col min="15108" max="15108" width="7.69921875" style="1570" customWidth="1"/>
    <col min="15109" max="15109" width="8.8984375" style="1570" customWidth="1"/>
    <col min="15110" max="15110" width="8.09765625" style="1570" customWidth="1"/>
    <col min="15111" max="15111" width="7.8984375" style="1570" customWidth="1"/>
    <col min="15112" max="15112" width="8" style="1570" customWidth="1"/>
    <col min="15113" max="15113" width="8.09765625" style="1570" customWidth="1"/>
    <col min="15114" max="15114" width="8" style="1570" customWidth="1"/>
    <col min="15115" max="15115" width="7.19921875" style="1570" customWidth="1"/>
    <col min="15116" max="15116" width="8.3984375" style="1570" customWidth="1"/>
    <col min="15117" max="15117" width="17.3984375" style="1570" customWidth="1"/>
    <col min="15118" max="15118" width="8.8984375" style="1570" customWidth="1"/>
    <col min="15119" max="15122" width="9" style="1570"/>
    <col min="15123" max="15123" width="33.19921875" style="1570" customWidth="1"/>
    <col min="15124" max="15360" width="9" style="1570"/>
    <col min="15361" max="15361" width="5.19921875" style="1570" customWidth="1"/>
    <col min="15362" max="15362" width="8.8984375" style="1570" customWidth="1"/>
    <col min="15363" max="15363" width="7.09765625" style="1570" customWidth="1"/>
    <col min="15364" max="15364" width="7.69921875" style="1570" customWidth="1"/>
    <col min="15365" max="15365" width="8.8984375" style="1570" customWidth="1"/>
    <col min="15366" max="15366" width="8.09765625" style="1570" customWidth="1"/>
    <col min="15367" max="15367" width="7.8984375" style="1570" customWidth="1"/>
    <col min="15368" max="15368" width="8" style="1570" customWidth="1"/>
    <col min="15369" max="15369" width="8.09765625" style="1570" customWidth="1"/>
    <col min="15370" max="15370" width="8" style="1570" customWidth="1"/>
    <col min="15371" max="15371" width="7.19921875" style="1570" customWidth="1"/>
    <col min="15372" max="15372" width="8.3984375" style="1570" customWidth="1"/>
    <col min="15373" max="15373" width="17.3984375" style="1570" customWidth="1"/>
    <col min="15374" max="15374" width="8.8984375" style="1570" customWidth="1"/>
    <col min="15375" max="15378" width="9" style="1570"/>
    <col min="15379" max="15379" width="33.19921875" style="1570" customWidth="1"/>
    <col min="15380" max="15616" width="9" style="1570"/>
    <col min="15617" max="15617" width="5.19921875" style="1570" customWidth="1"/>
    <col min="15618" max="15618" width="8.8984375" style="1570" customWidth="1"/>
    <col min="15619" max="15619" width="7.09765625" style="1570" customWidth="1"/>
    <col min="15620" max="15620" width="7.69921875" style="1570" customWidth="1"/>
    <col min="15621" max="15621" width="8.8984375" style="1570" customWidth="1"/>
    <col min="15622" max="15622" width="8.09765625" style="1570" customWidth="1"/>
    <col min="15623" max="15623" width="7.8984375" style="1570" customWidth="1"/>
    <col min="15624" max="15624" width="8" style="1570" customWidth="1"/>
    <col min="15625" max="15625" width="8.09765625" style="1570" customWidth="1"/>
    <col min="15626" max="15626" width="8" style="1570" customWidth="1"/>
    <col min="15627" max="15627" width="7.19921875" style="1570" customWidth="1"/>
    <col min="15628" max="15628" width="8.3984375" style="1570" customWidth="1"/>
    <col min="15629" max="15629" width="17.3984375" style="1570" customWidth="1"/>
    <col min="15630" max="15630" width="8.8984375" style="1570" customWidth="1"/>
    <col min="15631" max="15634" width="9" style="1570"/>
    <col min="15635" max="15635" width="33.19921875" style="1570" customWidth="1"/>
    <col min="15636" max="15872" width="9" style="1570"/>
    <col min="15873" max="15873" width="5.19921875" style="1570" customWidth="1"/>
    <col min="15874" max="15874" width="8.8984375" style="1570" customWidth="1"/>
    <col min="15875" max="15875" width="7.09765625" style="1570" customWidth="1"/>
    <col min="15876" max="15876" width="7.69921875" style="1570" customWidth="1"/>
    <col min="15877" max="15877" width="8.8984375" style="1570" customWidth="1"/>
    <col min="15878" max="15878" width="8.09765625" style="1570" customWidth="1"/>
    <col min="15879" max="15879" width="7.8984375" style="1570" customWidth="1"/>
    <col min="15880" max="15880" width="8" style="1570" customWidth="1"/>
    <col min="15881" max="15881" width="8.09765625" style="1570" customWidth="1"/>
    <col min="15882" max="15882" width="8" style="1570" customWidth="1"/>
    <col min="15883" max="15883" width="7.19921875" style="1570" customWidth="1"/>
    <col min="15884" max="15884" width="8.3984375" style="1570" customWidth="1"/>
    <col min="15885" max="15885" width="17.3984375" style="1570" customWidth="1"/>
    <col min="15886" max="15886" width="8.8984375" style="1570" customWidth="1"/>
    <col min="15887" max="15890" width="9" style="1570"/>
    <col min="15891" max="15891" width="33.19921875" style="1570" customWidth="1"/>
    <col min="15892" max="16128" width="9" style="1570"/>
    <col min="16129" max="16129" width="5.19921875" style="1570" customWidth="1"/>
    <col min="16130" max="16130" width="8.8984375" style="1570" customWidth="1"/>
    <col min="16131" max="16131" width="7.09765625" style="1570" customWidth="1"/>
    <col min="16132" max="16132" width="7.69921875" style="1570" customWidth="1"/>
    <col min="16133" max="16133" width="8.8984375" style="1570" customWidth="1"/>
    <col min="16134" max="16134" width="8.09765625" style="1570" customWidth="1"/>
    <col min="16135" max="16135" width="7.8984375" style="1570" customWidth="1"/>
    <col min="16136" max="16136" width="8" style="1570" customWidth="1"/>
    <col min="16137" max="16137" width="8.09765625" style="1570" customWidth="1"/>
    <col min="16138" max="16138" width="8" style="1570" customWidth="1"/>
    <col min="16139" max="16139" width="7.19921875" style="1570" customWidth="1"/>
    <col min="16140" max="16140" width="8.3984375" style="1570" customWidth="1"/>
    <col min="16141" max="16141" width="17.3984375" style="1570" customWidth="1"/>
    <col min="16142" max="16142" width="8.8984375" style="1570" customWidth="1"/>
    <col min="16143" max="16146" width="9" style="1570"/>
    <col min="16147" max="16147" width="33.19921875" style="1570" customWidth="1"/>
    <col min="16148" max="16384" width="9" style="1570"/>
  </cols>
  <sheetData>
    <row r="1" spans="1:19" ht="20.100000000000001" customHeight="1">
      <c r="A1" s="2173"/>
      <c r="B1" s="2173"/>
      <c r="C1" s="2173"/>
      <c r="D1" s="2173"/>
      <c r="E1" s="2173"/>
      <c r="F1" s="2173"/>
      <c r="G1" s="2173"/>
      <c r="H1" s="2173"/>
      <c r="I1" s="2173"/>
      <c r="J1" s="2173"/>
      <c r="K1" s="2173"/>
      <c r="L1" s="2173"/>
      <c r="M1" s="2173"/>
      <c r="N1" s="2173"/>
      <c r="O1" s="2174" t="str">
        <f>"索引号："&amp;档案索引!D16</f>
        <v>索引号：2B-11</v>
      </c>
    </row>
    <row r="2" spans="1:19" ht="25.5" customHeight="1">
      <c r="A2" s="3379" t="s">
        <v>5949</v>
      </c>
      <c r="B2" s="3379"/>
      <c r="C2" s="3379"/>
      <c r="D2" s="3379"/>
      <c r="E2" s="3379"/>
      <c r="F2" s="3379"/>
      <c r="G2" s="3379"/>
      <c r="H2" s="3379"/>
      <c r="I2" s="3379"/>
      <c r="J2" s="3379"/>
      <c r="K2" s="3379"/>
      <c r="L2" s="3379"/>
      <c r="M2" s="3379"/>
      <c r="N2" s="3379"/>
      <c r="O2" s="1836"/>
    </row>
    <row r="3" spans="1:19" ht="33.75" customHeight="1">
      <c r="A3" s="3377" t="s">
        <v>6633</v>
      </c>
      <c r="B3" s="3377" t="s">
        <v>666</v>
      </c>
      <c r="C3" s="3377" t="s">
        <v>16</v>
      </c>
      <c r="D3" s="3385" t="s">
        <v>5768</v>
      </c>
      <c r="E3" s="3385" t="s">
        <v>5769</v>
      </c>
      <c r="F3" s="3385" t="s">
        <v>5770</v>
      </c>
      <c r="G3" s="3377" t="s">
        <v>5771</v>
      </c>
      <c r="H3" s="3377"/>
      <c r="I3" s="3377"/>
      <c r="J3" s="3377"/>
      <c r="K3" s="3377"/>
      <c r="L3" s="3377"/>
      <c r="M3" s="3385" t="s">
        <v>5772</v>
      </c>
      <c r="N3" s="3385" t="s">
        <v>5773</v>
      </c>
      <c r="O3" s="3385" t="s">
        <v>4901</v>
      </c>
    </row>
    <row r="4" spans="1:19">
      <c r="A4" s="3377"/>
      <c r="B4" s="3377"/>
      <c r="C4" s="3377"/>
      <c r="D4" s="3385"/>
      <c r="E4" s="3385"/>
      <c r="F4" s="3385"/>
      <c r="G4" s="1892" t="s">
        <v>5774</v>
      </c>
      <c r="H4" s="1893" t="s">
        <v>1349</v>
      </c>
      <c r="I4" s="1893" t="s">
        <v>1350</v>
      </c>
      <c r="J4" s="1893" t="s">
        <v>1351</v>
      </c>
      <c r="K4" s="1893" t="s">
        <v>1352</v>
      </c>
      <c r="L4" s="1893" t="s">
        <v>1281</v>
      </c>
      <c r="M4" s="3473"/>
      <c r="N4" s="3473"/>
      <c r="O4" s="3473"/>
    </row>
    <row r="5" spans="1:19" ht="63" customHeight="1">
      <c r="A5" s="3377"/>
      <c r="B5" s="3377"/>
      <c r="C5" s="1894">
        <v>1</v>
      </c>
      <c r="D5" s="1894">
        <v>2</v>
      </c>
      <c r="E5" s="1894">
        <v>3</v>
      </c>
      <c r="F5" s="1894" t="s">
        <v>5775</v>
      </c>
      <c r="G5" s="1894">
        <v>5</v>
      </c>
      <c r="H5" s="1894">
        <v>6</v>
      </c>
      <c r="I5" s="1894">
        <v>7</v>
      </c>
      <c r="J5" s="1894">
        <v>8</v>
      </c>
      <c r="K5" s="1894">
        <v>9</v>
      </c>
      <c r="L5" s="1895" t="s">
        <v>5776</v>
      </c>
      <c r="M5" s="1896" t="s">
        <v>5777</v>
      </c>
      <c r="N5" s="1895" t="s">
        <v>5778</v>
      </c>
      <c r="O5" s="1938"/>
    </row>
    <row r="6" spans="1:19" ht="54.75" customHeight="1">
      <c r="A6" s="1893">
        <v>1</v>
      </c>
      <c r="B6" s="1893" t="s">
        <v>6631</v>
      </c>
      <c r="C6" s="1893">
        <f t="shared" ref="C6:C9" si="0">C7-1</f>
        <v>2011</v>
      </c>
      <c r="D6" s="2078"/>
      <c r="E6" s="2078"/>
      <c r="F6" s="2077">
        <f>ROUND(E6*0.1,2)</f>
        <v>0</v>
      </c>
      <c r="G6" s="2078"/>
      <c r="H6" s="2078"/>
      <c r="I6" s="2078"/>
      <c r="J6" s="2078"/>
      <c r="K6" s="2078"/>
      <c r="L6" s="2077">
        <f>G6+H6+I6+J6+K6</f>
        <v>0</v>
      </c>
      <c r="M6" s="2077">
        <f>MIN(F6-L6,D6)</f>
        <v>0</v>
      </c>
      <c r="N6" s="1893" t="s">
        <v>1860</v>
      </c>
      <c r="O6" s="1980" t="s">
        <v>5779</v>
      </c>
      <c r="S6" s="1575"/>
    </row>
    <row r="7" spans="1:19">
      <c r="A7" s="1893">
        <v>2</v>
      </c>
      <c r="B7" s="1893" t="s">
        <v>1349</v>
      </c>
      <c r="C7" s="1893">
        <f t="shared" si="0"/>
        <v>2012</v>
      </c>
      <c r="D7" s="2078"/>
      <c r="E7" s="2078"/>
      <c r="F7" s="2077">
        <f t="shared" ref="F7:F11" si="1">ROUND(E7*0.1,2)</f>
        <v>0</v>
      </c>
      <c r="G7" s="1893" t="s">
        <v>1860</v>
      </c>
      <c r="H7" s="2078"/>
      <c r="I7" s="2078"/>
      <c r="J7" s="2078"/>
      <c r="K7" s="2078"/>
      <c r="L7" s="2077">
        <f>H7+I7+J7+K7</f>
        <v>0</v>
      </c>
      <c r="M7" s="2077">
        <f t="shared" ref="M7:M10" si="2">MIN(F7-L7,D7)</f>
        <v>0</v>
      </c>
      <c r="N7" s="2077">
        <f>F7-L7-M7</f>
        <v>0</v>
      </c>
      <c r="O7" s="1976"/>
      <c r="P7" s="1675" t="s">
        <v>6476</v>
      </c>
    </row>
    <row r="8" spans="1:19">
      <c r="A8" s="1893">
        <v>3</v>
      </c>
      <c r="B8" s="1893" t="s">
        <v>1350</v>
      </c>
      <c r="C8" s="1893">
        <f t="shared" si="0"/>
        <v>2013</v>
      </c>
      <c r="D8" s="2078"/>
      <c r="E8" s="2078"/>
      <c r="F8" s="2077">
        <f t="shared" si="1"/>
        <v>0</v>
      </c>
      <c r="G8" s="1893" t="s">
        <v>1860</v>
      </c>
      <c r="H8" s="1893" t="s">
        <v>1860</v>
      </c>
      <c r="I8" s="2078"/>
      <c r="J8" s="2078"/>
      <c r="K8" s="2078"/>
      <c r="L8" s="2077">
        <f>I8+J8+K8</f>
        <v>0</v>
      </c>
      <c r="M8" s="2077">
        <f t="shared" si="2"/>
        <v>0</v>
      </c>
      <c r="N8" s="2077">
        <f t="shared" ref="N8:N10" si="3">F8-L8-M8</f>
        <v>0</v>
      </c>
      <c r="O8" s="1976"/>
    </row>
    <row r="9" spans="1:19">
      <c r="A9" s="1893">
        <v>4</v>
      </c>
      <c r="B9" s="1893" t="s">
        <v>1351</v>
      </c>
      <c r="C9" s="1893">
        <f t="shared" si="0"/>
        <v>2014</v>
      </c>
      <c r="D9" s="2078"/>
      <c r="E9" s="2078"/>
      <c r="F9" s="2077">
        <f t="shared" si="1"/>
        <v>0</v>
      </c>
      <c r="G9" s="1893" t="s">
        <v>1860</v>
      </c>
      <c r="H9" s="1893" t="s">
        <v>1860</v>
      </c>
      <c r="I9" s="1893" t="s">
        <v>1860</v>
      </c>
      <c r="J9" s="2078"/>
      <c r="K9" s="2078"/>
      <c r="L9" s="2077">
        <f>J9+K9</f>
        <v>0</v>
      </c>
      <c r="M9" s="2077">
        <f t="shared" si="2"/>
        <v>0</v>
      </c>
      <c r="N9" s="2077">
        <f t="shared" si="3"/>
        <v>0</v>
      </c>
      <c r="O9" s="1976"/>
    </row>
    <row r="10" spans="1:19">
      <c r="A10" s="1893">
        <v>5</v>
      </c>
      <c r="B10" s="1893" t="s">
        <v>1352</v>
      </c>
      <c r="C10" s="1893">
        <f>C11-1</f>
        <v>2015</v>
      </c>
      <c r="D10" s="2078"/>
      <c r="E10" s="2078"/>
      <c r="F10" s="2077">
        <f t="shared" si="1"/>
        <v>0</v>
      </c>
      <c r="G10" s="1893" t="s">
        <v>1860</v>
      </c>
      <c r="H10" s="1893" t="s">
        <v>1860</v>
      </c>
      <c r="I10" s="1893" t="s">
        <v>1860</v>
      </c>
      <c r="J10" s="1893" t="s">
        <v>1860</v>
      </c>
      <c r="K10" s="2078"/>
      <c r="L10" s="2077">
        <f>K10</f>
        <v>0</v>
      </c>
      <c r="M10" s="2077">
        <f t="shared" si="2"/>
        <v>0</v>
      </c>
      <c r="N10" s="2077">
        <f t="shared" si="3"/>
        <v>0</v>
      </c>
      <c r="O10" s="1976"/>
    </row>
    <row r="11" spans="1:19">
      <c r="A11" s="1893">
        <v>6</v>
      </c>
      <c r="B11" s="1893" t="s">
        <v>5485</v>
      </c>
      <c r="C11" s="1893">
        <f>基本情况!B4</f>
        <v>2016</v>
      </c>
      <c r="D11" s="2077">
        <f ca="1">'A100000中华人民共和国企业所得税年度纳税申报表（A类）'!D28-'A100000中华人民共和国企业所得税年度纳税申报表（A类）'!D29</f>
        <v>0</v>
      </c>
      <c r="E11" s="2078"/>
      <c r="F11" s="2077">
        <f t="shared" si="1"/>
        <v>0</v>
      </c>
      <c r="G11" s="1893" t="s">
        <v>1860</v>
      </c>
      <c r="H11" s="1893" t="s">
        <v>1860</v>
      </c>
      <c r="I11" s="1893" t="s">
        <v>1860</v>
      </c>
      <c r="J11" s="1893" t="s">
        <v>1860</v>
      </c>
      <c r="K11" s="1893" t="s">
        <v>1860</v>
      </c>
      <c r="L11" s="1893" t="s">
        <v>1867</v>
      </c>
      <c r="M11" s="2077">
        <f ca="1">MIN(F11,D11)</f>
        <v>0</v>
      </c>
      <c r="N11" s="2077">
        <f ca="1">F11-M11</f>
        <v>0</v>
      </c>
      <c r="O11" s="1976"/>
    </row>
    <row r="12" spans="1:19" ht="108">
      <c r="A12" s="1893">
        <v>7</v>
      </c>
      <c r="B12" s="3475" t="s">
        <v>5780</v>
      </c>
      <c r="C12" s="3475"/>
      <c r="D12" s="3475"/>
      <c r="E12" s="3475"/>
      <c r="F12" s="3475"/>
      <c r="G12" s="3475"/>
      <c r="H12" s="3475"/>
      <c r="I12" s="3475"/>
      <c r="J12" s="3475"/>
      <c r="K12" s="3475"/>
      <c r="L12" s="3475"/>
      <c r="M12" s="2077">
        <f ca="1">SUM(M6:M11)</f>
        <v>0</v>
      </c>
      <c r="N12" s="1893" t="s">
        <v>1860</v>
      </c>
      <c r="O12" s="1980" t="s">
        <v>5781</v>
      </c>
    </row>
    <row r="13" spans="1:19">
      <c r="A13" s="1893">
        <v>8</v>
      </c>
      <c r="B13" s="3475" t="s">
        <v>5782</v>
      </c>
      <c r="C13" s="3475"/>
      <c r="D13" s="3475"/>
      <c r="E13" s="3475"/>
      <c r="F13" s="3475"/>
      <c r="G13" s="3475"/>
      <c r="H13" s="3475"/>
      <c r="I13" s="3475"/>
      <c r="J13" s="3475"/>
      <c r="K13" s="3475"/>
      <c r="L13" s="3475"/>
      <c r="M13" s="3475"/>
      <c r="N13" s="2077">
        <f ca="1">SUM(N7:N11)</f>
        <v>0</v>
      </c>
      <c r="O13" s="1976"/>
    </row>
    <row r="14" spans="1:19">
      <c r="A14" s="1893">
        <v>9</v>
      </c>
      <c r="B14" s="3385" t="s">
        <v>5783</v>
      </c>
      <c r="C14" s="3476" t="s">
        <v>5784</v>
      </c>
      <c r="D14" s="3476"/>
      <c r="E14" s="3476"/>
      <c r="F14" s="3476"/>
      <c r="G14" s="3476"/>
      <c r="H14" s="3476"/>
      <c r="I14" s="3476"/>
      <c r="J14" s="3476"/>
      <c r="K14" s="3474"/>
      <c r="L14" s="3474"/>
      <c r="M14" s="3474"/>
      <c r="N14" s="3474"/>
      <c r="O14" s="1976"/>
    </row>
    <row r="15" spans="1:19">
      <c r="A15" s="1893">
        <v>10</v>
      </c>
      <c r="B15" s="3377"/>
      <c r="C15" s="3476" t="s">
        <v>5785</v>
      </c>
      <c r="D15" s="3476"/>
      <c r="E15" s="3476"/>
      <c r="F15" s="3476"/>
      <c r="G15" s="3476"/>
      <c r="H15" s="3476"/>
      <c r="I15" s="3476"/>
      <c r="J15" s="3476"/>
      <c r="K15" s="3474"/>
      <c r="L15" s="3474"/>
      <c r="M15" s="3474"/>
      <c r="N15" s="3474"/>
      <c r="O15" s="1976"/>
    </row>
    <row r="16" spans="1:19">
      <c r="A16" s="1893">
        <v>11</v>
      </c>
      <c r="B16" s="3377"/>
      <c r="C16" s="3476" t="s">
        <v>5786</v>
      </c>
      <c r="D16" s="3476"/>
      <c r="E16" s="3476"/>
      <c r="F16" s="3476"/>
      <c r="G16" s="3476"/>
      <c r="H16" s="3476"/>
      <c r="I16" s="3476"/>
      <c r="J16" s="3476"/>
      <c r="K16" s="3474"/>
      <c r="L16" s="3474"/>
      <c r="M16" s="3474"/>
      <c r="N16" s="3474"/>
      <c r="O16" s="1976"/>
    </row>
    <row r="17" spans="1:15">
      <c r="A17" s="3441"/>
      <c r="B17" s="3441"/>
      <c r="C17" s="3441"/>
      <c r="D17" s="3441"/>
      <c r="E17" s="3441"/>
      <c r="F17" s="3441"/>
      <c r="G17" s="3441"/>
      <c r="H17" s="3441"/>
      <c r="I17" s="3441"/>
      <c r="J17" s="3441"/>
      <c r="K17" s="3441"/>
      <c r="L17" s="3441"/>
      <c r="M17" s="3441"/>
      <c r="N17" s="3441"/>
      <c r="O17" s="3441"/>
    </row>
    <row r="18" spans="1:15">
      <c r="A18" s="3441"/>
      <c r="B18" s="3441"/>
      <c r="C18" s="3441"/>
      <c r="D18" s="3441"/>
      <c r="E18" s="3441"/>
      <c r="F18" s="3441"/>
      <c r="G18" s="3441"/>
      <c r="H18" s="3441"/>
      <c r="I18" s="3441"/>
      <c r="J18" s="3441"/>
      <c r="K18" s="3441"/>
      <c r="L18" s="3441"/>
      <c r="M18" s="3441"/>
      <c r="N18" s="3441"/>
      <c r="O18" s="3441"/>
    </row>
    <row r="19" spans="1:15">
      <c r="A19" s="3441"/>
      <c r="B19" s="3441"/>
      <c r="C19" s="3441"/>
      <c r="D19" s="3441"/>
      <c r="E19" s="3441"/>
      <c r="F19" s="3441"/>
      <c r="G19" s="3441"/>
      <c r="H19" s="3441"/>
      <c r="I19" s="3441"/>
      <c r="J19" s="3441"/>
      <c r="K19" s="3441"/>
      <c r="L19" s="3441"/>
      <c r="M19" s="3441"/>
      <c r="N19" s="3441"/>
      <c r="O19" s="3441"/>
    </row>
    <row r="20" spans="1:15">
      <c r="A20" s="3441"/>
      <c r="B20" s="3441"/>
      <c r="C20" s="3441"/>
      <c r="D20" s="3441"/>
      <c r="E20" s="3441"/>
      <c r="F20" s="3441"/>
      <c r="G20" s="3441"/>
      <c r="H20" s="3441"/>
      <c r="I20" s="3441"/>
      <c r="J20" s="3441"/>
      <c r="K20" s="3441"/>
      <c r="L20" s="3441"/>
      <c r="M20" s="3441"/>
      <c r="N20" s="3441"/>
      <c r="O20" s="3441"/>
    </row>
    <row r="21" spans="1:15">
      <c r="A21" s="3441"/>
      <c r="B21" s="3441"/>
      <c r="C21" s="3441"/>
      <c r="D21" s="3441"/>
      <c r="E21" s="3441"/>
      <c r="F21" s="3441"/>
      <c r="G21" s="3441"/>
      <c r="H21" s="3441"/>
      <c r="I21" s="3441"/>
      <c r="J21" s="3441"/>
      <c r="K21" s="3441"/>
      <c r="L21" s="3441"/>
      <c r="M21" s="3441"/>
      <c r="N21" s="3441"/>
      <c r="O21" s="3441"/>
    </row>
    <row r="22" spans="1:15">
      <c r="A22" s="3441"/>
      <c r="B22" s="3441"/>
      <c r="C22" s="3441"/>
      <c r="D22" s="3441"/>
      <c r="E22" s="3441"/>
      <c r="F22" s="3441"/>
      <c r="G22" s="3441"/>
      <c r="H22" s="3441"/>
      <c r="I22" s="3441"/>
      <c r="J22" s="3441"/>
      <c r="K22" s="3441"/>
      <c r="L22" s="3441"/>
      <c r="M22" s="3441"/>
      <c r="N22" s="3441"/>
      <c r="O22" s="3441"/>
    </row>
  </sheetData>
  <mergeCells count="26">
    <mergeCell ref="A20:O20"/>
    <mergeCell ref="A21:O21"/>
    <mergeCell ref="A22:O22"/>
    <mergeCell ref="A17:O17"/>
    <mergeCell ref="A18:O18"/>
    <mergeCell ref="A19:O19"/>
    <mergeCell ref="K16:N16"/>
    <mergeCell ref="N3:N4"/>
    <mergeCell ref="O3:O4"/>
    <mergeCell ref="B12:L12"/>
    <mergeCell ref="B13:M13"/>
    <mergeCell ref="B14:B16"/>
    <mergeCell ref="C14:J14"/>
    <mergeCell ref="K14:N14"/>
    <mergeCell ref="C15:J15"/>
    <mergeCell ref="K15:N15"/>
    <mergeCell ref="C16:J16"/>
    <mergeCell ref="A2:N2"/>
    <mergeCell ref="A3:A5"/>
    <mergeCell ref="B3:B5"/>
    <mergeCell ref="C3:C4"/>
    <mergeCell ref="D3:D4"/>
    <mergeCell ref="E3:E4"/>
    <mergeCell ref="F3:F4"/>
    <mergeCell ref="G3:L3"/>
    <mergeCell ref="M3:M4"/>
  </mergeCells>
  <phoneticPr fontId="51" type="noConversion"/>
  <hyperlinks>
    <hyperlink ref="P7" location="A107050税额抵免优惠明细表!A1" display="A107050税额抵免优惠明细表!A1"/>
  </hyperlinks>
  <printOptions horizontalCentered="1"/>
  <pageMargins left="0.78740157480314998" right="0.35433070866141703" top="0.511811023622047" bottom="0.11811023622047198" header="0.511811023622047" footer="0.511811023622047"/>
  <pageSetup paperSize="9" orientation="landscape" r:id="rId1"/>
  <headerFooter alignWithMargins="0"/>
</worksheet>
</file>

<file path=xl/worksheets/sheet6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77">
    <tabColor rgb="FFFFFF00"/>
  </sheetPr>
  <dimension ref="A1:U63"/>
  <sheetViews>
    <sheetView workbookViewId="0">
      <selection activeCell="A6" sqref="A6"/>
    </sheetView>
  </sheetViews>
  <sheetFormatPr defaultColWidth="8.69921875" defaultRowHeight="13.2"/>
  <cols>
    <col min="1" max="1" width="5.19921875" style="1617" customWidth="1"/>
    <col min="2" max="2" width="9.3984375" style="1617" customWidth="1"/>
    <col min="3" max="20" width="10.19921875" style="1617" customWidth="1"/>
    <col min="21" max="256" width="8.69921875" style="1617"/>
    <col min="257" max="257" width="5.19921875" style="1617" customWidth="1"/>
    <col min="258" max="258" width="11.8984375" style="1617" customWidth="1"/>
    <col min="259" max="259" width="5.19921875" style="1617" customWidth="1"/>
    <col min="260" max="260" width="5.8984375" style="1617" customWidth="1"/>
    <col min="261" max="261" width="6.19921875" style="1617" customWidth="1"/>
    <col min="262" max="263" width="5.19921875" style="1617" customWidth="1"/>
    <col min="264" max="264" width="6.09765625" style="1617" customWidth="1"/>
    <col min="265" max="268" width="5.19921875" style="1617" customWidth="1"/>
    <col min="269" max="269" width="8.09765625" style="1617" customWidth="1"/>
    <col min="270" max="272" width="6.09765625" style="1617" customWidth="1"/>
    <col min="273" max="274" width="5.19921875" style="1617" customWidth="1"/>
    <col min="275" max="275" width="6.59765625" style="1617" customWidth="1"/>
    <col min="276" max="276" width="6.09765625" style="1617" customWidth="1"/>
    <col min="277" max="512" width="8.69921875" style="1617"/>
    <col min="513" max="513" width="5.19921875" style="1617" customWidth="1"/>
    <col min="514" max="514" width="11.8984375" style="1617" customWidth="1"/>
    <col min="515" max="515" width="5.19921875" style="1617" customWidth="1"/>
    <col min="516" max="516" width="5.8984375" style="1617" customWidth="1"/>
    <col min="517" max="517" width="6.19921875" style="1617" customWidth="1"/>
    <col min="518" max="519" width="5.19921875" style="1617" customWidth="1"/>
    <col min="520" max="520" width="6.09765625" style="1617" customWidth="1"/>
    <col min="521" max="524" width="5.19921875" style="1617" customWidth="1"/>
    <col min="525" max="525" width="8.09765625" style="1617" customWidth="1"/>
    <col min="526" max="528" width="6.09765625" style="1617" customWidth="1"/>
    <col min="529" max="530" width="5.19921875" style="1617" customWidth="1"/>
    <col min="531" max="531" width="6.59765625" style="1617" customWidth="1"/>
    <col min="532" max="532" width="6.09765625" style="1617" customWidth="1"/>
    <col min="533" max="768" width="8.69921875" style="1617"/>
    <col min="769" max="769" width="5.19921875" style="1617" customWidth="1"/>
    <col min="770" max="770" width="11.8984375" style="1617" customWidth="1"/>
    <col min="771" max="771" width="5.19921875" style="1617" customWidth="1"/>
    <col min="772" max="772" width="5.8984375" style="1617" customWidth="1"/>
    <col min="773" max="773" width="6.19921875" style="1617" customWidth="1"/>
    <col min="774" max="775" width="5.19921875" style="1617" customWidth="1"/>
    <col min="776" max="776" width="6.09765625" style="1617" customWidth="1"/>
    <col min="777" max="780" width="5.19921875" style="1617" customWidth="1"/>
    <col min="781" max="781" width="8.09765625" style="1617" customWidth="1"/>
    <col min="782" max="784" width="6.09765625" style="1617" customWidth="1"/>
    <col min="785" max="786" width="5.19921875" style="1617" customWidth="1"/>
    <col min="787" max="787" width="6.59765625" style="1617" customWidth="1"/>
    <col min="788" max="788" width="6.09765625" style="1617" customWidth="1"/>
    <col min="789" max="1024" width="8.69921875" style="1617"/>
    <col min="1025" max="1025" width="5.19921875" style="1617" customWidth="1"/>
    <col min="1026" max="1026" width="11.8984375" style="1617" customWidth="1"/>
    <col min="1027" max="1027" width="5.19921875" style="1617" customWidth="1"/>
    <col min="1028" max="1028" width="5.8984375" style="1617" customWidth="1"/>
    <col min="1029" max="1029" width="6.19921875" style="1617" customWidth="1"/>
    <col min="1030" max="1031" width="5.19921875" style="1617" customWidth="1"/>
    <col min="1032" max="1032" width="6.09765625" style="1617" customWidth="1"/>
    <col min="1033" max="1036" width="5.19921875" style="1617" customWidth="1"/>
    <col min="1037" max="1037" width="8.09765625" style="1617" customWidth="1"/>
    <col min="1038" max="1040" width="6.09765625" style="1617" customWidth="1"/>
    <col min="1041" max="1042" width="5.19921875" style="1617" customWidth="1"/>
    <col min="1043" max="1043" width="6.59765625" style="1617" customWidth="1"/>
    <col min="1044" max="1044" width="6.09765625" style="1617" customWidth="1"/>
    <col min="1045" max="1280" width="8.69921875" style="1617"/>
    <col min="1281" max="1281" width="5.19921875" style="1617" customWidth="1"/>
    <col min="1282" max="1282" width="11.8984375" style="1617" customWidth="1"/>
    <col min="1283" max="1283" width="5.19921875" style="1617" customWidth="1"/>
    <col min="1284" max="1284" width="5.8984375" style="1617" customWidth="1"/>
    <col min="1285" max="1285" width="6.19921875" style="1617" customWidth="1"/>
    <col min="1286" max="1287" width="5.19921875" style="1617" customWidth="1"/>
    <col min="1288" max="1288" width="6.09765625" style="1617" customWidth="1"/>
    <col min="1289" max="1292" width="5.19921875" style="1617" customWidth="1"/>
    <col min="1293" max="1293" width="8.09765625" style="1617" customWidth="1"/>
    <col min="1294" max="1296" width="6.09765625" style="1617" customWidth="1"/>
    <col min="1297" max="1298" width="5.19921875" style="1617" customWidth="1"/>
    <col min="1299" max="1299" width="6.59765625" style="1617" customWidth="1"/>
    <col min="1300" max="1300" width="6.09765625" style="1617" customWidth="1"/>
    <col min="1301" max="1536" width="8.69921875" style="1617"/>
    <col min="1537" max="1537" width="5.19921875" style="1617" customWidth="1"/>
    <col min="1538" max="1538" width="11.8984375" style="1617" customWidth="1"/>
    <col min="1539" max="1539" width="5.19921875" style="1617" customWidth="1"/>
    <col min="1540" max="1540" width="5.8984375" style="1617" customWidth="1"/>
    <col min="1541" max="1541" width="6.19921875" style="1617" customWidth="1"/>
    <col min="1542" max="1543" width="5.19921875" style="1617" customWidth="1"/>
    <col min="1544" max="1544" width="6.09765625" style="1617" customWidth="1"/>
    <col min="1545" max="1548" width="5.19921875" style="1617" customWidth="1"/>
    <col min="1549" max="1549" width="8.09765625" style="1617" customWidth="1"/>
    <col min="1550" max="1552" width="6.09765625" style="1617" customWidth="1"/>
    <col min="1553" max="1554" width="5.19921875" style="1617" customWidth="1"/>
    <col min="1555" max="1555" width="6.59765625" style="1617" customWidth="1"/>
    <col min="1556" max="1556" width="6.09765625" style="1617" customWidth="1"/>
    <col min="1557" max="1792" width="8.69921875" style="1617"/>
    <col min="1793" max="1793" width="5.19921875" style="1617" customWidth="1"/>
    <col min="1794" max="1794" width="11.8984375" style="1617" customWidth="1"/>
    <col min="1795" max="1795" width="5.19921875" style="1617" customWidth="1"/>
    <col min="1796" max="1796" width="5.8984375" style="1617" customWidth="1"/>
    <col min="1797" max="1797" width="6.19921875" style="1617" customWidth="1"/>
    <col min="1798" max="1799" width="5.19921875" style="1617" customWidth="1"/>
    <col min="1800" max="1800" width="6.09765625" style="1617" customWidth="1"/>
    <col min="1801" max="1804" width="5.19921875" style="1617" customWidth="1"/>
    <col min="1805" max="1805" width="8.09765625" style="1617" customWidth="1"/>
    <col min="1806" max="1808" width="6.09765625" style="1617" customWidth="1"/>
    <col min="1809" max="1810" width="5.19921875" style="1617" customWidth="1"/>
    <col min="1811" max="1811" width="6.59765625" style="1617" customWidth="1"/>
    <col min="1812" max="1812" width="6.09765625" style="1617" customWidth="1"/>
    <col min="1813" max="2048" width="8.69921875" style="1617"/>
    <col min="2049" max="2049" width="5.19921875" style="1617" customWidth="1"/>
    <col min="2050" max="2050" width="11.8984375" style="1617" customWidth="1"/>
    <col min="2051" max="2051" width="5.19921875" style="1617" customWidth="1"/>
    <col min="2052" max="2052" width="5.8984375" style="1617" customWidth="1"/>
    <col min="2053" max="2053" width="6.19921875" style="1617" customWidth="1"/>
    <col min="2054" max="2055" width="5.19921875" style="1617" customWidth="1"/>
    <col min="2056" max="2056" width="6.09765625" style="1617" customWidth="1"/>
    <col min="2057" max="2060" width="5.19921875" style="1617" customWidth="1"/>
    <col min="2061" max="2061" width="8.09765625" style="1617" customWidth="1"/>
    <col min="2062" max="2064" width="6.09765625" style="1617" customWidth="1"/>
    <col min="2065" max="2066" width="5.19921875" style="1617" customWidth="1"/>
    <col min="2067" max="2067" width="6.59765625" style="1617" customWidth="1"/>
    <col min="2068" max="2068" width="6.09765625" style="1617" customWidth="1"/>
    <col min="2069" max="2304" width="8.69921875" style="1617"/>
    <col min="2305" max="2305" width="5.19921875" style="1617" customWidth="1"/>
    <col min="2306" max="2306" width="11.8984375" style="1617" customWidth="1"/>
    <col min="2307" max="2307" width="5.19921875" style="1617" customWidth="1"/>
    <col min="2308" max="2308" width="5.8984375" style="1617" customWidth="1"/>
    <col min="2309" max="2309" width="6.19921875" style="1617" customWidth="1"/>
    <col min="2310" max="2311" width="5.19921875" style="1617" customWidth="1"/>
    <col min="2312" max="2312" width="6.09765625" style="1617" customWidth="1"/>
    <col min="2313" max="2316" width="5.19921875" style="1617" customWidth="1"/>
    <col min="2317" max="2317" width="8.09765625" style="1617" customWidth="1"/>
    <col min="2318" max="2320" width="6.09765625" style="1617" customWidth="1"/>
    <col min="2321" max="2322" width="5.19921875" style="1617" customWidth="1"/>
    <col min="2323" max="2323" width="6.59765625" style="1617" customWidth="1"/>
    <col min="2324" max="2324" width="6.09765625" style="1617" customWidth="1"/>
    <col min="2325" max="2560" width="8.69921875" style="1617"/>
    <col min="2561" max="2561" width="5.19921875" style="1617" customWidth="1"/>
    <col min="2562" max="2562" width="11.8984375" style="1617" customWidth="1"/>
    <col min="2563" max="2563" width="5.19921875" style="1617" customWidth="1"/>
    <col min="2564" max="2564" width="5.8984375" style="1617" customWidth="1"/>
    <col min="2565" max="2565" width="6.19921875" style="1617" customWidth="1"/>
    <col min="2566" max="2567" width="5.19921875" style="1617" customWidth="1"/>
    <col min="2568" max="2568" width="6.09765625" style="1617" customWidth="1"/>
    <col min="2569" max="2572" width="5.19921875" style="1617" customWidth="1"/>
    <col min="2573" max="2573" width="8.09765625" style="1617" customWidth="1"/>
    <col min="2574" max="2576" width="6.09765625" style="1617" customWidth="1"/>
    <col min="2577" max="2578" width="5.19921875" style="1617" customWidth="1"/>
    <col min="2579" max="2579" width="6.59765625" style="1617" customWidth="1"/>
    <col min="2580" max="2580" width="6.09765625" style="1617" customWidth="1"/>
    <col min="2581" max="2816" width="8.69921875" style="1617"/>
    <col min="2817" max="2817" width="5.19921875" style="1617" customWidth="1"/>
    <col min="2818" max="2818" width="11.8984375" style="1617" customWidth="1"/>
    <col min="2819" max="2819" width="5.19921875" style="1617" customWidth="1"/>
    <col min="2820" max="2820" width="5.8984375" style="1617" customWidth="1"/>
    <col min="2821" max="2821" width="6.19921875" style="1617" customWidth="1"/>
    <col min="2822" max="2823" width="5.19921875" style="1617" customWidth="1"/>
    <col min="2824" max="2824" width="6.09765625" style="1617" customWidth="1"/>
    <col min="2825" max="2828" width="5.19921875" style="1617" customWidth="1"/>
    <col min="2829" max="2829" width="8.09765625" style="1617" customWidth="1"/>
    <col min="2830" max="2832" width="6.09765625" style="1617" customWidth="1"/>
    <col min="2833" max="2834" width="5.19921875" style="1617" customWidth="1"/>
    <col min="2835" max="2835" width="6.59765625" style="1617" customWidth="1"/>
    <col min="2836" max="2836" width="6.09765625" style="1617" customWidth="1"/>
    <col min="2837" max="3072" width="8.69921875" style="1617"/>
    <col min="3073" max="3073" width="5.19921875" style="1617" customWidth="1"/>
    <col min="3074" max="3074" width="11.8984375" style="1617" customWidth="1"/>
    <col min="3075" max="3075" width="5.19921875" style="1617" customWidth="1"/>
    <col min="3076" max="3076" width="5.8984375" style="1617" customWidth="1"/>
    <col min="3077" max="3077" width="6.19921875" style="1617" customWidth="1"/>
    <col min="3078" max="3079" width="5.19921875" style="1617" customWidth="1"/>
    <col min="3080" max="3080" width="6.09765625" style="1617" customWidth="1"/>
    <col min="3081" max="3084" width="5.19921875" style="1617" customWidth="1"/>
    <col min="3085" max="3085" width="8.09765625" style="1617" customWidth="1"/>
    <col min="3086" max="3088" width="6.09765625" style="1617" customWidth="1"/>
    <col min="3089" max="3090" width="5.19921875" style="1617" customWidth="1"/>
    <col min="3091" max="3091" width="6.59765625" style="1617" customWidth="1"/>
    <col min="3092" max="3092" width="6.09765625" style="1617" customWidth="1"/>
    <col min="3093" max="3328" width="8.69921875" style="1617"/>
    <col min="3329" max="3329" width="5.19921875" style="1617" customWidth="1"/>
    <col min="3330" max="3330" width="11.8984375" style="1617" customWidth="1"/>
    <col min="3331" max="3331" width="5.19921875" style="1617" customWidth="1"/>
    <col min="3332" max="3332" width="5.8984375" style="1617" customWidth="1"/>
    <col min="3333" max="3333" width="6.19921875" style="1617" customWidth="1"/>
    <col min="3334" max="3335" width="5.19921875" style="1617" customWidth="1"/>
    <col min="3336" max="3336" width="6.09765625" style="1617" customWidth="1"/>
    <col min="3337" max="3340" width="5.19921875" style="1617" customWidth="1"/>
    <col min="3341" max="3341" width="8.09765625" style="1617" customWidth="1"/>
    <col min="3342" max="3344" width="6.09765625" style="1617" customWidth="1"/>
    <col min="3345" max="3346" width="5.19921875" style="1617" customWidth="1"/>
    <col min="3347" max="3347" width="6.59765625" style="1617" customWidth="1"/>
    <col min="3348" max="3348" width="6.09765625" style="1617" customWidth="1"/>
    <col min="3349" max="3584" width="8.69921875" style="1617"/>
    <col min="3585" max="3585" width="5.19921875" style="1617" customWidth="1"/>
    <col min="3586" max="3586" width="11.8984375" style="1617" customWidth="1"/>
    <col min="3587" max="3587" width="5.19921875" style="1617" customWidth="1"/>
    <col min="3588" max="3588" width="5.8984375" style="1617" customWidth="1"/>
    <col min="3589" max="3589" width="6.19921875" style="1617" customWidth="1"/>
    <col min="3590" max="3591" width="5.19921875" style="1617" customWidth="1"/>
    <col min="3592" max="3592" width="6.09765625" style="1617" customWidth="1"/>
    <col min="3593" max="3596" width="5.19921875" style="1617" customWidth="1"/>
    <col min="3597" max="3597" width="8.09765625" style="1617" customWidth="1"/>
    <col min="3598" max="3600" width="6.09765625" style="1617" customWidth="1"/>
    <col min="3601" max="3602" width="5.19921875" style="1617" customWidth="1"/>
    <col min="3603" max="3603" width="6.59765625" style="1617" customWidth="1"/>
    <col min="3604" max="3604" width="6.09765625" style="1617" customWidth="1"/>
    <col min="3605" max="3840" width="8.69921875" style="1617"/>
    <col min="3841" max="3841" width="5.19921875" style="1617" customWidth="1"/>
    <col min="3842" max="3842" width="11.8984375" style="1617" customWidth="1"/>
    <col min="3843" max="3843" width="5.19921875" style="1617" customWidth="1"/>
    <col min="3844" max="3844" width="5.8984375" style="1617" customWidth="1"/>
    <col min="3845" max="3845" width="6.19921875" style="1617" customWidth="1"/>
    <col min="3846" max="3847" width="5.19921875" style="1617" customWidth="1"/>
    <col min="3848" max="3848" width="6.09765625" style="1617" customWidth="1"/>
    <col min="3849" max="3852" width="5.19921875" style="1617" customWidth="1"/>
    <col min="3853" max="3853" width="8.09765625" style="1617" customWidth="1"/>
    <col min="3854" max="3856" width="6.09765625" style="1617" customWidth="1"/>
    <col min="3857" max="3858" width="5.19921875" style="1617" customWidth="1"/>
    <col min="3859" max="3859" width="6.59765625" style="1617" customWidth="1"/>
    <col min="3860" max="3860" width="6.09765625" style="1617" customWidth="1"/>
    <col min="3861" max="4096" width="8.69921875" style="1617"/>
    <col min="4097" max="4097" width="5.19921875" style="1617" customWidth="1"/>
    <col min="4098" max="4098" width="11.8984375" style="1617" customWidth="1"/>
    <col min="4099" max="4099" width="5.19921875" style="1617" customWidth="1"/>
    <col min="4100" max="4100" width="5.8984375" style="1617" customWidth="1"/>
    <col min="4101" max="4101" width="6.19921875" style="1617" customWidth="1"/>
    <col min="4102" max="4103" width="5.19921875" style="1617" customWidth="1"/>
    <col min="4104" max="4104" width="6.09765625" style="1617" customWidth="1"/>
    <col min="4105" max="4108" width="5.19921875" style="1617" customWidth="1"/>
    <col min="4109" max="4109" width="8.09765625" style="1617" customWidth="1"/>
    <col min="4110" max="4112" width="6.09765625" style="1617" customWidth="1"/>
    <col min="4113" max="4114" width="5.19921875" style="1617" customWidth="1"/>
    <col min="4115" max="4115" width="6.59765625" style="1617" customWidth="1"/>
    <col min="4116" max="4116" width="6.09765625" style="1617" customWidth="1"/>
    <col min="4117" max="4352" width="8.69921875" style="1617"/>
    <col min="4353" max="4353" width="5.19921875" style="1617" customWidth="1"/>
    <col min="4354" max="4354" width="11.8984375" style="1617" customWidth="1"/>
    <col min="4355" max="4355" width="5.19921875" style="1617" customWidth="1"/>
    <col min="4356" max="4356" width="5.8984375" style="1617" customWidth="1"/>
    <col min="4357" max="4357" width="6.19921875" style="1617" customWidth="1"/>
    <col min="4358" max="4359" width="5.19921875" style="1617" customWidth="1"/>
    <col min="4360" max="4360" width="6.09765625" style="1617" customWidth="1"/>
    <col min="4361" max="4364" width="5.19921875" style="1617" customWidth="1"/>
    <col min="4365" max="4365" width="8.09765625" style="1617" customWidth="1"/>
    <col min="4366" max="4368" width="6.09765625" style="1617" customWidth="1"/>
    <col min="4369" max="4370" width="5.19921875" style="1617" customWidth="1"/>
    <col min="4371" max="4371" width="6.59765625" style="1617" customWidth="1"/>
    <col min="4372" max="4372" width="6.09765625" style="1617" customWidth="1"/>
    <col min="4373" max="4608" width="8.69921875" style="1617"/>
    <col min="4609" max="4609" width="5.19921875" style="1617" customWidth="1"/>
    <col min="4610" max="4610" width="11.8984375" style="1617" customWidth="1"/>
    <col min="4611" max="4611" width="5.19921875" style="1617" customWidth="1"/>
    <col min="4612" max="4612" width="5.8984375" style="1617" customWidth="1"/>
    <col min="4613" max="4613" width="6.19921875" style="1617" customWidth="1"/>
    <col min="4614" max="4615" width="5.19921875" style="1617" customWidth="1"/>
    <col min="4616" max="4616" width="6.09765625" style="1617" customWidth="1"/>
    <col min="4617" max="4620" width="5.19921875" style="1617" customWidth="1"/>
    <col min="4621" max="4621" width="8.09765625" style="1617" customWidth="1"/>
    <col min="4622" max="4624" width="6.09765625" style="1617" customWidth="1"/>
    <col min="4625" max="4626" width="5.19921875" style="1617" customWidth="1"/>
    <col min="4627" max="4627" width="6.59765625" style="1617" customWidth="1"/>
    <col min="4628" max="4628" width="6.09765625" style="1617" customWidth="1"/>
    <col min="4629" max="4864" width="8.69921875" style="1617"/>
    <col min="4865" max="4865" width="5.19921875" style="1617" customWidth="1"/>
    <col min="4866" max="4866" width="11.8984375" style="1617" customWidth="1"/>
    <col min="4867" max="4867" width="5.19921875" style="1617" customWidth="1"/>
    <col min="4868" max="4868" width="5.8984375" style="1617" customWidth="1"/>
    <col min="4869" max="4869" width="6.19921875" style="1617" customWidth="1"/>
    <col min="4870" max="4871" width="5.19921875" style="1617" customWidth="1"/>
    <col min="4872" max="4872" width="6.09765625" style="1617" customWidth="1"/>
    <col min="4873" max="4876" width="5.19921875" style="1617" customWidth="1"/>
    <col min="4877" max="4877" width="8.09765625" style="1617" customWidth="1"/>
    <col min="4878" max="4880" width="6.09765625" style="1617" customWidth="1"/>
    <col min="4881" max="4882" width="5.19921875" style="1617" customWidth="1"/>
    <col min="4883" max="4883" width="6.59765625" style="1617" customWidth="1"/>
    <col min="4884" max="4884" width="6.09765625" style="1617" customWidth="1"/>
    <col min="4885" max="5120" width="8.69921875" style="1617"/>
    <col min="5121" max="5121" width="5.19921875" style="1617" customWidth="1"/>
    <col min="5122" max="5122" width="11.8984375" style="1617" customWidth="1"/>
    <col min="5123" max="5123" width="5.19921875" style="1617" customWidth="1"/>
    <col min="5124" max="5124" width="5.8984375" style="1617" customWidth="1"/>
    <col min="5125" max="5125" width="6.19921875" style="1617" customWidth="1"/>
    <col min="5126" max="5127" width="5.19921875" style="1617" customWidth="1"/>
    <col min="5128" max="5128" width="6.09765625" style="1617" customWidth="1"/>
    <col min="5129" max="5132" width="5.19921875" style="1617" customWidth="1"/>
    <col min="5133" max="5133" width="8.09765625" style="1617" customWidth="1"/>
    <col min="5134" max="5136" width="6.09765625" style="1617" customWidth="1"/>
    <col min="5137" max="5138" width="5.19921875" style="1617" customWidth="1"/>
    <col min="5139" max="5139" width="6.59765625" style="1617" customWidth="1"/>
    <col min="5140" max="5140" width="6.09765625" style="1617" customWidth="1"/>
    <col min="5141" max="5376" width="8.69921875" style="1617"/>
    <col min="5377" max="5377" width="5.19921875" style="1617" customWidth="1"/>
    <col min="5378" max="5378" width="11.8984375" style="1617" customWidth="1"/>
    <col min="5379" max="5379" width="5.19921875" style="1617" customWidth="1"/>
    <col min="5380" max="5380" width="5.8984375" style="1617" customWidth="1"/>
    <col min="5381" max="5381" width="6.19921875" style="1617" customWidth="1"/>
    <col min="5382" max="5383" width="5.19921875" style="1617" customWidth="1"/>
    <col min="5384" max="5384" width="6.09765625" style="1617" customWidth="1"/>
    <col min="5385" max="5388" width="5.19921875" style="1617" customWidth="1"/>
    <col min="5389" max="5389" width="8.09765625" style="1617" customWidth="1"/>
    <col min="5390" max="5392" width="6.09765625" style="1617" customWidth="1"/>
    <col min="5393" max="5394" width="5.19921875" style="1617" customWidth="1"/>
    <col min="5395" max="5395" width="6.59765625" style="1617" customWidth="1"/>
    <col min="5396" max="5396" width="6.09765625" style="1617" customWidth="1"/>
    <col min="5397" max="5632" width="8.69921875" style="1617"/>
    <col min="5633" max="5633" width="5.19921875" style="1617" customWidth="1"/>
    <col min="5634" max="5634" width="11.8984375" style="1617" customWidth="1"/>
    <col min="5635" max="5635" width="5.19921875" style="1617" customWidth="1"/>
    <col min="5636" max="5636" width="5.8984375" style="1617" customWidth="1"/>
    <col min="5637" max="5637" width="6.19921875" style="1617" customWidth="1"/>
    <col min="5638" max="5639" width="5.19921875" style="1617" customWidth="1"/>
    <col min="5640" max="5640" width="6.09765625" style="1617" customWidth="1"/>
    <col min="5641" max="5644" width="5.19921875" style="1617" customWidth="1"/>
    <col min="5645" max="5645" width="8.09765625" style="1617" customWidth="1"/>
    <col min="5646" max="5648" width="6.09765625" style="1617" customWidth="1"/>
    <col min="5649" max="5650" width="5.19921875" style="1617" customWidth="1"/>
    <col min="5651" max="5651" width="6.59765625" style="1617" customWidth="1"/>
    <col min="5652" max="5652" width="6.09765625" style="1617" customWidth="1"/>
    <col min="5653" max="5888" width="8.69921875" style="1617"/>
    <col min="5889" max="5889" width="5.19921875" style="1617" customWidth="1"/>
    <col min="5890" max="5890" width="11.8984375" style="1617" customWidth="1"/>
    <col min="5891" max="5891" width="5.19921875" style="1617" customWidth="1"/>
    <col min="5892" max="5892" width="5.8984375" style="1617" customWidth="1"/>
    <col min="5893" max="5893" width="6.19921875" style="1617" customWidth="1"/>
    <col min="5894" max="5895" width="5.19921875" style="1617" customWidth="1"/>
    <col min="5896" max="5896" width="6.09765625" style="1617" customWidth="1"/>
    <col min="5897" max="5900" width="5.19921875" style="1617" customWidth="1"/>
    <col min="5901" max="5901" width="8.09765625" style="1617" customWidth="1"/>
    <col min="5902" max="5904" width="6.09765625" style="1617" customWidth="1"/>
    <col min="5905" max="5906" width="5.19921875" style="1617" customWidth="1"/>
    <col min="5907" max="5907" width="6.59765625" style="1617" customWidth="1"/>
    <col min="5908" max="5908" width="6.09765625" style="1617" customWidth="1"/>
    <col min="5909" max="6144" width="8.69921875" style="1617"/>
    <col min="6145" max="6145" width="5.19921875" style="1617" customWidth="1"/>
    <col min="6146" max="6146" width="11.8984375" style="1617" customWidth="1"/>
    <col min="6147" max="6147" width="5.19921875" style="1617" customWidth="1"/>
    <col min="6148" max="6148" width="5.8984375" style="1617" customWidth="1"/>
    <col min="6149" max="6149" width="6.19921875" style="1617" customWidth="1"/>
    <col min="6150" max="6151" width="5.19921875" style="1617" customWidth="1"/>
    <col min="6152" max="6152" width="6.09765625" style="1617" customWidth="1"/>
    <col min="6153" max="6156" width="5.19921875" style="1617" customWidth="1"/>
    <col min="6157" max="6157" width="8.09765625" style="1617" customWidth="1"/>
    <col min="6158" max="6160" width="6.09765625" style="1617" customWidth="1"/>
    <col min="6161" max="6162" width="5.19921875" style="1617" customWidth="1"/>
    <col min="6163" max="6163" width="6.59765625" style="1617" customWidth="1"/>
    <col min="6164" max="6164" width="6.09765625" style="1617" customWidth="1"/>
    <col min="6165" max="6400" width="8.69921875" style="1617"/>
    <col min="6401" max="6401" width="5.19921875" style="1617" customWidth="1"/>
    <col min="6402" max="6402" width="11.8984375" style="1617" customWidth="1"/>
    <col min="6403" max="6403" width="5.19921875" style="1617" customWidth="1"/>
    <col min="6404" max="6404" width="5.8984375" style="1617" customWidth="1"/>
    <col min="6405" max="6405" width="6.19921875" style="1617" customWidth="1"/>
    <col min="6406" max="6407" width="5.19921875" style="1617" customWidth="1"/>
    <col min="6408" max="6408" width="6.09765625" style="1617" customWidth="1"/>
    <col min="6409" max="6412" width="5.19921875" style="1617" customWidth="1"/>
    <col min="6413" max="6413" width="8.09765625" style="1617" customWidth="1"/>
    <col min="6414" max="6416" width="6.09765625" style="1617" customWidth="1"/>
    <col min="6417" max="6418" width="5.19921875" style="1617" customWidth="1"/>
    <col min="6419" max="6419" width="6.59765625" style="1617" customWidth="1"/>
    <col min="6420" max="6420" width="6.09765625" style="1617" customWidth="1"/>
    <col min="6421" max="6656" width="8.69921875" style="1617"/>
    <col min="6657" max="6657" width="5.19921875" style="1617" customWidth="1"/>
    <col min="6658" max="6658" width="11.8984375" style="1617" customWidth="1"/>
    <col min="6659" max="6659" width="5.19921875" style="1617" customWidth="1"/>
    <col min="6660" max="6660" width="5.8984375" style="1617" customWidth="1"/>
    <col min="6661" max="6661" width="6.19921875" style="1617" customWidth="1"/>
    <col min="6662" max="6663" width="5.19921875" style="1617" customWidth="1"/>
    <col min="6664" max="6664" width="6.09765625" style="1617" customWidth="1"/>
    <col min="6665" max="6668" width="5.19921875" style="1617" customWidth="1"/>
    <col min="6669" max="6669" width="8.09765625" style="1617" customWidth="1"/>
    <col min="6670" max="6672" width="6.09765625" style="1617" customWidth="1"/>
    <col min="6673" max="6674" width="5.19921875" style="1617" customWidth="1"/>
    <col min="6675" max="6675" width="6.59765625" style="1617" customWidth="1"/>
    <col min="6676" max="6676" width="6.09765625" style="1617" customWidth="1"/>
    <col min="6677" max="6912" width="8.69921875" style="1617"/>
    <col min="6913" max="6913" width="5.19921875" style="1617" customWidth="1"/>
    <col min="6914" max="6914" width="11.8984375" style="1617" customWidth="1"/>
    <col min="6915" max="6915" width="5.19921875" style="1617" customWidth="1"/>
    <col min="6916" max="6916" width="5.8984375" style="1617" customWidth="1"/>
    <col min="6917" max="6917" width="6.19921875" style="1617" customWidth="1"/>
    <col min="6918" max="6919" width="5.19921875" style="1617" customWidth="1"/>
    <col min="6920" max="6920" width="6.09765625" style="1617" customWidth="1"/>
    <col min="6921" max="6924" width="5.19921875" style="1617" customWidth="1"/>
    <col min="6925" max="6925" width="8.09765625" style="1617" customWidth="1"/>
    <col min="6926" max="6928" width="6.09765625" style="1617" customWidth="1"/>
    <col min="6929" max="6930" width="5.19921875" style="1617" customWidth="1"/>
    <col min="6931" max="6931" width="6.59765625" style="1617" customWidth="1"/>
    <col min="6932" max="6932" width="6.09765625" style="1617" customWidth="1"/>
    <col min="6933" max="7168" width="8.69921875" style="1617"/>
    <col min="7169" max="7169" width="5.19921875" style="1617" customWidth="1"/>
    <col min="7170" max="7170" width="11.8984375" style="1617" customWidth="1"/>
    <col min="7171" max="7171" width="5.19921875" style="1617" customWidth="1"/>
    <col min="7172" max="7172" width="5.8984375" style="1617" customWidth="1"/>
    <col min="7173" max="7173" width="6.19921875" style="1617" customWidth="1"/>
    <col min="7174" max="7175" width="5.19921875" style="1617" customWidth="1"/>
    <col min="7176" max="7176" width="6.09765625" style="1617" customWidth="1"/>
    <col min="7177" max="7180" width="5.19921875" style="1617" customWidth="1"/>
    <col min="7181" max="7181" width="8.09765625" style="1617" customWidth="1"/>
    <col min="7182" max="7184" width="6.09765625" style="1617" customWidth="1"/>
    <col min="7185" max="7186" width="5.19921875" style="1617" customWidth="1"/>
    <col min="7187" max="7187" width="6.59765625" style="1617" customWidth="1"/>
    <col min="7188" max="7188" width="6.09765625" style="1617" customWidth="1"/>
    <col min="7189" max="7424" width="8.69921875" style="1617"/>
    <col min="7425" max="7425" width="5.19921875" style="1617" customWidth="1"/>
    <col min="7426" max="7426" width="11.8984375" style="1617" customWidth="1"/>
    <col min="7427" max="7427" width="5.19921875" style="1617" customWidth="1"/>
    <col min="7428" max="7428" width="5.8984375" style="1617" customWidth="1"/>
    <col min="7429" max="7429" width="6.19921875" style="1617" customWidth="1"/>
    <col min="7430" max="7431" width="5.19921875" style="1617" customWidth="1"/>
    <col min="7432" max="7432" width="6.09765625" style="1617" customWidth="1"/>
    <col min="7433" max="7436" width="5.19921875" style="1617" customWidth="1"/>
    <col min="7437" max="7437" width="8.09765625" style="1617" customWidth="1"/>
    <col min="7438" max="7440" width="6.09765625" style="1617" customWidth="1"/>
    <col min="7441" max="7442" width="5.19921875" style="1617" customWidth="1"/>
    <col min="7443" max="7443" width="6.59765625" style="1617" customWidth="1"/>
    <col min="7444" max="7444" width="6.09765625" style="1617" customWidth="1"/>
    <col min="7445" max="7680" width="8.69921875" style="1617"/>
    <col min="7681" max="7681" width="5.19921875" style="1617" customWidth="1"/>
    <col min="7682" max="7682" width="11.8984375" style="1617" customWidth="1"/>
    <col min="7683" max="7683" width="5.19921875" style="1617" customWidth="1"/>
    <col min="7684" max="7684" width="5.8984375" style="1617" customWidth="1"/>
    <col min="7685" max="7685" width="6.19921875" style="1617" customWidth="1"/>
    <col min="7686" max="7687" width="5.19921875" style="1617" customWidth="1"/>
    <col min="7688" max="7688" width="6.09765625" style="1617" customWidth="1"/>
    <col min="7689" max="7692" width="5.19921875" style="1617" customWidth="1"/>
    <col min="7693" max="7693" width="8.09765625" style="1617" customWidth="1"/>
    <col min="7694" max="7696" width="6.09765625" style="1617" customWidth="1"/>
    <col min="7697" max="7698" width="5.19921875" style="1617" customWidth="1"/>
    <col min="7699" max="7699" width="6.59765625" style="1617" customWidth="1"/>
    <col min="7700" max="7700" width="6.09765625" style="1617" customWidth="1"/>
    <col min="7701" max="7936" width="8.69921875" style="1617"/>
    <col min="7937" max="7937" width="5.19921875" style="1617" customWidth="1"/>
    <col min="7938" max="7938" width="11.8984375" style="1617" customWidth="1"/>
    <col min="7939" max="7939" width="5.19921875" style="1617" customWidth="1"/>
    <col min="7940" max="7940" width="5.8984375" style="1617" customWidth="1"/>
    <col min="7941" max="7941" width="6.19921875" style="1617" customWidth="1"/>
    <col min="7942" max="7943" width="5.19921875" style="1617" customWidth="1"/>
    <col min="7944" max="7944" width="6.09765625" style="1617" customWidth="1"/>
    <col min="7945" max="7948" width="5.19921875" style="1617" customWidth="1"/>
    <col min="7949" max="7949" width="8.09765625" style="1617" customWidth="1"/>
    <col min="7950" max="7952" width="6.09765625" style="1617" customWidth="1"/>
    <col min="7953" max="7954" width="5.19921875" style="1617" customWidth="1"/>
    <col min="7955" max="7955" width="6.59765625" style="1617" customWidth="1"/>
    <col min="7956" max="7956" width="6.09765625" style="1617" customWidth="1"/>
    <col min="7957" max="8192" width="8.69921875" style="1617"/>
    <col min="8193" max="8193" width="5.19921875" style="1617" customWidth="1"/>
    <col min="8194" max="8194" width="11.8984375" style="1617" customWidth="1"/>
    <col min="8195" max="8195" width="5.19921875" style="1617" customWidth="1"/>
    <col min="8196" max="8196" width="5.8984375" style="1617" customWidth="1"/>
    <col min="8197" max="8197" width="6.19921875" style="1617" customWidth="1"/>
    <col min="8198" max="8199" width="5.19921875" style="1617" customWidth="1"/>
    <col min="8200" max="8200" width="6.09765625" style="1617" customWidth="1"/>
    <col min="8201" max="8204" width="5.19921875" style="1617" customWidth="1"/>
    <col min="8205" max="8205" width="8.09765625" style="1617" customWidth="1"/>
    <col min="8206" max="8208" width="6.09765625" style="1617" customWidth="1"/>
    <col min="8209" max="8210" width="5.19921875" style="1617" customWidth="1"/>
    <col min="8211" max="8211" width="6.59765625" style="1617" customWidth="1"/>
    <col min="8212" max="8212" width="6.09765625" style="1617" customWidth="1"/>
    <col min="8213" max="8448" width="8.69921875" style="1617"/>
    <col min="8449" max="8449" width="5.19921875" style="1617" customWidth="1"/>
    <col min="8450" max="8450" width="11.8984375" style="1617" customWidth="1"/>
    <col min="8451" max="8451" width="5.19921875" style="1617" customWidth="1"/>
    <col min="8452" max="8452" width="5.8984375" style="1617" customWidth="1"/>
    <col min="8453" max="8453" width="6.19921875" style="1617" customWidth="1"/>
    <col min="8454" max="8455" width="5.19921875" style="1617" customWidth="1"/>
    <col min="8456" max="8456" width="6.09765625" style="1617" customWidth="1"/>
    <col min="8457" max="8460" width="5.19921875" style="1617" customWidth="1"/>
    <col min="8461" max="8461" width="8.09765625" style="1617" customWidth="1"/>
    <col min="8462" max="8464" width="6.09765625" style="1617" customWidth="1"/>
    <col min="8465" max="8466" width="5.19921875" style="1617" customWidth="1"/>
    <col min="8467" max="8467" width="6.59765625" style="1617" customWidth="1"/>
    <col min="8468" max="8468" width="6.09765625" style="1617" customWidth="1"/>
    <col min="8469" max="8704" width="8.69921875" style="1617"/>
    <col min="8705" max="8705" width="5.19921875" style="1617" customWidth="1"/>
    <col min="8706" max="8706" width="11.8984375" style="1617" customWidth="1"/>
    <col min="8707" max="8707" width="5.19921875" style="1617" customWidth="1"/>
    <col min="8708" max="8708" width="5.8984375" style="1617" customWidth="1"/>
    <col min="8709" max="8709" width="6.19921875" style="1617" customWidth="1"/>
    <col min="8710" max="8711" width="5.19921875" style="1617" customWidth="1"/>
    <col min="8712" max="8712" width="6.09765625" style="1617" customWidth="1"/>
    <col min="8713" max="8716" width="5.19921875" style="1617" customWidth="1"/>
    <col min="8717" max="8717" width="8.09765625" style="1617" customWidth="1"/>
    <col min="8718" max="8720" width="6.09765625" style="1617" customWidth="1"/>
    <col min="8721" max="8722" width="5.19921875" style="1617" customWidth="1"/>
    <col min="8723" max="8723" width="6.59765625" style="1617" customWidth="1"/>
    <col min="8724" max="8724" width="6.09765625" style="1617" customWidth="1"/>
    <col min="8725" max="8960" width="8.69921875" style="1617"/>
    <col min="8961" max="8961" width="5.19921875" style="1617" customWidth="1"/>
    <col min="8962" max="8962" width="11.8984375" style="1617" customWidth="1"/>
    <col min="8963" max="8963" width="5.19921875" style="1617" customWidth="1"/>
    <col min="8964" max="8964" width="5.8984375" style="1617" customWidth="1"/>
    <col min="8965" max="8965" width="6.19921875" style="1617" customWidth="1"/>
    <col min="8966" max="8967" width="5.19921875" style="1617" customWidth="1"/>
    <col min="8968" max="8968" width="6.09765625" style="1617" customWidth="1"/>
    <col min="8969" max="8972" width="5.19921875" style="1617" customWidth="1"/>
    <col min="8973" max="8973" width="8.09765625" style="1617" customWidth="1"/>
    <col min="8974" max="8976" width="6.09765625" style="1617" customWidth="1"/>
    <col min="8977" max="8978" width="5.19921875" style="1617" customWidth="1"/>
    <col min="8979" max="8979" width="6.59765625" style="1617" customWidth="1"/>
    <col min="8980" max="8980" width="6.09765625" style="1617" customWidth="1"/>
    <col min="8981" max="9216" width="8.69921875" style="1617"/>
    <col min="9217" max="9217" width="5.19921875" style="1617" customWidth="1"/>
    <col min="9218" max="9218" width="11.8984375" style="1617" customWidth="1"/>
    <col min="9219" max="9219" width="5.19921875" style="1617" customWidth="1"/>
    <col min="9220" max="9220" width="5.8984375" style="1617" customWidth="1"/>
    <col min="9221" max="9221" width="6.19921875" style="1617" customWidth="1"/>
    <col min="9222" max="9223" width="5.19921875" style="1617" customWidth="1"/>
    <col min="9224" max="9224" width="6.09765625" style="1617" customWidth="1"/>
    <col min="9225" max="9228" width="5.19921875" style="1617" customWidth="1"/>
    <col min="9229" max="9229" width="8.09765625" style="1617" customWidth="1"/>
    <col min="9230" max="9232" width="6.09765625" style="1617" customWidth="1"/>
    <col min="9233" max="9234" width="5.19921875" style="1617" customWidth="1"/>
    <col min="9235" max="9235" width="6.59765625" style="1617" customWidth="1"/>
    <col min="9236" max="9236" width="6.09765625" style="1617" customWidth="1"/>
    <col min="9237" max="9472" width="8.69921875" style="1617"/>
    <col min="9473" max="9473" width="5.19921875" style="1617" customWidth="1"/>
    <col min="9474" max="9474" width="11.8984375" style="1617" customWidth="1"/>
    <col min="9475" max="9475" width="5.19921875" style="1617" customWidth="1"/>
    <col min="9476" max="9476" width="5.8984375" style="1617" customWidth="1"/>
    <col min="9477" max="9477" width="6.19921875" style="1617" customWidth="1"/>
    <col min="9478" max="9479" width="5.19921875" style="1617" customWidth="1"/>
    <col min="9480" max="9480" width="6.09765625" style="1617" customWidth="1"/>
    <col min="9481" max="9484" width="5.19921875" style="1617" customWidth="1"/>
    <col min="9485" max="9485" width="8.09765625" style="1617" customWidth="1"/>
    <col min="9486" max="9488" width="6.09765625" style="1617" customWidth="1"/>
    <col min="9489" max="9490" width="5.19921875" style="1617" customWidth="1"/>
    <col min="9491" max="9491" width="6.59765625" style="1617" customWidth="1"/>
    <col min="9492" max="9492" width="6.09765625" style="1617" customWidth="1"/>
    <col min="9493" max="9728" width="8.69921875" style="1617"/>
    <col min="9729" max="9729" width="5.19921875" style="1617" customWidth="1"/>
    <col min="9730" max="9730" width="11.8984375" style="1617" customWidth="1"/>
    <col min="9731" max="9731" width="5.19921875" style="1617" customWidth="1"/>
    <col min="9732" max="9732" width="5.8984375" style="1617" customWidth="1"/>
    <col min="9733" max="9733" width="6.19921875" style="1617" customWidth="1"/>
    <col min="9734" max="9735" width="5.19921875" style="1617" customWidth="1"/>
    <col min="9736" max="9736" width="6.09765625" style="1617" customWidth="1"/>
    <col min="9737" max="9740" width="5.19921875" style="1617" customWidth="1"/>
    <col min="9741" max="9741" width="8.09765625" style="1617" customWidth="1"/>
    <col min="9742" max="9744" width="6.09765625" style="1617" customWidth="1"/>
    <col min="9745" max="9746" width="5.19921875" style="1617" customWidth="1"/>
    <col min="9747" max="9747" width="6.59765625" style="1617" customWidth="1"/>
    <col min="9748" max="9748" width="6.09765625" style="1617" customWidth="1"/>
    <col min="9749" max="9984" width="8.69921875" style="1617"/>
    <col min="9985" max="9985" width="5.19921875" style="1617" customWidth="1"/>
    <col min="9986" max="9986" width="11.8984375" style="1617" customWidth="1"/>
    <col min="9987" max="9987" width="5.19921875" style="1617" customWidth="1"/>
    <col min="9988" max="9988" width="5.8984375" style="1617" customWidth="1"/>
    <col min="9989" max="9989" width="6.19921875" style="1617" customWidth="1"/>
    <col min="9990" max="9991" width="5.19921875" style="1617" customWidth="1"/>
    <col min="9992" max="9992" width="6.09765625" style="1617" customWidth="1"/>
    <col min="9993" max="9996" width="5.19921875" style="1617" customWidth="1"/>
    <col min="9997" max="9997" width="8.09765625" style="1617" customWidth="1"/>
    <col min="9998" max="10000" width="6.09765625" style="1617" customWidth="1"/>
    <col min="10001" max="10002" width="5.19921875" style="1617" customWidth="1"/>
    <col min="10003" max="10003" width="6.59765625" style="1617" customWidth="1"/>
    <col min="10004" max="10004" width="6.09765625" style="1617" customWidth="1"/>
    <col min="10005" max="10240" width="8.69921875" style="1617"/>
    <col min="10241" max="10241" width="5.19921875" style="1617" customWidth="1"/>
    <col min="10242" max="10242" width="11.8984375" style="1617" customWidth="1"/>
    <col min="10243" max="10243" width="5.19921875" style="1617" customWidth="1"/>
    <col min="10244" max="10244" width="5.8984375" style="1617" customWidth="1"/>
    <col min="10245" max="10245" width="6.19921875" style="1617" customWidth="1"/>
    <col min="10246" max="10247" width="5.19921875" style="1617" customWidth="1"/>
    <col min="10248" max="10248" width="6.09765625" style="1617" customWidth="1"/>
    <col min="10249" max="10252" width="5.19921875" style="1617" customWidth="1"/>
    <col min="10253" max="10253" width="8.09765625" style="1617" customWidth="1"/>
    <col min="10254" max="10256" width="6.09765625" style="1617" customWidth="1"/>
    <col min="10257" max="10258" width="5.19921875" style="1617" customWidth="1"/>
    <col min="10259" max="10259" width="6.59765625" style="1617" customWidth="1"/>
    <col min="10260" max="10260" width="6.09765625" style="1617" customWidth="1"/>
    <col min="10261" max="10496" width="8.69921875" style="1617"/>
    <col min="10497" max="10497" width="5.19921875" style="1617" customWidth="1"/>
    <col min="10498" max="10498" width="11.8984375" style="1617" customWidth="1"/>
    <col min="10499" max="10499" width="5.19921875" style="1617" customWidth="1"/>
    <col min="10500" max="10500" width="5.8984375" style="1617" customWidth="1"/>
    <col min="10501" max="10501" width="6.19921875" style="1617" customWidth="1"/>
    <col min="10502" max="10503" width="5.19921875" style="1617" customWidth="1"/>
    <col min="10504" max="10504" width="6.09765625" style="1617" customWidth="1"/>
    <col min="10505" max="10508" width="5.19921875" style="1617" customWidth="1"/>
    <col min="10509" max="10509" width="8.09765625" style="1617" customWidth="1"/>
    <col min="10510" max="10512" width="6.09765625" style="1617" customWidth="1"/>
    <col min="10513" max="10514" width="5.19921875" style="1617" customWidth="1"/>
    <col min="10515" max="10515" width="6.59765625" style="1617" customWidth="1"/>
    <col min="10516" max="10516" width="6.09765625" style="1617" customWidth="1"/>
    <col min="10517" max="10752" width="8.69921875" style="1617"/>
    <col min="10753" max="10753" width="5.19921875" style="1617" customWidth="1"/>
    <col min="10754" max="10754" width="11.8984375" style="1617" customWidth="1"/>
    <col min="10755" max="10755" width="5.19921875" style="1617" customWidth="1"/>
    <col min="10756" max="10756" width="5.8984375" style="1617" customWidth="1"/>
    <col min="10757" max="10757" width="6.19921875" style="1617" customWidth="1"/>
    <col min="10758" max="10759" width="5.19921875" style="1617" customWidth="1"/>
    <col min="10760" max="10760" width="6.09765625" style="1617" customWidth="1"/>
    <col min="10761" max="10764" width="5.19921875" style="1617" customWidth="1"/>
    <col min="10765" max="10765" width="8.09765625" style="1617" customWidth="1"/>
    <col min="10766" max="10768" width="6.09765625" style="1617" customWidth="1"/>
    <col min="10769" max="10770" width="5.19921875" style="1617" customWidth="1"/>
    <col min="10771" max="10771" width="6.59765625" style="1617" customWidth="1"/>
    <col min="10772" max="10772" width="6.09765625" style="1617" customWidth="1"/>
    <col min="10773" max="11008" width="8.69921875" style="1617"/>
    <col min="11009" max="11009" width="5.19921875" style="1617" customWidth="1"/>
    <col min="11010" max="11010" width="11.8984375" style="1617" customWidth="1"/>
    <col min="11011" max="11011" width="5.19921875" style="1617" customWidth="1"/>
    <col min="11012" max="11012" width="5.8984375" style="1617" customWidth="1"/>
    <col min="11013" max="11013" width="6.19921875" style="1617" customWidth="1"/>
    <col min="11014" max="11015" width="5.19921875" style="1617" customWidth="1"/>
    <col min="11016" max="11016" width="6.09765625" style="1617" customWidth="1"/>
    <col min="11017" max="11020" width="5.19921875" style="1617" customWidth="1"/>
    <col min="11021" max="11021" width="8.09765625" style="1617" customWidth="1"/>
    <col min="11022" max="11024" width="6.09765625" style="1617" customWidth="1"/>
    <col min="11025" max="11026" width="5.19921875" style="1617" customWidth="1"/>
    <col min="11027" max="11027" width="6.59765625" style="1617" customWidth="1"/>
    <col min="11028" max="11028" width="6.09765625" style="1617" customWidth="1"/>
    <col min="11029" max="11264" width="8.69921875" style="1617"/>
    <col min="11265" max="11265" width="5.19921875" style="1617" customWidth="1"/>
    <col min="11266" max="11266" width="11.8984375" style="1617" customWidth="1"/>
    <col min="11267" max="11267" width="5.19921875" style="1617" customWidth="1"/>
    <col min="11268" max="11268" width="5.8984375" style="1617" customWidth="1"/>
    <col min="11269" max="11269" width="6.19921875" style="1617" customWidth="1"/>
    <col min="11270" max="11271" width="5.19921875" style="1617" customWidth="1"/>
    <col min="11272" max="11272" width="6.09765625" style="1617" customWidth="1"/>
    <col min="11273" max="11276" width="5.19921875" style="1617" customWidth="1"/>
    <col min="11277" max="11277" width="8.09765625" style="1617" customWidth="1"/>
    <col min="11278" max="11280" width="6.09765625" style="1617" customWidth="1"/>
    <col min="11281" max="11282" width="5.19921875" style="1617" customWidth="1"/>
    <col min="11283" max="11283" width="6.59765625" style="1617" customWidth="1"/>
    <col min="11284" max="11284" width="6.09765625" style="1617" customWidth="1"/>
    <col min="11285" max="11520" width="8.69921875" style="1617"/>
    <col min="11521" max="11521" width="5.19921875" style="1617" customWidth="1"/>
    <col min="11522" max="11522" width="11.8984375" style="1617" customWidth="1"/>
    <col min="11523" max="11523" width="5.19921875" style="1617" customWidth="1"/>
    <col min="11524" max="11524" width="5.8984375" style="1617" customWidth="1"/>
    <col min="11525" max="11525" width="6.19921875" style="1617" customWidth="1"/>
    <col min="11526" max="11527" width="5.19921875" style="1617" customWidth="1"/>
    <col min="11528" max="11528" width="6.09765625" style="1617" customWidth="1"/>
    <col min="11529" max="11532" width="5.19921875" style="1617" customWidth="1"/>
    <col min="11533" max="11533" width="8.09765625" style="1617" customWidth="1"/>
    <col min="11534" max="11536" width="6.09765625" style="1617" customWidth="1"/>
    <col min="11537" max="11538" width="5.19921875" style="1617" customWidth="1"/>
    <col min="11539" max="11539" width="6.59765625" style="1617" customWidth="1"/>
    <col min="11540" max="11540" width="6.09765625" style="1617" customWidth="1"/>
    <col min="11541" max="11776" width="8.69921875" style="1617"/>
    <col min="11777" max="11777" width="5.19921875" style="1617" customWidth="1"/>
    <col min="11778" max="11778" width="11.8984375" style="1617" customWidth="1"/>
    <col min="11779" max="11779" width="5.19921875" style="1617" customWidth="1"/>
    <col min="11780" max="11780" width="5.8984375" style="1617" customWidth="1"/>
    <col min="11781" max="11781" width="6.19921875" style="1617" customWidth="1"/>
    <col min="11782" max="11783" width="5.19921875" style="1617" customWidth="1"/>
    <col min="11784" max="11784" width="6.09765625" style="1617" customWidth="1"/>
    <col min="11785" max="11788" width="5.19921875" style="1617" customWidth="1"/>
    <col min="11789" max="11789" width="8.09765625" style="1617" customWidth="1"/>
    <col min="11790" max="11792" width="6.09765625" style="1617" customWidth="1"/>
    <col min="11793" max="11794" width="5.19921875" style="1617" customWidth="1"/>
    <col min="11795" max="11795" width="6.59765625" style="1617" customWidth="1"/>
    <col min="11796" max="11796" width="6.09765625" style="1617" customWidth="1"/>
    <col min="11797" max="12032" width="8.69921875" style="1617"/>
    <col min="12033" max="12033" width="5.19921875" style="1617" customWidth="1"/>
    <col min="12034" max="12034" width="11.8984375" style="1617" customWidth="1"/>
    <col min="12035" max="12035" width="5.19921875" style="1617" customWidth="1"/>
    <col min="12036" max="12036" width="5.8984375" style="1617" customWidth="1"/>
    <col min="12037" max="12037" width="6.19921875" style="1617" customWidth="1"/>
    <col min="12038" max="12039" width="5.19921875" style="1617" customWidth="1"/>
    <col min="12040" max="12040" width="6.09765625" style="1617" customWidth="1"/>
    <col min="12041" max="12044" width="5.19921875" style="1617" customWidth="1"/>
    <col min="12045" max="12045" width="8.09765625" style="1617" customWidth="1"/>
    <col min="12046" max="12048" width="6.09765625" style="1617" customWidth="1"/>
    <col min="12049" max="12050" width="5.19921875" style="1617" customWidth="1"/>
    <col min="12051" max="12051" width="6.59765625" style="1617" customWidth="1"/>
    <col min="12052" max="12052" width="6.09765625" style="1617" customWidth="1"/>
    <col min="12053" max="12288" width="8.69921875" style="1617"/>
    <col min="12289" max="12289" width="5.19921875" style="1617" customWidth="1"/>
    <col min="12290" max="12290" width="11.8984375" style="1617" customWidth="1"/>
    <col min="12291" max="12291" width="5.19921875" style="1617" customWidth="1"/>
    <col min="12292" max="12292" width="5.8984375" style="1617" customWidth="1"/>
    <col min="12293" max="12293" width="6.19921875" style="1617" customWidth="1"/>
    <col min="12294" max="12295" width="5.19921875" style="1617" customWidth="1"/>
    <col min="12296" max="12296" width="6.09765625" style="1617" customWidth="1"/>
    <col min="12297" max="12300" width="5.19921875" style="1617" customWidth="1"/>
    <col min="12301" max="12301" width="8.09765625" style="1617" customWidth="1"/>
    <col min="12302" max="12304" width="6.09765625" style="1617" customWidth="1"/>
    <col min="12305" max="12306" width="5.19921875" style="1617" customWidth="1"/>
    <col min="12307" max="12307" width="6.59765625" style="1617" customWidth="1"/>
    <col min="12308" max="12308" width="6.09765625" style="1617" customWidth="1"/>
    <col min="12309" max="12544" width="8.69921875" style="1617"/>
    <col min="12545" max="12545" width="5.19921875" style="1617" customWidth="1"/>
    <col min="12546" max="12546" width="11.8984375" style="1617" customWidth="1"/>
    <col min="12547" max="12547" width="5.19921875" style="1617" customWidth="1"/>
    <col min="12548" max="12548" width="5.8984375" style="1617" customWidth="1"/>
    <col min="12549" max="12549" width="6.19921875" style="1617" customWidth="1"/>
    <col min="12550" max="12551" width="5.19921875" style="1617" customWidth="1"/>
    <col min="12552" max="12552" width="6.09765625" style="1617" customWidth="1"/>
    <col min="12553" max="12556" width="5.19921875" style="1617" customWidth="1"/>
    <col min="12557" max="12557" width="8.09765625" style="1617" customWidth="1"/>
    <col min="12558" max="12560" width="6.09765625" style="1617" customWidth="1"/>
    <col min="12561" max="12562" width="5.19921875" style="1617" customWidth="1"/>
    <col min="12563" max="12563" width="6.59765625" style="1617" customWidth="1"/>
    <col min="12564" max="12564" width="6.09765625" style="1617" customWidth="1"/>
    <col min="12565" max="12800" width="8.69921875" style="1617"/>
    <col min="12801" max="12801" width="5.19921875" style="1617" customWidth="1"/>
    <col min="12802" max="12802" width="11.8984375" style="1617" customWidth="1"/>
    <col min="12803" max="12803" width="5.19921875" style="1617" customWidth="1"/>
    <col min="12804" max="12804" width="5.8984375" style="1617" customWidth="1"/>
    <col min="12805" max="12805" width="6.19921875" style="1617" customWidth="1"/>
    <col min="12806" max="12807" width="5.19921875" style="1617" customWidth="1"/>
    <col min="12808" max="12808" width="6.09765625" style="1617" customWidth="1"/>
    <col min="12809" max="12812" width="5.19921875" style="1617" customWidth="1"/>
    <col min="12813" max="12813" width="8.09765625" style="1617" customWidth="1"/>
    <col min="12814" max="12816" width="6.09765625" style="1617" customWidth="1"/>
    <col min="12817" max="12818" width="5.19921875" style="1617" customWidth="1"/>
    <col min="12819" max="12819" width="6.59765625" style="1617" customWidth="1"/>
    <col min="12820" max="12820" width="6.09765625" style="1617" customWidth="1"/>
    <col min="12821" max="13056" width="8.69921875" style="1617"/>
    <col min="13057" max="13057" width="5.19921875" style="1617" customWidth="1"/>
    <col min="13058" max="13058" width="11.8984375" style="1617" customWidth="1"/>
    <col min="13059" max="13059" width="5.19921875" style="1617" customWidth="1"/>
    <col min="13060" max="13060" width="5.8984375" style="1617" customWidth="1"/>
    <col min="13061" max="13061" width="6.19921875" style="1617" customWidth="1"/>
    <col min="13062" max="13063" width="5.19921875" style="1617" customWidth="1"/>
    <col min="13064" max="13064" width="6.09765625" style="1617" customWidth="1"/>
    <col min="13065" max="13068" width="5.19921875" style="1617" customWidth="1"/>
    <col min="13069" max="13069" width="8.09765625" style="1617" customWidth="1"/>
    <col min="13070" max="13072" width="6.09765625" style="1617" customWidth="1"/>
    <col min="13073" max="13074" width="5.19921875" style="1617" customWidth="1"/>
    <col min="13075" max="13075" width="6.59765625" style="1617" customWidth="1"/>
    <col min="13076" max="13076" width="6.09765625" style="1617" customWidth="1"/>
    <col min="13077" max="13312" width="8.69921875" style="1617"/>
    <col min="13313" max="13313" width="5.19921875" style="1617" customWidth="1"/>
    <col min="13314" max="13314" width="11.8984375" style="1617" customWidth="1"/>
    <col min="13315" max="13315" width="5.19921875" style="1617" customWidth="1"/>
    <col min="13316" max="13316" width="5.8984375" style="1617" customWidth="1"/>
    <col min="13317" max="13317" width="6.19921875" style="1617" customWidth="1"/>
    <col min="13318" max="13319" width="5.19921875" style="1617" customWidth="1"/>
    <col min="13320" max="13320" width="6.09765625" style="1617" customWidth="1"/>
    <col min="13321" max="13324" width="5.19921875" style="1617" customWidth="1"/>
    <col min="13325" max="13325" width="8.09765625" style="1617" customWidth="1"/>
    <col min="13326" max="13328" width="6.09765625" style="1617" customWidth="1"/>
    <col min="13329" max="13330" width="5.19921875" style="1617" customWidth="1"/>
    <col min="13331" max="13331" width="6.59765625" style="1617" customWidth="1"/>
    <col min="13332" max="13332" width="6.09765625" style="1617" customWidth="1"/>
    <col min="13333" max="13568" width="8.69921875" style="1617"/>
    <col min="13569" max="13569" width="5.19921875" style="1617" customWidth="1"/>
    <col min="13570" max="13570" width="11.8984375" style="1617" customWidth="1"/>
    <col min="13571" max="13571" width="5.19921875" style="1617" customWidth="1"/>
    <col min="13572" max="13572" width="5.8984375" style="1617" customWidth="1"/>
    <col min="13573" max="13573" width="6.19921875" style="1617" customWidth="1"/>
    <col min="13574" max="13575" width="5.19921875" style="1617" customWidth="1"/>
    <col min="13576" max="13576" width="6.09765625" style="1617" customWidth="1"/>
    <col min="13577" max="13580" width="5.19921875" style="1617" customWidth="1"/>
    <col min="13581" max="13581" width="8.09765625" style="1617" customWidth="1"/>
    <col min="13582" max="13584" width="6.09765625" style="1617" customWidth="1"/>
    <col min="13585" max="13586" width="5.19921875" style="1617" customWidth="1"/>
    <col min="13587" max="13587" width="6.59765625" style="1617" customWidth="1"/>
    <col min="13588" max="13588" width="6.09765625" style="1617" customWidth="1"/>
    <col min="13589" max="13824" width="8.69921875" style="1617"/>
    <col min="13825" max="13825" width="5.19921875" style="1617" customWidth="1"/>
    <col min="13826" max="13826" width="11.8984375" style="1617" customWidth="1"/>
    <col min="13827" max="13827" width="5.19921875" style="1617" customWidth="1"/>
    <col min="13828" max="13828" width="5.8984375" style="1617" customWidth="1"/>
    <col min="13829" max="13829" width="6.19921875" style="1617" customWidth="1"/>
    <col min="13830" max="13831" width="5.19921875" style="1617" customWidth="1"/>
    <col min="13832" max="13832" width="6.09765625" style="1617" customWidth="1"/>
    <col min="13833" max="13836" width="5.19921875" style="1617" customWidth="1"/>
    <col min="13837" max="13837" width="8.09765625" style="1617" customWidth="1"/>
    <col min="13838" max="13840" width="6.09765625" style="1617" customWidth="1"/>
    <col min="13841" max="13842" width="5.19921875" style="1617" customWidth="1"/>
    <col min="13843" max="13843" width="6.59765625" style="1617" customWidth="1"/>
    <col min="13844" max="13844" width="6.09765625" style="1617" customWidth="1"/>
    <col min="13845" max="14080" width="8.69921875" style="1617"/>
    <col min="14081" max="14081" width="5.19921875" style="1617" customWidth="1"/>
    <col min="14082" max="14082" width="11.8984375" style="1617" customWidth="1"/>
    <col min="14083" max="14083" width="5.19921875" style="1617" customWidth="1"/>
    <col min="14084" max="14084" width="5.8984375" style="1617" customWidth="1"/>
    <col min="14085" max="14085" width="6.19921875" style="1617" customWidth="1"/>
    <col min="14086" max="14087" width="5.19921875" style="1617" customWidth="1"/>
    <col min="14088" max="14088" width="6.09765625" style="1617" customWidth="1"/>
    <col min="14089" max="14092" width="5.19921875" style="1617" customWidth="1"/>
    <col min="14093" max="14093" width="8.09765625" style="1617" customWidth="1"/>
    <col min="14094" max="14096" width="6.09765625" style="1617" customWidth="1"/>
    <col min="14097" max="14098" width="5.19921875" style="1617" customWidth="1"/>
    <col min="14099" max="14099" width="6.59765625" style="1617" customWidth="1"/>
    <col min="14100" max="14100" width="6.09765625" style="1617" customWidth="1"/>
    <col min="14101" max="14336" width="8.69921875" style="1617"/>
    <col min="14337" max="14337" width="5.19921875" style="1617" customWidth="1"/>
    <col min="14338" max="14338" width="11.8984375" style="1617" customWidth="1"/>
    <col min="14339" max="14339" width="5.19921875" style="1617" customWidth="1"/>
    <col min="14340" max="14340" width="5.8984375" style="1617" customWidth="1"/>
    <col min="14341" max="14341" width="6.19921875" style="1617" customWidth="1"/>
    <col min="14342" max="14343" width="5.19921875" style="1617" customWidth="1"/>
    <col min="14344" max="14344" width="6.09765625" style="1617" customWidth="1"/>
    <col min="14345" max="14348" width="5.19921875" style="1617" customWidth="1"/>
    <col min="14349" max="14349" width="8.09765625" style="1617" customWidth="1"/>
    <col min="14350" max="14352" width="6.09765625" style="1617" customWidth="1"/>
    <col min="14353" max="14354" width="5.19921875" style="1617" customWidth="1"/>
    <col min="14355" max="14355" width="6.59765625" style="1617" customWidth="1"/>
    <col min="14356" max="14356" width="6.09765625" style="1617" customWidth="1"/>
    <col min="14357" max="14592" width="8.69921875" style="1617"/>
    <col min="14593" max="14593" width="5.19921875" style="1617" customWidth="1"/>
    <col min="14594" max="14594" width="11.8984375" style="1617" customWidth="1"/>
    <col min="14595" max="14595" width="5.19921875" style="1617" customWidth="1"/>
    <col min="14596" max="14596" width="5.8984375" style="1617" customWidth="1"/>
    <col min="14597" max="14597" width="6.19921875" style="1617" customWidth="1"/>
    <col min="14598" max="14599" width="5.19921875" style="1617" customWidth="1"/>
    <col min="14600" max="14600" width="6.09765625" style="1617" customWidth="1"/>
    <col min="14601" max="14604" width="5.19921875" style="1617" customWidth="1"/>
    <col min="14605" max="14605" width="8.09765625" style="1617" customWidth="1"/>
    <col min="14606" max="14608" width="6.09765625" style="1617" customWidth="1"/>
    <col min="14609" max="14610" width="5.19921875" style="1617" customWidth="1"/>
    <col min="14611" max="14611" width="6.59765625" style="1617" customWidth="1"/>
    <col min="14612" max="14612" width="6.09765625" style="1617" customWidth="1"/>
    <col min="14613" max="14848" width="8.69921875" style="1617"/>
    <col min="14849" max="14849" width="5.19921875" style="1617" customWidth="1"/>
    <col min="14850" max="14850" width="11.8984375" style="1617" customWidth="1"/>
    <col min="14851" max="14851" width="5.19921875" style="1617" customWidth="1"/>
    <col min="14852" max="14852" width="5.8984375" style="1617" customWidth="1"/>
    <col min="14853" max="14853" width="6.19921875" style="1617" customWidth="1"/>
    <col min="14854" max="14855" width="5.19921875" style="1617" customWidth="1"/>
    <col min="14856" max="14856" width="6.09765625" style="1617" customWidth="1"/>
    <col min="14857" max="14860" width="5.19921875" style="1617" customWidth="1"/>
    <col min="14861" max="14861" width="8.09765625" style="1617" customWidth="1"/>
    <col min="14862" max="14864" width="6.09765625" style="1617" customWidth="1"/>
    <col min="14865" max="14866" width="5.19921875" style="1617" customWidth="1"/>
    <col min="14867" max="14867" width="6.59765625" style="1617" customWidth="1"/>
    <col min="14868" max="14868" width="6.09765625" style="1617" customWidth="1"/>
    <col min="14869" max="15104" width="8.69921875" style="1617"/>
    <col min="15105" max="15105" width="5.19921875" style="1617" customWidth="1"/>
    <col min="15106" max="15106" width="11.8984375" style="1617" customWidth="1"/>
    <col min="15107" max="15107" width="5.19921875" style="1617" customWidth="1"/>
    <col min="15108" max="15108" width="5.8984375" style="1617" customWidth="1"/>
    <col min="15109" max="15109" width="6.19921875" style="1617" customWidth="1"/>
    <col min="15110" max="15111" width="5.19921875" style="1617" customWidth="1"/>
    <col min="15112" max="15112" width="6.09765625" style="1617" customWidth="1"/>
    <col min="15113" max="15116" width="5.19921875" style="1617" customWidth="1"/>
    <col min="15117" max="15117" width="8.09765625" style="1617" customWidth="1"/>
    <col min="15118" max="15120" width="6.09765625" style="1617" customWidth="1"/>
    <col min="15121" max="15122" width="5.19921875" style="1617" customWidth="1"/>
    <col min="15123" max="15123" width="6.59765625" style="1617" customWidth="1"/>
    <col min="15124" max="15124" width="6.09765625" style="1617" customWidth="1"/>
    <col min="15125" max="15360" width="8.69921875" style="1617"/>
    <col min="15361" max="15361" width="5.19921875" style="1617" customWidth="1"/>
    <col min="15362" max="15362" width="11.8984375" style="1617" customWidth="1"/>
    <col min="15363" max="15363" width="5.19921875" style="1617" customWidth="1"/>
    <col min="15364" max="15364" width="5.8984375" style="1617" customWidth="1"/>
    <col min="15365" max="15365" width="6.19921875" style="1617" customWidth="1"/>
    <col min="15366" max="15367" width="5.19921875" style="1617" customWidth="1"/>
    <col min="15368" max="15368" width="6.09765625" style="1617" customWidth="1"/>
    <col min="15369" max="15372" width="5.19921875" style="1617" customWidth="1"/>
    <col min="15373" max="15373" width="8.09765625" style="1617" customWidth="1"/>
    <col min="15374" max="15376" width="6.09765625" style="1617" customWidth="1"/>
    <col min="15377" max="15378" width="5.19921875" style="1617" customWidth="1"/>
    <col min="15379" max="15379" width="6.59765625" style="1617" customWidth="1"/>
    <col min="15380" max="15380" width="6.09765625" style="1617" customWidth="1"/>
    <col min="15381" max="15616" width="8.69921875" style="1617"/>
    <col min="15617" max="15617" width="5.19921875" style="1617" customWidth="1"/>
    <col min="15618" max="15618" width="11.8984375" style="1617" customWidth="1"/>
    <col min="15619" max="15619" width="5.19921875" style="1617" customWidth="1"/>
    <col min="15620" max="15620" width="5.8984375" style="1617" customWidth="1"/>
    <col min="15621" max="15621" width="6.19921875" style="1617" customWidth="1"/>
    <col min="15622" max="15623" width="5.19921875" style="1617" customWidth="1"/>
    <col min="15624" max="15624" width="6.09765625" style="1617" customWidth="1"/>
    <col min="15625" max="15628" width="5.19921875" style="1617" customWidth="1"/>
    <col min="15629" max="15629" width="8.09765625" style="1617" customWidth="1"/>
    <col min="15630" max="15632" width="6.09765625" style="1617" customWidth="1"/>
    <col min="15633" max="15634" width="5.19921875" style="1617" customWidth="1"/>
    <col min="15635" max="15635" width="6.59765625" style="1617" customWidth="1"/>
    <col min="15636" max="15636" width="6.09765625" style="1617" customWidth="1"/>
    <col min="15637" max="15872" width="8.69921875" style="1617"/>
    <col min="15873" max="15873" width="5.19921875" style="1617" customWidth="1"/>
    <col min="15874" max="15874" width="11.8984375" style="1617" customWidth="1"/>
    <col min="15875" max="15875" width="5.19921875" style="1617" customWidth="1"/>
    <col min="15876" max="15876" width="5.8984375" style="1617" customWidth="1"/>
    <col min="15877" max="15877" width="6.19921875" style="1617" customWidth="1"/>
    <col min="15878" max="15879" width="5.19921875" style="1617" customWidth="1"/>
    <col min="15880" max="15880" width="6.09765625" style="1617" customWidth="1"/>
    <col min="15881" max="15884" width="5.19921875" style="1617" customWidth="1"/>
    <col min="15885" max="15885" width="8.09765625" style="1617" customWidth="1"/>
    <col min="15886" max="15888" width="6.09765625" style="1617" customWidth="1"/>
    <col min="15889" max="15890" width="5.19921875" style="1617" customWidth="1"/>
    <col min="15891" max="15891" width="6.59765625" style="1617" customWidth="1"/>
    <col min="15892" max="15892" width="6.09765625" style="1617" customWidth="1"/>
    <col min="15893" max="16128" width="8.69921875" style="1617"/>
    <col min="16129" max="16129" width="5.19921875" style="1617" customWidth="1"/>
    <col min="16130" max="16130" width="11.8984375" style="1617" customWidth="1"/>
    <col min="16131" max="16131" width="5.19921875" style="1617" customWidth="1"/>
    <col min="16132" max="16132" width="5.8984375" style="1617" customWidth="1"/>
    <col min="16133" max="16133" width="6.19921875" style="1617" customWidth="1"/>
    <col min="16134" max="16135" width="5.19921875" style="1617" customWidth="1"/>
    <col min="16136" max="16136" width="6.09765625" style="1617" customWidth="1"/>
    <col min="16137" max="16140" width="5.19921875" style="1617" customWidth="1"/>
    <col min="16141" max="16141" width="8.09765625" style="1617" customWidth="1"/>
    <col min="16142" max="16144" width="6.09765625" style="1617" customWidth="1"/>
    <col min="16145" max="16146" width="5.19921875" style="1617" customWidth="1"/>
    <col min="16147" max="16147" width="6.59765625" style="1617" customWidth="1"/>
    <col min="16148" max="16148" width="6.09765625" style="1617" customWidth="1"/>
    <col min="16149" max="16384" width="8.69921875" style="1617"/>
  </cols>
  <sheetData>
    <row r="1" spans="1:21" s="1616" customFormat="1" ht="20.100000000000001" customHeight="1">
      <c r="A1" s="2175"/>
      <c r="B1" s="2176"/>
      <c r="C1" s="2176"/>
      <c r="D1" s="2176"/>
      <c r="E1" s="2176"/>
      <c r="F1" s="2176"/>
      <c r="G1" s="2176"/>
      <c r="H1" s="2176"/>
      <c r="I1" s="2176"/>
      <c r="J1" s="2176"/>
      <c r="K1" s="2176"/>
      <c r="L1" s="2176"/>
      <c r="M1" s="2176"/>
      <c r="N1" s="2176"/>
      <c r="O1" s="2176"/>
      <c r="P1" s="2176"/>
      <c r="Q1" s="2176"/>
      <c r="R1" s="2176"/>
      <c r="S1" s="2176"/>
      <c r="T1" s="2177" t="str">
        <f>"索引号："&amp;档案索引!D17</f>
        <v>索引号：2B-12</v>
      </c>
    </row>
    <row r="2" spans="1:21" ht="25.5" customHeight="1">
      <c r="A2" s="3477" t="s">
        <v>5945</v>
      </c>
      <c r="B2" s="3477"/>
      <c r="C2" s="3477"/>
      <c r="D2" s="3477"/>
      <c r="E2" s="3477"/>
      <c r="F2" s="3477"/>
      <c r="G2" s="3477"/>
      <c r="H2" s="3477"/>
      <c r="I2" s="3477"/>
      <c r="J2" s="3477"/>
      <c r="K2" s="3477"/>
      <c r="L2" s="3477"/>
      <c r="M2" s="3477"/>
      <c r="N2" s="3477"/>
      <c r="O2" s="3477"/>
      <c r="P2" s="3477"/>
      <c r="Q2" s="3477"/>
      <c r="R2" s="3477"/>
      <c r="S2" s="3477"/>
      <c r="T2" s="3478"/>
    </row>
    <row r="3" spans="1:21" s="1618" customFormat="1" ht="14.25" customHeight="1">
      <c r="A3" s="3385" t="s">
        <v>5673</v>
      </c>
      <c r="B3" s="3383" t="s">
        <v>5789</v>
      </c>
      <c r="C3" s="3383" t="s">
        <v>5790</v>
      </c>
      <c r="D3" s="3383" t="s">
        <v>5791</v>
      </c>
      <c r="E3" s="3383" t="s">
        <v>1866</v>
      </c>
      <c r="F3" s="3383" t="s">
        <v>848</v>
      </c>
      <c r="G3" s="3383" t="s">
        <v>5792</v>
      </c>
      <c r="H3" s="3383" t="s">
        <v>5793</v>
      </c>
      <c r="I3" s="3383" t="s">
        <v>187</v>
      </c>
      <c r="J3" s="3383" t="s">
        <v>849</v>
      </c>
      <c r="K3" s="3383" t="s">
        <v>850</v>
      </c>
      <c r="L3" s="3383" t="s">
        <v>5794</v>
      </c>
      <c r="M3" s="3383" t="s">
        <v>5795</v>
      </c>
      <c r="N3" s="3383" t="s">
        <v>5796</v>
      </c>
      <c r="O3" s="3383" t="s">
        <v>5797</v>
      </c>
      <c r="P3" s="3479" t="s">
        <v>5798</v>
      </c>
      <c r="Q3" s="3480"/>
      <c r="R3" s="3480"/>
      <c r="S3" s="3480"/>
      <c r="T3" s="3385" t="s">
        <v>5799</v>
      </c>
    </row>
    <row r="4" spans="1:21" s="1618" customFormat="1" ht="77.25" customHeight="1">
      <c r="A4" s="3385"/>
      <c r="B4" s="3387"/>
      <c r="C4" s="3387"/>
      <c r="D4" s="3387"/>
      <c r="E4" s="3387"/>
      <c r="F4" s="3387"/>
      <c r="G4" s="3387"/>
      <c r="H4" s="3387"/>
      <c r="I4" s="3387"/>
      <c r="J4" s="3387"/>
      <c r="K4" s="3387"/>
      <c r="L4" s="3387"/>
      <c r="M4" s="3387"/>
      <c r="N4" s="3387"/>
      <c r="O4" s="3387"/>
      <c r="P4" s="1899" t="s">
        <v>5800</v>
      </c>
      <c r="Q4" s="1899" t="s">
        <v>5801</v>
      </c>
      <c r="R4" s="1899" t="s">
        <v>5802</v>
      </c>
      <c r="S4" s="1899" t="s">
        <v>1281</v>
      </c>
      <c r="T4" s="3385"/>
    </row>
    <row r="5" spans="1:21" s="1618" customFormat="1" ht="27" customHeight="1">
      <c r="A5" s="3385"/>
      <c r="B5" s="1900">
        <v>1</v>
      </c>
      <c r="C5" s="1900">
        <v>2</v>
      </c>
      <c r="D5" s="1900">
        <v>3</v>
      </c>
      <c r="E5" s="1900">
        <v>4</v>
      </c>
      <c r="F5" s="1900" t="s">
        <v>5803</v>
      </c>
      <c r="G5" s="1900">
        <v>6</v>
      </c>
      <c r="H5" s="1900" t="s">
        <v>2342</v>
      </c>
      <c r="I5" s="1900">
        <v>8</v>
      </c>
      <c r="J5" s="1900" t="s">
        <v>5804</v>
      </c>
      <c r="K5" s="1900">
        <v>10</v>
      </c>
      <c r="L5" s="1900">
        <v>11</v>
      </c>
      <c r="M5" s="1901" t="s">
        <v>5805</v>
      </c>
      <c r="N5" s="1900" t="s">
        <v>5806</v>
      </c>
      <c r="O5" s="1901" t="s">
        <v>5807</v>
      </c>
      <c r="P5" s="1900">
        <v>15</v>
      </c>
      <c r="Q5" s="1900">
        <v>16</v>
      </c>
      <c r="R5" s="1900">
        <v>17</v>
      </c>
      <c r="S5" s="1900" t="s">
        <v>5808</v>
      </c>
      <c r="T5" s="1899" t="s">
        <v>5809</v>
      </c>
    </row>
    <row r="6" spans="1:21" s="1616" customFormat="1" ht="14.25" customHeight="1">
      <c r="A6" s="1899">
        <v>1</v>
      </c>
      <c r="B6" s="1903">
        <f>境外所得纳税调整后所得审核表!B6</f>
        <v>0</v>
      </c>
      <c r="C6" s="2077">
        <f>境外所得纳税调整后所得审核表!O6</f>
        <v>0</v>
      </c>
      <c r="D6" s="2077">
        <f>境外所得纳税调整后所得审核表!S6</f>
        <v>0</v>
      </c>
      <c r="E6" s="2077">
        <f>境外分支机构弥补亏损审核表!E9+境外分支机构弥补亏损审核表!N9</f>
        <v>0</v>
      </c>
      <c r="F6" s="2077">
        <f>D6-E6</f>
        <v>0</v>
      </c>
      <c r="G6" s="2078"/>
      <c r="H6" s="2077">
        <f>F6-G6</f>
        <v>0</v>
      </c>
      <c r="I6" s="2078"/>
      <c r="J6" s="2077">
        <f>ROUND(H6*I6,2)</f>
        <v>0</v>
      </c>
      <c r="K6" s="2077">
        <f>境外所得纳税调整后所得审核表!N6</f>
        <v>0</v>
      </c>
      <c r="L6" s="2078"/>
      <c r="M6" s="2077">
        <f>MIN(K6,L6)</f>
        <v>0</v>
      </c>
      <c r="N6" s="2077">
        <f>L6-M6</f>
        <v>0</v>
      </c>
      <c r="O6" s="2077">
        <f>MIN(N6,跨年度结转抵免境外所得税审核表!N6)</f>
        <v>0</v>
      </c>
      <c r="P6" s="2078"/>
      <c r="Q6" s="2078"/>
      <c r="R6" s="2078"/>
      <c r="S6" s="2077">
        <f>P6+Q6+R6</f>
        <v>0</v>
      </c>
      <c r="T6" s="2077">
        <f>M6+O6+S6</f>
        <v>0</v>
      </c>
    </row>
    <row r="7" spans="1:21" s="1616" customFormat="1" ht="14.25" customHeight="1">
      <c r="A7" s="1899">
        <v>2</v>
      </c>
      <c r="B7" s="1903">
        <f>境外所得纳税调整后所得审核表!B7</f>
        <v>0</v>
      </c>
      <c r="C7" s="2077">
        <f>境外所得纳税调整后所得审核表!O7</f>
        <v>0</v>
      </c>
      <c r="D7" s="2077">
        <f>境外所得纳税调整后所得审核表!S7</f>
        <v>0</v>
      </c>
      <c r="E7" s="2077">
        <f>境外分支机构弥补亏损审核表!E10+境外分支机构弥补亏损审核表!N10</f>
        <v>0</v>
      </c>
      <c r="F7" s="2077">
        <f t="shared" ref="F7:F14" si="0">D7-E7</f>
        <v>0</v>
      </c>
      <c r="G7" s="2078"/>
      <c r="H7" s="2077">
        <f t="shared" ref="H7:H14" si="1">F7-G7</f>
        <v>0</v>
      </c>
      <c r="I7" s="2078"/>
      <c r="J7" s="2077">
        <f t="shared" ref="J7:J14" si="2">ROUND(H7*I7,2)</f>
        <v>0</v>
      </c>
      <c r="K7" s="2077">
        <f>境外所得纳税调整后所得审核表!N7</f>
        <v>0</v>
      </c>
      <c r="L7" s="2078"/>
      <c r="M7" s="2077">
        <f t="shared" ref="M7:M14" si="3">MIN(K7,L7)</f>
        <v>0</v>
      </c>
      <c r="N7" s="2077">
        <f t="shared" ref="N7:N14" si="4">L7-M7</f>
        <v>0</v>
      </c>
      <c r="O7" s="2077">
        <f>MIN(N7,跨年度结转抵免境外所得税审核表!N7)</f>
        <v>0</v>
      </c>
      <c r="P7" s="2078"/>
      <c r="Q7" s="2078"/>
      <c r="R7" s="2078"/>
      <c r="S7" s="2077">
        <f t="shared" ref="S7:S14" si="5">P7+Q7+R7</f>
        <v>0</v>
      </c>
      <c r="T7" s="2077">
        <f t="shared" ref="T7:T14" si="6">M7+O7+S7</f>
        <v>0</v>
      </c>
    </row>
    <row r="8" spans="1:21" s="1616" customFormat="1" ht="14.25" customHeight="1">
      <c r="A8" s="1899">
        <v>3</v>
      </c>
      <c r="B8" s="1903">
        <f>境外所得纳税调整后所得审核表!B8</f>
        <v>0</v>
      </c>
      <c r="C8" s="2077">
        <f>境外所得纳税调整后所得审核表!O8</f>
        <v>0</v>
      </c>
      <c r="D8" s="2077">
        <f>境外所得纳税调整后所得审核表!S8</f>
        <v>0</v>
      </c>
      <c r="E8" s="2077">
        <f>境外分支机构弥补亏损审核表!E11+境外分支机构弥补亏损审核表!N11</f>
        <v>0</v>
      </c>
      <c r="F8" s="2077">
        <f t="shared" si="0"/>
        <v>0</v>
      </c>
      <c r="G8" s="2078"/>
      <c r="H8" s="2077">
        <f t="shared" si="1"/>
        <v>0</v>
      </c>
      <c r="I8" s="2078"/>
      <c r="J8" s="2077">
        <f t="shared" si="2"/>
        <v>0</v>
      </c>
      <c r="K8" s="2077">
        <f>境外所得纳税调整后所得审核表!N8</f>
        <v>0</v>
      </c>
      <c r="L8" s="2078"/>
      <c r="M8" s="2077">
        <f t="shared" si="3"/>
        <v>0</v>
      </c>
      <c r="N8" s="2077">
        <f t="shared" si="4"/>
        <v>0</v>
      </c>
      <c r="O8" s="2077">
        <f>MIN(N8,跨年度结转抵免境外所得税审核表!N8)</f>
        <v>0</v>
      </c>
      <c r="P8" s="2078"/>
      <c r="Q8" s="2078"/>
      <c r="R8" s="2078"/>
      <c r="S8" s="2077">
        <f t="shared" si="5"/>
        <v>0</v>
      </c>
      <c r="T8" s="2077">
        <f t="shared" si="6"/>
        <v>0</v>
      </c>
    </row>
    <row r="9" spans="1:21" s="1616" customFormat="1" ht="14.25" customHeight="1">
      <c r="A9" s="1899">
        <v>4</v>
      </c>
      <c r="B9" s="1903">
        <f>境外所得纳税调整后所得审核表!B9</f>
        <v>0</v>
      </c>
      <c r="C9" s="2077">
        <f>境外所得纳税调整后所得审核表!O9</f>
        <v>0</v>
      </c>
      <c r="D9" s="2077">
        <f>境外所得纳税调整后所得审核表!S9</f>
        <v>0</v>
      </c>
      <c r="E9" s="2077">
        <f>境外分支机构弥补亏损审核表!E12+境外分支机构弥补亏损审核表!N12</f>
        <v>0</v>
      </c>
      <c r="F9" s="2077">
        <f t="shared" si="0"/>
        <v>0</v>
      </c>
      <c r="G9" s="2078"/>
      <c r="H9" s="2077">
        <f t="shared" si="1"/>
        <v>0</v>
      </c>
      <c r="I9" s="2078"/>
      <c r="J9" s="2077">
        <f t="shared" si="2"/>
        <v>0</v>
      </c>
      <c r="K9" s="2077">
        <f>境外所得纳税调整后所得审核表!N9</f>
        <v>0</v>
      </c>
      <c r="L9" s="2078"/>
      <c r="M9" s="2077">
        <f t="shared" si="3"/>
        <v>0</v>
      </c>
      <c r="N9" s="2077">
        <f t="shared" si="4"/>
        <v>0</v>
      </c>
      <c r="O9" s="2077">
        <f>MIN(N9,跨年度结转抵免境外所得税审核表!N9)</f>
        <v>0</v>
      </c>
      <c r="P9" s="2078"/>
      <c r="Q9" s="2078"/>
      <c r="R9" s="2078"/>
      <c r="S9" s="2077">
        <f t="shared" si="5"/>
        <v>0</v>
      </c>
      <c r="T9" s="2077">
        <f t="shared" si="6"/>
        <v>0</v>
      </c>
    </row>
    <row r="10" spans="1:21" s="1616" customFormat="1" ht="14.25" customHeight="1">
      <c r="A10" s="1899">
        <v>5</v>
      </c>
      <c r="B10" s="1903">
        <f>境外所得纳税调整后所得审核表!B10</f>
        <v>0</v>
      </c>
      <c r="C10" s="2077">
        <f>境外所得纳税调整后所得审核表!O10</f>
        <v>0</v>
      </c>
      <c r="D10" s="2077">
        <f>境外所得纳税调整后所得审核表!S10</f>
        <v>0</v>
      </c>
      <c r="E10" s="2077">
        <f>境外分支机构弥补亏损审核表!E13+境外分支机构弥补亏损审核表!N13</f>
        <v>0</v>
      </c>
      <c r="F10" s="2077">
        <f t="shared" si="0"/>
        <v>0</v>
      </c>
      <c r="G10" s="2078"/>
      <c r="H10" s="2077">
        <f t="shared" si="1"/>
        <v>0</v>
      </c>
      <c r="I10" s="2078"/>
      <c r="J10" s="2077">
        <f t="shared" si="2"/>
        <v>0</v>
      </c>
      <c r="K10" s="2077">
        <f>境外所得纳税调整后所得审核表!N10</f>
        <v>0</v>
      </c>
      <c r="L10" s="2078"/>
      <c r="M10" s="2077">
        <f t="shared" si="3"/>
        <v>0</v>
      </c>
      <c r="N10" s="2077">
        <f t="shared" si="4"/>
        <v>0</v>
      </c>
      <c r="O10" s="2077">
        <f>MIN(N10,跨年度结转抵免境外所得税审核表!N10)</f>
        <v>0</v>
      </c>
      <c r="P10" s="2078"/>
      <c r="Q10" s="2078"/>
      <c r="R10" s="2078"/>
      <c r="S10" s="2077">
        <f t="shared" si="5"/>
        <v>0</v>
      </c>
      <c r="T10" s="2077">
        <f t="shared" si="6"/>
        <v>0</v>
      </c>
    </row>
    <row r="11" spans="1:21" s="1616" customFormat="1" ht="14.25" customHeight="1">
      <c r="A11" s="1899">
        <v>6</v>
      </c>
      <c r="B11" s="1903">
        <f>境外所得纳税调整后所得审核表!B11</f>
        <v>0</v>
      </c>
      <c r="C11" s="2077">
        <f>境外所得纳税调整后所得审核表!O11</f>
        <v>0</v>
      </c>
      <c r="D11" s="2077">
        <f>境外所得纳税调整后所得审核表!S11</f>
        <v>0</v>
      </c>
      <c r="E11" s="2077">
        <f>境外分支机构弥补亏损审核表!E14+境外分支机构弥补亏损审核表!N14</f>
        <v>0</v>
      </c>
      <c r="F11" s="2077">
        <f t="shared" si="0"/>
        <v>0</v>
      </c>
      <c r="G11" s="2078"/>
      <c r="H11" s="2077">
        <f t="shared" si="1"/>
        <v>0</v>
      </c>
      <c r="I11" s="2078"/>
      <c r="J11" s="2077">
        <f t="shared" si="2"/>
        <v>0</v>
      </c>
      <c r="K11" s="2077">
        <f>境外所得纳税调整后所得审核表!N11</f>
        <v>0</v>
      </c>
      <c r="L11" s="2078"/>
      <c r="M11" s="2077">
        <f t="shared" si="3"/>
        <v>0</v>
      </c>
      <c r="N11" s="2077">
        <f t="shared" si="4"/>
        <v>0</v>
      </c>
      <c r="O11" s="2077">
        <f>MIN(N11,跨年度结转抵免境外所得税审核表!N11)</f>
        <v>0</v>
      </c>
      <c r="P11" s="2078"/>
      <c r="Q11" s="2078"/>
      <c r="R11" s="2078"/>
      <c r="S11" s="2077">
        <f t="shared" si="5"/>
        <v>0</v>
      </c>
      <c r="T11" s="2077">
        <f t="shared" si="6"/>
        <v>0</v>
      </c>
    </row>
    <row r="12" spans="1:21" s="1616" customFormat="1" ht="14.25" customHeight="1">
      <c r="A12" s="1899">
        <v>7</v>
      </c>
      <c r="B12" s="1903">
        <f>境外所得纳税调整后所得审核表!B12</f>
        <v>0</v>
      </c>
      <c r="C12" s="2077">
        <f>境外所得纳税调整后所得审核表!O12</f>
        <v>0</v>
      </c>
      <c r="D12" s="2077">
        <f>境外所得纳税调整后所得审核表!S12</f>
        <v>0</v>
      </c>
      <c r="E12" s="2077">
        <f>境外分支机构弥补亏损审核表!E15+境外分支机构弥补亏损审核表!N15</f>
        <v>0</v>
      </c>
      <c r="F12" s="2077">
        <f t="shared" si="0"/>
        <v>0</v>
      </c>
      <c r="G12" s="2078"/>
      <c r="H12" s="2077">
        <f t="shared" si="1"/>
        <v>0</v>
      </c>
      <c r="I12" s="2078"/>
      <c r="J12" s="2077">
        <f t="shared" si="2"/>
        <v>0</v>
      </c>
      <c r="K12" s="2077">
        <f>境外所得纳税调整后所得审核表!N12</f>
        <v>0</v>
      </c>
      <c r="L12" s="2078"/>
      <c r="M12" s="2077">
        <f t="shared" si="3"/>
        <v>0</v>
      </c>
      <c r="N12" s="2077">
        <f t="shared" si="4"/>
        <v>0</v>
      </c>
      <c r="O12" s="2077">
        <f>MIN(N12,跨年度结转抵免境外所得税审核表!N12)</f>
        <v>0</v>
      </c>
      <c r="P12" s="2078"/>
      <c r="Q12" s="2078"/>
      <c r="R12" s="2078"/>
      <c r="S12" s="2077">
        <f t="shared" si="5"/>
        <v>0</v>
      </c>
      <c r="T12" s="2077">
        <f t="shared" si="6"/>
        <v>0</v>
      </c>
    </row>
    <row r="13" spans="1:21" s="1616" customFormat="1" ht="14.25" customHeight="1">
      <c r="A13" s="1899">
        <v>8</v>
      </c>
      <c r="B13" s="1903">
        <f>境外所得纳税调整后所得审核表!B13</f>
        <v>0</v>
      </c>
      <c r="C13" s="2077">
        <f>境外所得纳税调整后所得审核表!O13</f>
        <v>0</v>
      </c>
      <c r="D13" s="2077">
        <f>境外所得纳税调整后所得审核表!S13</f>
        <v>0</v>
      </c>
      <c r="E13" s="2077">
        <f>境外分支机构弥补亏损审核表!E16+境外分支机构弥补亏损审核表!N16</f>
        <v>0</v>
      </c>
      <c r="F13" s="2077">
        <f t="shared" si="0"/>
        <v>0</v>
      </c>
      <c r="G13" s="2078"/>
      <c r="H13" s="2077">
        <f t="shared" si="1"/>
        <v>0</v>
      </c>
      <c r="I13" s="2078"/>
      <c r="J13" s="2077">
        <f t="shared" si="2"/>
        <v>0</v>
      </c>
      <c r="K13" s="2077">
        <f>境外所得纳税调整后所得审核表!N13</f>
        <v>0</v>
      </c>
      <c r="L13" s="2078"/>
      <c r="M13" s="2077">
        <f t="shared" si="3"/>
        <v>0</v>
      </c>
      <c r="N13" s="2077">
        <f t="shared" si="4"/>
        <v>0</v>
      </c>
      <c r="O13" s="2077">
        <f>MIN(N13,跨年度结转抵免境外所得税审核表!N13)</f>
        <v>0</v>
      </c>
      <c r="P13" s="2078"/>
      <c r="Q13" s="2078"/>
      <c r="R13" s="2078"/>
      <c r="S13" s="2077">
        <f t="shared" si="5"/>
        <v>0</v>
      </c>
      <c r="T13" s="2077">
        <f t="shared" si="6"/>
        <v>0</v>
      </c>
    </row>
    <row r="14" spans="1:21" s="1616" customFormat="1" ht="14.25" customHeight="1">
      <c r="A14" s="1899">
        <v>9</v>
      </c>
      <c r="B14" s="1903">
        <f>境外所得纳税调整后所得审核表!B14</f>
        <v>0</v>
      </c>
      <c r="C14" s="2077">
        <f>境外所得纳税调整后所得审核表!O14</f>
        <v>0</v>
      </c>
      <c r="D14" s="2077">
        <f>境外所得纳税调整后所得审核表!S14</f>
        <v>0</v>
      </c>
      <c r="E14" s="2077">
        <f>境外分支机构弥补亏损审核表!E17+境外分支机构弥补亏损审核表!N17</f>
        <v>0</v>
      </c>
      <c r="F14" s="2077">
        <f t="shared" si="0"/>
        <v>0</v>
      </c>
      <c r="G14" s="2078"/>
      <c r="H14" s="2077">
        <f t="shared" si="1"/>
        <v>0</v>
      </c>
      <c r="I14" s="2078"/>
      <c r="J14" s="2077">
        <f t="shared" si="2"/>
        <v>0</v>
      </c>
      <c r="K14" s="2077">
        <f>境外所得纳税调整后所得审核表!N14</f>
        <v>0</v>
      </c>
      <c r="L14" s="2078"/>
      <c r="M14" s="2077">
        <f t="shared" si="3"/>
        <v>0</v>
      </c>
      <c r="N14" s="2077">
        <f t="shared" si="4"/>
        <v>0</v>
      </c>
      <c r="O14" s="2077">
        <f>MIN(N14,跨年度结转抵免境外所得税审核表!N14)</f>
        <v>0</v>
      </c>
      <c r="P14" s="2078"/>
      <c r="Q14" s="2078"/>
      <c r="R14" s="2078"/>
      <c r="S14" s="2077">
        <f t="shared" si="5"/>
        <v>0</v>
      </c>
      <c r="T14" s="2077">
        <f t="shared" si="6"/>
        <v>0</v>
      </c>
    </row>
    <row r="15" spans="1:21" s="1616" customFormat="1" ht="14.25" customHeight="1">
      <c r="A15" s="1899">
        <v>10</v>
      </c>
      <c r="B15" s="1899" t="s">
        <v>5560</v>
      </c>
      <c r="C15" s="2077">
        <f>SUM(C6:C14)</f>
        <v>0</v>
      </c>
      <c r="D15" s="2077">
        <f t="shared" ref="D15:H15" si="7">SUM(D6:D14)</f>
        <v>0</v>
      </c>
      <c r="E15" s="2077">
        <f t="shared" si="7"/>
        <v>0</v>
      </c>
      <c r="F15" s="2077">
        <f t="shared" si="7"/>
        <v>0</v>
      </c>
      <c r="G15" s="2078"/>
      <c r="H15" s="2077">
        <f t="shared" si="7"/>
        <v>0</v>
      </c>
      <c r="I15" s="2078"/>
      <c r="J15" s="2077">
        <f t="shared" ref="J15:K15" si="8">SUM(J6:J14)</f>
        <v>0</v>
      </c>
      <c r="K15" s="2077">
        <f t="shared" si="8"/>
        <v>0</v>
      </c>
      <c r="L15" s="2078"/>
      <c r="M15" s="2077">
        <f t="shared" ref="M15" si="9">SUM(M6:M14)</f>
        <v>0</v>
      </c>
      <c r="N15" s="2077">
        <f t="shared" ref="N15" si="10">SUM(N6:N14)</f>
        <v>0</v>
      </c>
      <c r="O15" s="2077">
        <f t="shared" ref="O15" si="11">SUM(O6:O14)</f>
        <v>0</v>
      </c>
      <c r="P15" s="2077">
        <f t="shared" ref="P15" si="12">SUM(P6:P14)</f>
        <v>0</v>
      </c>
      <c r="Q15" s="2077">
        <f t="shared" ref="Q15" si="13">SUM(Q6:Q14)</f>
        <v>0</v>
      </c>
      <c r="R15" s="2077">
        <f t="shared" ref="R15" si="14">SUM(R6:R14)</f>
        <v>0</v>
      </c>
      <c r="S15" s="2077">
        <f t="shared" ref="S15" si="15">SUM(S6:S14)</f>
        <v>0</v>
      </c>
      <c r="T15" s="2077">
        <f t="shared" ref="T15" si="16">SUM(T6:T14)</f>
        <v>0</v>
      </c>
      <c r="U15" s="1772" t="s">
        <v>6478</v>
      </c>
    </row>
    <row r="16" spans="1:21" ht="100.5" customHeight="1">
      <c r="A16" s="1902"/>
      <c r="B16" s="1899" t="s">
        <v>4901</v>
      </c>
      <c r="C16" s="1902" t="s">
        <v>5810</v>
      </c>
      <c r="D16" s="1904" t="s">
        <v>5811</v>
      </c>
      <c r="E16" s="1904" t="s">
        <v>5812</v>
      </c>
      <c r="F16" s="1902"/>
      <c r="G16" s="1904" t="s">
        <v>5813</v>
      </c>
      <c r="H16" s="1902"/>
      <c r="I16" s="1902"/>
      <c r="J16" s="1904" t="s">
        <v>5814</v>
      </c>
      <c r="K16" s="1904" t="s">
        <v>5815</v>
      </c>
      <c r="L16" s="1902"/>
      <c r="M16" s="1902"/>
      <c r="N16" s="1902"/>
      <c r="O16" s="1904" t="s">
        <v>5816</v>
      </c>
      <c r="P16" s="1904"/>
      <c r="Q16" s="1902"/>
      <c r="R16" s="1902"/>
      <c r="S16" s="1902"/>
      <c r="T16" s="1904" t="s">
        <v>5817</v>
      </c>
    </row>
    <row r="17" spans="1:20">
      <c r="A17" s="3481"/>
      <c r="B17" s="3481"/>
      <c r="C17" s="3481"/>
      <c r="D17" s="3481"/>
      <c r="E17" s="3481"/>
      <c r="F17" s="3481"/>
      <c r="G17" s="3481"/>
      <c r="H17" s="3481"/>
      <c r="I17" s="3481"/>
      <c r="J17" s="3481"/>
      <c r="K17" s="3481"/>
      <c r="L17" s="3481"/>
      <c r="M17" s="3481"/>
      <c r="N17" s="3481"/>
      <c r="O17" s="3481"/>
      <c r="P17" s="3481"/>
      <c r="Q17" s="3481"/>
      <c r="R17" s="3481"/>
      <c r="S17" s="3481"/>
      <c r="T17" s="3481"/>
    </row>
    <row r="18" spans="1:20">
      <c r="A18" s="3481"/>
      <c r="B18" s="3481"/>
      <c r="C18" s="3481"/>
      <c r="D18" s="3481"/>
      <c r="E18" s="3481"/>
      <c r="F18" s="3481"/>
      <c r="G18" s="3481"/>
      <c r="H18" s="3481"/>
      <c r="I18" s="3481"/>
      <c r="J18" s="3481"/>
      <c r="K18" s="3481"/>
      <c r="L18" s="3481"/>
      <c r="M18" s="3481"/>
      <c r="N18" s="3481"/>
      <c r="O18" s="3481"/>
      <c r="P18" s="3481"/>
      <c r="Q18" s="3481"/>
      <c r="R18" s="3481"/>
      <c r="S18" s="3481"/>
      <c r="T18" s="3481"/>
    </row>
    <row r="19" spans="1:20">
      <c r="A19" s="3481"/>
      <c r="B19" s="3481"/>
      <c r="C19" s="3481"/>
      <c r="D19" s="3481"/>
      <c r="E19" s="3481"/>
      <c r="F19" s="3481"/>
      <c r="G19" s="3481"/>
      <c r="H19" s="3481"/>
      <c r="I19" s="3481"/>
      <c r="J19" s="3481"/>
      <c r="K19" s="3481"/>
      <c r="L19" s="3481"/>
      <c r="M19" s="3481"/>
      <c r="N19" s="3481"/>
      <c r="O19" s="3481"/>
      <c r="P19" s="3481"/>
      <c r="Q19" s="3481"/>
      <c r="R19" s="3481"/>
      <c r="S19" s="3481"/>
      <c r="T19" s="3481"/>
    </row>
    <row r="20" spans="1:20">
      <c r="A20" s="3481"/>
      <c r="B20" s="3481"/>
      <c r="C20" s="3481"/>
      <c r="D20" s="3481"/>
      <c r="E20" s="3481"/>
      <c r="F20" s="3481"/>
      <c r="G20" s="3481"/>
      <c r="H20" s="3481"/>
      <c r="I20" s="3481"/>
      <c r="J20" s="3481"/>
      <c r="K20" s="3481"/>
      <c r="L20" s="3481"/>
      <c r="M20" s="3481"/>
      <c r="N20" s="3481"/>
      <c r="O20" s="3481"/>
      <c r="P20" s="3481"/>
      <c r="Q20" s="3481"/>
      <c r="R20" s="3481"/>
      <c r="S20" s="3481"/>
      <c r="T20" s="3481"/>
    </row>
    <row r="21" spans="1:20">
      <c r="A21" s="3481"/>
      <c r="B21" s="3481"/>
      <c r="C21" s="3481"/>
      <c r="D21" s="3481"/>
      <c r="E21" s="3481"/>
      <c r="F21" s="3481"/>
      <c r="G21" s="3481"/>
      <c r="H21" s="3481"/>
      <c r="I21" s="3481"/>
      <c r="J21" s="3481"/>
      <c r="K21" s="3481"/>
      <c r="L21" s="3481"/>
      <c r="M21" s="3481"/>
      <c r="N21" s="3481"/>
      <c r="O21" s="3481"/>
      <c r="P21" s="3481"/>
      <c r="Q21" s="3481"/>
      <c r="R21" s="3481"/>
      <c r="S21" s="3481"/>
      <c r="T21" s="3481"/>
    </row>
    <row r="22" spans="1:20">
      <c r="A22" s="3481"/>
      <c r="B22" s="3481"/>
      <c r="C22" s="3481"/>
      <c r="D22" s="3481"/>
      <c r="E22" s="3481"/>
      <c r="F22" s="3481"/>
      <c r="G22" s="3481"/>
      <c r="H22" s="3481"/>
      <c r="I22" s="3481"/>
      <c r="J22" s="3481"/>
      <c r="K22" s="3481"/>
      <c r="L22" s="3481"/>
      <c r="M22" s="3481"/>
      <c r="N22" s="3481"/>
      <c r="O22" s="3481"/>
      <c r="P22" s="3481"/>
      <c r="Q22" s="3481"/>
      <c r="R22" s="3481"/>
      <c r="S22" s="3481"/>
      <c r="T22" s="3481"/>
    </row>
    <row r="23" spans="1:20">
      <c r="A23" s="3481"/>
      <c r="B23" s="3481"/>
      <c r="C23" s="3481"/>
      <c r="D23" s="3481"/>
      <c r="E23" s="3481"/>
      <c r="F23" s="3481"/>
      <c r="G23" s="3481"/>
      <c r="H23" s="3481"/>
      <c r="I23" s="3481"/>
      <c r="J23" s="3481"/>
      <c r="K23" s="3481"/>
      <c r="L23" s="3481"/>
      <c r="M23" s="3481"/>
      <c r="N23" s="3481"/>
      <c r="O23" s="3481"/>
      <c r="P23" s="3481"/>
      <c r="Q23" s="3481"/>
      <c r="R23" s="3481"/>
      <c r="S23" s="3481"/>
      <c r="T23" s="3481"/>
    </row>
    <row r="24" spans="1:20">
      <c r="A24" s="3481"/>
      <c r="B24" s="3481"/>
      <c r="C24" s="3481"/>
      <c r="D24" s="3481"/>
      <c r="E24" s="3481"/>
      <c r="F24" s="3481"/>
      <c r="G24" s="3481"/>
      <c r="H24" s="3481"/>
      <c r="I24" s="3481"/>
      <c r="J24" s="3481"/>
      <c r="K24" s="3481"/>
      <c r="L24" s="3481"/>
      <c r="M24" s="3481"/>
      <c r="N24" s="3481"/>
      <c r="O24" s="3481"/>
      <c r="P24" s="3481"/>
      <c r="Q24" s="3481"/>
      <c r="R24" s="3481"/>
      <c r="S24" s="3481"/>
      <c r="T24" s="3481"/>
    </row>
    <row r="25" spans="1:20">
      <c r="A25" s="3481"/>
      <c r="B25" s="3481"/>
      <c r="C25" s="3481"/>
      <c r="D25" s="3481"/>
      <c r="E25" s="3481"/>
      <c r="F25" s="3481"/>
      <c r="G25" s="3481"/>
      <c r="H25" s="3481"/>
      <c r="I25" s="3481"/>
      <c r="J25" s="3481"/>
      <c r="K25" s="3481"/>
      <c r="L25" s="3481"/>
      <c r="M25" s="3481"/>
      <c r="N25" s="3481"/>
      <c r="O25" s="3481"/>
      <c r="P25" s="3481"/>
      <c r="Q25" s="3481"/>
      <c r="R25" s="3481"/>
      <c r="S25" s="3481"/>
      <c r="T25" s="3481"/>
    </row>
    <row r="26" spans="1:20">
      <c r="A26" s="3481"/>
      <c r="B26" s="3481"/>
      <c r="C26" s="3481"/>
      <c r="D26" s="3481"/>
      <c r="E26" s="3481"/>
      <c r="F26" s="3481"/>
      <c r="G26" s="3481"/>
      <c r="H26" s="3481"/>
      <c r="I26" s="3481"/>
      <c r="J26" s="3481"/>
      <c r="K26" s="3481"/>
      <c r="L26" s="3481"/>
      <c r="M26" s="3481"/>
      <c r="N26" s="3481"/>
      <c r="O26" s="3481"/>
      <c r="P26" s="3481"/>
      <c r="Q26" s="3481"/>
      <c r="R26" s="3481"/>
      <c r="S26" s="3481"/>
      <c r="T26" s="3481"/>
    </row>
    <row r="27" spans="1:20">
      <c r="A27" s="3481"/>
      <c r="B27" s="3481"/>
      <c r="C27" s="3481"/>
      <c r="D27" s="3481"/>
      <c r="E27" s="3481"/>
      <c r="F27" s="3481"/>
      <c r="G27" s="3481"/>
      <c r="H27" s="3481"/>
      <c r="I27" s="3481"/>
      <c r="J27" s="3481"/>
      <c r="K27" s="3481"/>
      <c r="L27" s="3481"/>
      <c r="M27" s="3481"/>
      <c r="N27" s="3481"/>
      <c r="O27" s="3481"/>
      <c r="P27" s="3481"/>
      <c r="Q27" s="3481"/>
      <c r="R27" s="3481"/>
      <c r="S27" s="3481"/>
      <c r="T27" s="3481"/>
    </row>
    <row r="28" spans="1:20">
      <c r="A28" s="3481"/>
      <c r="B28" s="3481"/>
      <c r="C28" s="3481"/>
      <c r="D28" s="3481"/>
      <c r="E28" s="3481"/>
      <c r="F28" s="3481"/>
      <c r="G28" s="3481"/>
      <c r="H28" s="3481"/>
      <c r="I28" s="3481"/>
      <c r="J28" s="3481"/>
      <c r="K28" s="3481"/>
      <c r="L28" s="3481"/>
      <c r="M28" s="3481"/>
      <c r="N28" s="3481"/>
      <c r="O28" s="3481"/>
      <c r="P28" s="3481"/>
      <c r="Q28" s="3481"/>
      <c r="R28" s="3481"/>
      <c r="S28" s="3481"/>
      <c r="T28" s="3481"/>
    </row>
    <row r="29" spans="1:20">
      <c r="A29" s="3481"/>
      <c r="B29" s="3481"/>
      <c r="C29" s="3481"/>
      <c r="D29" s="3481"/>
      <c r="E29" s="3481"/>
      <c r="F29" s="3481"/>
      <c r="G29" s="3481"/>
      <c r="H29" s="3481"/>
      <c r="I29" s="3481"/>
      <c r="J29" s="3481"/>
      <c r="K29" s="3481"/>
      <c r="L29" s="3481"/>
      <c r="M29" s="3481"/>
      <c r="N29" s="3481"/>
      <c r="O29" s="3481"/>
      <c r="P29" s="3481"/>
      <c r="Q29" s="3481"/>
      <c r="R29" s="3481"/>
      <c r="S29" s="3481"/>
      <c r="T29" s="3481"/>
    </row>
    <row r="30" spans="1:20">
      <c r="A30" s="3481"/>
      <c r="B30" s="3481"/>
      <c r="C30" s="3481"/>
      <c r="D30" s="3481"/>
      <c r="E30" s="3481"/>
      <c r="F30" s="3481"/>
      <c r="G30" s="3481"/>
      <c r="H30" s="3481"/>
      <c r="I30" s="3481"/>
      <c r="J30" s="3481"/>
      <c r="K30" s="3481"/>
      <c r="L30" s="3481"/>
      <c r="M30" s="3481"/>
      <c r="N30" s="3481"/>
      <c r="O30" s="3481"/>
      <c r="P30" s="3481"/>
      <c r="Q30" s="3481"/>
      <c r="R30" s="3481"/>
      <c r="S30" s="3481"/>
      <c r="T30" s="3481"/>
    </row>
    <row r="31" spans="1:20">
      <c r="A31" s="3481"/>
      <c r="B31" s="3481"/>
      <c r="C31" s="3481"/>
      <c r="D31" s="3481"/>
      <c r="E31" s="3481"/>
      <c r="F31" s="3481"/>
      <c r="G31" s="3481"/>
      <c r="H31" s="3481"/>
      <c r="I31" s="3481"/>
      <c r="J31" s="3481"/>
      <c r="K31" s="3481"/>
      <c r="L31" s="3481"/>
      <c r="M31" s="3481"/>
      <c r="N31" s="3481"/>
      <c r="O31" s="3481"/>
      <c r="P31" s="3481"/>
      <c r="Q31" s="3481"/>
      <c r="R31" s="3481"/>
      <c r="S31" s="3481"/>
      <c r="T31" s="3481"/>
    </row>
    <row r="32" spans="1:20">
      <c r="A32" s="3481"/>
      <c r="B32" s="3481"/>
      <c r="C32" s="3481"/>
      <c r="D32" s="3481"/>
      <c r="E32" s="3481"/>
      <c r="F32" s="3481"/>
      <c r="G32" s="3481"/>
      <c r="H32" s="3481"/>
      <c r="I32" s="3481"/>
      <c r="J32" s="3481"/>
      <c r="K32" s="3481"/>
      <c r="L32" s="3481"/>
      <c r="M32" s="3481"/>
      <c r="N32" s="3481"/>
      <c r="O32" s="3481"/>
      <c r="P32" s="3481"/>
      <c r="Q32" s="3481"/>
      <c r="R32" s="3481"/>
      <c r="S32" s="3481"/>
      <c r="T32" s="3481"/>
    </row>
    <row r="33" spans="1:20">
      <c r="A33" s="3481"/>
      <c r="B33" s="3481"/>
      <c r="C33" s="3481"/>
      <c r="D33" s="3481"/>
      <c r="E33" s="3481"/>
      <c r="F33" s="3481"/>
      <c r="G33" s="3481"/>
      <c r="H33" s="3481"/>
      <c r="I33" s="3481"/>
      <c r="J33" s="3481"/>
      <c r="K33" s="3481"/>
      <c r="L33" s="3481"/>
      <c r="M33" s="3481"/>
      <c r="N33" s="3481"/>
      <c r="O33" s="3481"/>
      <c r="P33" s="3481"/>
      <c r="Q33" s="3481"/>
      <c r="R33" s="3481"/>
      <c r="S33" s="3481"/>
      <c r="T33" s="3481"/>
    </row>
    <row r="34" spans="1:20">
      <c r="A34" s="3481"/>
      <c r="B34" s="3481"/>
      <c r="C34" s="3481"/>
      <c r="D34" s="3481"/>
      <c r="E34" s="3481"/>
      <c r="F34" s="3481"/>
      <c r="G34" s="3481"/>
      <c r="H34" s="3481"/>
      <c r="I34" s="3481"/>
      <c r="J34" s="3481"/>
      <c r="K34" s="3481"/>
      <c r="L34" s="3481"/>
      <c r="M34" s="3481"/>
      <c r="N34" s="3481"/>
      <c r="O34" s="3481"/>
      <c r="P34" s="3481"/>
      <c r="Q34" s="3481"/>
      <c r="R34" s="3481"/>
      <c r="S34" s="3481"/>
      <c r="T34" s="3481"/>
    </row>
    <row r="35" spans="1:20">
      <c r="A35" s="3481"/>
      <c r="B35" s="3481"/>
      <c r="C35" s="3481"/>
      <c r="D35" s="3481"/>
      <c r="E35" s="3481"/>
      <c r="F35" s="3481"/>
      <c r="G35" s="3481"/>
      <c r="H35" s="3481"/>
      <c r="I35" s="3481"/>
      <c r="J35" s="3481"/>
      <c r="K35" s="3481"/>
      <c r="L35" s="3481"/>
      <c r="M35" s="3481"/>
      <c r="N35" s="3481"/>
      <c r="O35" s="3481"/>
      <c r="P35" s="3481"/>
      <c r="Q35" s="3481"/>
      <c r="R35" s="3481"/>
      <c r="S35" s="3481"/>
      <c r="T35" s="3481"/>
    </row>
    <row r="36" spans="1:20">
      <c r="A36" s="3481"/>
      <c r="B36" s="3481"/>
      <c r="C36" s="3481"/>
      <c r="D36" s="3481"/>
      <c r="E36" s="3481"/>
      <c r="F36" s="3481"/>
      <c r="G36" s="3481"/>
      <c r="H36" s="3481"/>
      <c r="I36" s="3481"/>
      <c r="J36" s="3481"/>
      <c r="K36" s="3481"/>
      <c r="L36" s="3481"/>
      <c r="M36" s="3481"/>
      <c r="N36" s="3481"/>
      <c r="O36" s="3481"/>
      <c r="P36" s="3481"/>
      <c r="Q36" s="3481"/>
      <c r="R36" s="3481"/>
      <c r="S36" s="3481"/>
      <c r="T36" s="3481"/>
    </row>
    <row r="37" spans="1:20">
      <c r="A37" s="3481"/>
      <c r="B37" s="3481"/>
      <c r="C37" s="3481"/>
      <c r="D37" s="3481"/>
      <c r="E37" s="3481"/>
      <c r="F37" s="3481"/>
      <c r="G37" s="3481"/>
      <c r="H37" s="3481"/>
      <c r="I37" s="3481"/>
      <c r="J37" s="3481"/>
      <c r="K37" s="3481"/>
      <c r="L37" s="3481"/>
      <c r="M37" s="3481"/>
      <c r="N37" s="3481"/>
      <c r="O37" s="3481"/>
      <c r="P37" s="3481"/>
      <c r="Q37" s="3481"/>
      <c r="R37" s="3481"/>
      <c r="S37" s="3481"/>
      <c r="T37" s="3481"/>
    </row>
    <row r="38" spans="1:20">
      <c r="A38" s="3481"/>
      <c r="B38" s="3481"/>
      <c r="C38" s="3481"/>
      <c r="D38" s="3481"/>
      <c r="E38" s="3481"/>
      <c r="F38" s="3481"/>
      <c r="G38" s="3481"/>
      <c r="H38" s="3481"/>
      <c r="I38" s="3481"/>
      <c r="J38" s="3481"/>
      <c r="K38" s="3481"/>
      <c r="L38" s="3481"/>
      <c r="M38" s="3481"/>
      <c r="N38" s="3481"/>
      <c r="O38" s="3481"/>
      <c r="P38" s="3481"/>
      <c r="Q38" s="3481"/>
      <c r="R38" s="3481"/>
      <c r="S38" s="3481"/>
      <c r="T38" s="3481"/>
    </row>
    <row r="39" spans="1:20">
      <c r="A39" s="3481"/>
      <c r="B39" s="3481"/>
      <c r="C39" s="3481"/>
      <c r="D39" s="3481"/>
      <c r="E39" s="3481"/>
      <c r="F39" s="3481"/>
      <c r="G39" s="3481"/>
      <c r="H39" s="3481"/>
      <c r="I39" s="3481"/>
      <c r="J39" s="3481"/>
      <c r="K39" s="3481"/>
      <c r="L39" s="3481"/>
      <c r="M39" s="3481"/>
      <c r="N39" s="3481"/>
      <c r="O39" s="3481"/>
      <c r="P39" s="3481"/>
      <c r="Q39" s="3481"/>
      <c r="R39" s="3481"/>
      <c r="S39" s="3481"/>
      <c r="T39" s="3481"/>
    </row>
    <row r="40" spans="1:20">
      <c r="A40" s="3481"/>
      <c r="B40" s="3481"/>
      <c r="C40" s="3481"/>
      <c r="D40" s="3481"/>
      <c r="E40" s="3481"/>
      <c r="F40" s="3481"/>
      <c r="G40" s="3481"/>
      <c r="H40" s="3481"/>
      <c r="I40" s="3481"/>
      <c r="J40" s="3481"/>
      <c r="K40" s="3481"/>
      <c r="L40" s="3481"/>
      <c r="M40" s="3481"/>
      <c r="N40" s="3481"/>
      <c r="O40" s="3481"/>
      <c r="P40" s="3481"/>
      <c r="Q40" s="3481"/>
      <c r="R40" s="3481"/>
      <c r="S40" s="3481"/>
      <c r="T40" s="3481"/>
    </row>
    <row r="41" spans="1:20">
      <c r="A41" s="3481"/>
      <c r="B41" s="3481"/>
      <c r="C41" s="3481"/>
      <c r="D41" s="3481"/>
      <c r="E41" s="3481"/>
      <c r="F41" s="3481"/>
      <c r="G41" s="3481"/>
      <c r="H41" s="3481"/>
      <c r="I41" s="3481"/>
      <c r="J41" s="3481"/>
      <c r="K41" s="3481"/>
      <c r="L41" s="3481"/>
      <c r="M41" s="3481"/>
      <c r="N41" s="3481"/>
      <c r="O41" s="3481"/>
      <c r="P41" s="3481"/>
      <c r="Q41" s="3481"/>
      <c r="R41" s="3481"/>
      <c r="S41" s="3481"/>
      <c r="T41" s="3481"/>
    </row>
    <row r="42" spans="1:20">
      <c r="A42" s="3481"/>
      <c r="B42" s="3481"/>
      <c r="C42" s="3481"/>
      <c r="D42" s="3481"/>
      <c r="E42" s="3481"/>
      <c r="F42" s="3481"/>
      <c r="G42" s="3481"/>
      <c r="H42" s="3481"/>
      <c r="I42" s="3481"/>
      <c r="J42" s="3481"/>
      <c r="K42" s="3481"/>
      <c r="L42" s="3481"/>
      <c r="M42" s="3481"/>
      <c r="N42" s="3481"/>
      <c r="O42" s="3481"/>
      <c r="P42" s="3481"/>
      <c r="Q42" s="3481"/>
      <c r="R42" s="3481"/>
      <c r="S42" s="3481"/>
      <c r="T42" s="3481"/>
    </row>
    <row r="43" spans="1:20">
      <c r="A43" s="3481"/>
      <c r="B43" s="3481"/>
      <c r="C43" s="3481"/>
      <c r="D43" s="3481"/>
      <c r="E43" s="3481"/>
      <c r="F43" s="3481"/>
      <c r="G43" s="3481"/>
      <c r="H43" s="3481"/>
      <c r="I43" s="3481"/>
      <c r="J43" s="3481"/>
      <c r="K43" s="3481"/>
      <c r="L43" s="3481"/>
      <c r="M43" s="3481"/>
      <c r="N43" s="3481"/>
      <c r="O43" s="3481"/>
      <c r="P43" s="3481"/>
      <c r="Q43" s="3481"/>
      <c r="R43" s="3481"/>
      <c r="S43" s="3481"/>
      <c r="T43" s="3481"/>
    </row>
    <row r="44" spans="1:20">
      <c r="A44" s="3481"/>
      <c r="B44" s="3481"/>
      <c r="C44" s="3481"/>
      <c r="D44" s="3481"/>
      <c r="E44" s="3481"/>
      <c r="F44" s="3481"/>
      <c r="G44" s="3481"/>
      <c r="H44" s="3481"/>
      <c r="I44" s="3481"/>
      <c r="J44" s="3481"/>
      <c r="K44" s="3481"/>
      <c r="L44" s="3481"/>
      <c r="M44" s="3481"/>
      <c r="N44" s="3481"/>
      <c r="O44" s="3481"/>
      <c r="P44" s="3481"/>
      <c r="Q44" s="3481"/>
      <c r="R44" s="3481"/>
      <c r="S44" s="3481"/>
      <c r="T44" s="3481"/>
    </row>
    <row r="45" spans="1:20">
      <c r="A45" s="3481"/>
      <c r="B45" s="3481"/>
      <c r="C45" s="3481"/>
      <c r="D45" s="3481"/>
      <c r="E45" s="3481"/>
      <c r="F45" s="3481"/>
      <c r="G45" s="3481"/>
      <c r="H45" s="3481"/>
      <c r="I45" s="3481"/>
      <c r="J45" s="3481"/>
      <c r="K45" s="3481"/>
      <c r="L45" s="3481"/>
      <c r="M45" s="3481"/>
      <c r="N45" s="3481"/>
      <c r="O45" s="3481"/>
      <c r="P45" s="3481"/>
      <c r="Q45" s="3481"/>
      <c r="R45" s="3481"/>
      <c r="S45" s="3481"/>
      <c r="T45" s="3481"/>
    </row>
    <row r="46" spans="1:20">
      <c r="A46" s="3481"/>
      <c r="B46" s="3481"/>
      <c r="C46" s="3481"/>
      <c r="D46" s="3481"/>
      <c r="E46" s="3481"/>
      <c r="F46" s="3481"/>
      <c r="G46" s="3481"/>
      <c r="H46" s="3481"/>
      <c r="I46" s="3481"/>
      <c r="J46" s="3481"/>
      <c r="K46" s="3481"/>
      <c r="L46" s="3481"/>
      <c r="M46" s="3481"/>
      <c r="N46" s="3481"/>
      <c r="O46" s="3481"/>
      <c r="P46" s="3481"/>
      <c r="Q46" s="3481"/>
      <c r="R46" s="3481"/>
      <c r="S46" s="3481"/>
      <c r="T46" s="3481"/>
    </row>
    <row r="47" spans="1:20">
      <c r="A47" s="3481"/>
      <c r="B47" s="3481"/>
      <c r="C47" s="3481"/>
      <c r="D47" s="3481"/>
      <c r="E47" s="3481"/>
      <c r="F47" s="3481"/>
      <c r="G47" s="3481"/>
      <c r="H47" s="3481"/>
      <c r="I47" s="3481"/>
      <c r="J47" s="3481"/>
      <c r="K47" s="3481"/>
      <c r="L47" s="3481"/>
      <c r="M47" s="3481"/>
      <c r="N47" s="3481"/>
      <c r="O47" s="3481"/>
      <c r="P47" s="3481"/>
      <c r="Q47" s="3481"/>
      <c r="R47" s="3481"/>
      <c r="S47" s="3481"/>
      <c r="T47" s="3481"/>
    </row>
    <row r="48" spans="1:20">
      <c r="A48" s="3481"/>
      <c r="B48" s="3481"/>
      <c r="C48" s="3481"/>
      <c r="D48" s="3481"/>
      <c r="E48" s="3481"/>
      <c r="F48" s="3481"/>
      <c r="G48" s="3481"/>
      <c r="H48" s="3481"/>
      <c r="I48" s="3481"/>
      <c r="J48" s="3481"/>
      <c r="K48" s="3481"/>
      <c r="L48" s="3481"/>
      <c r="M48" s="3481"/>
      <c r="N48" s="3481"/>
      <c r="O48" s="3481"/>
      <c r="P48" s="3481"/>
      <c r="Q48" s="3481"/>
      <c r="R48" s="3481"/>
      <c r="S48" s="3481"/>
      <c r="T48" s="3481"/>
    </row>
    <row r="49" spans="1:20">
      <c r="A49" s="3481"/>
      <c r="B49" s="3481"/>
      <c r="C49" s="3481"/>
      <c r="D49" s="3481"/>
      <c r="E49" s="3481"/>
      <c r="F49" s="3481"/>
      <c r="G49" s="3481"/>
      <c r="H49" s="3481"/>
      <c r="I49" s="3481"/>
      <c r="J49" s="3481"/>
      <c r="K49" s="3481"/>
      <c r="L49" s="3481"/>
      <c r="M49" s="3481"/>
      <c r="N49" s="3481"/>
      <c r="O49" s="3481"/>
      <c r="P49" s="3481"/>
      <c r="Q49" s="3481"/>
      <c r="R49" s="3481"/>
      <c r="S49" s="3481"/>
      <c r="T49" s="3481"/>
    </row>
    <row r="50" spans="1:20">
      <c r="A50" s="3481"/>
      <c r="B50" s="3481"/>
      <c r="C50" s="3481"/>
      <c r="D50" s="3481"/>
      <c r="E50" s="3481"/>
      <c r="F50" s="3481"/>
      <c r="G50" s="3481"/>
      <c r="H50" s="3481"/>
      <c r="I50" s="3481"/>
      <c r="J50" s="3481"/>
      <c r="K50" s="3481"/>
      <c r="L50" s="3481"/>
      <c r="M50" s="3481"/>
      <c r="N50" s="3481"/>
      <c r="O50" s="3481"/>
      <c r="P50" s="3481"/>
      <c r="Q50" s="3481"/>
      <c r="R50" s="3481"/>
      <c r="S50" s="3481"/>
      <c r="T50" s="3481"/>
    </row>
    <row r="51" spans="1:20">
      <c r="A51" s="3481"/>
      <c r="B51" s="3481"/>
      <c r="C51" s="3481"/>
      <c r="D51" s="3481"/>
      <c r="E51" s="3481"/>
      <c r="F51" s="3481"/>
      <c r="G51" s="3481"/>
      <c r="H51" s="3481"/>
      <c r="I51" s="3481"/>
      <c r="J51" s="3481"/>
      <c r="K51" s="3481"/>
      <c r="L51" s="3481"/>
      <c r="M51" s="3481"/>
      <c r="N51" s="3481"/>
      <c r="O51" s="3481"/>
      <c r="P51" s="3481"/>
      <c r="Q51" s="3481"/>
      <c r="R51" s="3481"/>
      <c r="S51" s="3481"/>
      <c r="T51" s="3481"/>
    </row>
    <row r="52" spans="1:20">
      <c r="A52" s="3481"/>
      <c r="B52" s="3481"/>
      <c r="C52" s="3481"/>
      <c r="D52" s="3481"/>
      <c r="E52" s="3481"/>
      <c r="F52" s="3481"/>
      <c r="G52" s="3481"/>
      <c r="H52" s="3481"/>
      <c r="I52" s="3481"/>
      <c r="J52" s="3481"/>
      <c r="K52" s="3481"/>
      <c r="L52" s="3481"/>
      <c r="M52" s="3481"/>
      <c r="N52" s="3481"/>
      <c r="O52" s="3481"/>
      <c r="P52" s="3481"/>
      <c r="Q52" s="3481"/>
      <c r="R52" s="3481"/>
      <c r="S52" s="3481"/>
      <c r="T52" s="3481"/>
    </row>
    <row r="53" spans="1:20">
      <c r="A53" s="3481"/>
      <c r="B53" s="3481"/>
      <c r="C53" s="3481"/>
      <c r="D53" s="3481"/>
      <c r="E53" s="3481"/>
      <c r="F53" s="3481"/>
      <c r="G53" s="3481"/>
      <c r="H53" s="3481"/>
      <c r="I53" s="3481"/>
      <c r="J53" s="3481"/>
      <c r="K53" s="3481"/>
      <c r="L53" s="3481"/>
      <c r="M53" s="3481"/>
      <c r="N53" s="3481"/>
      <c r="O53" s="3481"/>
      <c r="P53" s="3481"/>
      <c r="Q53" s="3481"/>
      <c r="R53" s="3481"/>
      <c r="S53" s="3481"/>
      <c r="T53" s="3481"/>
    </row>
    <row r="54" spans="1:20">
      <c r="A54" s="3481"/>
      <c r="B54" s="3481"/>
      <c r="C54" s="3481"/>
      <c r="D54" s="3481"/>
      <c r="E54" s="3481"/>
      <c r="F54" s="3481"/>
      <c r="G54" s="3481"/>
      <c r="H54" s="3481"/>
      <c r="I54" s="3481"/>
      <c r="J54" s="3481"/>
      <c r="K54" s="3481"/>
      <c r="L54" s="3481"/>
      <c r="M54" s="3481"/>
      <c r="N54" s="3481"/>
      <c r="O54" s="3481"/>
      <c r="P54" s="3481"/>
      <c r="Q54" s="3481"/>
      <c r="R54" s="3481"/>
      <c r="S54" s="3481"/>
      <c r="T54" s="3481"/>
    </row>
    <row r="55" spans="1:20">
      <c r="A55" s="3481"/>
      <c r="B55" s="3481"/>
      <c r="C55" s="3481"/>
      <c r="D55" s="3481"/>
      <c r="E55" s="3481"/>
      <c r="F55" s="3481"/>
      <c r="G55" s="3481"/>
      <c r="H55" s="3481"/>
      <c r="I55" s="3481"/>
      <c r="J55" s="3481"/>
      <c r="K55" s="3481"/>
      <c r="L55" s="3481"/>
      <c r="M55" s="3481"/>
      <c r="N55" s="3481"/>
      <c r="O55" s="3481"/>
      <c r="P55" s="3481"/>
      <c r="Q55" s="3481"/>
      <c r="R55" s="3481"/>
      <c r="S55" s="3481"/>
      <c r="T55" s="3481"/>
    </row>
    <row r="56" spans="1:20">
      <c r="A56" s="3481"/>
      <c r="B56" s="3481"/>
      <c r="C56" s="3481"/>
      <c r="D56" s="3481"/>
      <c r="E56" s="3481"/>
      <c r="F56" s="3481"/>
      <c r="G56" s="3481"/>
      <c r="H56" s="3481"/>
      <c r="I56" s="3481"/>
      <c r="J56" s="3481"/>
      <c r="K56" s="3481"/>
      <c r="L56" s="3481"/>
      <c r="M56" s="3481"/>
      <c r="N56" s="3481"/>
      <c r="O56" s="3481"/>
      <c r="P56" s="3481"/>
      <c r="Q56" s="3481"/>
      <c r="R56" s="3481"/>
      <c r="S56" s="3481"/>
      <c r="T56" s="3481"/>
    </row>
    <row r="57" spans="1:20">
      <c r="A57" s="3481"/>
      <c r="B57" s="3481"/>
      <c r="C57" s="3481"/>
      <c r="D57" s="3481"/>
      <c r="E57" s="3481"/>
      <c r="F57" s="3481"/>
      <c r="G57" s="3481"/>
      <c r="H57" s="3481"/>
      <c r="I57" s="3481"/>
      <c r="J57" s="3481"/>
      <c r="K57" s="3481"/>
      <c r="L57" s="3481"/>
      <c r="M57" s="3481"/>
      <c r="N57" s="3481"/>
      <c r="O57" s="3481"/>
      <c r="P57" s="3481"/>
      <c r="Q57" s="3481"/>
      <c r="R57" s="3481"/>
      <c r="S57" s="3481"/>
      <c r="T57" s="3481"/>
    </row>
    <row r="58" spans="1:20">
      <c r="A58" s="3481"/>
      <c r="B58" s="3481"/>
      <c r="C58" s="3481"/>
      <c r="D58" s="3481"/>
      <c r="E58" s="3481"/>
      <c r="F58" s="3481"/>
      <c r="G58" s="3481"/>
      <c r="H58" s="3481"/>
      <c r="I58" s="3481"/>
      <c r="J58" s="3481"/>
      <c r="K58" s="3481"/>
      <c r="L58" s="3481"/>
      <c r="M58" s="3481"/>
      <c r="N58" s="3481"/>
      <c r="O58" s="3481"/>
      <c r="P58" s="3481"/>
      <c r="Q58" s="3481"/>
      <c r="R58" s="3481"/>
      <c r="S58" s="3481"/>
      <c r="T58" s="3481"/>
    </row>
    <row r="59" spans="1:20">
      <c r="A59" s="3481"/>
      <c r="B59" s="3481"/>
      <c r="C59" s="3481"/>
      <c r="D59" s="3481"/>
      <c r="E59" s="3481"/>
      <c r="F59" s="3481"/>
      <c r="G59" s="3481"/>
      <c r="H59" s="3481"/>
      <c r="I59" s="3481"/>
      <c r="J59" s="3481"/>
      <c r="K59" s="3481"/>
      <c r="L59" s="3481"/>
      <c r="M59" s="3481"/>
      <c r="N59" s="3481"/>
      <c r="O59" s="3481"/>
      <c r="P59" s="3481"/>
      <c r="Q59" s="3481"/>
      <c r="R59" s="3481"/>
      <c r="S59" s="3481"/>
      <c r="T59" s="3481"/>
    </row>
    <row r="60" spans="1:20">
      <c r="A60" s="3481"/>
      <c r="B60" s="3481"/>
      <c r="C60" s="3481"/>
      <c r="D60" s="3481"/>
      <c r="E60" s="3481"/>
      <c r="F60" s="3481"/>
      <c r="G60" s="3481"/>
      <c r="H60" s="3481"/>
      <c r="I60" s="3481"/>
      <c r="J60" s="3481"/>
      <c r="K60" s="3481"/>
      <c r="L60" s="3481"/>
      <c r="M60" s="3481"/>
      <c r="N60" s="3481"/>
      <c r="O60" s="3481"/>
      <c r="P60" s="3481"/>
      <c r="Q60" s="3481"/>
      <c r="R60" s="3481"/>
      <c r="S60" s="3481"/>
      <c r="T60" s="3481"/>
    </row>
    <row r="61" spans="1:20">
      <c r="A61" s="3481"/>
      <c r="B61" s="3481"/>
      <c r="C61" s="3481"/>
      <c r="D61" s="3481"/>
      <c r="E61" s="3481"/>
      <c r="F61" s="3481"/>
      <c r="G61" s="3481"/>
      <c r="H61" s="3481"/>
      <c r="I61" s="3481"/>
      <c r="J61" s="3481"/>
      <c r="K61" s="3481"/>
      <c r="L61" s="3481"/>
      <c r="M61" s="3481"/>
      <c r="N61" s="3481"/>
      <c r="O61" s="3481"/>
      <c r="P61" s="3481"/>
      <c r="Q61" s="3481"/>
      <c r="R61" s="3481"/>
      <c r="S61" s="3481"/>
      <c r="T61" s="3481"/>
    </row>
    <row r="62" spans="1:20">
      <c r="A62" s="3481"/>
      <c r="B62" s="3481"/>
      <c r="C62" s="3481"/>
      <c r="D62" s="3481"/>
      <c r="E62" s="3481"/>
      <c r="F62" s="3481"/>
      <c r="G62" s="3481"/>
      <c r="H62" s="3481"/>
      <c r="I62" s="3481"/>
      <c r="J62" s="3481"/>
      <c r="K62" s="3481"/>
      <c r="L62" s="3481"/>
      <c r="M62" s="3481"/>
      <c r="N62" s="3481"/>
      <c r="O62" s="3481"/>
      <c r="P62" s="3481"/>
      <c r="Q62" s="3481"/>
      <c r="R62" s="3481"/>
      <c r="S62" s="3481"/>
      <c r="T62" s="3481"/>
    </row>
    <row r="63" spans="1:20">
      <c r="A63" s="3481"/>
      <c r="B63" s="3481"/>
      <c r="C63" s="3481"/>
      <c r="D63" s="3481"/>
      <c r="E63" s="3481"/>
      <c r="F63" s="3481"/>
      <c r="G63" s="3481"/>
      <c r="H63" s="3481"/>
      <c r="I63" s="3481"/>
      <c r="J63" s="3481"/>
      <c r="K63" s="3481"/>
      <c r="L63" s="3481"/>
      <c r="M63" s="3481"/>
      <c r="N63" s="3481"/>
      <c r="O63" s="3481"/>
      <c r="P63" s="3481"/>
      <c r="Q63" s="3481"/>
      <c r="R63" s="3481"/>
      <c r="S63" s="3481"/>
      <c r="T63" s="3481"/>
    </row>
  </sheetData>
  <mergeCells count="65">
    <mergeCell ref="A60:T60"/>
    <mergeCell ref="A61:T61"/>
    <mergeCell ref="A62:T62"/>
    <mergeCell ref="A63:T63"/>
    <mergeCell ref="A54:T54"/>
    <mergeCell ref="A55:T55"/>
    <mergeCell ref="A56:T56"/>
    <mergeCell ref="A57:T57"/>
    <mergeCell ref="A58:T58"/>
    <mergeCell ref="A59:T59"/>
    <mergeCell ref="A53:T53"/>
    <mergeCell ref="A42:T42"/>
    <mergeCell ref="A43:T43"/>
    <mergeCell ref="A44:T44"/>
    <mergeCell ref="A45:T45"/>
    <mergeCell ref="A46:T46"/>
    <mergeCell ref="A47:T47"/>
    <mergeCell ref="A48:T48"/>
    <mergeCell ref="A49:T49"/>
    <mergeCell ref="A50:T50"/>
    <mergeCell ref="A51:T51"/>
    <mergeCell ref="A52:T52"/>
    <mergeCell ref="A41:T41"/>
    <mergeCell ref="A30:T30"/>
    <mergeCell ref="A31:T31"/>
    <mergeCell ref="A32:T32"/>
    <mergeCell ref="A33:T33"/>
    <mergeCell ref="A34:T34"/>
    <mergeCell ref="A35:T35"/>
    <mergeCell ref="A36:T36"/>
    <mergeCell ref="A37:T37"/>
    <mergeCell ref="A38:T38"/>
    <mergeCell ref="A39:T39"/>
    <mergeCell ref="A40:T40"/>
    <mergeCell ref="A26:T26"/>
    <mergeCell ref="A27:T27"/>
    <mergeCell ref="A28:T28"/>
    <mergeCell ref="A29:T29"/>
    <mergeCell ref="A18:T18"/>
    <mergeCell ref="A19:T19"/>
    <mergeCell ref="A20:T20"/>
    <mergeCell ref="A21:T21"/>
    <mergeCell ref="A22:T22"/>
    <mergeCell ref="A23:T23"/>
    <mergeCell ref="M3:M4"/>
    <mergeCell ref="N3:N4"/>
    <mergeCell ref="A17:T17"/>
    <mergeCell ref="A24:T24"/>
    <mergeCell ref="A25:T25"/>
    <mergeCell ref="A2:T2"/>
    <mergeCell ref="A3:A5"/>
    <mergeCell ref="B3:B4"/>
    <mergeCell ref="C3:C4"/>
    <mergeCell ref="D3:D4"/>
    <mergeCell ref="E3:E4"/>
    <mergeCell ref="F3:F4"/>
    <mergeCell ref="G3:G4"/>
    <mergeCell ref="H3:H4"/>
    <mergeCell ref="O3:O4"/>
    <mergeCell ref="P3:S3"/>
    <mergeCell ref="T3:T4"/>
    <mergeCell ref="I3:I4"/>
    <mergeCell ref="J3:J4"/>
    <mergeCell ref="K3:K4"/>
    <mergeCell ref="L3:L4"/>
  </mergeCells>
  <phoneticPr fontId="51" type="noConversion"/>
  <hyperlinks>
    <hyperlink ref="U15" location="A108000境外所得税收抵免明细表!A1" display="A108000境外所得税收抵免明细表!A1"/>
  </hyperlinks>
  <printOptions horizontalCentered="1"/>
  <pageMargins left="0.78740157480314998" right="0.35433070866141703" top="0.511811023622047" bottom="0.11811023622047198" header="0.511811023622047" footer="0.511811023622047"/>
  <pageSetup paperSize="9" scale="90" orientation="landscape" r:id="rId1"/>
  <headerFooter alignWithMargins="0"/>
</worksheet>
</file>

<file path=xl/worksheets/sheet6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78">
    <tabColor rgb="FFFFFF00"/>
  </sheetPr>
  <dimension ref="A1:T16"/>
  <sheetViews>
    <sheetView workbookViewId="0">
      <selection activeCell="K5" sqref="K5"/>
    </sheetView>
  </sheetViews>
  <sheetFormatPr defaultColWidth="8.69921875" defaultRowHeight="13.2"/>
  <cols>
    <col min="1" max="1" width="5.19921875" style="1617" customWidth="1"/>
    <col min="2" max="2" width="9.3984375" style="1617" customWidth="1"/>
    <col min="3" max="19" width="10.19921875" style="1617" customWidth="1"/>
    <col min="20" max="256" width="8.69921875" style="1617"/>
    <col min="257" max="257" width="5.19921875" style="1617" customWidth="1"/>
    <col min="258" max="258" width="10.19921875" style="1617" customWidth="1"/>
    <col min="259" max="275" width="6.5" style="1617" customWidth="1"/>
    <col min="276" max="512" width="8.69921875" style="1617"/>
    <col min="513" max="513" width="5.19921875" style="1617" customWidth="1"/>
    <col min="514" max="514" width="10.19921875" style="1617" customWidth="1"/>
    <col min="515" max="531" width="6.5" style="1617" customWidth="1"/>
    <col min="532" max="768" width="8.69921875" style="1617"/>
    <col min="769" max="769" width="5.19921875" style="1617" customWidth="1"/>
    <col min="770" max="770" width="10.19921875" style="1617" customWidth="1"/>
    <col min="771" max="787" width="6.5" style="1617" customWidth="1"/>
    <col min="788" max="1024" width="8.69921875" style="1617"/>
    <col min="1025" max="1025" width="5.19921875" style="1617" customWidth="1"/>
    <col min="1026" max="1026" width="10.19921875" style="1617" customWidth="1"/>
    <col min="1027" max="1043" width="6.5" style="1617" customWidth="1"/>
    <col min="1044" max="1280" width="8.69921875" style="1617"/>
    <col min="1281" max="1281" width="5.19921875" style="1617" customWidth="1"/>
    <col min="1282" max="1282" width="10.19921875" style="1617" customWidth="1"/>
    <col min="1283" max="1299" width="6.5" style="1617" customWidth="1"/>
    <col min="1300" max="1536" width="8.69921875" style="1617"/>
    <col min="1537" max="1537" width="5.19921875" style="1617" customWidth="1"/>
    <col min="1538" max="1538" width="10.19921875" style="1617" customWidth="1"/>
    <col min="1539" max="1555" width="6.5" style="1617" customWidth="1"/>
    <col min="1556" max="1792" width="8.69921875" style="1617"/>
    <col min="1793" max="1793" width="5.19921875" style="1617" customWidth="1"/>
    <col min="1794" max="1794" width="10.19921875" style="1617" customWidth="1"/>
    <col min="1795" max="1811" width="6.5" style="1617" customWidth="1"/>
    <col min="1812" max="2048" width="8.69921875" style="1617"/>
    <col min="2049" max="2049" width="5.19921875" style="1617" customWidth="1"/>
    <col min="2050" max="2050" width="10.19921875" style="1617" customWidth="1"/>
    <col min="2051" max="2067" width="6.5" style="1617" customWidth="1"/>
    <col min="2068" max="2304" width="8.69921875" style="1617"/>
    <col min="2305" max="2305" width="5.19921875" style="1617" customWidth="1"/>
    <col min="2306" max="2306" width="10.19921875" style="1617" customWidth="1"/>
    <col min="2307" max="2323" width="6.5" style="1617" customWidth="1"/>
    <col min="2324" max="2560" width="8.69921875" style="1617"/>
    <col min="2561" max="2561" width="5.19921875" style="1617" customWidth="1"/>
    <col min="2562" max="2562" width="10.19921875" style="1617" customWidth="1"/>
    <col min="2563" max="2579" width="6.5" style="1617" customWidth="1"/>
    <col min="2580" max="2816" width="8.69921875" style="1617"/>
    <col min="2817" max="2817" width="5.19921875" style="1617" customWidth="1"/>
    <col min="2818" max="2818" width="10.19921875" style="1617" customWidth="1"/>
    <col min="2819" max="2835" width="6.5" style="1617" customWidth="1"/>
    <col min="2836" max="3072" width="8.69921875" style="1617"/>
    <col min="3073" max="3073" width="5.19921875" style="1617" customWidth="1"/>
    <col min="3074" max="3074" width="10.19921875" style="1617" customWidth="1"/>
    <col min="3075" max="3091" width="6.5" style="1617" customWidth="1"/>
    <col min="3092" max="3328" width="8.69921875" style="1617"/>
    <col min="3329" max="3329" width="5.19921875" style="1617" customWidth="1"/>
    <col min="3330" max="3330" width="10.19921875" style="1617" customWidth="1"/>
    <col min="3331" max="3347" width="6.5" style="1617" customWidth="1"/>
    <col min="3348" max="3584" width="8.69921875" style="1617"/>
    <col min="3585" max="3585" width="5.19921875" style="1617" customWidth="1"/>
    <col min="3586" max="3586" width="10.19921875" style="1617" customWidth="1"/>
    <col min="3587" max="3603" width="6.5" style="1617" customWidth="1"/>
    <col min="3604" max="3840" width="8.69921875" style="1617"/>
    <col min="3841" max="3841" width="5.19921875" style="1617" customWidth="1"/>
    <col min="3842" max="3842" width="10.19921875" style="1617" customWidth="1"/>
    <col min="3843" max="3859" width="6.5" style="1617" customWidth="1"/>
    <col min="3860" max="4096" width="8.69921875" style="1617"/>
    <col min="4097" max="4097" width="5.19921875" style="1617" customWidth="1"/>
    <col min="4098" max="4098" width="10.19921875" style="1617" customWidth="1"/>
    <col min="4099" max="4115" width="6.5" style="1617" customWidth="1"/>
    <col min="4116" max="4352" width="8.69921875" style="1617"/>
    <col min="4353" max="4353" width="5.19921875" style="1617" customWidth="1"/>
    <col min="4354" max="4354" width="10.19921875" style="1617" customWidth="1"/>
    <col min="4355" max="4371" width="6.5" style="1617" customWidth="1"/>
    <col min="4372" max="4608" width="8.69921875" style="1617"/>
    <col min="4609" max="4609" width="5.19921875" style="1617" customWidth="1"/>
    <col min="4610" max="4610" width="10.19921875" style="1617" customWidth="1"/>
    <col min="4611" max="4627" width="6.5" style="1617" customWidth="1"/>
    <col min="4628" max="4864" width="8.69921875" style="1617"/>
    <col min="4865" max="4865" width="5.19921875" style="1617" customWidth="1"/>
    <col min="4866" max="4866" width="10.19921875" style="1617" customWidth="1"/>
    <col min="4867" max="4883" width="6.5" style="1617" customWidth="1"/>
    <col min="4884" max="5120" width="8.69921875" style="1617"/>
    <col min="5121" max="5121" width="5.19921875" style="1617" customWidth="1"/>
    <col min="5122" max="5122" width="10.19921875" style="1617" customWidth="1"/>
    <col min="5123" max="5139" width="6.5" style="1617" customWidth="1"/>
    <col min="5140" max="5376" width="8.69921875" style="1617"/>
    <col min="5377" max="5377" width="5.19921875" style="1617" customWidth="1"/>
    <col min="5378" max="5378" width="10.19921875" style="1617" customWidth="1"/>
    <col min="5379" max="5395" width="6.5" style="1617" customWidth="1"/>
    <col min="5396" max="5632" width="8.69921875" style="1617"/>
    <col min="5633" max="5633" width="5.19921875" style="1617" customWidth="1"/>
    <col min="5634" max="5634" width="10.19921875" style="1617" customWidth="1"/>
    <col min="5635" max="5651" width="6.5" style="1617" customWidth="1"/>
    <col min="5652" max="5888" width="8.69921875" style="1617"/>
    <col min="5889" max="5889" width="5.19921875" style="1617" customWidth="1"/>
    <col min="5890" max="5890" width="10.19921875" style="1617" customWidth="1"/>
    <col min="5891" max="5907" width="6.5" style="1617" customWidth="1"/>
    <col min="5908" max="6144" width="8.69921875" style="1617"/>
    <col min="6145" max="6145" width="5.19921875" style="1617" customWidth="1"/>
    <col min="6146" max="6146" width="10.19921875" style="1617" customWidth="1"/>
    <col min="6147" max="6163" width="6.5" style="1617" customWidth="1"/>
    <col min="6164" max="6400" width="8.69921875" style="1617"/>
    <col min="6401" max="6401" width="5.19921875" style="1617" customWidth="1"/>
    <col min="6402" max="6402" width="10.19921875" style="1617" customWidth="1"/>
    <col min="6403" max="6419" width="6.5" style="1617" customWidth="1"/>
    <col min="6420" max="6656" width="8.69921875" style="1617"/>
    <col min="6657" max="6657" width="5.19921875" style="1617" customWidth="1"/>
    <col min="6658" max="6658" width="10.19921875" style="1617" customWidth="1"/>
    <col min="6659" max="6675" width="6.5" style="1617" customWidth="1"/>
    <col min="6676" max="6912" width="8.69921875" style="1617"/>
    <col min="6913" max="6913" width="5.19921875" style="1617" customWidth="1"/>
    <col min="6914" max="6914" width="10.19921875" style="1617" customWidth="1"/>
    <col min="6915" max="6931" width="6.5" style="1617" customWidth="1"/>
    <col min="6932" max="7168" width="8.69921875" style="1617"/>
    <col min="7169" max="7169" width="5.19921875" style="1617" customWidth="1"/>
    <col min="7170" max="7170" width="10.19921875" style="1617" customWidth="1"/>
    <col min="7171" max="7187" width="6.5" style="1617" customWidth="1"/>
    <col min="7188" max="7424" width="8.69921875" style="1617"/>
    <col min="7425" max="7425" width="5.19921875" style="1617" customWidth="1"/>
    <col min="7426" max="7426" width="10.19921875" style="1617" customWidth="1"/>
    <col min="7427" max="7443" width="6.5" style="1617" customWidth="1"/>
    <col min="7444" max="7680" width="8.69921875" style="1617"/>
    <col min="7681" max="7681" width="5.19921875" style="1617" customWidth="1"/>
    <col min="7682" max="7682" width="10.19921875" style="1617" customWidth="1"/>
    <col min="7683" max="7699" width="6.5" style="1617" customWidth="1"/>
    <col min="7700" max="7936" width="8.69921875" style="1617"/>
    <col min="7937" max="7937" width="5.19921875" style="1617" customWidth="1"/>
    <col min="7938" max="7938" width="10.19921875" style="1617" customWidth="1"/>
    <col min="7939" max="7955" width="6.5" style="1617" customWidth="1"/>
    <col min="7956" max="8192" width="8.69921875" style="1617"/>
    <col min="8193" max="8193" width="5.19921875" style="1617" customWidth="1"/>
    <col min="8194" max="8194" width="10.19921875" style="1617" customWidth="1"/>
    <col min="8195" max="8211" width="6.5" style="1617" customWidth="1"/>
    <col min="8212" max="8448" width="8.69921875" style="1617"/>
    <col min="8449" max="8449" width="5.19921875" style="1617" customWidth="1"/>
    <col min="8450" max="8450" width="10.19921875" style="1617" customWidth="1"/>
    <col min="8451" max="8467" width="6.5" style="1617" customWidth="1"/>
    <col min="8468" max="8704" width="8.69921875" style="1617"/>
    <col min="8705" max="8705" width="5.19921875" style="1617" customWidth="1"/>
    <col min="8706" max="8706" width="10.19921875" style="1617" customWidth="1"/>
    <col min="8707" max="8723" width="6.5" style="1617" customWidth="1"/>
    <col min="8724" max="8960" width="8.69921875" style="1617"/>
    <col min="8961" max="8961" width="5.19921875" style="1617" customWidth="1"/>
    <col min="8962" max="8962" width="10.19921875" style="1617" customWidth="1"/>
    <col min="8963" max="8979" width="6.5" style="1617" customWidth="1"/>
    <col min="8980" max="9216" width="8.69921875" style="1617"/>
    <col min="9217" max="9217" width="5.19921875" style="1617" customWidth="1"/>
    <col min="9218" max="9218" width="10.19921875" style="1617" customWidth="1"/>
    <col min="9219" max="9235" width="6.5" style="1617" customWidth="1"/>
    <col min="9236" max="9472" width="8.69921875" style="1617"/>
    <col min="9473" max="9473" width="5.19921875" style="1617" customWidth="1"/>
    <col min="9474" max="9474" width="10.19921875" style="1617" customWidth="1"/>
    <col min="9475" max="9491" width="6.5" style="1617" customWidth="1"/>
    <col min="9492" max="9728" width="8.69921875" style="1617"/>
    <col min="9729" max="9729" width="5.19921875" style="1617" customWidth="1"/>
    <col min="9730" max="9730" width="10.19921875" style="1617" customWidth="1"/>
    <col min="9731" max="9747" width="6.5" style="1617" customWidth="1"/>
    <col min="9748" max="9984" width="8.69921875" style="1617"/>
    <col min="9985" max="9985" width="5.19921875" style="1617" customWidth="1"/>
    <col min="9986" max="9986" width="10.19921875" style="1617" customWidth="1"/>
    <col min="9987" max="10003" width="6.5" style="1617" customWidth="1"/>
    <col min="10004" max="10240" width="8.69921875" style="1617"/>
    <col min="10241" max="10241" width="5.19921875" style="1617" customWidth="1"/>
    <col min="10242" max="10242" width="10.19921875" style="1617" customWidth="1"/>
    <col min="10243" max="10259" width="6.5" style="1617" customWidth="1"/>
    <col min="10260" max="10496" width="8.69921875" style="1617"/>
    <col min="10497" max="10497" width="5.19921875" style="1617" customWidth="1"/>
    <col min="10498" max="10498" width="10.19921875" style="1617" customWidth="1"/>
    <col min="10499" max="10515" width="6.5" style="1617" customWidth="1"/>
    <col min="10516" max="10752" width="8.69921875" style="1617"/>
    <col min="10753" max="10753" width="5.19921875" style="1617" customWidth="1"/>
    <col min="10754" max="10754" width="10.19921875" style="1617" customWidth="1"/>
    <col min="10755" max="10771" width="6.5" style="1617" customWidth="1"/>
    <col min="10772" max="11008" width="8.69921875" style="1617"/>
    <col min="11009" max="11009" width="5.19921875" style="1617" customWidth="1"/>
    <col min="11010" max="11010" width="10.19921875" style="1617" customWidth="1"/>
    <col min="11011" max="11027" width="6.5" style="1617" customWidth="1"/>
    <col min="11028" max="11264" width="8.69921875" style="1617"/>
    <col min="11265" max="11265" width="5.19921875" style="1617" customWidth="1"/>
    <col min="11266" max="11266" width="10.19921875" style="1617" customWidth="1"/>
    <col min="11267" max="11283" width="6.5" style="1617" customWidth="1"/>
    <col min="11284" max="11520" width="8.69921875" style="1617"/>
    <col min="11521" max="11521" width="5.19921875" style="1617" customWidth="1"/>
    <col min="11522" max="11522" width="10.19921875" style="1617" customWidth="1"/>
    <col min="11523" max="11539" width="6.5" style="1617" customWidth="1"/>
    <col min="11540" max="11776" width="8.69921875" style="1617"/>
    <col min="11777" max="11777" width="5.19921875" style="1617" customWidth="1"/>
    <col min="11778" max="11778" width="10.19921875" style="1617" customWidth="1"/>
    <col min="11779" max="11795" width="6.5" style="1617" customWidth="1"/>
    <col min="11796" max="12032" width="8.69921875" style="1617"/>
    <col min="12033" max="12033" width="5.19921875" style="1617" customWidth="1"/>
    <col min="12034" max="12034" width="10.19921875" style="1617" customWidth="1"/>
    <col min="12035" max="12051" width="6.5" style="1617" customWidth="1"/>
    <col min="12052" max="12288" width="8.69921875" style="1617"/>
    <col min="12289" max="12289" width="5.19921875" style="1617" customWidth="1"/>
    <col min="12290" max="12290" width="10.19921875" style="1617" customWidth="1"/>
    <col min="12291" max="12307" width="6.5" style="1617" customWidth="1"/>
    <col min="12308" max="12544" width="8.69921875" style="1617"/>
    <col min="12545" max="12545" width="5.19921875" style="1617" customWidth="1"/>
    <col min="12546" max="12546" width="10.19921875" style="1617" customWidth="1"/>
    <col min="12547" max="12563" width="6.5" style="1617" customWidth="1"/>
    <col min="12564" max="12800" width="8.69921875" style="1617"/>
    <col min="12801" max="12801" width="5.19921875" style="1617" customWidth="1"/>
    <col min="12802" max="12802" width="10.19921875" style="1617" customWidth="1"/>
    <col min="12803" max="12819" width="6.5" style="1617" customWidth="1"/>
    <col min="12820" max="13056" width="8.69921875" style="1617"/>
    <col min="13057" max="13057" width="5.19921875" style="1617" customWidth="1"/>
    <col min="13058" max="13058" width="10.19921875" style="1617" customWidth="1"/>
    <col min="13059" max="13075" width="6.5" style="1617" customWidth="1"/>
    <col min="13076" max="13312" width="8.69921875" style="1617"/>
    <col min="13313" max="13313" width="5.19921875" style="1617" customWidth="1"/>
    <col min="13314" max="13314" width="10.19921875" style="1617" customWidth="1"/>
    <col min="13315" max="13331" width="6.5" style="1617" customWidth="1"/>
    <col min="13332" max="13568" width="8.69921875" style="1617"/>
    <col min="13569" max="13569" width="5.19921875" style="1617" customWidth="1"/>
    <col min="13570" max="13570" width="10.19921875" style="1617" customWidth="1"/>
    <col min="13571" max="13587" width="6.5" style="1617" customWidth="1"/>
    <col min="13588" max="13824" width="8.69921875" style="1617"/>
    <col min="13825" max="13825" width="5.19921875" style="1617" customWidth="1"/>
    <col min="13826" max="13826" width="10.19921875" style="1617" customWidth="1"/>
    <col min="13827" max="13843" width="6.5" style="1617" customWidth="1"/>
    <col min="13844" max="14080" width="8.69921875" style="1617"/>
    <col min="14081" max="14081" width="5.19921875" style="1617" customWidth="1"/>
    <col min="14082" max="14082" width="10.19921875" style="1617" customWidth="1"/>
    <col min="14083" max="14099" width="6.5" style="1617" customWidth="1"/>
    <col min="14100" max="14336" width="8.69921875" style="1617"/>
    <col min="14337" max="14337" width="5.19921875" style="1617" customWidth="1"/>
    <col min="14338" max="14338" width="10.19921875" style="1617" customWidth="1"/>
    <col min="14339" max="14355" width="6.5" style="1617" customWidth="1"/>
    <col min="14356" max="14592" width="8.69921875" style="1617"/>
    <col min="14593" max="14593" width="5.19921875" style="1617" customWidth="1"/>
    <col min="14594" max="14594" width="10.19921875" style="1617" customWidth="1"/>
    <col min="14595" max="14611" width="6.5" style="1617" customWidth="1"/>
    <col min="14612" max="14848" width="8.69921875" style="1617"/>
    <col min="14849" max="14849" width="5.19921875" style="1617" customWidth="1"/>
    <col min="14850" max="14850" width="10.19921875" style="1617" customWidth="1"/>
    <col min="14851" max="14867" width="6.5" style="1617" customWidth="1"/>
    <col min="14868" max="15104" width="8.69921875" style="1617"/>
    <col min="15105" max="15105" width="5.19921875" style="1617" customWidth="1"/>
    <col min="15106" max="15106" width="10.19921875" style="1617" customWidth="1"/>
    <col min="15107" max="15123" width="6.5" style="1617" customWidth="1"/>
    <col min="15124" max="15360" width="8.69921875" style="1617"/>
    <col min="15361" max="15361" width="5.19921875" style="1617" customWidth="1"/>
    <col min="15362" max="15362" width="10.19921875" style="1617" customWidth="1"/>
    <col min="15363" max="15379" width="6.5" style="1617" customWidth="1"/>
    <col min="15380" max="15616" width="8.69921875" style="1617"/>
    <col min="15617" max="15617" width="5.19921875" style="1617" customWidth="1"/>
    <col min="15618" max="15618" width="10.19921875" style="1617" customWidth="1"/>
    <col min="15619" max="15635" width="6.5" style="1617" customWidth="1"/>
    <col min="15636" max="15872" width="8.69921875" style="1617"/>
    <col min="15873" max="15873" width="5.19921875" style="1617" customWidth="1"/>
    <col min="15874" max="15874" width="10.19921875" style="1617" customWidth="1"/>
    <col min="15875" max="15891" width="6.5" style="1617" customWidth="1"/>
    <col min="15892" max="16128" width="8.69921875" style="1617"/>
    <col min="16129" max="16129" width="5.19921875" style="1617" customWidth="1"/>
    <col min="16130" max="16130" width="10.19921875" style="1617" customWidth="1"/>
    <col min="16131" max="16147" width="6.5" style="1617" customWidth="1"/>
    <col min="16148" max="16384" width="8.69921875" style="1617"/>
  </cols>
  <sheetData>
    <row r="1" spans="1:20" s="1616" customFormat="1" ht="20.100000000000001" customHeight="1">
      <c r="A1" s="3446" t="str">
        <f>"索引号："&amp;档案索引!D18</f>
        <v>索引号：2B-13</v>
      </c>
      <c r="B1" s="3446"/>
      <c r="C1" s="3446"/>
      <c r="D1" s="3446"/>
      <c r="E1" s="3446"/>
      <c r="F1" s="3446"/>
      <c r="G1" s="3446"/>
      <c r="H1" s="3446"/>
      <c r="I1" s="3446"/>
      <c r="J1" s="3446"/>
      <c r="K1" s="3446"/>
      <c r="L1" s="3446"/>
      <c r="M1" s="3446"/>
      <c r="N1" s="3446"/>
      <c r="O1" s="3446"/>
      <c r="P1" s="3446"/>
      <c r="Q1" s="3446"/>
      <c r="R1" s="3446"/>
      <c r="S1" s="3446"/>
    </row>
    <row r="2" spans="1:20" s="1620" customFormat="1" ht="25.5" customHeight="1">
      <c r="A2" s="3477" t="s">
        <v>5946</v>
      </c>
      <c r="B2" s="3477"/>
      <c r="C2" s="3477"/>
      <c r="D2" s="3477"/>
      <c r="E2" s="3477"/>
      <c r="F2" s="3477"/>
      <c r="G2" s="3477"/>
      <c r="H2" s="3477"/>
      <c r="I2" s="3477"/>
      <c r="J2" s="3477"/>
      <c r="K2" s="3477"/>
      <c r="L2" s="3477"/>
      <c r="M2" s="3477"/>
      <c r="N2" s="3477"/>
      <c r="O2" s="3477"/>
      <c r="P2" s="3477"/>
      <c r="Q2" s="3477"/>
      <c r="R2" s="3477"/>
      <c r="S2" s="3478"/>
    </row>
    <row r="3" spans="1:20" s="1618" customFormat="1" ht="24" customHeight="1">
      <c r="A3" s="3385" t="s">
        <v>5673</v>
      </c>
      <c r="B3" s="3385" t="s">
        <v>5789</v>
      </c>
      <c r="C3" s="3479" t="s">
        <v>5819</v>
      </c>
      <c r="D3" s="3480"/>
      <c r="E3" s="3480"/>
      <c r="F3" s="3480"/>
      <c r="G3" s="3480"/>
      <c r="H3" s="3480"/>
      <c r="I3" s="3480"/>
      <c r="J3" s="3482"/>
      <c r="K3" s="3479" t="s">
        <v>5820</v>
      </c>
      <c r="L3" s="3480"/>
      <c r="M3" s="3480"/>
      <c r="N3" s="3482"/>
      <c r="O3" s="3385" t="s">
        <v>5790</v>
      </c>
      <c r="P3" s="3385" t="s">
        <v>5821</v>
      </c>
      <c r="Q3" s="3385" t="s">
        <v>5822</v>
      </c>
      <c r="R3" s="3385" t="s">
        <v>5823</v>
      </c>
      <c r="S3" s="3385" t="s">
        <v>5791</v>
      </c>
    </row>
    <row r="4" spans="1:20" s="1618" customFormat="1" ht="68.25" customHeight="1">
      <c r="A4" s="3385"/>
      <c r="B4" s="3385"/>
      <c r="C4" s="1900" t="s">
        <v>5824</v>
      </c>
      <c r="D4" s="1900" t="s">
        <v>5825</v>
      </c>
      <c r="E4" s="1900" t="s">
        <v>5826</v>
      </c>
      <c r="F4" s="1900" t="s">
        <v>5827</v>
      </c>
      <c r="G4" s="1900" t="s">
        <v>5828</v>
      </c>
      <c r="H4" s="1900" t="s">
        <v>5829</v>
      </c>
      <c r="I4" s="1900" t="s">
        <v>5830</v>
      </c>
      <c r="J4" s="1900" t="s">
        <v>1281</v>
      </c>
      <c r="K4" s="1900" t="s">
        <v>5831</v>
      </c>
      <c r="L4" s="1900" t="s">
        <v>5832</v>
      </c>
      <c r="M4" s="1900" t="s">
        <v>5833</v>
      </c>
      <c r="N4" s="1900" t="s">
        <v>1281</v>
      </c>
      <c r="O4" s="3385"/>
      <c r="P4" s="3385"/>
      <c r="Q4" s="3385"/>
      <c r="R4" s="3385"/>
      <c r="S4" s="3385"/>
    </row>
    <row r="5" spans="1:20" s="1618" customFormat="1" ht="49.5" customHeight="1">
      <c r="A5" s="3385"/>
      <c r="B5" s="1900">
        <v>1</v>
      </c>
      <c r="C5" s="1900">
        <v>2</v>
      </c>
      <c r="D5" s="1900">
        <v>3</v>
      </c>
      <c r="E5" s="1900">
        <v>4</v>
      </c>
      <c r="F5" s="1900">
        <v>5</v>
      </c>
      <c r="G5" s="1900">
        <v>6</v>
      </c>
      <c r="H5" s="1900">
        <v>7</v>
      </c>
      <c r="I5" s="1900">
        <v>8</v>
      </c>
      <c r="J5" s="1900" t="s">
        <v>5834</v>
      </c>
      <c r="K5" s="1900">
        <v>10</v>
      </c>
      <c r="L5" s="1900">
        <v>11</v>
      </c>
      <c r="M5" s="1900">
        <v>12</v>
      </c>
      <c r="N5" s="1900" t="s">
        <v>5835</v>
      </c>
      <c r="O5" s="1900" t="s">
        <v>5836</v>
      </c>
      <c r="P5" s="1900">
        <v>15</v>
      </c>
      <c r="Q5" s="1900">
        <v>16</v>
      </c>
      <c r="R5" s="1900">
        <v>17</v>
      </c>
      <c r="S5" s="1900" t="s">
        <v>5837</v>
      </c>
    </row>
    <row r="6" spans="1:20" s="1616" customFormat="1" ht="14.25" customHeight="1">
      <c r="A6" s="1899">
        <v>1</v>
      </c>
      <c r="B6" s="1619"/>
      <c r="C6" s="2078"/>
      <c r="D6" s="2078"/>
      <c r="E6" s="2078"/>
      <c r="F6" s="2078"/>
      <c r="G6" s="2078"/>
      <c r="H6" s="2078"/>
      <c r="I6" s="2078"/>
      <c r="J6" s="2077">
        <f>SUM(B6:I6)</f>
        <v>0</v>
      </c>
      <c r="K6" s="2078"/>
      <c r="L6" s="2078"/>
      <c r="M6" s="2078"/>
      <c r="N6" s="2077">
        <f>SUM(K6:M6)</f>
        <v>0</v>
      </c>
      <c r="O6" s="2077">
        <f>SUM(J6:L6)</f>
        <v>0</v>
      </c>
      <c r="P6" s="2078"/>
      <c r="Q6" s="2078"/>
      <c r="R6" s="2078"/>
      <c r="S6" s="2077">
        <f>O6+T8</f>
        <v>0</v>
      </c>
    </row>
    <row r="7" spans="1:20" s="1616" customFormat="1" ht="14.25" customHeight="1">
      <c r="A7" s="1899">
        <v>2</v>
      </c>
      <c r="B7" s="1619"/>
      <c r="C7" s="2078"/>
      <c r="D7" s="2078"/>
      <c r="E7" s="2078"/>
      <c r="F7" s="2078"/>
      <c r="G7" s="2078"/>
      <c r="H7" s="2078"/>
      <c r="I7" s="2078"/>
      <c r="J7" s="2077">
        <f t="shared" ref="J7:J14" si="0">SUM(B7:I7)</f>
        <v>0</v>
      </c>
      <c r="K7" s="2078"/>
      <c r="L7" s="2078"/>
      <c r="M7" s="2078"/>
      <c r="N7" s="2077">
        <f t="shared" ref="N7:N14" si="1">SUM(K7:M7)</f>
        <v>0</v>
      </c>
      <c r="O7" s="2077">
        <f t="shared" ref="O7:O14" si="2">SUM(J7:L7)</f>
        <v>0</v>
      </c>
      <c r="P7" s="2078"/>
      <c r="Q7" s="2078"/>
      <c r="R7" s="2078"/>
      <c r="S7" s="2077">
        <f t="shared" ref="S7:S14" si="3">O7+P7-Q7-R7</f>
        <v>0</v>
      </c>
    </row>
    <row r="8" spans="1:20" s="1616" customFormat="1" ht="14.25" customHeight="1">
      <c r="A8" s="1899">
        <v>3</v>
      </c>
      <c r="B8" s="1619"/>
      <c r="C8" s="2078"/>
      <c r="D8" s="2078"/>
      <c r="E8" s="2078"/>
      <c r="F8" s="2078"/>
      <c r="G8" s="2078"/>
      <c r="H8" s="2078"/>
      <c r="I8" s="2078"/>
      <c r="J8" s="2077">
        <f t="shared" si="0"/>
        <v>0</v>
      </c>
      <c r="K8" s="2078"/>
      <c r="L8" s="2078"/>
      <c r="M8" s="2078"/>
      <c r="N8" s="2077">
        <f t="shared" si="1"/>
        <v>0</v>
      </c>
      <c r="O8" s="2077">
        <f t="shared" si="2"/>
        <v>0</v>
      </c>
      <c r="P8" s="2078"/>
      <c r="Q8" s="2078"/>
      <c r="R8" s="2078"/>
      <c r="S8" s="2077">
        <f t="shared" si="3"/>
        <v>0</v>
      </c>
    </row>
    <row r="9" spans="1:20" s="1616" customFormat="1" ht="14.25" customHeight="1">
      <c r="A9" s="1899">
        <v>4</v>
      </c>
      <c r="B9" s="1619"/>
      <c r="C9" s="2078"/>
      <c r="D9" s="2078"/>
      <c r="E9" s="2078"/>
      <c r="F9" s="2078"/>
      <c r="G9" s="2078"/>
      <c r="H9" s="2078"/>
      <c r="I9" s="2078"/>
      <c r="J9" s="2077">
        <f t="shared" si="0"/>
        <v>0</v>
      </c>
      <c r="K9" s="2078"/>
      <c r="L9" s="2078"/>
      <c r="M9" s="2078"/>
      <c r="N9" s="2077">
        <f t="shared" si="1"/>
        <v>0</v>
      </c>
      <c r="O9" s="2077">
        <f t="shared" si="2"/>
        <v>0</v>
      </c>
      <c r="P9" s="2078"/>
      <c r="Q9" s="2078"/>
      <c r="R9" s="2078"/>
      <c r="S9" s="2077">
        <f t="shared" si="3"/>
        <v>0</v>
      </c>
    </row>
    <row r="10" spans="1:20" s="1616" customFormat="1" ht="14.25" customHeight="1">
      <c r="A10" s="1899">
        <v>5</v>
      </c>
      <c r="B10" s="1619"/>
      <c r="C10" s="2078"/>
      <c r="D10" s="2078"/>
      <c r="E10" s="2078"/>
      <c r="F10" s="2078"/>
      <c r="G10" s="2078"/>
      <c r="H10" s="2078"/>
      <c r="I10" s="2078"/>
      <c r="J10" s="2077">
        <f t="shared" si="0"/>
        <v>0</v>
      </c>
      <c r="K10" s="2078"/>
      <c r="L10" s="2078"/>
      <c r="M10" s="2078"/>
      <c r="N10" s="2077">
        <f t="shared" si="1"/>
        <v>0</v>
      </c>
      <c r="O10" s="2077">
        <f t="shared" si="2"/>
        <v>0</v>
      </c>
      <c r="P10" s="2078"/>
      <c r="Q10" s="2078"/>
      <c r="R10" s="2078"/>
      <c r="S10" s="2077">
        <f t="shared" si="3"/>
        <v>0</v>
      </c>
    </row>
    <row r="11" spans="1:20" s="1616" customFormat="1" ht="14.25" customHeight="1">
      <c r="A11" s="1899">
        <v>6</v>
      </c>
      <c r="B11" s="1619"/>
      <c r="C11" s="2078"/>
      <c r="D11" s="2078"/>
      <c r="E11" s="2078"/>
      <c r="F11" s="2078"/>
      <c r="G11" s="2078"/>
      <c r="H11" s="2078"/>
      <c r="I11" s="2078"/>
      <c r="J11" s="2077">
        <f t="shared" si="0"/>
        <v>0</v>
      </c>
      <c r="K11" s="2078"/>
      <c r="L11" s="2078"/>
      <c r="M11" s="2078"/>
      <c r="N11" s="2077">
        <f t="shared" si="1"/>
        <v>0</v>
      </c>
      <c r="O11" s="2077">
        <f t="shared" si="2"/>
        <v>0</v>
      </c>
      <c r="P11" s="2078"/>
      <c r="Q11" s="2078"/>
      <c r="R11" s="2078"/>
      <c r="S11" s="2077">
        <f t="shared" si="3"/>
        <v>0</v>
      </c>
    </row>
    <row r="12" spans="1:20" s="1616" customFormat="1" ht="14.25" customHeight="1">
      <c r="A12" s="1899">
        <v>7</v>
      </c>
      <c r="B12" s="1619"/>
      <c r="C12" s="2078"/>
      <c r="D12" s="2078"/>
      <c r="E12" s="2078"/>
      <c r="F12" s="2078"/>
      <c r="G12" s="2078"/>
      <c r="H12" s="2078"/>
      <c r="I12" s="2078"/>
      <c r="J12" s="2077">
        <f t="shared" si="0"/>
        <v>0</v>
      </c>
      <c r="K12" s="2078"/>
      <c r="L12" s="2078"/>
      <c r="M12" s="2078"/>
      <c r="N12" s="2077">
        <f t="shared" si="1"/>
        <v>0</v>
      </c>
      <c r="O12" s="2077">
        <f t="shared" si="2"/>
        <v>0</v>
      </c>
      <c r="P12" s="2078"/>
      <c r="Q12" s="2078"/>
      <c r="R12" s="2078"/>
      <c r="S12" s="2077">
        <f t="shared" si="3"/>
        <v>0</v>
      </c>
    </row>
    <row r="13" spans="1:20" s="1616" customFormat="1" ht="14.25" customHeight="1">
      <c r="A13" s="1899">
        <v>8</v>
      </c>
      <c r="B13" s="1619"/>
      <c r="C13" s="2078"/>
      <c r="D13" s="2078"/>
      <c r="E13" s="2078"/>
      <c r="F13" s="2078"/>
      <c r="G13" s="2078"/>
      <c r="H13" s="2078"/>
      <c r="I13" s="2078"/>
      <c r="J13" s="2077">
        <f t="shared" si="0"/>
        <v>0</v>
      </c>
      <c r="K13" s="2078"/>
      <c r="L13" s="2078"/>
      <c r="M13" s="2078"/>
      <c r="N13" s="2077">
        <f t="shared" si="1"/>
        <v>0</v>
      </c>
      <c r="O13" s="2077">
        <f t="shared" si="2"/>
        <v>0</v>
      </c>
      <c r="P13" s="2078"/>
      <c r="Q13" s="2078"/>
      <c r="R13" s="2078"/>
      <c r="S13" s="2077">
        <f t="shared" si="3"/>
        <v>0</v>
      </c>
    </row>
    <row r="14" spans="1:20" s="1616" customFormat="1" ht="14.25" customHeight="1">
      <c r="A14" s="1899">
        <v>9</v>
      </c>
      <c r="B14" s="1619"/>
      <c r="C14" s="2078"/>
      <c r="D14" s="2078"/>
      <c r="E14" s="2078"/>
      <c r="F14" s="2078"/>
      <c r="G14" s="2078"/>
      <c r="H14" s="2078"/>
      <c r="I14" s="2078"/>
      <c r="J14" s="2077">
        <f t="shared" si="0"/>
        <v>0</v>
      </c>
      <c r="K14" s="2078"/>
      <c r="L14" s="2078"/>
      <c r="M14" s="2078"/>
      <c r="N14" s="2077">
        <f t="shared" si="1"/>
        <v>0</v>
      </c>
      <c r="O14" s="2077">
        <f t="shared" si="2"/>
        <v>0</v>
      </c>
      <c r="P14" s="2078"/>
      <c r="Q14" s="2078"/>
      <c r="R14" s="2078"/>
      <c r="S14" s="2077">
        <f t="shared" si="3"/>
        <v>0</v>
      </c>
    </row>
    <row r="15" spans="1:20" s="1616" customFormat="1" ht="14.25" customHeight="1">
      <c r="A15" s="1899">
        <v>10</v>
      </c>
      <c r="B15" s="1899" t="s">
        <v>5484</v>
      </c>
      <c r="C15" s="2077">
        <f>SUM(C6:C14)</f>
        <v>0</v>
      </c>
      <c r="D15" s="2077">
        <f t="shared" ref="D15:S15" si="4">SUM(D6:D14)</f>
        <v>0</v>
      </c>
      <c r="E15" s="2077">
        <f t="shared" si="4"/>
        <v>0</v>
      </c>
      <c r="F15" s="2077">
        <f t="shared" si="4"/>
        <v>0</v>
      </c>
      <c r="G15" s="2077">
        <f t="shared" si="4"/>
        <v>0</v>
      </c>
      <c r="H15" s="2077">
        <f t="shared" si="4"/>
        <v>0</v>
      </c>
      <c r="I15" s="2077">
        <f t="shared" si="4"/>
        <v>0</v>
      </c>
      <c r="J15" s="2077">
        <f t="shared" si="4"/>
        <v>0</v>
      </c>
      <c r="K15" s="2077">
        <f t="shared" si="4"/>
        <v>0</v>
      </c>
      <c r="L15" s="2077">
        <f t="shared" si="4"/>
        <v>0</v>
      </c>
      <c r="M15" s="2077">
        <f t="shared" si="4"/>
        <v>0</v>
      </c>
      <c r="N15" s="2077">
        <f t="shared" si="4"/>
        <v>0</v>
      </c>
      <c r="O15" s="2077">
        <f t="shared" si="4"/>
        <v>0</v>
      </c>
      <c r="P15" s="2077">
        <f t="shared" si="4"/>
        <v>0</v>
      </c>
      <c r="Q15" s="2077">
        <f t="shared" si="4"/>
        <v>0</v>
      </c>
      <c r="R15" s="2077">
        <f t="shared" si="4"/>
        <v>0</v>
      </c>
      <c r="S15" s="2077">
        <f t="shared" si="4"/>
        <v>0</v>
      </c>
      <c r="T15" s="1772" t="s">
        <v>6480</v>
      </c>
    </row>
    <row r="16" spans="1:20" ht="192" customHeight="1">
      <c r="A16" s="1902"/>
      <c r="B16" s="1899" t="s">
        <v>4901</v>
      </c>
      <c r="C16" s="1902"/>
      <c r="D16" s="1902"/>
      <c r="E16" s="1902"/>
      <c r="F16" s="1902"/>
      <c r="G16" s="1902"/>
      <c r="H16" s="1902"/>
      <c r="I16" s="1902"/>
      <c r="J16" s="1902"/>
      <c r="K16" s="1902"/>
      <c r="L16" s="1902"/>
      <c r="M16" s="1902"/>
      <c r="N16" s="1904" t="s">
        <v>5838</v>
      </c>
      <c r="O16" s="1902" t="s">
        <v>5839</v>
      </c>
      <c r="P16" s="1902"/>
      <c r="Q16" s="1904" t="s">
        <v>5840</v>
      </c>
      <c r="R16" s="1902"/>
      <c r="S16" s="1904" t="s">
        <v>5841</v>
      </c>
    </row>
  </sheetData>
  <mergeCells count="11">
    <mergeCell ref="A1:S1"/>
    <mergeCell ref="A2:S2"/>
    <mergeCell ref="A3:A5"/>
    <mergeCell ref="B3:B4"/>
    <mergeCell ref="C3:J3"/>
    <mergeCell ref="K3:N3"/>
    <mergeCell ref="O3:O4"/>
    <mergeCell ref="P3:P4"/>
    <mergeCell ref="Q3:Q4"/>
    <mergeCell ref="R3:R4"/>
    <mergeCell ref="S3:S4"/>
  </mergeCells>
  <phoneticPr fontId="51" type="noConversion"/>
  <hyperlinks>
    <hyperlink ref="T15" location="A108010境外所得纳税调整后所得明细表!A1" display="A108010境外所得纳税调整后所得明细表!A1"/>
  </hyperlinks>
  <printOptions horizontalCentered="1"/>
  <pageMargins left="0.78740157480314998" right="0.35433070866141703" top="0.511811023622047" bottom="0.11811023622047198" header="0.511811023622047" footer="0.511811023622047"/>
  <pageSetup paperSize="9" scale="95" orientation="landscape" r:id="rId1"/>
  <headerFooter alignWithMargins="0"/>
</worksheet>
</file>

<file path=xl/worksheets/sheet6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79">
    <tabColor rgb="FFFFFF00"/>
  </sheetPr>
  <dimension ref="A1:U19"/>
  <sheetViews>
    <sheetView workbookViewId="0">
      <selection activeCell="E15" sqref="E15"/>
    </sheetView>
  </sheetViews>
  <sheetFormatPr defaultColWidth="8.69921875" defaultRowHeight="19.95" customHeight="1"/>
  <cols>
    <col min="1" max="1" width="5.19921875" style="1539" customWidth="1"/>
    <col min="2" max="2" width="9.3984375" style="1539" customWidth="1"/>
    <col min="3" max="20" width="10.19921875" style="1539" customWidth="1"/>
    <col min="21" max="256" width="8.69921875" style="1539"/>
    <col min="257" max="257" width="5.19921875" style="1539" customWidth="1"/>
    <col min="258" max="258" width="6" style="1539" customWidth="1"/>
    <col min="259" max="259" width="7.69921875" style="1539" customWidth="1"/>
    <col min="260" max="267" width="6" style="1539" customWidth="1"/>
    <col min="268" max="268" width="7.09765625" style="1539" customWidth="1"/>
    <col min="269" max="276" width="6" style="1539" customWidth="1"/>
    <col min="277" max="512" width="8.69921875" style="1539"/>
    <col min="513" max="513" width="5.19921875" style="1539" customWidth="1"/>
    <col min="514" max="514" width="6" style="1539" customWidth="1"/>
    <col min="515" max="515" width="7.69921875" style="1539" customWidth="1"/>
    <col min="516" max="523" width="6" style="1539" customWidth="1"/>
    <col min="524" max="524" width="7.09765625" style="1539" customWidth="1"/>
    <col min="525" max="532" width="6" style="1539" customWidth="1"/>
    <col min="533" max="768" width="8.69921875" style="1539"/>
    <col min="769" max="769" width="5.19921875" style="1539" customWidth="1"/>
    <col min="770" max="770" width="6" style="1539" customWidth="1"/>
    <col min="771" max="771" width="7.69921875" style="1539" customWidth="1"/>
    <col min="772" max="779" width="6" style="1539" customWidth="1"/>
    <col min="780" max="780" width="7.09765625" style="1539" customWidth="1"/>
    <col min="781" max="788" width="6" style="1539" customWidth="1"/>
    <col min="789" max="1024" width="8.69921875" style="1539"/>
    <col min="1025" max="1025" width="5.19921875" style="1539" customWidth="1"/>
    <col min="1026" max="1026" width="6" style="1539" customWidth="1"/>
    <col min="1027" max="1027" width="7.69921875" style="1539" customWidth="1"/>
    <col min="1028" max="1035" width="6" style="1539" customWidth="1"/>
    <col min="1036" max="1036" width="7.09765625" style="1539" customWidth="1"/>
    <col min="1037" max="1044" width="6" style="1539" customWidth="1"/>
    <col min="1045" max="1280" width="8.69921875" style="1539"/>
    <col min="1281" max="1281" width="5.19921875" style="1539" customWidth="1"/>
    <col min="1282" max="1282" width="6" style="1539" customWidth="1"/>
    <col min="1283" max="1283" width="7.69921875" style="1539" customWidth="1"/>
    <col min="1284" max="1291" width="6" style="1539" customWidth="1"/>
    <col min="1292" max="1292" width="7.09765625" style="1539" customWidth="1"/>
    <col min="1293" max="1300" width="6" style="1539" customWidth="1"/>
    <col min="1301" max="1536" width="8.69921875" style="1539"/>
    <col min="1537" max="1537" width="5.19921875" style="1539" customWidth="1"/>
    <col min="1538" max="1538" width="6" style="1539" customWidth="1"/>
    <col min="1539" max="1539" width="7.69921875" style="1539" customWidth="1"/>
    <col min="1540" max="1547" width="6" style="1539" customWidth="1"/>
    <col min="1548" max="1548" width="7.09765625" style="1539" customWidth="1"/>
    <col min="1549" max="1556" width="6" style="1539" customWidth="1"/>
    <col min="1557" max="1792" width="8.69921875" style="1539"/>
    <col min="1793" max="1793" width="5.19921875" style="1539" customWidth="1"/>
    <col min="1794" max="1794" width="6" style="1539" customWidth="1"/>
    <col min="1795" max="1795" width="7.69921875" style="1539" customWidth="1"/>
    <col min="1796" max="1803" width="6" style="1539" customWidth="1"/>
    <col min="1804" max="1804" width="7.09765625" style="1539" customWidth="1"/>
    <col min="1805" max="1812" width="6" style="1539" customWidth="1"/>
    <col min="1813" max="2048" width="8.69921875" style="1539"/>
    <col min="2049" max="2049" width="5.19921875" style="1539" customWidth="1"/>
    <col min="2050" max="2050" width="6" style="1539" customWidth="1"/>
    <col min="2051" max="2051" width="7.69921875" style="1539" customWidth="1"/>
    <col min="2052" max="2059" width="6" style="1539" customWidth="1"/>
    <col min="2060" max="2060" width="7.09765625" style="1539" customWidth="1"/>
    <col min="2061" max="2068" width="6" style="1539" customWidth="1"/>
    <col min="2069" max="2304" width="8.69921875" style="1539"/>
    <col min="2305" max="2305" width="5.19921875" style="1539" customWidth="1"/>
    <col min="2306" max="2306" width="6" style="1539" customWidth="1"/>
    <col min="2307" max="2307" width="7.69921875" style="1539" customWidth="1"/>
    <col min="2308" max="2315" width="6" style="1539" customWidth="1"/>
    <col min="2316" max="2316" width="7.09765625" style="1539" customWidth="1"/>
    <col min="2317" max="2324" width="6" style="1539" customWidth="1"/>
    <col min="2325" max="2560" width="8.69921875" style="1539"/>
    <col min="2561" max="2561" width="5.19921875" style="1539" customWidth="1"/>
    <col min="2562" max="2562" width="6" style="1539" customWidth="1"/>
    <col min="2563" max="2563" width="7.69921875" style="1539" customWidth="1"/>
    <col min="2564" max="2571" width="6" style="1539" customWidth="1"/>
    <col min="2572" max="2572" width="7.09765625" style="1539" customWidth="1"/>
    <col min="2573" max="2580" width="6" style="1539" customWidth="1"/>
    <col min="2581" max="2816" width="8.69921875" style="1539"/>
    <col min="2817" max="2817" width="5.19921875" style="1539" customWidth="1"/>
    <col min="2818" max="2818" width="6" style="1539" customWidth="1"/>
    <col min="2819" max="2819" width="7.69921875" style="1539" customWidth="1"/>
    <col min="2820" max="2827" width="6" style="1539" customWidth="1"/>
    <col min="2828" max="2828" width="7.09765625" style="1539" customWidth="1"/>
    <col min="2829" max="2836" width="6" style="1539" customWidth="1"/>
    <col min="2837" max="3072" width="8.69921875" style="1539"/>
    <col min="3073" max="3073" width="5.19921875" style="1539" customWidth="1"/>
    <col min="3074" max="3074" width="6" style="1539" customWidth="1"/>
    <col min="3075" max="3075" width="7.69921875" style="1539" customWidth="1"/>
    <col min="3076" max="3083" width="6" style="1539" customWidth="1"/>
    <col min="3084" max="3084" width="7.09765625" style="1539" customWidth="1"/>
    <col min="3085" max="3092" width="6" style="1539" customWidth="1"/>
    <col min="3093" max="3328" width="8.69921875" style="1539"/>
    <col min="3329" max="3329" width="5.19921875" style="1539" customWidth="1"/>
    <col min="3330" max="3330" width="6" style="1539" customWidth="1"/>
    <col min="3331" max="3331" width="7.69921875" style="1539" customWidth="1"/>
    <col min="3332" max="3339" width="6" style="1539" customWidth="1"/>
    <col min="3340" max="3340" width="7.09765625" style="1539" customWidth="1"/>
    <col min="3341" max="3348" width="6" style="1539" customWidth="1"/>
    <col min="3349" max="3584" width="8.69921875" style="1539"/>
    <col min="3585" max="3585" width="5.19921875" style="1539" customWidth="1"/>
    <col min="3586" max="3586" width="6" style="1539" customWidth="1"/>
    <col min="3587" max="3587" width="7.69921875" style="1539" customWidth="1"/>
    <col min="3588" max="3595" width="6" style="1539" customWidth="1"/>
    <col min="3596" max="3596" width="7.09765625" style="1539" customWidth="1"/>
    <col min="3597" max="3604" width="6" style="1539" customWidth="1"/>
    <col min="3605" max="3840" width="8.69921875" style="1539"/>
    <col min="3841" max="3841" width="5.19921875" style="1539" customWidth="1"/>
    <col min="3842" max="3842" width="6" style="1539" customWidth="1"/>
    <col min="3843" max="3843" width="7.69921875" style="1539" customWidth="1"/>
    <col min="3844" max="3851" width="6" style="1539" customWidth="1"/>
    <col min="3852" max="3852" width="7.09765625" style="1539" customWidth="1"/>
    <col min="3853" max="3860" width="6" style="1539" customWidth="1"/>
    <col min="3861" max="4096" width="8.69921875" style="1539"/>
    <col min="4097" max="4097" width="5.19921875" style="1539" customWidth="1"/>
    <col min="4098" max="4098" width="6" style="1539" customWidth="1"/>
    <col min="4099" max="4099" width="7.69921875" style="1539" customWidth="1"/>
    <col min="4100" max="4107" width="6" style="1539" customWidth="1"/>
    <col min="4108" max="4108" width="7.09765625" style="1539" customWidth="1"/>
    <col min="4109" max="4116" width="6" style="1539" customWidth="1"/>
    <col min="4117" max="4352" width="8.69921875" style="1539"/>
    <col min="4353" max="4353" width="5.19921875" style="1539" customWidth="1"/>
    <col min="4354" max="4354" width="6" style="1539" customWidth="1"/>
    <col min="4355" max="4355" width="7.69921875" style="1539" customWidth="1"/>
    <col min="4356" max="4363" width="6" style="1539" customWidth="1"/>
    <col min="4364" max="4364" width="7.09765625" style="1539" customWidth="1"/>
    <col min="4365" max="4372" width="6" style="1539" customWidth="1"/>
    <col min="4373" max="4608" width="8.69921875" style="1539"/>
    <col min="4609" max="4609" width="5.19921875" style="1539" customWidth="1"/>
    <col min="4610" max="4610" width="6" style="1539" customWidth="1"/>
    <col min="4611" max="4611" width="7.69921875" style="1539" customWidth="1"/>
    <col min="4612" max="4619" width="6" style="1539" customWidth="1"/>
    <col min="4620" max="4620" width="7.09765625" style="1539" customWidth="1"/>
    <col min="4621" max="4628" width="6" style="1539" customWidth="1"/>
    <col min="4629" max="4864" width="8.69921875" style="1539"/>
    <col min="4865" max="4865" width="5.19921875" style="1539" customWidth="1"/>
    <col min="4866" max="4866" width="6" style="1539" customWidth="1"/>
    <col min="4867" max="4867" width="7.69921875" style="1539" customWidth="1"/>
    <col min="4868" max="4875" width="6" style="1539" customWidth="1"/>
    <col min="4876" max="4876" width="7.09765625" style="1539" customWidth="1"/>
    <col min="4877" max="4884" width="6" style="1539" customWidth="1"/>
    <col min="4885" max="5120" width="8.69921875" style="1539"/>
    <col min="5121" max="5121" width="5.19921875" style="1539" customWidth="1"/>
    <col min="5122" max="5122" width="6" style="1539" customWidth="1"/>
    <col min="5123" max="5123" width="7.69921875" style="1539" customWidth="1"/>
    <col min="5124" max="5131" width="6" style="1539" customWidth="1"/>
    <col min="5132" max="5132" width="7.09765625" style="1539" customWidth="1"/>
    <col min="5133" max="5140" width="6" style="1539" customWidth="1"/>
    <col min="5141" max="5376" width="8.69921875" style="1539"/>
    <col min="5377" max="5377" width="5.19921875" style="1539" customWidth="1"/>
    <col min="5378" max="5378" width="6" style="1539" customWidth="1"/>
    <col min="5379" max="5379" width="7.69921875" style="1539" customWidth="1"/>
    <col min="5380" max="5387" width="6" style="1539" customWidth="1"/>
    <col min="5388" max="5388" width="7.09765625" style="1539" customWidth="1"/>
    <col min="5389" max="5396" width="6" style="1539" customWidth="1"/>
    <col min="5397" max="5632" width="8.69921875" style="1539"/>
    <col min="5633" max="5633" width="5.19921875" style="1539" customWidth="1"/>
    <col min="5634" max="5634" width="6" style="1539" customWidth="1"/>
    <col min="5635" max="5635" width="7.69921875" style="1539" customWidth="1"/>
    <col min="5636" max="5643" width="6" style="1539" customWidth="1"/>
    <col min="5644" max="5644" width="7.09765625" style="1539" customWidth="1"/>
    <col min="5645" max="5652" width="6" style="1539" customWidth="1"/>
    <col min="5653" max="5888" width="8.69921875" style="1539"/>
    <col min="5889" max="5889" width="5.19921875" style="1539" customWidth="1"/>
    <col min="5890" max="5890" width="6" style="1539" customWidth="1"/>
    <col min="5891" max="5891" width="7.69921875" style="1539" customWidth="1"/>
    <col min="5892" max="5899" width="6" style="1539" customWidth="1"/>
    <col min="5900" max="5900" width="7.09765625" style="1539" customWidth="1"/>
    <col min="5901" max="5908" width="6" style="1539" customWidth="1"/>
    <col min="5909" max="6144" width="8.69921875" style="1539"/>
    <col min="6145" max="6145" width="5.19921875" style="1539" customWidth="1"/>
    <col min="6146" max="6146" width="6" style="1539" customWidth="1"/>
    <col min="6147" max="6147" width="7.69921875" style="1539" customWidth="1"/>
    <col min="6148" max="6155" width="6" style="1539" customWidth="1"/>
    <col min="6156" max="6156" width="7.09765625" style="1539" customWidth="1"/>
    <col min="6157" max="6164" width="6" style="1539" customWidth="1"/>
    <col min="6165" max="6400" width="8.69921875" style="1539"/>
    <col min="6401" max="6401" width="5.19921875" style="1539" customWidth="1"/>
    <col min="6402" max="6402" width="6" style="1539" customWidth="1"/>
    <col min="6403" max="6403" width="7.69921875" style="1539" customWidth="1"/>
    <col min="6404" max="6411" width="6" style="1539" customWidth="1"/>
    <col min="6412" max="6412" width="7.09765625" style="1539" customWidth="1"/>
    <col min="6413" max="6420" width="6" style="1539" customWidth="1"/>
    <col min="6421" max="6656" width="8.69921875" style="1539"/>
    <col min="6657" max="6657" width="5.19921875" style="1539" customWidth="1"/>
    <col min="6658" max="6658" width="6" style="1539" customWidth="1"/>
    <col min="6659" max="6659" width="7.69921875" style="1539" customWidth="1"/>
    <col min="6660" max="6667" width="6" style="1539" customWidth="1"/>
    <col min="6668" max="6668" width="7.09765625" style="1539" customWidth="1"/>
    <col min="6669" max="6676" width="6" style="1539" customWidth="1"/>
    <col min="6677" max="6912" width="8.69921875" style="1539"/>
    <col min="6913" max="6913" width="5.19921875" style="1539" customWidth="1"/>
    <col min="6914" max="6914" width="6" style="1539" customWidth="1"/>
    <col min="6915" max="6915" width="7.69921875" style="1539" customWidth="1"/>
    <col min="6916" max="6923" width="6" style="1539" customWidth="1"/>
    <col min="6924" max="6924" width="7.09765625" style="1539" customWidth="1"/>
    <col min="6925" max="6932" width="6" style="1539" customWidth="1"/>
    <col min="6933" max="7168" width="8.69921875" style="1539"/>
    <col min="7169" max="7169" width="5.19921875" style="1539" customWidth="1"/>
    <col min="7170" max="7170" width="6" style="1539" customWidth="1"/>
    <col min="7171" max="7171" width="7.69921875" style="1539" customWidth="1"/>
    <col min="7172" max="7179" width="6" style="1539" customWidth="1"/>
    <col min="7180" max="7180" width="7.09765625" style="1539" customWidth="1"/>
    <col min="7181" max="7188" width="6" style="1539" customWidth="1"/>
    <col min="7189" max="7424" width="8.69921875" style="1539"/>
    <col min="7425" max="7425" width="5.19921875" style="1539" customWidth="1"/>
    <col min="7426" max="7426" width="6" style="1539" customWidth="1"/>
    <col min="7427" max="7427" width="7.69921875" style="1539" customWidth="1"/>
    <col min="7428" max="7435" width="6" style="1539" customWidth="1"/>
    <col min="7436" max="7436" width="7.09765625" style="1539" customWidth="1"/>
    <col min="7437" max="7444" width="6" style="1539" customWidth="1"/>
    <col min="7445" max="7680" width="8.69921875" style="1539"/>
    <col min="7681" max="7681" width="5.19921875" style="1539" customWidth="1"/>
    <col min="7682" max="7682" width="6" style="1539" customWidth="1"/>
    <col min="7683" max="7683" width="7.69921875" style="1539" customWidth="1"/>
    <col min="7684" max="7691" width="6" style="1539" customWidth="1"/>
    <col min="7692" max="7692" width="7.09765625" style="1539" customWidth="1"/>
    <col min="7693" max="7700" width="6" style="1539" customWidth="1"/>
    <col min="7701" max="7936" width="8.69921875" style="1539"/>
    <col min="7937" max="7937" width="5.19921875" style="1539" customWidth="1"/>
    <col min="7938" max="7938" width="6" style="1539" customWidth="1"/>
    <col min="7939" max="7939" width="7.69921875" style="1539" customWidth="1"/>
    <col min="7940" max="7947" width="6" style="1539" customWidth="1"/>
    <col min="7948" max="7948" width="7.09765625" style="1539" customWidth="1"/>
    <col min="7949" max="7956" width="6" style="1539" customWidth="1"/>
    <col min="7957" max="8192" width="8.69921875" style="1539"/>
    <col min="8193" max="8193" width="5.19921875" style="1539" customWidth="1"/>
    <col min="8194" max="8194" width="6" style="1539" customWidth="1"/>
    <col min="8195" max="8195" width="7.69921875" style="1539" customWidth="1"/>
    <col min="8196" max="8203" width="6" style="1539" customWidth="1"/>
    <col min="8204" max="8204" width="7.09765625" style="1539" customWidth="1"/>
    <col min="8205" max="8212" width="6" style="1539" customWidth="1"/>
    <col min="8213" max="8448" width="8.69921875" style="1539"/>
    <col min="8449" max="8449" width="5.19921875" style="1539" customWidth="1"/>
    <col min="8450" max="8450" width="6" style="1539" customWidth="1"/>
    <col min="8451" max="8451" width="7.69921875" style="1539" customWidth="1"/>
    <col min="8452" max="8459" width="6" style="1539" customWidth="1"/>
    <col min="8460" max="8460" width="7.09765625" style="1539" customWidth="1"/>
    <col min="8461" max="8468" width="6" style="1539" customWidth="1"/>
    <col min="8469" max="8704" width="8.69921875" style="1539"/>
    <col min="8705" max="8705" width="5.19921875" style="1539" customWidth="1"/>
    <col min="8706" max="8706" width="6" style="1539" customWidth="1"/>
    <col min="8707" max="8707" width="7.69921875" style="1539" customWidth="1"/>
    <col min="8708" max="8715" width="6" style="1539" customWidth="1"/>
    <col min="8716" max="8716" width="7.09765625" style="1539" customWidth="1"/>
    <col min="8717" max="8724" width="6" style="1539" customWidth="1"/>
    <col min="8725" max="8960" width="8.69921875" style="1539"/>
    <col min="8961" max="8961" width="5.19921875" style="1539" customWidth="1"/>
    <col min="8962" max="8962" width="6" style="1539" customWidth="1"/>
    <col min="8963" max="8963" width="7.69921875" style="1539" customWidth="1"/>
    <col min="8964" max="8971" width="6" style="1539" customWidth="1"/>
    <col min="8972" max="8972" width="7.09765625" style="1539" customWidth="1"/>
    <col min="8973" max="8980" width="6" style="1539" customWidth="1"/>
    <col min="8981" max="9216" width="8.69921875" style="1539"/>
    <col min="9217" max="9217" width="5.19921875" style="1539" customWidth="1"/>
    <col min="9218" max="9218" width="6" style="1539" customWidth="1"/>
    <col min="9219" max="9219" width="7.69921875" style="1539" customWidth="1"/>
    <col min="9220" max="9227" width="6" style="1539" customWidth="1"/>
    <col min="9228" max="9228" width="7.09765625" style="1539" customWidth="1"/>
    <col min="9229" max="9236" width="6" style="1539" customWidth="1"/>
    <col min="9237" max="9472" width="8.69921875" style="1539"/>
    <col min="9473" max="9473" width="5.19921875" style="1539" customWidth="1"/>
    <col min="9474" max="9474" width="6" style="1539" customWidth="1"/>
    <col min="9475" max="9475" width="7.69921875" style="1539" customWidth="1"/>
    <col min="9476" max="9483" width="6" style="1539" customWidth="1"/>
    <col min="9484" max="9484" width="7.09765625" style="1539" customWidth="1"/>
    <col min="9485" max="9492" width="6" style="1539" customWidth="1"/>
    <col min="9493" max="9728" width="8.69921875" style="1539"/>
    <col min="9729" max="9729" width="5.19921875" style="1539" customWidth="1"/>
    <col min="9730" max="9730" width="6" style="1539" customWidth="1"/>
    <col min="9731" max="9731" width="7.69921875" style="1539" customWidth="1"/>
    <col min="9732" max="9739" width="6" style="1539" customWidth="1"/>
    <col min="9740" max="9740" width="7.09765625" style="1539" customWidth="1"/>
    <col min="9741" max="9748" width="6" style="1539" customWidth="1"/>
    <col min="9749" max="9984" width="8.69921875" style="1539"/>
    <col min="9985" max="9985" width="5.19921875" style="1539" customWidth="1"/>
    <col min="9986" max="9986" width="6" style="1539" customWidth="1"/>
    <col min="9987" max="9987" width="7.69921875" style="1539" customWidth="1"/>
    <col min="9988" max="9995" width="6" style="1539" customWidth="1"/>
    <col min="9996" max="9996" width="7.09765625" style="1539" customWidth="1"/>
    <col min="9997" max="10004" width="6" style="1539" customWidth="1"/>
    <col min="10005" max="10240" width="8.69921875" style="1539"/>
    <col min="10241" max="10241" width="5.19921875" style="1539" customWidth="1"/>
    <col min="10242" max="10242" width="6" style="1539" customWidth="1"/>
    <col min="10243" max="10243" width="7.69921875" style="1539" customWidth="1"/>
    <col min="10244" max="10251" width="6" style="1539" customWidth="1"/>
    <col min="10252" max="10252" width="7.09765625" style="1539" customWidth="1"/>
    <col min="10253" max="10260" width="6" style="1539" customWidth="1"/>
    <col min="10261" max="10496" width="8.69921875" style="1539"/>
    <col min="10497" max="10497" width="5.19921875" style="1539" customWidth="1"/>
    <col min="10498" max="10498" width="6" style="1539" customWidth="1"/>
    <col min="10499" max="10499" width="7.69921875" style="1539" customWidth="1"/>
    <col min="10500" max="10507" width="6" style="1539" customWidth="1"/>
    <col min="10508" max="10508" width="7.09765625" style="1539" customWidth="1"/>
    <col min="10509" max="10516" width="6" style="1539" customWidth="1"/>
    <col min="10517" max="10752" width="8.69921875" style="1539"/>
    <col min="10753" max="10753" width="5.19921875" style="1539" customWidth="1"/>
    <col min="10754" max="10754" width="6" style="1539" customWidth="1"/>
    <col min="10755" max="10755" width="7.69921875" style="1539" customWidth="1"/>
    <col min="10756" max="10763" width="6" style="1539" customWidth="1"/>
    <col min="10764" max="10764" width="7.09765625" style="1539" customWidth="1"/>
    <col min="10765" max="10772" width="6" style="1539" customWidth="1"/>
    <col min="10773" max="11008" width="8.69921875" style="1539"/>
    <col min="11009" max="11009" width="5.19921875" style="1539" customWidth="1"/>
    <col min="11010" max="11010" width="6" style="1539" customWidth="1"/>
    <col min="11011" max="11011" width="7.69921875" style="1539" customWidth="1"/>
    <col min="11012" max="11019" width="6" style="1539" customWidth="1"/>
    <col min="11020" max="11020" width="7.09765625" style="1539" customWidth="1"/>
    <col min="11021" max="11028" width="6" style="1539" customWidth="1"/>
    <col min="11029" max="11264" width="8.69921875" style="1539"/>
    <col min="11265" max="11265" width="5.19921875" style="1539" customWidth="1"/>
    <col min="11266" max="11266" width="6" style="1539" customWidth="1"/>
    <col min="11267" max="11267" width="7.69921875" style="1539" customWidth="1"/>
    <col min="11268" max="11275" width="6" style="1539" customWidth="1"/>
    <col min="11276" max="11276" width="7.09765625" style="1539" customWidth="1"/>
    <col min="11277" max="11284" width="6" style="1539" customWidth="1"/>
    <col min="11285" max="11520" width="8.69921875" style="1539"/>
    <col min="11521" max="11521" width="5.19921875" style="1539" customWidth="1"/>
    <col min="11522" max="11522" width="6" style="1539" customWidth="1"/>
    <col min="11523" max="11523" width="7.69921875" style="1539" customWidth="1"/>
    <col min="11524" max="11531" width="6" style="1539" customWidth="1"/>
    <col min="11532" max="11532" width="7.09765625" style="1539" customWidth="1"/>
    <col min="11533" max="11540" width="6" style="1539" customWidth="1"/>
    <col min="11541" max="11776" width="8.69921875" style="1539"/>
    <col min="11777" max="11777" width="5.19921875" style="1539" customWidth="1"/>
    <col min="11778" max="11778" width="6" style="1539" customWidth="1"/>
    <col min="11779" max="11779" width="7.69921875" style="1539" customWidth="1"/>
    <col min="11780" max="11787" width="6" style="1539" customWidth="1"/>
    <col min="11788" max="11788" width="7.09765625" style="1539" customWidth="1"/>
    <col min="11789" max="11796" width="6" style="1539" customWidth="1"/>
    <col min="11797" max="12032" width="8.69921875" style="1539"/>
    <col min="12033" max="12033" width="5.19921875" style="1539" customWidth="1"/>
    <col min="12034" max="12034" width="6" style="1539" customWidth="1"/>
    <col min="12035" max="12035" width="7.69921875" style="1539" customWidth="1"/>
    <col min="12036" max="12043" width="6" style="1539" customWidth="1"/>
    <col min="12044" max="12044" width="7.09765625" style="1539" customWidth="1"/>
    <col min="12045" max="12052" width="6" style="1539" customWidth="1"/>
    <col min="12053" max="12288" width="8.69921875" style="1539"/>
    <col min="12289" max="12289" width="5.19921875" style="1539" customWidth="1"/>
    <col min="12290" max="12290" width="6" style="1539" customWidth="1"/>
    <col min="12291" max="12291" width="7.69921875" style="1539" customWidth="1"/>
    <col min="12292" max="12299" width="6" style="1539" customWidth="1"/>
    <col min="12300" max="12300" width="7.09765625" style="1539" customWidth="1"/>
    <col min="12301" max="12308" width="6" style="1539" customWidth="1"/>
    <col min="12309" max="12544" width="8.69921875" style="1539"/>
    <col min="12545" max="12545" width="5.19921875" style="1539" customWidth="1"/>
    <col min="12546" max="12546" width="6" style="1539" customWidth="1"/>
    <col min="12547" max="12547" width="7.69921875" style="1539" customWidth="1"/>
    <col min="12548" max="12555" width="6" style="1539" customWidth="1"/>
    <col min="12556" max="12556" width="7.09765625" style="1539" customWidth="1"/>
    <col min="12557" max="12564" width="6" style="1539" customWidth="1"/>
    <col min="12565" max="12800" width="8.69921875" style="1539"/>
    <col min="12801" max="12801" width="5.19921875" style="1539" customWidth="1"/>
    <col min="12802" max="12802" width="6" style="1539" customWidth="1"/>
    <col min="12803" max="12803" width="7.69921875" style="1539" customWidth="1"/>
    <col min="12804" max="12811" width="6" style="1539" customWidth="1"/>
    <col min="12812" max="12812" width="7.09765625" style="1539" customWidth="1"/>
    <col min="12813" max="12820" width="6" style="1539" customWidth="1"/>
    <col min="12821" max="13056" width="8.69921875" style="1539"/>
    <col min="13057" max="13057" width="5.19921875" style="1539" customWidth="1"/>
    <col min="13058" max="13058" width="6" style="1539" customWidth="1"/>
    <col min="13059" max="13059" width="7.69921875" style="1539" customWidth="1"/>
    <col min="13060" max="13067" width="6" style="1539" customWidth="1"/>
    <col min="13068" max="13068" width="7.09765625" style="1539" customWidth="1"/>
    <col min="13069" max="13076" width="6" style="1539" customWidth="1"/>
    <col min="13077" max="13312" width="8.69921875" style="1539"/>
    <col min="13313" max="13313" width="5.19921875" style="1539" customWidth="1"/>
    <col min="13314" max="13314" width="6" style="1539" customWidth="1"/>
    <col min="13315" max="13315" width="7.69921875" style="1539" customWidth="1"/>
    <col min="13316" max="13323" width="6" style="1539" customWidth="1"/>
    <col min="13324" max="13324" width="7.09765625" style="1539" customWidth="1"/>
    <col min="13325" max="13332" width="6" style="1539" customWidth="1"/>
    <col min="13333" max="13568" width="8.69921875" style="1539"/>
    <col min="13569" max="13569" width="5.19921875" style="1539" customWidth="1"/>
    <col min="13570" max="13570" width="6" style="1539" customWidth="1"/>
    <col min="13571" max="13571" width="7.69921875" style="1539" customWidth="1"/>
    <col min="13572" max="13579" width="6" style="1539" customWidth="1"/>
    <col min="13580" max="13580" width="7.09765625" style="1539" customWidth="1"/>
    <col min="13581" max="13588" width="6" style="1539" customWidth="1"/>
    <col min="13589" max="13824" width="8.69921875" style="1539"/>
    <col min="13825" max="13825" width="5.19921875" style="1539" customWidth="1"/>
    <col min="13826" max="13826" width="6" style="1539" customWidth="1"/>
    <col min="13827" max="13827" width="7.69921875" style="1539" customWidth="1"/>
    <col min="13828" max="13835" width="6" style="1539" customWidth="1"/>
    <col min="13836" max="13836" width="7.09765625" style="1539" customWidth="1"/>
    <col min="13837" max="13844" width="6" style="1539" customWidth="1"/>
    <col min="13845" max="14080" width="8.69921875" style="1539"/>
    <col min="14081" max="14081" width="5.19921875" style="1539" customWidth="1"/>
    <col min="14082" max="14082" width="6" style="1539" customWidth="1"/>
    <col min="14083" max="14083" width="7.69921875" style="1539" customWidth="1"/>
    <col min="14084" max="14091" width="6" style="1539" customWidth="1"/>
    <col min="14092" max="14092" width="7.09765625" style="1539" customWidth="1"/>
    <col min="14093" max="14100" width="6" style="1539" customWidth="1"/>
    <col min="14101" max="14336" width="8.69921875" style="1539"/>
    <col min="14337" max="14337" width="5.19921875" style="1539" customWidth="1"/>
    <col min="14338" max="14338" width="6" style="1539" customWidth="1"/>
    <col min="14339" max="14339" width="7.69921875" style="1539" customWidth="1"/>
    <col min="14340" max="14347" width="6" style="1539" customWidth="1"/>
    <col min="14348" max="14348" width="7.09765625" style="1539" customWidth="1"/>
    <col min="14349" max="14356" width="6" style="1539" customWidth="1"/>
    <col min="14357" max="14592" width="8.69921875" style="1539"/>
    <col min="14593" max="14593" width="5.19921875" style="1539" customWidth="1"/>
    <col min="14594" max="14594" width="6" style="1539" customWidth="1"/>
    <col min="14595" max="14595" width="7.69921875" style="1539" customWidth="1"/>
    <col min="14596" max="14603" width="6" style="1539" customWidth="1"/>
    <col min="14604" max="14604" width="7.09765625" style="1539" customWidth="1"/>
    <col min="14605" max="14612" width="6" style="1539" customWidth="1"/>
    <col min="14613" max="14848" width="8.69921875" style="1539"/>
    <col min="14849" max="14849" width="5.19921875" style="1539" customWidth="1"/>
    <col min="14850" max="14850" width="6" style="1539" customWidth="1"/>
    <col min="14851" max="14851" width="7.69921875" style="1539" customWidth="1"/>
    <col min="14852" max="14859" width="6" style="1539" customWidth="1"/>
    <col min="14860" max="14860" width="7.09765625" style="1539" customWidth="1"/>
    <col min="14861" max="14868" width="6" style="1539" customWidth="1"/>
    <col min="14869" max="15104" width="8.69921875" style="1539"/>
    <col min="15105" max="15105" width="5.19921875" style="1539" customWidth="1"/>
    <col min="15106" max="15106" width="6" style="1539" customWidth="1"/>
    <col min="15107" max="15107" width="7.69921875" style="1539" customWidth="1"/>
    <col min="15108" max="15115" width="6" style="1539" customWidth="1"/>
    <col min="15116" max="15116" width="7.09765625" style="1539" customWidth="1"/>
    <col min="15117" max="15124" width="6" style="1539" customWidth="1"/>
    <col min="15125" max="15360" width="8.69921875" style="1539"/>
    <col min="15361" max="15361" width="5.19921875" style="1539" customWidth="1"/>
    <col min="15362" max="15362" width="6" style="1539" customWidth="1"/>
    <col min="15363" max="15363" width="7.69921875" style="1539" customWidth="1"/>
    <col min="15364" max="15371" width="6" style="1539" customWidth="1"/>
    <col min="15372" max="15372" width="7.09765625" style="1539" customWidth="1"/>
    <col min="15373" max="15380" width="6" style="1539" customWidth="1"/>
    <col min="15381" max="15616" width="8.69921875" style="1539"/>
    <col min="15617" max="15617" width="5.19921875" style="1539" customWidth="1"/>
    <col min="15618" max="15618" width="6" style="1539" customWidth="1"/>
    <col min="15619" max="15619" width="7.69921875" style="1539" customWidth="1"/>
    <col min="15620" max="15627" width="6" style="1539" customWidth="1"/>
    <col min="15628" max="15628" width="7.09765625" style="1539" customWidth="1"/>
    <col min="15629" max="15636" width="6" style="1539" customWidth="1"/>
    <col min="15637" max="15872" width="8.69921875" style="1539"/>
    <col min="15873" max="15873" width="5.19921875" style="1539" customWidth="1"/>
    <col min="15874" max="15874" width="6" style="1539" customWidth="1"/>
    <col min="15875" max="15875" width="7.69921875" style="1539" customWidth="1"/>
    <col min="15876" max="15883" width="6" style="1539" customWidth="1"/>
    <col min="15884" max="15884" width="7.09765625" style="1539" customWidth="1"/>
    <col min="15885" max="15892" width="6" style="1539" customWidth="1"/>
    <col min="15893" max="16128" width="8.69921875" style="1539"/>
    <col min="16129" max="16129" width="5.19921875" style="1539" customWidth="1"/>
    <col min="16130" max="16130" width="6" style="1539" customWidth="1"/>
    <col min="16131" max="16131" width="7.69921875" style="1539" customWidth="1"/>
    <col min="16132" max="16139" width="6" style="1539" customWidth="1"/>
    <col min="16140" max="16140" width="7.09765625" style="1539" customWidth="1"/>
    <col min="16141" max="16148" width="6" style="1539" customWidth="1"/>
    <col min="16149" max="16384" width="8.69921875" style="1539"/>
  </cols>
  <sheetData>
    <row r="1" spans="1:20" s="1621" customFormat="1" ht="20.100000000000001" customHeight="1">
      <c r="A1" s="3446" t="str">
        <f>"索引号："&amp;档案索引!D19</f>
        <v>索引号：2B-14</v>
      </c>
      <c r="B1" s="3446"/>
      <c r="C1" s="3446"/>
      <c r="D1" s="3446"/>
      <c r="E1" s="3446"/>
      <c r="F1" s="3446"/>
      <c r="G1" s="3446"/>
      <c r="H1" s="3446"/>
      <c r="I1" s="3446"/>
      <c r="J1" s="3446"/>
      <c r="K1" s="3446"/>
      <c r="L1" s="3446"/>
      <c r="M1" s="3446"/>
      <c r="N1" s="3446"/>
      <c r="O1" s="3446"/>
      <c r="P1" s="3446"/>
      <c r="Q1" s="3446"/>
      <c r="R1" s="3446"/>
      <c r="S1" s="3446"/>
      <c r="T1" s="3446"/>
    </row>
    <row r="2" spans="1:20" s="1622" customFormat="1" ht="25.5" customHeight="1">
      <c r="A2" s="1908" t="s">
        <v>5947</v>
      </c>
      <c r="B2" s="1906"/>
      <c r="C2" s="1906"/>
      <c r="D2" s="1906"/>
      <c r="E2" s="1906"/>
      <c r="F2" s="1906"/>
      <c r="G2" s="1906"/>
      <c r="H2" s="1906"/>
      <c r="I2" s="1906"/>
      <c r="J2" s="1906"/>
      <c r="K2" s="1906"/>
      <c r="L2" s="1906"/>
      <c r="M2" s="1906"/>
      <c r="N2" s="1906"/>
      <c r="O2" s="1906"/>
      <c r="P2" s="1906"/>
      <c r="Q2" s="1906"/>
      <c r="R2" s="1906"/>
      <c r="S2" s="1906"/>
      <c r="T2" s="1907"/>
    </row>
    <row r="3" spans="1:20" s="1616" customFormat="1" ht="14.25" customHeight="1">
      <c r="A3" s="3383" t="s">
        <v>5673</v>
      </c>
      <c r="B3" s="3385" t="s">
        <v>5789</v>
      </c>
      <c r="C3" s="3385" t="s">
        <v>5844</v>
      </c>
      <c r="D3" s="3385"/>
      <c r="E3" s="3385"/>
      <c r="F3" s="3385"/>
      <c r="G3" s="3385" t="s">
        <v>5845</v>
      </c>
      <c r="H3" s="3385"/>
      <c r="I3" s="3385"/>
      <c r="J3" s="3385"/>
      <c r="K3" s="3385"/>
      <c r="L3" s="3385"/>
      <c r="M3" s="3385"/>
      <c r="N3" s="3385"/>
      <c r="O3" s="3385"/>
      <c r="P3" s="3385"/>
      <c r="Q3" s="3385"/>
      <c r="R3" s="3385"/>
      <c r="S3" s="3385"/>
      <c r="T3" s="3385"/>
    </row>
    <row r="4" spans="1:20" s="1616" customFormat="1" ht="14.25" customHeight="1">
      <c r="A4" s="3387"/>
      <c r="B4" s="3385"/>
      <c r="C4" s="3385" t="s">
        <v>5846</v>
      </c>
      <c r="D4" s="3385" t="s">
        <v>5847</v>
      </c>
      <c r="E4" s="3385" t="s">
        <v>5848</v>
      </c>
      <c r="F4" s="3385" t="s">
        <v>5849</v>
      </c>
      <c r="G4" s="3385" t="s">
        <v>5850</v>
      </c>
      <c r="H4" s="3385"/>
      <c r="I4" s="3385"/>
      <c r="J4" s="3385"/>
      <c r="K4" s="3385"/>
      <c r="L4" s="3385"/>
      <c r="M4" s="3385" t="s">
        <v>5851</v>
      </c>
      <c r="N4" s="3385" t="s">
        <v>5852</v>
      </c>
      <c r="O4" s="3385" t="s">
        <v>5853</v>
      </c>
      <c r="P4" s="3385"/>
      <c r="Q4" s="3385"/>
      <c r="R4" s="3385"/>
      <c r="S4" s="3385"/>
      <c r="T4" s="3385"/>
    </row>
    <row r="5" spans="1:20" s="1616" customFormat="1" ht="14.25" customHeight="1">
      <c r="A5" s="3387"/>
      <c r="B5" s="3385"/>
      <c r="C5" s="3385"/>
      <c r="D5" s="3385"/>
      <c r="E5" s="3385"/>
      <c r="F5" s="3385"/>
      <c r="G5" s="3385"/>
      <c r="H5" s="3385"/>
      <c r="I5" s="3385"/>
      <c r="J5" s="3385"/>
      <c r="K5" s="3385"/>
      <c r="L5" s="3385"/>
      <c r="M5" s="3385"/>
      <c r="N5" s="3385"/>
      <c r="O5" s="3385"/>
      <c r="P5" s="3385"/>
      <c r="Q5" s="3385"/>
      <c r="R5" s="3385"/>
      <c r="S5" s="3385"/>
      <c r="T5" s="3385"/>
    </row>
    <row r="6" spans="1:20" s="1616" customFormat="1" ht="14.25" customHeight="1">
      <c r="A6" s="3387"/>
      <c r="B6" s="3385"/>
      <c r="C6" s="3385"/>
      <c r="D6" s="3385"/>
      <c r="E6" s="3385"/>
      <c r="F6" s="3385"/>
      <c r="G6" s="3385"/>
      <c r="H6" s="3385"/>
      <c r="I6" s="3385"/>
      <c r="J6" s="3385"/>
      <c r="K6" s="3385"/>
      <c r="L6" s="3385"/>
      <c r="M6" s="3385"/>
      <c r="N6" s="3385"/>
      <c r="O6" s="3385"/>
      <c r="P6" s="3385"/>
      <c r="Q6" s="3385"/>
      <c r="R6" s="3385"/>
      <c r="S6" s="3385"/>
      <c r="T6" s="3385"/>
    </row>
    <row r="7" spans="1:20" s="1616" customFormat="1" ht="14.25" customHeight="1">
      <c r="A7" s="3387"/>
      <c r="B7" s="3385"/>
      <c r="C7" s="3385"/>
      <c r="D7" s="3385"/>
      <c r="E7" s="3385"/>
      <c r="F7" s="3385"/>
      <c r="G7" s="1899" t="s">
        <v>5854</v>
      </c>
      <c r="H7" s="1899" t="s">
        <v>5855</v>
      </c>
      <c r="I7" s="1899" t="s">
        <v>5856</v>
      </c>
      <c r="J7" s="1899" t="s">
        <v>5857</v>
      </c>
      <c r="K7" s="1899" t="s">
        <v>5858</v>
      </c>
      <c r="L7" s="1899" t="s">
        <v>5859</v>
      </c>
      <c r="M7" s="3385"/>
      <c r="N7" s="3385"/>
      <c r="O7" s="1899" t="s">
        <v>5855</v>
      </c>
      <c r="P7" s="1899" t="s">
        <v>5856</v>
      </c>
      <c r="Q7" s="1899" t="s">
        <v>5857</v>
      </c>
      <c r="R7" s="1899" t="s">
        <v>5858</v>
      </c>
      <c r="S7" s="1899" t="s">
        <v>1353</v>
      </c>
      <c r="T7" s="1899" t="s">
        <v>5859</v>
      </c>
    </row>
    <row r="8" spans="1:20" ht="39" customHeight="1">
      <c r="A8" s="3387"/>
      <c r="B8" s="1909">
        <v>1</v>
      </c>
      <c r="C8" s="1909">
        <v>2</v>
      </c>
      <c r="D8" s="1909">
        <v>3</v>
      </c>
      <c r="E8" s="1909">
        <v>4</v>
      </c>
      <c r="F8" s="1899" t="s">
        <v>5860</v>
      </c>
      <c r="G8" s="1909">
        <v>6</v>
      </c>
      <c r="H8" s="1909">
        <v>7</v>
      </c>
      <c r="I8" s="1909">
        <v>8</v>
      </c>
      <c r="J8" s="1909">
        <v>9</v>
      </c>
      <c r="K8" s="1909">
        <v>10</v>
      </c>
      <c r="L8" s="1900" t="s">
        <v>5861</v>
      </c>
      <c r="M8" s="1909">
        <v>12</v>
      </c>
      <c r="N8" s="1909">
        <v>13</v>
      </c>
      <c r="O8" s="1909">
        <v>14</v>
      </c>
      <c r="P8" s="1909">
        <v>15</v>
      </c>
      <c r="Q8" s="1909">
        <v>16</v>
      </c>
      <c r="R8" s="1909">
        <v>17</v>
      </c>
      <c r="S8" s="1909">
        <v>18</v>
      </c>
      <c r="T8" s="1900" t="s">
        <v>5862</v>
      </c>
    </row>
    <row r="9" spans="1:20" ht="14.25" customHeight="1">
      <c r="A9" s="1912">
        <v>1</v>
      </c>
      <c r="B9" s="1910">
        <f>境外所得纳税调整后所得审核表!B6</f>
        <v>0</v>
      </c>
      <c r="C9" s="2078"/>
      <c r="D9" s="2078"/>
      <c r="E9" s="2078"/>
      <c r="F9" s="2077">
        <f>SUM(C9:E9)</f>
        <v>0</v>
      </c>
      <c r="G9" s="2078"/>
      <c r="H9" s="2078"/>
      <c r="I9" s="2078"/>
      <c r="J9" s="2078"/>
      <c r="K9" s="2078"/>
      <c r="L9" s="2077">
        <f>SUM(G9:K9)</f>
        <v>0</v>
      </c>
      <c r="M9" s="2078"/>
      <c r="N9" s="2078"/>
      <c r="O9" s="2078"/>
      <c r="P9" s="2078"/>
      <c r="Q9" s="2078"/>
      <c r="R9" s="2078"/>
      <c r="S9" s="2078"/>
      <c r="T9" s="2077">
        <f>SUM(O9:S9)</f>
        <v>0</v>
      </c>
    </row>
    <row r="10" spans="1:20" ht="14.25" customHeight="1">
      <c r="A10" s="1912">
        <v>2</v>
      </c>
      <c r="B10" s="1910">
        <f>境外所得纳税调整后所得审核表!B7</f>
        <v>0</v>
      </c>
      <c r="C10" s="2078"/>
      <c r="D10" s="2078"/>
      <c r="E10" s="2078"/>
      <c r="F10" s="2077">
        <f t="shared" ref="F10:F17" si="0">SUM(C10:E10)</f>
        <v>0</v>
      </c>
      <c r="G10" s="2078"/>
      <c r="H10" s="2078"/>
      <c r="I10" s="2078"/>
      <c r="J10" s="2078"/>
      <c r="K10" s="2078"/>
      <c r="L10" s="2077">
        <f t="shared" ref="L10:L17" si="1">SUM(G10:K10)</f>
        <v>0</v>
      </c>
      <c r="M10" s="2078"/>
      <c r="N10" s="2078"/>
      <c r="O10" s="2078"/>
      <c r="P10" s="2078"/>
      <c r="Q10" s="2078"/>
      <c r="R10" s="2078"/>
      <c r="S10" s="2078"/>
      <c r="T10" s="2077">
        <f t="shared" ref="T10:T17" si="2">SUM(O10:S10)</f>
        <v>0</v>
      </c>
    </row>
    <row r="11" spans="1:20" ht="14.25" customHeight="1">
      <c r="A11" s="1912">
        <v>3</v>
      </c>
      <c r="B11" s="1910">
        <f>境外所得纳税调整后所得审核表!B8</f>
        <v>0</v>
      </c>
      <c r="C11" s="2078"/>
      <c r="D11" s="2078"/>
      <c r="E11" s="2078"/>
      <c r="F11" s="2077">
        <f t="shared" si="0"/>
        <v>0</v>
      </c>
      <c r="G11" s="2078"/>
      <c r="H11" s="2078"/>
      <c r="I11" s="2078"/>
      <c r="J11" s="2078"/>
      <c r="K11" s="2078"/>
      <c r="L11" s="2077">
        <f t="shared" si="1"/>
        <v>0</v>
      </c>
      <c r="M11" s="2078"/>
      <c r="N11" s="2078"/>
      <c r="O11" s="2078"/>
      <c r="P11" s="2078"/>
      <c r="Q11" s="2078"/>
      <c r="R11" s="2078"/>
      <c r="S11" s="2078"/>
      <c r="T11" s="2077">
        <f t="shared" si="2"/>
        <v>0</v>
      </c>
    </row>
    <row r="12" spans="1:20" ht="14.25" customHeight="1">
      <c r="A12" s="1912">
        <v>4</v>
      </c>
      <c r="B12" s="1910">
        <f>境外所得纳税调整后所得审核表!B9</f>
        <v>0</v>
      </c>
      <c r="C12" s="2078"/>
      <c r="D12" s="2078"/>
      <c r="E12" s="2078"/>
      <c r="F12" s="2077">
        <f t="shared" si="0"/>
        <v>0</v>
      </c>
      <c r="G12" s="2078"/>
      <c r="H12" s="2078"/>
      <c r="I12" s="2078"/>
      <c r="J12" s="2078"/>
      <c r="K12" s="2078"/>
      <c r="L12" s="2077">
        <f t="shared" si="1"/>
        <v>0</v>
      </c>
      <c r="M12" s="2078"/>
      <c r="N12" s="2078"/>
      <c r="O12" s="2078"/>
      <c r="P12" s="2078"/>
      <c r="Q12" s="2078"/>
      <c r="R12" s="2078"/>
      <c r="S12" s="2078"/>
      <c r="T12" s="2077">
        <f t="shared" si="2"/>
        <v>0</v>
      </c>
    </row>
    <row r="13" spans="1:20" ht="14.25" customHeight="1">
      <c r="A13" s="1912">
        <v>5</v>
      </c>
      <c r="B13" s="1910">
        <f>境外所得纳税调整后所得审核表!B10</f>
        <v>0</v>
      </c>
      <c r="C13" s="2078"/>
      <c r="D13" s="2078"/>
      <c r="E13" s="2078"/>
      <c r="F13" s="2077">
        <f t="shared" si="0"/>
        <v>0</v>
      </c>
      <c r="G13" s="2078"/>
      <c r="H13" s="2078"/>
      <c r="I13" s="2078"/>
      <c r="J13" s="2078"/>
      <c r="K13" s="2078"/>
      <c r="L13" s="2077">
        <f t="shared" si="1"/>
        <v>0</v>
      </c>
      <c r="M13" s="2078"/>
      <c r="N13" s="2078"/>
      <c r="O13" s="2078"/>
      <c r="P13" s="2078"/>
      <c r="Q13" s="2078"/>
      <c r="R13" s="2078"/>
      <c r="S13" s="2078"/>
      <c r="T13" s="2077">
        <f t="shared" si="2"/>
        <v>0</v>
      </c>
    </row>
    <row r="14" spans="1:20" ht="14.25" customHeight="1">
      <c r="A14" s="1912">
        <v>6</v>
      </c>
      <c r="B14" s="1910">
        <f>境外所得纳税调整后所得审核表!B11</f>
        <v>0</v>
      </c>
      <c r="C14" s="2078"/>
      <c r="D14" s="2078"/>
      <c r="E14" s="2078"/>
      <c r="F14" s="2077">
        <f t="shared" si="0"/>
        <v>0</v>
      </c>
      <c r="G14" s="2078"/>
      <c r="H14" s="2078"/>
      <c r="I14" s="2078"/>
      <c r="J14" s="2078"/>
      <c r="K14" s="2078"/>
      <c r="L14" s="2077">
        <f t="shared" si="1"/>
        <v>0</v>
      </c>
      <c r="M14" s="2078"/>
      <c r="N14" s="2078"/>
      <c r="O14" s="2078"/>
      <c r="P14" s="2078"/>
      <c r="Q14" s="2078"/>
      <c r="R14" s="2078"/>
      <c r="S14" s="2078"/>
      <c r="T14" s="2077">
        <f t="shared" si="2"/>
        <v>0</v>
      </c>
    </row>
    <row r="15" spans="1:20" ht="14.25" customHeight="1">
      <c r="A15" s="1912">
        <v>7</v>
      </c>
      <c r="B15" s="1910">
        <f>境外所得纳税调整后所得审核表!B12</f>
        <v>0</v>
      </c>
      <c r="C15" s="2078"/>
      <c r="D15" s="2078"/>
      <c r="E15" s="2078"/>
      <c r="F15" s="2077">
        <f t="shared" si="0"/>
        <v>0</v>
      </c>
      <c r="G15" s="2078"/>
      <c r="H15" s="2078"/>
      <c r="I15" s="2078"/>
      <c r="J15" s="2078"/>
      <c r="K15" s="2078"/>
      <c r="L15" s="2077">
        <f t="shared" si="1"/>
        <v>0</v>
      </c>
      <c r="M15" s="2078"/>
      <c r="N15" s="2078"/>
      <c r="O15" s="2078"/>
      <c r="P15" s="2078"/>
      <c r="Q15" s="2078"/>
      <c r="R15" s="2078"/>
      <c r="S15" s="2078"/>
      <c r="T15" s="2077">
        <f t="shared" si="2"/>
        <v>0</v>
      </c>
    </row>
    <row r="16" spans="1:20" ht="14.25" customHeight="1">
      <c r="A16" s="1912">
        <v>8</v>
      </c>
      <c r="B16" s="1910">
        <f>境外所得纳税调整后所得审核表!B13</f>
        <v>0</v>
      </c>
      <c r="C16" s="2078"/>
      <c r="D16" s="2078"/>
      <c r="E16" s="2078"/>
      <c r="F16" s="2077">
        <f t="shared" si="0"/>
        <v>0</v>
      </c>
      <c r="G16" s="2078"/>
      <c r="H16" s="2078"/>
      <c r="I16" s="2078"/>
      <c r="J16" s="2078"/>
      <c r="K16" s="2078"/>
      <c r="L16" s="2077">
        <f t="shared" si="1"/>
        <v>0</v>
      </c>
      <c r="M16" s="2078"/>
      <c r="N16" s="2078"/>
      <c r="O16" s="2078"/>
      <c r="P16" s="2078"/>
      <c r="Q16" s="2078"/>
      <c r="R16" s="2078"/>
      <c r="S16" s="2078"/>
      <c r="T16" s="2077">
        <f t="shared" si="2"/>
        <v>0</v>
      </c>
    </row>
    <row r="17" spans="1:21" ht="14.25" customHeight="1">
      <c r="A17" s="1912">
        <v>9</v>
      </c>
      <c r="B17" s="1910">
        <f>境外所得纳税调整后所得审核表!B14</f>
        <v>0</v>
      </c>
      <c r="C17" s="2078"/>
      <c r="D17" s="2078"/>
      <c r="E17" s="2078"/>
      <c r="F17" s="2077">
        <f t="shared" si="0"/>
        <v>0</v>
      </c>
      <c r="G17" s="2078"/>
      <c r="H17" s="2078"/>
      <c r="I17" s="2078"/>
      <c r="J17" s="2078"/>
      <c r="K17" s="2078"/>
      <c r="L17" s="2077">
        <f t="shared" si="1"/>
        <v>0</v>
      </c>
      <c r="M17" s="2078"/>
      <c r="N17" s="2078"/>
      <c r="O17" s="2078"/>
      <c r="P17" s="2078"/>
      <c r="Q17" s="2078"/>
      <c r="R17" s="2078"/>
      <c r="S17" s="2078"/>
      <c r="T17" s="2077">
        <f t="shared" si="2"/>
        <v>0</v>
      </c>
    </row>
    <row r="18" spans="1:21" ht="14.25" customHeight="1">
      <c r="A18" s="1912">
        <v>10</v>
      </c>
      <c r="B18" s="1912" t="s">
        <v>5484</v>
      </c>
      <c r="C18" s="2077">
        <f>SUM(C9:C17)</f>
        <v>0</v>
      </c>
      <c r="D18" s="2077">
        <f t="shared" ref="D18:F18" si="3">SUM(D9:D17)</f>
        <v>0</v>
      </c>
      <c r="E18" s="2077">
        <f t="shared" si="3"/>
        <v>0</v>
      </c>
      <c r="F18" s="2077">
        <f t="shared" si="3"/>
        <v>0</v>
      </c>
      <c r="G18" s="2077">
        <f t="shared" ref="G18" si="4">SUM(G9:G17)</f>
        <v>0</v>
      </c>
      <c r="H18" s="2077">
        <f t="shared" ref="H18" si="5">SUM(H9:H17)</f>
        <v>0</v>
      </c>
      <c r="I18" s="2077">
        <f t="shared" ref="I18" si="6">SUM(I9:I17)</f>
        <v>0</v>
      </c>
      <c r="J18" s="2077">
        <f t="shared" ref="J18" si="7">SUM(J9:J17)</f>
        <v>0</v>
      </c>
      <c r="K18" s="2077">
        <f t="shared" ref="K18" si="8">SUM(K9:K17)</f>
        <v>0</v>
      </c>
      <c r="L18" s="2077">
        <f t="shared" ref="L18" si="9">SUM(L9:L17)</f>
        <v>0</v>
      </c>
      <c r="M18" s="2077">
        <f t="shared" ref="M18" si="10">SUM(M9:M17)</f>
        <v>0</v>
      </c>
      <c r="N18" s="2077">
        <f t="shared" ref="N18" si="11">SUM(N9:N17)</f>
        <v>0</v>
      </c>
      <c r="O18" s="2077">
        <f t="shared" ref="O18" si="12">SUM(O9:O17)</f>
        <v>0</v>
      </c>
      <c r="P18" s="2077">
        <f t="shared" ref="P18" si="13">SUM(P9:P17)</f>
        <v>0</v>
      </c>
      <c r="Q18" s="2077">
        <f t="shared" ref="Q18" si="14">SUM(Q9:Q17)</f>
        <v>0</v>
      </c>
      <c r="R18" s="2077">
        <f t="shared" ref="R18" si="15">SUM(R9:R17)</f>
        <v>0</v>
      </c>
      <c r="S18" s="2077">
        <f t="shared" ref="S18" si="16">SUM(S9:S17)</f>
        <v>0</v>
      </c>
      <c r="T18" s="2077">
        <f t="shared" ref="T18" si="17">SUM(T9:T17)</f>
        <v>0</v>
      </c>
      <c r="U18" s="1772" t="s">
        <v>6481</v>
      </c>
    </row>
    <row r="19" spans="1:21" ht="106.5" customHeight="1">
      <c r="A19" s="1916"/>
      <c r="B19" s="1904" t="s">
        <v>5863</v>
      </c>
      <c r="C19" s="1916"/>
      <c r="D19" s="1899"/>
      <c r="E19" s="1899" t="s">
        <v>5864</v>
      </c>
      <c r="F19" s="1916"/>
      <c r="G19" s="1916"/>
      <c r="H19" s="1916"/>
      <c r="I19" s="1916"/>
      <c r="J19" s="1916"/>
      <c r="K19" s="1916"/>
      <c r="L19" s="1916"/>
      <c r="M19" s="1916"/>
      <c r="N19" s="1899"/>
      <c r="O19" s="1899"/>
      <c r="P19" s="1899"/>
      <c r="Q19" s="1916"/>
      <c r="R19" s="1916"/>
      <c r="S19" s="1916"/>
      <c r="T19" s="1916"/>
    </row>
  </sheetData>
  <mergeCells count="13">
    <mergeCell ref="A1:T1"/>
    <mergeCell ref="A3:A8"/>
    <mergeCell ref="B3:B7"/>
    <mergeCell ref="C3:F3"/>
    <mergeCell ref="G3:T3"/>
    <mergeCell ref="C4:C7"/>
    <mergeCell ref="D4:D7"/>
    <mergeCell ref="E4:E7"/>
    <mergeCell ref="F4:F7"/>
    <mergeCell ref="G4:L6"/>
    <mergeCell ref="M4:M7"/>
    <mergeCell ref="N4:N7"/>
    <mergeCell ref="O4:T6"/>
  </mergeCells>
  <phoneticPr fontId="51" type="noConversion"/>
  <hyperlinks>
    <hyperlink ref="U18" location="A108020境外分支机构弥补亏损明细表!A1" display="A108020境外分支机构弥补亏损明细表!A1"/>
  </hyperlinks>
  <printOptions horizontalCentered="1"/>
  <pageMargins left="0.78740157480314998" right="0.35433070866141703" top="0.511811023622047" bottom="0.11811023622047198" header="0.511811023622047" footer="0.511811023622047"/>
  <pageSetup paperSize="9" orientation="landscape" r:id="rId1"/>
  <headerFooter alignWithMargins="0"/>
</worksheet>
</file>

<file path=xl/worksheets/sheet6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80">
    <tabColor rgb="FFFFFF00"/>
  </sheetPr>
  <dimension ref="A1:U16"/>
  <sheetViews>
    <sheetView workbookViewId="0">
      <selection activeCell="E12" sqref="E12"/>
    </sheetView>
  </sheetViews>
  <sheetFormatPr defaultRowHeight="13.2"/>
  <cols>
    <col min="1" max="1" width="5.19921875" style="1626" customWidth="1"/>
    <col min="2" max="2" width="9.3984375" style="1626" customWidth="1"/>
    <col min="3" max="20" width="10.19921875" style="1626" customWidth="1"/>
    <col min="21" max="256" width="9" style="1626"/>
    <col min="257" max="257" width="5.19921875" style="1626" customWidth="1"/>
    <col min="258" max="258" width="7.09765625" style="1626" customWidth="1"/>
    <col min="259" max="263" width="6.3984375" style="1626" customWidth="1"/>
    <col min="264" max="264" width="7.19921875" style="1626" customWidth="1"/>
    <col min="265" max="269" width="6.3984375" style="1626" customWidth="1"/>
    <col min="270" max="270" width="8.3984375" style="1626" customWidth="1"/>
    <col min="271" max="275" width="6.3984375" style="1626" customWidth="1"/>
    <col min="276" max="276" width="9.19921875" style="1626" customWidth="1"/>
    <col min="277" max="512" width="9" style="1626"/>
    <col min="513" max="513" width="5.19921875" style="1626" customWidth="1"/>
    <col min="514" max="514" width="7.09765625" style="1626" customWidth="1"/>
    <col min="515" max="519" width="6.3984375" style="1626" customWidth="1"/>
    <col min="520" max="520" width="7.19921875" style="1626" customWidth="1"/>
    <col min="521" max="525" width="6.3984375" style="1626" customWidth="1"/>
    <col min="526" max="526" width="8.3984375" style="1626" customWidth="1"/>
    <col min="527" max="531" width="6.3984375" style="1626" customWidth="1"/>
    <col min="532" max="532" width="9.19921875" style="1626" customWidth="1"/>
    <col min="533" max="768" width="9" style="1626"/>
    <col min="769" max="769" width="5.19921875" style="1626" customWidth="1"/>
    <col min="770" max="770" width="7.09765625" style="1626" customWidth="1"/>
    <col min="771" max="775" width="6.3984375" style="1626" customWidth="1"/>
    <col min="776" max="776" width="7.19921875" style="1626" customWidth="1"/>
    <col min="777" max="781" width="6.3984375" style="1626" customWidth="1"/>
    <col min="782" max="782" width="8.3984375" style="1626" customWidth="1"/>
    <col min="783" max="787" width="6.3984375" style="1626" customWidth="1"/>
    <col min="788" max="788" width="9.19921875" style="1626" customWidth="1"/>
    <col min="789" max="1024" width="9" style="1626"/>
    <col min="1025" max="1025" width="5.19921875" style="1626" customWidth="1"/>
    <col min="1026" max="1026" width="7.09765625" style="1626" customWidth="1"/>
    <col min="1027" max="1031" width="6.3984375" style="1626" customWidth="1"/>
    <col min="1032" max="1032" width="7.19921875" style="1626" customWidth="1"/>
    <col min="1033" max="1037" width="6.3984375" style="1626" customWidth="1"/>
    <col min="1038" max="1038" width="8.3984375" style="1626" customWidth="1"/>
    <col min="1039" max="1043" width="6.3984375" style="1626" customWidth="1"/>
    <col min="1044" max="1044" width="9.19921875" style="1626" customWidth="1"/>
    <col min="1045" max="1280" width="9" style="1626"/>
    <col min="1281" max="1281" width="5.19921875" style="1626" customWidth="1"/>
    <col min="1282" max="1282" width="7.09765625" style="1626" customWidth="1"/>
    <col min="1283" max="1287" width="6.3984375" style="1626" customWidth="1"/>
    <col min="1288" max="1288" width="7.19921875" style="1626" customWidth="1"/>
    <col min="1289" max="1293" width="6.3984375" style="1626" customWidth="1"/>
    <col min="1294" max="1294" width="8.3984375" style="1626" customWidth="1"/>
    <col min="1295" max="1299" width="6.3984375" style="1626" customWidth="1"/>
    <col min="1300" max="1300" width="9.19921875" style="1626" customWidth="1"/>
    <col min="1301" max="1536" width="9" style="1626"/>
    <col min="1537" max="1537" width="5.19921875" style="1626" customWidth="1"/>
    <col min="1538" max="1538" width="7.09765625" style="1626" customWidth="1"/>
    <col min="1539" max="1543" width="6.3984375" style="1626" customWidth="1"/>
    <col min="1544" max="1544" width="7.19921875" style="1626" customWidth="1"/>
    <col min="1545" max="1549" width="6.3984375" style="1626" customWidth="1"/>
    <col min="1550" max="1550" width="8.3984375" style="1626" customWidth="1"/>
    <col min="1551" max="1555" width="6.3984375" style="1626" customWidth="1"/>
    <col min="1556" max="1556" width="9.19921875" style="1626" customWidth="1"/>
    <col min="1557" max="1792" width="9" style="1626"/>
    <col min="1793" max="1793" width="5.19921875" style="1626" customWidth="1"/>
    <col min="1794" max="1794" width="7.09765625" style="1626" customWidth="1"/>
    <col min="1795" max="1799" width="6.3984375" style="1626" customWidth="1"/>
    <col min="1800" max="1800" width="7.19921875" style="1626" customWidth="1"/>
    <col min="1801" max="1805" width="6.3984375" style="1626" customWidth="1"/>
    <col min="1806" max="1806" width="8.3984375" style="1626" customWidth="1"/>
    <col min="1807" max="1811" width="6.3984375" style="1626" customWidth="1"/>
    <col min="1812" max="1812" width="9.19921875" style="1626" customWidth="1"/>
    <col min="1813" max="2048" width="9" style="1626"/>
    <col min="2049" max="2049" width="5.19921875" style="1626" customWidth="1"/>
    <col min="2050" max="2050" width="7.09765625" style="1626" customWidth="1"/>
    <col min="2051" max="2055" width="6.3984375" style="1626" customWidth="1"/>
    <col min="2056" max="2056" width="7.19921875" style="1626" customWidth="1"/>
    <col min="2057" max="2061" width="6.3984375" style="1626" customWidth="1"/>
    <col min="2062" max="2062" width="8.3984375" style="1626" customWidth="1"/>
    <col min="2063" max="2067" width="6.3984375" style="1626" customWidth="1"/>
    <col min="2068" max="2068" width="9.19921875" style="1626" customWidth="1"/>
    <col min="2069" max="2304" width="9" style="1626"/>
    <col min="2305" max="2305" width="5.19921875" style="1626" customWidth="1"/>
    <col min="2306" max="2306" width="7.09765625" style="1626" customWidth="1"/>
    <col min="2307" max="2311" width="6.3984375" style="1626" customWidth="1"/>
    <col min="2312" max="2312" width="7.19921875" style="1626" customWidth="1"/>
    <col min="2313" max="2317" width="6.3984375" style="1626" customWidth="1"/>
    <col min="2318" max="2318" width="8.3984375" style="1626" customWidth="1"/>
    <col min="2319" max="2323" width="6.3984375" style="1626" customWidth="1"/>
    <col min="2324" max="2324" width="9.19921875" style="1626" customWidth="1"/>
    <col min="2325" max="2560" width="9" style="1626"/>
    <col min="2561" max="2561" width="5.19921875" style="1626" customWidth="1"/>
    <col min="2562" max="2562" width="7.09765625" style="1626" customWidth="1"/>
    <col min="2563" max="2567" width="6.3984375" style="1626" customWidth="1"/>
    <col min="2568" max="2568" width="7.19921875" style="1626" customWidth="1"/>
    <col min="2569" max="2573" width="6.3984375" style="1626" customWidth="1"/>
    <col min="2574" max="2574" width="8.3984375" style="1626" customWidth="1"/>
    <col min="2575" max="2579" width="6.3984375" style="1626" customWidth="1"/>
    <col min="2580" max="2580" width="9.19921875" style="1626" customWidth="1"/>
    <col min="2581" max="2816" width="9" style="1626"/>
    <col min="2817" max="2817" width="5.19921875" style="1626" customWidth="1"/>
    <col min="2818" max="2818" width="7.09765625" style="1626" customWidth="1"/>
    <col min="2819" max="2823" width="6.3984375" style="1626" customWidth="1"/>
    <col min="2824" max="2824" width="7.19921875" style="1626" customWidth="1"/>
    <col min="2825" max="2829" width="6.3984375" style="1626" customWidth="1"/>
    <col min="2830" max="2830" width="8.3984375" style="1626" customWidth="1"/>
    <col min="2831" max="2835" width="6.3984375" style="1626" customWidth="1"/>
    <col min="2836" max="2836" width="9.19921875" style="1626" customWidth="1"/>
    <col min="2837" max="3072" width="9" style="1626"/>
    <col min="3073" max="3073" width="5.19921875" style="1626" customWidth="1"/>
    <col min="3074" max="3074" width="7.09765625" style="1626" customWidth="1"/>
    <col min="3075" max="3079" width="6.3984375" style="1626" customWidth="1"/>
    <col min="3080" max="3080" width="7.19921875" style="1626" customWidth="1"/>
    <col min="3081" max="3085" width="6.3984375" style="1626" customWidth="1"/>
    <col min="3086" max="3086" width="8.3984375" style="1626" customWidth="1"/>
    <col min="3087" max="3091" width="6.3984375" style="1626" customWidth="1"/>
    <col min="3092" max="3092" width="9.19921875" style="1626" customWidth="1"/>
    <col min="3093" max="3328" width="9" style="1626"/>
    <col min="3329" max="3329" width="5.19921875" style="1626" customWidth="1"/>
    <col min="3330" max="3330" width="7.09765625" style="1626" customWidth="1"/>
    <col min="3331" max="3335" width="6.3984375" style="1626" customWidth="1"/>
    <col min="3336" max="3336" width="7.19921875" style="1626" customWidth="1"/>
    <col min="3337" max="3341" width="6.3984375" style="1626" customWidth="1"/>
    <col min="3342" max="3342" width="8.3984375" style="1626" customWidth="1"/>
    <col min="3343" max="3347" width="6.3984375" style="1626" customWidth="1"/>
    <col min="3348" max="3348" width="9.19921875" style="1626" customWidth="1"/>
    <col min="3349" max="3584" width="9" style="1626"/>
    <col min="3585" max="3585" width="5.19921875" style="1626" customWidth="1"/>
    <col min="3586" max="3586" width="7.09765625" style="1626" customWidth="1"/>
    <col min="3587" max="3591" width="6.3984375" style="1626" customWidth="1"/>
    <col min="3592" max="3592" width="7.19921875" style="1626" customWidth="1"/>
    <col min="3593" max="3597" width="6.3984375" style="1626" customWidth="1"/>
    <col min="3598" max="3598" width="8.3984375" style="1626" customWidth="1"/>
    <col min="3599" max="3603" width="6.3984375" style="1626" customWidth="1"/>
    <col min="3604" max="3604" width="9.19921875" style="1626" customWidth="1"/>
    <col min="3605" max="3840" width="9" style="1626"/>
    <col min="3841" max="3841" width="5.19921875" style="1626" customWidth="1"/>
    <col min="3842" max="3842" width="7.09765625" style="1626" customWidth="1"/>
    <col min="3843" max="3847" width="6.3984375" style="1626" customWidth="1"/>
    <col min="3848" max="3848" width="7.19921875" style="1626" customWidth="1"/>
    <col min="3849" max="3853" width="6.3984375" style="1626" customWidth="1"/>
    <col min="3854" max="3854" width="8.3984375" style="1626" customWidth="1"/>
    <col min="3855" max="3859" width="6.3984375" style="1626" customWidth="1"/>
    <col min="3860" max="3860" width="9.19921875" style="1626" customWidth="1"/>
    <col min="3861" max="4096" width="9" style="1626"/>
    <col min="4097" max="4097" width="5.19921875" style="1626" customWidth="1"/>
    <col min="4098" max="4098" width="7.09765625" style="1626" customWidth="1"/>
    <col min="4099" max="4103" width="6.3984375" style="1626" customWidth="1"/>
    <col min="4104" max="4104" width="7.19921875" style="1626" customWidth="1"/>
    <col min="4105" max="4109" width="6.3984375" style="1626" customWidth="1"/>
    <col min="4110" max="4110" width="8.3984375" style="1626" customWidth="1"/>
    <col min="4111" max="4115" width="6.3984375" style="1626" customWidth="1"/>
    <col min="4116" max="4116" width="9.19921875" style="1626" customWidth="1"/>
    <col min="4117" max="4352" width="9" style="1626"/>
    <col min="4353" max="4353" width="5.19921875" style="1626" customWidth="1"/>
    <col min="4354" max="4354" width="7.09765625" style="1626" customWidth="1"/>
    <col min="4355" max="4359" width="6.3984375" style="1626" customWidth="1"/>
    <col min="4360" max="4360" width="7.19921875" style="1626" customWidth="1"/>
    <col min="4361" max="4365" width="6.3984375" style="1626" customWidth="1"/>
    <col min="4366" max="4366" width="8.3984375" style="1626" customWidth="1"/>
    <col min="4367" max="4371" width="6.3984375" style="1626" customWidth="1"/>
    <col min="4372" max="4372" width="9.19921875" style="1626" customWidth="1"/>
    <col min="4373" max="4608" width="9" style="1626"/>
    <col min="4609" max="4609" width="5.19921875" style="1626" customWidth="1"/>
    <col min="4610" max="4610" width="7.09765625" style="1626" customWidth="1"/>
    <col min="4611" max="4615" width="6.3984375" style="1626" customWidth="1"/>
    <col min="4616" max="4616" width="7.19921875" style="1626" customWidth="1"/>
    <col min="4617" max="4621" width="6.3984375" style="1626" customWidth="1"/>
    <col min="4622" max="4622" width="8.3984375" style="1626" customWidth="1"/>
    <col min="4623" max="4627" width="6.3984375" style="1626" customWidth="1"/>
    <col min="4628" max="4628" width="9.19921875" style="1626" customWidth="1"/>
    <col min="4629" max="4864" width="9" style="1626"/>
    <col min="4865" max="4865" width="5.19921875" style="1626" customWidth="1"/>
    <col min="4866" max="4866" width="7.09765625" style="1626" customWidth="1"/>
    <col min="4867" max="4871" width="6.3984375" style="1626" customWidth="1"/>
    <col min="4872" max="4872" width="7.19921875" style="1626" customWidth="1"/>
    <col min="4873" max="4877" width="6.3984375" style="1626" customWidth="1"/>
    <col min="4878" max="4878" width="8.3984375" style="1626" customWidth="1"/>
    <col min="4879" max="4883" width="6.3984375" style="1626" customWidth="1"/>
    <col min="4884" max="4884" width="9.19921875" style="1626" customWidth="1"/>
    <col min="4885" max="5120" width="9" style="1626"/>
    <col min="5121" max="5121" width="5.19921875" style="1626" customWidth="1"/>
    <col min="5122" max="5122" width="7.09765625" style="1626" customWidth="1"/>
    <col min="5123" max="5127" width="6.3984375" style="1626" customWidth="1"/>
    <col min="5128" max="5128" width="7.19921875" style="1626" customWidth="1"/>
    <col min="5129" max="5133" width="6.3984375" style="1626" customWidth="1"/>
    <col min="5134" max="5134" width="8.3984375" style="1626" customWidth="1"/>
    <col min="5135" max="5139" width="6.3984375" style="1626" customWidth="1"/>
    <col min="5140" max="5140" width="9.19921875" style="1626" customWidth="1"/>
    <col min="5141" max="5376" width="9" style="1626"/>
    <col min="5377" max="5377" width="5.19921875" style="1626" customWidth="1"/>
    <col min="5378" max="5378" width="7.09765625" style="1626" customWidth="1"/>
    <col min="5379" max="5383" width="6.3984375" style="1626" customWidth="1"/>
    <col min="5384" max="5384" width="7.19921875" style="1626" customWidth="1"/>
    <col min="5385" max="5389" width="6.3984375" style="1626" customWidth="1"/>
    <col min="5390" max="5390" width="8.3984375" style="1626" customWidth="1"/>
    <col min="5391" max="5395" width="6.3984375" style="1626" customWidth="1"/>
    <col min="5396" max="5396" width="9.19921875" style="1626" customWidth="1"/>
    <col min="5397" max="5632" width="9" style="1626"/>
    <col min="5633" max="5633" width="5.19921875" style="1626" customWidth="1"/>
    <col min="5634" max="5634" width="7.09765625" style="1626" customWidth="1"/>
    <col min="5635" max="5639" width="6.3984375" style="1626" customWidth="1"/>
    <col min="5640" max="5640" width="7.19921875" style="1626" customWidth="1"/>
    <col min="5641" max="5645" width="6.3984375" style="1626" customWidth="1"/>
    <col min="5646" max="5646" width="8.3984375" style="1626" customWidth="1"/>
    <col min="5647" max="5651" width="6.3984375" style="1626" customWidth="1"/>
    <col min="5652" max="5652" width="9.19921875" style="1626" customWidth="1"/>
    <col min="5653" max="5888" width="9" style="1626"/>
    <col min="5889" max="5889" width="5.19921875" style="1626" customWidth="1"/>
    <col min="5890" max="5890" width="7.09765625" style="1626" customWidth="1"/>
    <col min="5891" max="5895" width="6.3984375" style="1626" customWidth="1"/>
    <col min="5896" max="5896" width="7.19921875" style="1626" customWidth="1"/>
    <col min="5897" max="5901" width="6.3984375" style="1626" customWidth="1"/>
    <col min="5902" max="5902" width="8.3984375" style="1626" customWidth="1"/>
    <col min="5903" max="5907" width="6.3984375" style="1626" customWidth="1"/>
    <col min="5908" max="5908" width="9.19921875" style="1626" customWidth="1"/>
    <col min="5909" max="6144" width="9" style="1626"/>
    <col min="6145" max="6145" width="5.19921875" style="1626" customWidth="1"/>
    <col min="6146" max="6146" width="7.09765625" style="1626" customWidth="1"/>
    <col min="6147" max="6151" width="6.3984375" style="1626" customWidth="1"/>
    <col min="6152" max="6152" width="7.19921875" style="1626" customWidth="1"/>
    <col min="6153" max="6157" width="6.3984375" style="1626" customWidth="1"/>
    <col min="6158" max="6158" width="8.3984375" style="1626" customWidth="1"/>
    <col min="6159" max="6163" width="6.3984375" style="1626" customWidth="1"/>
    <col min="6164" max="6164" width="9.19921875" style="1626" customWidth="1"/>
    <col min="6165" max="6400" width="9" style="1626"/>
    <col min="6401" max="6401" width="5.19921875" style="1626" customWidth="1"/>
    <col min="6402" max="6402" width="7.09765625" style="1626" customWidth="1"/>
    <col min="6403" max="6407" width="6.3984375" style="1626" customWidth="1"/>
    <col min="6408" max="6408" width="7.19921875" style="1626" customWidth="1"/>
    <col min="6409" max="6413" width="6.3984375" style="1626" customWidth="1"/>
    <col min="6414" max="6414" width="8.3984375" style="1626" customWidth="1"/>
    <col min="6415" max="6419" width="6.3984375" style="1626" customWidth="1"/>
    <col min="6420" max="6420" width="9.19921875" style="1626" customWidth="1"/>
    <col min="6421" max="6656" width="9" style="1626"/>
    <col min="6657" max="6657" width="5.19921875" style="1626" customWidth="1"/>
    <col min="6658" max="6658" width="7.09765625" style="1626" customWidth="1"/>
    <col min="6659" max="6663" width="6.3984375" style="1626" customWidth="1"/>
    <col min="6664" max="6664" width="7.19921875" style="1626" customWidth="1"/>
    <col min="6665" max="6669" width="6.3984375" style="1626" customWidth="1"/>
    <col min="6670" max="6670" width="8.3984375" style="1626" customWidth="1"/>
    <col min="6671" max="6675" width="6.3984375" style="1626" customWidth="1"/>
    <col min="6676" max="6676" width="9.19921875" style="1626" customWidth="1"/>
    <col min="6677" max="6912" width="9" style="1626"/>
    <col min="6913" max="6913" width="5.19921875" style="1626" customWidth="1"/>
    <col min="6914" max="6914" width="7.09765625" style="1626" customWidth="1"/>
    <col min="6915" max="6919" width="6.3984375" style="1626" customWidth="1"/>
    <col min="6920" max="6920" width="7.19921875" style="1626" customWidth="1"/>
    <col min="6921" max="6925" width="6.3984375" style="1626" customWidth="1"/>
    <col min="6926" max="6926" width="8.3984375" style="1626" customWidth="1"/>
    <col min="6927" max="6931" width="6.3984375" style="1626" customWidth="1"/>
    <col min="6932" max="6932" width="9.19921875" style="1626" customWidth="1"/>
    <col min="6933" max="7168" width="9" style="1626"/>
    <col min="7169" max="7169" width="5.19921875" style="1626" customWidth="1"/>
    <col min="7170" max="7170" width="7.09765625" style="1626" customWidth="1"/>
    <col min="7171" max="7175" width="6.3984375" style="1626" customWidth="1"/>
    <col min="7176" max="7176" width="7.19921875" style="1626" customWidth="1"/>
    <col min="7177" max="7181" width="6.3984375" style="1626" customWidth="1"/>
    <col min="7182" max="7182" width="8.3984375" style="1626" customWidth="1"/>
    <col min="7183" max="7187" width="6.3984375" style="1626" customWidth="1"/>
    <col min="7188" max="7188" width="9.19921875" style="1626" customWidth="1"/>
    <col min="7189" max="7424" width="9" style="1626"/>
    <col min="7425" max="7425" width="5.19921875" style="1626" customWidth="1"/>
    <col min="7426" max="7426" width="7.09765625" style="1626" customWidth="1"/>
    <col min="7427" max="7431" width="6.3984375" style="1626" customWidth="1"/>
    <col min="7432" max="7432" width="7.19921875" style="1626" customWidth="1"/>
    <col min="7433" max="7437" width="6.3984375" style="1626" customWidth="1"/>
    <col min="7438" max="7438" width="8.3984375" style="1626" customWidth="1"/>
    <col min="7439" max="7443" width="6.3984375" style="1626" customWidth="1"/>
    <col min="7444" max="7444" width="9.19921875" style="1626" customWidth="1"/>
    <col min="7445" max="7680" width="9" style="1626"/>
    <col min="7681" max="7681" width="5.19921875" style="1626" customWidth="1"/>
    <col min="7682" max="7682" width="7.09765625" style="1626" customWidth="1"/>
    <col min="7683" max="7687" width="6.3984375" style="1626" customWidth="1"/>
    <col min="7688" max="7688" width="7.19921875" style="1626" customWidth="1"/>
    <col min="7689" max="7693" width="6.3984375" style="1626" customWidth="1"/>
    <col min="7694" max="7694" width="8.3984375" style="1626" customWidth="1"/>
    <col min="7695" max="7699" width="6.3984375" style="1626" customWidth="1"/>
    <col min="7700" max="7700" width="9.19921875" style="1626" customWidth="1"/>
    <col min="7701" max="7936" width="9" style="1626"/>
    <col min="7937" max="7937" width="5.19921875" style="1626" customWidth="1"/>
    <col min="7938" max="7938" width="7.09765625" style="1626" customWidth="1"/>
    <col min="7939" max="7943" width="6.3984375" style="1626" customWidth="1"/>
    <col min="7944" max="7944" width="7.19921875" style="1626" customWidth="1"/>
    <col min="7945" max="7949" width="6.3984375" style="1626" customWidth="1"/>
    <col min="7950" max="7950" width="8.3984375" style="1626" customWidth="1"/>
    <col min="7951" max="7955" width="6.3984375" style="1626" customWidth="1"/>
    <col min="7956" max="7956" width="9.19921875" style="1626" customWidth="1"/>
    <col min="7957" max="8192" width="9" style="1626"/>
    <col min="8193" max="8193" width="5.19921875" style="1626" customWidth="1"/>
    <col min="8194" max="8194" width="7.09765625" style="1626" customWidth="1"/>
    <col min="8195" max="8199" width="6.3984375" style="1626" customWidth="1"/>
    <col min="8200" max="8200" width="7.19921875" style="1626" customWidth="1"/>
    <col min="8201" max="8205" width="6.3984375" style="1626" customWidth="1"/>
    <col min="8206" max="8206" width="8.3984375" style="1626" customWidth="1"/>
    <col min="8207" max="8211" width="6.3984375" style="1626" customWidth="1"/>
    <col min="8212" max="8212" width="9.19921875" style="1626" customWidth="1"/>
    <col min="8213" max="8448" width="9" style="1626"/>
    <col min="8449" max="8449" width="5.19921875" style="1626" customWidth="1"/>
    <col min="8450" max="8450" width="7.09765625" style="1626" customWidth="1"/>
    <col min="8451" max="8455" width="6.3984375" style="1626" customWidth="1"/>
    <col min="8456" max="8456" width="7.19921875" style="1626" customWidth="1"/>
    <col min="8457" max="8461" width="6.3984375" style="1626" customWidth="1"/>
    <col min="8462" max="8462" width="8.3984375" style="1626" customWidth="1"/>
    <col min="8463" max="8467" width="6.3984375" style="1626" customWidth="1"/>
    <col min="8468" max="8468" width="9.19921875" style="1626" customWidth="1"/>
    <col min="8469" max="8704" width="9" style="1626"/>
    <col min="8705" max="8705" width="5.19921875" style="1626" customWidth="1"/>
    <col min="8706" max="8706" width="7.09765625" style="1626" customWidth="1"/>
    <col min="8707" max="8711" width="6.3984375" style="1626" customWidth="1"/>
    <col min="8712" max="8712" width="7.19921875" style="1626" customWidth="1"/>
    <col min="8713" max="8717" width="6.3984375" style="1626" customWidth="1"/>
    <col min="8718" max="8718" width="8.3984375" style="1626" customWidth="1"/>
    <col min="8719" max="8723" width="6.3984375" style="1626" customWidth="1"/>
    <col min="8724" max="8724" width="9.19921875" style="1626" customWidth="1"/>
    <col min="8725" max="8960" width="9" style="1626"/>
    <col min="8961" max="8961" width="5.19921875" style="1626" customWidth="1"/>
    <col min="8962" max="8962" width="7.09765625" style="1626" customWidth="1"/>
    <col min="8963" max="8967" width="6.3984375" style="1626" customWidth="1"/>
    <col min="8968" max="8968" width="7.19921875" style="1626" customWidth="1"/>
    <col min="8969" max="8973" width="6.3984375" style="1626" customWidth="1"/>
    <col min="8974" max="8974" width="8.3984375" style="1626" customWidth="1"/>
    <col min="8975" max="8979" width="6.3984375" style="1626" customWidth="1"/>
    <col min="8980" max="8980" width="9.19921875" style="1626" customWidth="1"/>
    <col min="8981" max="9216" width="9" style="1626"/>
    <col min="9217" max="9217" width="5.19921875" style="1626" customWidth="1"/>
    <col min="9218" max="9218" width="7.09765625" style="1626" customWidth="1"/>
    <col min="9219" max="9223" width="6.3984375" style="1626" customWidth="1"/>
    <col min="9224" max="9224" width="7.19921875" style="1626" customWidth="1"/>
    <col min="9225" max="9229" width="6.3984375" style="1626" customWidth="1"/>
    <col min="9230" max="9230" width="8.3984375" style="1626" customWidth="1"/>
    <col min="9231" max="9235" width="6.3984375" style="1626" customWidth="1"/>
    <col min="9236" max="9236" width="9.19921875" style="1626" customWidth="1"/>
    <col min="9237" max="9472" width="9" style="1626"/>
    <col min="9473" max="9473" width="5.19921875" style="1626" customWidth="1"/>
    <col min="9474" max="9474" width="7.09765625" style="1626" customWidth="1"/>
    <col min="9475" max="9479" width="6.3984375" style="1626" customWidth="1"/>
    <col min="9480" max="9480" width="7.19921875" style="1626" customWidth="1"/>
    <col min="9481" max="9485" width="6.3984375" style="1626" customWidth="1"/>
    <col min="9486" max="9486" width="8.3984375" style="1626" customWidth="1"/>
    <col min="9487" max="9491" width="6.3984375" style="1626" customWidth="1"/>
    <col min="9492" max="9492" width="9.19921875" style="1626" customWidth="1"/>
    <col min="9493" max="9728" width="9" style="1626"/>
    <col min="9729" max="9729" width="5.19921875" style="1626" customWidth="1"/>
    <col min="9730" max="9730" width="7.09765625" style="1626" customWidth="1"/>
    <col min="9731" max="9735" width="6.3984375" style="1626" customWidth="1"/>
    <col min="9736" max="9736" width="7.19921875" style="1626" customWidth="1"/>
    <col min="9737" max="9741" width="6.3984375" style="1626" customWidth="1"/>
    <col min="9742" max="9742" width="8.3984375" style="1626" customWidth="1"/>
    <col min="9743" max="9747" width="6.3984375" style="1626" customWidth="1"/>
    <col min="9748" max="9748" width="9.19921875" style="1626" customWidth="1"/>
    <col min="9749" max="9984" width="9" style="1626"/>
    <col min="9985" max="9985" width="5.19921875" style="1626" customWidth="1"/>
    <col min="9986" max="9986" width="7.09765625" style="1626" customWidth="1"/>
    <col min="9987" max="9991" width="6.3984375" style="1626" customWidth="1"/>
    <col min="9992" max="9992" width="7.19921875" style="1626" customWidth="1"/>
    <col min="9993" max="9997" width="6.3984375" style="1626" customWidth="1"/>
    <col min="9998" max="9998" width="8.3984375" style="1626" customWidth="1"/>
    <col min="9999" max="10003" width="6.3984375" style="1626" customWidth="1"/>
    <col min="10004" max="10004" width="9.19921875" style="1626" customWidth="1"/>
    <col min="10005" max="10240" width="9" style="1626"/>
    <col min="10241" max="10241" width="5.19921875" style="1626" customWidth="1"/>
    <col min="10242" max="10242" width="7.09765625" style="1626" customWidth="1"/>
    <col min="10243" max="10247" width="6.3984375" style="1626" customWidth="1"/>
    <col min="10248" max="10248" width="7.19921875" style="1626" customWidth="1"/>
    <col min="10249" max="10253" width="6.3984375" style="1626" customWidth="1"/>
    <col min="10254" max="10254" width="8.3984375" style="1626" customWidth="1"/>
    <col min="10255" max="10259" width="6.3984375" style="1626" customWidth="1"/>
    <col min="10260" max="10260" width="9.19921875" style="1626" customWidth="1"/>
    <col min="10261" max="10496" width="9" style="1626"/>
    <col min="10497" max="10497" width="5.19921875" style="1626" customWidth="1"/>
    <col min="10498" max="10498" width="7.09765625" style="1626" customWidth="1"/>
    <col min="10499" max="10503" width="6.3984375" style="1626" customWidth="1"/>
    <col min="10504" max="10504" width="7.19921875" style="1626" customWidth="1"/>
    <col min="10505" max="10509" width="6.3984375" style="1626" customWidth="1"/>
    <col min="10510" max="10510" width="8.3984375" style="1626" customWidth="1"/>
    <col min="10511" max="10515" width="6.3984375" style="1626" customWidth="1"/>
    <col min="10516" max="10516" width="9.19921875" style="1626" customWidth="1"/>
    <col min="10517" max="10752" width="9" style="1626"/>
    <col min="10753" max="10753" width="5.19921875" style="1626" customWidth="1"/>
    <col min="10754" max="10754" width="7.09765625" style="1626" customWidth="1"/>
    <col min="10755" max="10759" width="6.3984375" style="1626" customWidth="1"/>
    <col min="10760" max="10760" width="7.19921875" style="1626" customWidth="1"/>
    <col min="10761" max="10765" width="6.3984375" style="1626" customWidth="1"/>
    <col min="10766" max="10766" width="8.3984375" style="1626" customWidth="1"/>
    <col min="10767" max="10771" width="6.3984375" style="1626" customWidth="1"/>
    <col min="10772" max="10772" width="9.19921875" style="1626" customWidth="1"/>
    <col min="10773" max="11008" width="9" style="1626"/>
    <col min="11009" max="11009" width="5.19921875" style="1626" customWidth="1"/>
    <col min="11010" max="11010" width="7.09765625" style="1626" customWidth="1"/>
    <col min="11011" max="11015" width="6.3984375" style="1626" customWidth="1"/>
    <col min="11016" max="11016" width="7.19921875" style="1626" customWidth="1"/>
    <col min="11017" max="11021" width="6.3984375" style="1626" customWidth="1"/>
    <col min="11022" max="11022" width="8.3984375" style="1626" customWidth="1"/>
    <col min="11023" max="11027" width="6.3984375" style="1626" customWidth="1"/>
    <col min="11028" max="11028" width="9.19921875" style="1626" customWidth="1"/>
    <col min="11029" max="11264" width="9" style="1626"/>
    <col min="11265" max="11265" width="5.19921875" style="1626" customWidth="1"/>
    <col min="11266" max="11266" width="7.09765625" style="1626" customWidth="1"/>
    <col min="11267" max="11271" width="6.3984375" style="1626" customWidth="1"/>
    <col min="11272" max="11272" width="7.19921875" style="1626" customWidth="1"/>
    <col min="11273" max="11277" width="6.3984375" style="1626" customWidth="1"/>
    <col min="11278" max="11278" width="8.3984375" style="1626" customWidth="1"/>
    <col min="11279" max="11283" width="6.3984375" style="1626" customWidth="1"/>
    <col min="11284" max="11284" width="9.19921875" style="1626" customWidth="1"/>
    <col min="11285" max="11520" width="9" style="1626"/>
    <col min="11521" max="11521" width="5.19921875" style="1626" customWidth="1"/>
    <col min="11522" max="11522" width="7.09765625" style="1626" customWidth="1"/>
    <col min="11523" max="11527" width="6.3984375" style="1626" customWidth="1"/>
    <col min="11528" max="11528" width="7.19921875" style="1626" customWidth="1"/>
    <col min="11529" max="11533" width="6.3984375" style="1626" customWidth="1"/>
    <col min="11534" max="11534" width="8.3984375" style="1626" customWidth="1"/>
    <col min="11535" max="11539" width="6.3984375" style="1626" customWidth="1"/>
    <col min="11540" max="11540" width="9.19921875" style="1626" customWidth="1"/>
    <col min="11541" max="11776" width="9" style="1626"/>
    <col min="11777" max="11777" width="5.19921875" style="1626" customWidth="1"/>
    <col min="11778" max="11778" width="7.09765625" style="1626" customWidth="1"/>
    <col min="11779" max="11783" width="6.3984375" style="1626" customWidth="1"/>
    <col min="11784" max="11784" width="7.19921875" style="1626" customWidth="1"/>
    <col min="11785" max="11789" width="6.3984375" style="1626" customWidth="1"/>
    <col min="11790" max="11790" width="8.3984375" style="1626" customWidth="1"/>
    <col min="11791" max="11795" width="6.3984375" style="1626" customWidth="1"/>
    <col min="11796" max="11796" width="9.19921875" style="1626" customWidth="1"/>
    <col min="11797" max="12032" width="9" style="1626"/>
    <col min="12033" max="12033" width="5.19921875" style="1626" customWidth="1"/>
    <col min="12034" max="12034" width="7.09765625" style="1626" customWidth="1"/>
    <col min="12035" max="12039" width="6.3984375" style="1626" customWidth="1"/>
    <col min="12040" max="12040" width="7.19921875" style="1626" customWidth="1"/>
    <col min="12041" max="12045" width="6.3984375" style="1626" customWidth="1"/>
    <col min="12046" max="12046" width="8.3984375" style="1626" customWidth="1"/>
    <col min="12047" max="12051" width="6.3984375" style="1626" customWidth="1"/>
    <col min="12052" max="12052" width="9.19921875" style="1626" customWidth="1"/>
    <col min="12053" max="12288" width="9" style="1626"/>
    <col min="12289" max="12289" width="5.19921875" style="1626" customWidth="1"/>
    <col min="12290" max="12290" width="7.09765625" style="1626" customWidth="1"/>
    <col min="12291" max="12295" width="6.3984375" style="1626" customWidth="1"/>
    <col min="12296" max="12296" width="7.19921875" style="1626" customWidth="1"/>
    <col min="12297" max="12301" width="6.3984375" style="1626" customWidth="1"/>
    <col min="12302" max="12302" width="8.3984375" style="1626" customWidth="1"/>
    <col min="12303" max="12307" width="6.3984375" style="1626" customWidth="1"/>
    <col min="12308" max="12308" width="9.19921875" style="1626" customWidth="1"/>
    <col min="12309" max="12544" width="9" style="1626"/>
    <col min="12545" max="12545" width="5.19921875" style="1626" customWidth="1"/>
    <col min="12546" max="12546" width="7.09765625" style="1626" customWidth="1"/>
    <col min="12547" max="12551" width="6.3984375" style="1626" customWidth="1"/>
    <col min="12552" max="12552" width="7.19921875" style="1626" customWidth="1"/>
    <col min="12553" max="12557" width="6.3984375" style="1626" customWidth="1"/>
    <col min="12558" max="12558" width="8.3984375" style="1626" customWidth="1"/>
    <col min="12559" max="12563" width="6.3984375" style="1626" customWidth="1"/>
    <col min="12564" max="12564" width="9.19921875" style="1626" customWidth="1"/>
    <col min="12565" max="12800" width="9" style="1626"/>
    <col min="12801" max="12801" width="5.19921875" style="1626" customWidth="1"/>
    <col min="12802" max="12802" width="7.09765625" style="1626" customWidth="1"/>
    <col min="12803" max="12807" width="6.3984375" style="1626" customWidth="1"/>
    <col min="12808" max="12808" width="7.19921875" style="1626" customWidth="1"/>
    <col min="12809" max="12813" width="6.3984375" style="1626" customWidth="1"/>
    <col min="12814" max="12814" width="8.3984375" style="1626" customWidth="1"/>
    <col min="12815" max="12819" width="6.3984375" style="1626" customWidth="1"/>
    <col min="12820" max="12820" width="9.19921875" style="1626" customWidth="1"/>
    <col min="12821" max="13056" width="9" style="1626"/>
    <col min="13057" max="13057" width="5.19921875" style="1626" customWidth="1"/>
    <col min="13058" max="13058" width="7.09765625" style="1626" customWidth="1"/>
    <col min="13059" max="13063" width="6.3984375" style="1626" customWidth="1"/>
    <col min="13064" max="13064" width="7.19921875" style="1626" customWidth="1"/>
    <col min="13065" max="13069" width="6.3984375" style="1626" customWidth="1"/>
    <col min="13070" max="13070" width="8.3984375" style="1626" customWidth="1"/>
    <col min="13071" max="13075" width="6.3984375" style="1626" customWidth="1"/>
    <col min="13076" max="13076" width="9.19921875" style="1626" customWidth="1"/>
    <col min="13077" max="13312" width="9" style="1626"/>
    <col min="13313" max="13313" width="5.19921875" style="1626" customWidth="1"/>
    <col min="13314" max="13314" width="7.09765625" style="1626" customWidth="1"/>
    <col min="13315" max="13319" width="6.3984375" style="1626" customWidth="1"/>
    <col min="13320" max="13320" width="7.19921875" style="1626" customWidth="1"/>
    <col min="13321" max="13325" width="6.3984375" style="1626" customWidth="1"/>
    <col min="13326" max="13326" width="8.3984375" style="1626" customWidth="1"/>
    <col min="13327" max="13331" width="6.3984375" style="1626" customWidth="1"/>
    <col min="13332" max="13332" width="9.19921875" style="1626" customWidth="1"/>
    <col min="13333" max="13568" width="9" style="1626"/>
    <col min="13569" max="13569" width="5.19921875" style="1626" customWidth="1"/>
    <col min="13570" max="13570" width="7.09765625" style="1626" customWidth="1"/>
    <col min="13571" max="13575" width="6.3984375" style="1626" customWidth="1"/>
    <col min="13576" max="13576" width="7.19921875" style="1626" customWidth="1"/>
    <col min="13577" max="13581" width="6.3984375" style="1626" customWidth="1"/>
    <col min="13582" max="13582" width="8.3984375" style="1626" customWidth="1"/>
    <col min="13583" max="13587" width="6.3984375" style="1626" customWidth="1"/>
    <col min="13588" max="13588" width="9.19921875" style="1626" customWidth="1"/>
    <col min="13589" max="13824" width="9" style="1626"/>
    <col min="13825" max="13825" width="5.19921875" style="1626" customWidth="1"/>
    <col min="13826" max="13826" width="7.09765625" style="1626" customWidth="1"/>
    <col min="13827" max="13831" width="6.3984375" style="1626" customWidth="1"/>
    <col min="13832" max="13832" width="7.19921875" style="1626" customWidth="1"/>
    <col min="13833" max="13837" width="6.3984375" style="1626" customWidth="1"/>
    <col min="13838" max="13838" width="8.3984375" style="1626" customWidth="1"/>
    <col min="13839" max="13843" width="6.3984375" style="1626" customWidth="1"/>
    <col min="13844" max="13844" width="9.19921875" style="1626" customWidth="1"/>
    <col min="13845" max="14080" width="9" style="1626"/>
    <col min="14081" max="14081" width="5.19921875" style="1626" customWidth="1"/>
    <col min="14082" max="14082" width="7.09765625" style="1626" customWidth="1"/>
    <col min="14083" max="14087" width="6.3984375" style="1626" customWidth="1"/>
    <col min="14088" max="14088" width="7.19921875" style="1626" customWidth="1"/>
    <col min="14089" max="14093" width="6.3984375" style="1626" customWidth="1"/>
    <col min="14094" max="14094" width="8.3984375" style="1626" customWidth="1"/>
    <col min="14095" max="14099" width="6.3984375" style="1626" customWidth="1"/>
    <col min="14100" max="14100" width="9.19921875" style="1626" customWidth="1"/>
    <col min="14101" max="14336" width="9" style="1626"/>
    <col min="14337" max="14337" width="5.19921875" style="1626" customWidth="1"/>
    <col min="14338" max="14338" width="7.09765625" style="1626" customWidth="1"/>
    <col min="14339" max="14343" width="6.3984375" style="1626" customWidth="1"/>
    <col min="14344" max="14344" width="7.19921875" style="1626" customWidth="1"/>
    <col min="14345" max="14349" width="6.3984375" style="1626" customWidth="1"/>
    <col min="14350" max="14350" width="8.3984375" style="1626" customWidth="1"/>
    <col min="14351" max="14355" width="6.3984375" style="1626" customWidth="1"/>
    <col min="14356" max="14356" width="9.19921875" style="1626" customWidth="1"/>
    <col min="14357" max="14592" width="9" style="1626"/>
    <col min="14593" max="14593" width="5.19921875" style="1626" customWidth="1"/>
    <col min="14594" max="14594" width="7.09765625" style="1626" customWidth="1"/>
    <col min="14595" max="14599" width="6.3984375" style="1626" customWidth="1"/>
    <col min="14600" max="14600" width="7.19921875" style="1626" customWidth="1"/>
    <col min="14601" max="14605" width="6.3984375" style="1626" customWidth="1"/>
    <col min="14606" max="14606" width="8.3984375" style="1626" customWidth="1"/>
    <col min="14607" max="14611" width="6.3984375" style="1626" customWidth="1"/>
    <col min="14612" max="14612" width="9.19921875" style="1626" customWidth="1"/>
    <col min="14613" max="14848" width="9" style="1626"/>
    <col min="14849" max="14849" width="5.19921875" style="1626" customWidth="1"/>
    <col min="14850" max="14850" width="7.09765625" style="1626" customWidth="1"/>
    <col min="14851" max="14855" width="6.3984375" style="1626" customWidth="1"/>
    <col min="14856" max="14856" width="7.19921875" style="1626" customWidth="1"/>
    <col min="14857" max="14861" width="6.3984375" style="1626" customWidth="1"/>
    <col min="14862" max="14862" width="8.3984375" style="1626" customWidth="1"/>
    <col min="14863" max="14867" width="6.3984375" style="1626" customWidth="1"/>
    <col min="14868" max="14868" width="9.19921875" style="1626" customWidth="1"/>
    <col min="14869" max="15104" width="9" style="1626"/>
    <col min="15105" max="15105" width="5.19921875" style="1626" customWidth="1"/>
    <col min="15106" max="15106" width="7.09765625" style="1626" customWidth="1"/>
    <col min="15107" max="15111" width="6.3984375" style="1626" customWidth="1"/>
    <col min="15112" max="15112" width="7.19921875" style="1626" customWidth="1"/>
    <col min="15113" max="15117" width="6.3984375" style="1626" customWidth="1"/>
    <col min="15118" max="15118" width="8.3984375" style="1626" customWidth="1"/>
    <col min="15119" max="15123" width="6.3984375" style="1626" customWidth="1"/>
    <col min="15124" max="15124" width="9.19921875" style="1626" customWidth="1"/>
    <col min="15125" max="15360" width="9" style="1626"/>
    <col min="15361" max="15361" width="5.19921875" style="1626" customWidth="1"/>
    <col min="15362" max="15362" width="7.09765625" style="1626" customWidth="1"/>
    <col min="15363" max="15367" width="6.3984375" style="1626" customWidth="1"/>
    <col min="15368" max="15368" width="7.19921875" style="1626" customWidth="1"/>
    <col min="15369" max="15373" width="6.3984375" style="1626" customWidth="1"/>
    <col min="15374" max="15374" width="8.3984375" style="1626" customWidth="1"/>
    <col min="15375" max="15379" width="6.3984375" style="1626" customWidth="1"/>
    <col min="15380" max="15380" width="9.19921875" style="1626" customWidth="1"/>
    <col min="15381" max="15616" width="9" style="1626"/>
    <col min="15617" max="15617" width="5.19921875" style="1626" customWidth="1"/>
    <col min="15618" max="15618" width="7.09765625" style="1626" customWidth="1"/>
    <col min="15619" max="15623" width="6.3984375" style="1626" customWidth="1"/>
    <col min="15624" max="15624" width="7.19921875" style="1626" customWidth="1"/>
    <col min="15625" max="15629" width="6.3984375" style="1626" customWidth="1"/>
    <col min="15630" max="15630" width="8.3984375" style="1626" customWidth="1"/>
    <col min="15631" max="15635" width="6.3984375" style="1626" customWidth="1"/>
    <col min="15636" max="15636" width="9.19921875" style="1626" customWidth="1"/>
    <col min="15637" max="15872" width="9" style="1626"/>
    <col min="15873" max="15873" width="5.19921875" style="1626" customWidth="1"/>
    <col min="15874" max="15874" width="7.09765625" style="1626" customWidth="1"/>
    <col min="15875" max="15879" width="6.3984375" style="1626" customWidth="1"/>
    <col min="15880" max="15880" width="7.19921875" style="1626" customWidth="1"/>
    <col min="15881" max="15885" width="6.3984375" style="1626" customWidth="1"/>
    <col min="15886" max="15886" width="8.3984375" style="1626" customWidth="1"/>
    <col min="15887" max="15891" width="6.3984375" style="1626" customWidth="1"/>
    <col min="15892" max="15892" width="9.19921875" style="1626" customWidth="1"/>
    <col min="15893" max="16128" width="9" style="1626"/>
    <col min="16129" max="16129" width="5.19921875" style="1626" customWidth="1"/>
    <col min="16130" max="16130" width="7.09765625" style="1626" customWidth="1"/>
    <col min="16131" max="16135" width="6.3984375" style="1626" customWidth="1"/>
    <col min="16136" max="16136" width="7.19921875" style="1626" customWidth="1"/>
    <col min="16137" max="16141" width="6.3984375" style="1626" customWidth="1"/>
    <col min="16142" max="16142" width="8.3984375" style="1626" customWidth="1"/>
    <col min="16143" max="16147" width="6.3984375" style="1626" customWidth="1"/>
    <col min="16148" max="16148" width="9.19921875" style="1626" customWidth="1"/>
    <col min="16149" max="16384" width="9" style="1626"/>
  </cols>
  <sheetData>
    <row r="1" spans="1:21" s="1623" customFormat="1" ht="20.100000000000001" customHeight="1">
      <c r="A1" s="3446" t="str">
        <f>"索引号："&amp;档案索引!D20</f>
        <v>索引号：2B-15</v>
      </c>
      <c r="B1" s="3446"/>
      <c r="C1" s="3446"/>
      <c r="D1" s="3446"/>
      <c r="E1" s="3446"/>
      <c r="F1" s="3446"/>
      <c r="G1" s="3446"/>
      <c r="H1" s="3446"/>
      <c r="I1" s="3446"/>
      <c r="J1" s="3446"/>
      <c r="K1" s="3446"/>
      <c r="L1" s="3446"/>
      <c r="M1" s="3446"/>
      <c r="N1" s="3446"/>
      <c r="O1" s="3446"/>
      <c r="P1" s="3446"/>
      <c r="Q1" s="3446"/>
      <c r="R1" s="3446"/>
      <c r="S1" s="3446"/>
      <c r="T1" s="3446"/>
    </row>
    <row r="2" spans="1:21" s="1624" customFormat="1" ht="25.5" customHeight="1">
      <c r="A2" s="3379" t="s">
        <v>5948</v>
      </c>
      <c r="B2" s="3379"/>
      <c r="C2" s="3379"/>
      <c r="D2" s="3379"/>
      <c r="E2" s="3379"/>
      <c r="F2" s="3379"/>
      <c r="G2" s="3379"/>
      <c r="H2" s="3379"/>
      <c r="I2" s="3379"/>
      <c r="J2" s="3379"/>
      <c r="K2" s="3379"/>
      <c r="L2" s="3379"/>
      <c r="M2" s="3379"/>
      <c r="N2" s="3379"/>
      <c r="O2" s="3379"/>
      <c r="P2" s="3379"/>
      <c r="Q2" s="3379"/>
      <c r="R2" s="3379"/>
      <c r="S2" s="3379"/>
      <c r="T2" s="3386"/>
    </row>
    <row r="3" spans="1:21" s="1616" customFormat="1" ht="14.25" customHeight="1">
      <c r="A3" s="3385" t="s">
        <v>5673</v>
      </c>
      <c r="B3" s="3385" t="s">
        <v>5789</v>
      </c>
      <c r="C3" s="3385" t="s">
        <v>5867</v>
      </c>
      <c r="D3" s="3385"/>
      <c r="E3" s="3385"/>
      <c r="F3" s="3385"/>
      <c r="G3" s="3385"/>
      <c r="H3" s="3385"/>
      <c r="I3" s="3385" t="s">
        <v>5868</v>
      </c>
      <c r="J3" s="3385"/>
      <c r="K3" s="3385"/>
      <c r="L3" s="3385"/>
      <c r="M3" s="3385"/>
      <c r="N3" s="3385"/>
      <c r="O3" s="3385" t="s">
        <v>5869</v>
      </c>
      <c r="P3" s="3385"/>
      <c r="Q3" s="3385"/>
      <c r="R3" s="3385"/>
      <c r="S3" s="3385"/>
      <c r="T3" s="3385"/>
    </row>
    <row r="4" spans="1:21" s="1616" customFormat="1" ht="14.25" customHeight="1">
      <c r="A4" s="3385"/>
      <c r="B4" s="3385"/>
      <c r="C4" s="1899" t="s">
        <v>5854</v>
      </c>
      <c r="D4" s="1899" t="s">
        <v>5855</v>
      </c>
      <c r="E4" s="1899" t="s">
        <v>5856</v>
      </c>
      <c r="F4" s="1899" t="s">
        <v>5857</v>
      </c>
      <c r="G4" s="1899" t="s">
        <v>5858</v>
      </c>
      <c r="H4" s="1899" t="s">
        <v>1281</v>
      </c>
      <c r="I4" s="1899" t="s">
        <v>5854</v>
      </c>
      <c r="J4" s="1899" t="s">
        <v>5855</v>
      </c>
      <c r="K4" s="1899" t="s">
        <v>5856</v>
      </c>
      <c r="L4" s="1899" t="s">
        <v>5857</v>
      </c>
      <c r="M4" s="1899" t="s">
        <v>5858</v>
      </c>
      <c r="N4" s="1899" t="s">
        <v>1281</v>
      </c>
      <c r="O4" s="1899" t="s">
        <v>5855</v>
      </c>
      <c r="P4" s="1899" t="s">
        <v>5856</v>
      </c>
      <c r="Q4" s="1899" t="s">
        <v>5857</v>
      </c>
      <c r="R4" s="1899" t="s">
        <v>5858</v>
      </c>
      <c r="S4" s="1899" t="s">
        <v>1353</v>
      </c>
      <c r="T4" s="1899" t="s">
        <v>1281</v>
      </c>
    </row>
    <row r="5" spans="1:21" s="1616" customFormat="1" ht="42" customHeight="1">
      <c r="A5" s="3385"/>
      <c r="B5" s="1900">
        <v>1</v>
      </c>
      <c r="C5" s="1900">
        <v>2</v>
      </c>
      <c r="D5" s="1900">
        <v>3</v>
      </c>
      <c r="E5" s="1900">
        <v>4</v>
      </c>
      <c r="F5" s="1900">
        <v>5</v>
      </c>
      <c r="G5" s="1900">
        <v>6</v>
      </c>
      <c r="H5" s="1900" t="s">
        <v>5870</v>
      </c>
      <c r="I5" s="1900">
        <v>8</v>
      </c>
      <c r="J5" s="1900">
        <v>9</v>
      </c>
      <c r="K5" s="1900">
        <v>10</v>
      </c>
      <c r="L5" s="1900">
        <v>11</v>
      </c>
      <c r="M5" s="1900">
        <v>12</v>
      </c>
      <c r="N5" s="1900" t="s">
        <v>5871</v>
      </c>
      <c r="O5" s="1900" t="s">
        <v>5872</v>
      </c>
      <c r="P5" s="1900" t="s">
        <v>5873</v>
      </c>
      <c r="Q5" s="1900" t="s">
        <v>5874</v>
      </c>
      <c r="R5" s="1900" t="s">
        <v>5875</v>
      </c>
      <c r="S5" s="1900">
        <v>18</v>
      </c>
      <c r="T5" s="1900" t="s">
        <v>5862</v>
      </c>
    </row>
    <row r="6" spans="1:21" s="1616" customFormat="1" ht="14.25" customHeight="1">
      <c r="A6" s="1899">
        <v>1</v>
      </c>
      <c r="B6" s="1903">
        <f>境外所得纳税调整后所得审核表!B6</f>
        <v>0</v>
      </c>
      <c r="C6" s="2078"/>
      <c r="D6" s="2078"/>
      <c r="E6" s="2078"/>
      <c r="F6" s="2078"/>
      <c r="G6" s="2078"/>
      <c r="H6" s="2077">
        <f>SUM(C6:G6)</f>
        <v>0</v>
      </c>
      <c r="I6" s="2078"/>
      <c r="J6" s="2078"/>
      <c r="K6" s="2078"/>
      <c r="L6" s="2078"/>
      <c r="M6" s="2078"/>
      <c r="N6" s="2077">
        <f>SUM(I6:M6)</f>
        <v>0</v>
      </c>
      <c r="O6" s="2077">
        <f>D6-J6</f>
        <v>0</v>
      </c>
      <c r="P6" s="2077">
        <f t="shared" ref="P6:R6" si="0">E6-K6</f>
        <v>0</v>
      </c>
      <c r="Q6" s="2077">
        <f t="shared" si="0"/>
        <v>0</v>
      </c>
      <c r="R6" s="2077">
        <f t="shared" si="0"/>
        <v>0</v>
      </c>
      <c r="S6" s="2077">
        <f>境外所得税收抵免审核表!K6-境外所得税收抵免审核表!M6</f>
        <v>0</v>
      </c>
      <c r="T6" s="2077">
        <f>SUM(O6:S6)</f>
        <v>0</v>
      </c>
    </row>
    <row r="7" spans="1:21" s="1616" customFormat="1" ht="14.25" customHeight="1">
      <c r="A7" s="1899">
        <v>2</v>
      </c>
      <c r="B7" s="1903">
        <f>境外所得纳税调整后所得审核表!B7</f>
        <v>0</v>
      </c>
      <c r="C7" s="2078"/>
      <c r="D7" s="2078"/>
      <c r="E7" s="2078"/>
      <c r="F7" s="2078"/>
      <c r="G7" s="2078"/>
      <c r="H7" s="2077">
        <f t="shared" ref="H7:H14" si="1">SUM(C7:G7)</f>
        <v>0</v>
      </c>
      <c r="I7" s="2078"/>
      <c r="J7" s="2078"/>
      <c r="K7" s="2078"/>
      <c r="L7" s="2078"/>
      <c r="M7" s="2078"/>
      <c r="N7" s="2077">
        <f t="shared" ref="N7:N14" si="2">SUM(I7:M7)</f>
        <v>0</v>
      </c>
      <c r="O7" s="2077">
        <f t="shared" ref="O7:O14" si="3">D7-J7</f>
        <v>0</v>
      </c>
      <c r="P7" s="2077">
        <f t="shared" ref="P7:P14" si="4">E7-K7</f>
        <v>0</v>
      </c>
      <c r="Q7" s="2077">
        <f t="shared" ref="Q7:Q14" si="5">F7-L7</f>
        <v>0</v>
      </c>
      <c r="R7" s="2077">
        <f t="shared" ref="R7:R14" si="6">G7-M7</f>
        <v>0</v>
      </c>
      <c r="S7" s="2077">
        <f>境外所得税收抵免审核表!K7-境外所得税收抵免审核表!M7</f>
        <v>0</v>
      </c>
      <c r="T7" s="2077">
        <f t="shared" ref="T7:T14" si="7">SUM(O7:S7)</f>
        <v>0</v>
      </c>
    </row>
    <row r="8" spans="1:21" s="1616" customFormat="1" ht="14.25" customHeight="1">
      <c r="A8" s="1899">
        <v>3</v>
      </c>
      <c r="B8" s="1903">
        <f>境外所得纳税调整后所得审核表!B8</f>
        <v>0</v>
      </c>
      <c r="C8" s="2078"/>
      <c r="D8" s="2078"/>
      <c r="E8" s="2078"/>
      <c r="F8" s="2078"/>
      <c r="G8" s="2078"/>
      <c r="H8" s="2077">
        <f t="shared" si="1"/>
        <v>0</v>
      </c>
      <c r="I8" s="2078"/>
      <c r="J8" s="2078"/>
      <c r="K8" s="2078"/>
      <c r="L8" s="2078"/>
      <c r="M8" s="2078"/>
      <c r="N8" s="2077">
        <f t="shared" si="2"/>
        <v>0</v>
      </c>
      <c r="O8" s="2077">
        <f t="shared" si="3"/>
        <v>0</v>
      </c>
      <c r="P8" s="2077">
        <f t="shared" si="4"/>
        <v>0</v>
      </c>
      <c r="Q8" s="2077">
        <f t="shared" si="5"/>
        <v>0</v>
      </c>
      <c r="R8" s="2077">
        <f t="shared" si="6"/>
        <v>0</v>
      </c>
      <c r="S8" s="2077">
        <f>境外所得税收抵免审核表!K8-境外所得税收抵免审核表!M8</f>
        <v>0</v>
      </c>
      <c r="T8" s="2077">
        <f t="shared" si="7"/>
        <v>0</v>
      </c>
    </row>
    <row r="9" spans="1:21" s="1616" customFormat="1" ht="14.25" customHeight="1">
      <c r="A9" s="1899">
        <v>4</v>
      </c>
      <c r="B9" s="1903">
        <f>境外所得纳税调整后所得审核表!B9</f>
        <v>0</v>
      </c>
      <c r="C9" s="2078"/>
      <c r="D9" s="2078"/>
      <c r="E9" s="2078"/>
      <c r="F9" s="2078"/>
      <c r="G9" s="2078"/>
      <c r="H9" s="2077">
        <f t="shared" si="1"/>
        <v>0</v>
      </c>
      <c r="I9" s="2078"/>
      <c r="J9" s="2078"/>
      <c r="K9" s="2078"/>
      <c r="L9" s="2078"/>
      <c r="M9" s="2078"/>
      <c r="N9" s="2077">
        <f t="shared" si="2"/>
        <v>0</v>
      </c>
      <c r="O9" s="2077">
        <f t="shared" si="3"/>
        <v>0</v>
      </c>
      <c r="P9" s="2077">
        <f t="shared" si="4"/>
        <v>0</v>
      </c>
      <c r="Q9" s="2077">
        <f t="shared" si="5"/>
        <v>0</v>
      </c>
      <c r="R9" s="2077">
        <f t="shared" si="6"/>
        <v>0</v>
      </c>
      <c r="S9" s="2077">
        <f>境外所得税收抵免审核表!K9-境外所得税收抵免审核表!M9</f>
        <v>0</v>
      </c>
      <c r="T9" s="2077">
        <f t="shared" si="7"/>
        <v>0</v>
      </c>
    </row>
    <row r="10" spans="1:21" s="1616" customFormat="1" ht="14.25" customHeight="1">
      <c r="A10" s="1899">
        <v>5</v>
      </c>
      <c r="B10" s="1903">
        <f>境外所得纳税调整后所得审核表!B10</f>
        <v>0</v>
      </c>
      <c r="C10" s="2078"/>
      <c r="D10" s="2078"/>
      <c r="E10" s="2078"/>
      <c r="F10" s="2078"/>
      <c r="G10" s="2078"/>
      <c r="H10" s="2077">
        <f t="shared" si="1"/>
        <v>0</v>
      </c>
      <c r="I10" s="2078"/>
      <c r="J10" s="2078"/>
      <c r="K10" s="2078"/>
      <c r="L10" s="2078"/>
      <c r="M10" s="2078"/>
      <c r="N10" s="2077">
        <f t="shared" si="2"/>
        <v>0</v>
      </c>
      <c r="O10" s="2077">
        <f t="shared" si="3"/>
        <v>0</v>
      </c>
      <c r="P10" s="2077">
        <f t="shared" si="4"/>
        <v>0</v>
      </c>
      <c r="Q10" s="2077">
        <f t="shared" si="5"/>
        <v>0</v>
      </c>
      <c r="R10" s="2077">
        <f t="shared" si="6"/>
        <v>0</v>
      </c>
      <c r="S10" s="2077">
        <f>境外所得税收抵免审核表!K10-境外所得税收抵免审核表!M10</f>
        <v>0</v>
      </c>
      <c r="T10" s="2077">
        <f t="shared" si="7"/>
        <v>0</v>
      </c>
    </row>
    <row r="11" spans="1:21" s="1616" customFormat="1" ht="14.25" customHeight="1">
      <c r="A11" s="1899">
        <v>6</v>
      </c>
      <c r="B11" s="1903">
        <f>境外所得纳税调整后所得审核表!B11</f>
        <v>0</v>
      </c>
      <c r="C11" s="2078"/>
      <c r="D11" s="2078"/>
      <c r="E11" s="2078"/>
      <c r="F11" s="2078"/>
      <c r="G11" s="2078"/>
      <c r="H11" s="2077">
        <f t="shared" si="1"/>
        <v>0</v>
      </c>
      <c r="I11" s="2078"/>
      <c r="J11" s="2078"/>
      <c r="K11" s="2078"/>
      <c r="L11" s="2078"/>
      <c r="M11" s="2078"/>
      <c r="N11" s="2077">
        <f t="shared" si="2"/>
        <v>0</v>
      </c>
      <c r="O11" s="2077">
        <f t="shared" si="3"/>
        <v>0</v>
      </c>
      <c r="P11" s="2077">
        <f t="shared" si="4"/>
        <v>0</v>
      </c>
      <c r="Q11" s="2077">
        <f t="shared" si="5"/>
        <v>0</v>
      </c>
      <c r="R11" s="2077">
        <f t="shared" si="6"/>
        <v>0</v>
      </c>
      <c r="S11" s="2077">
        <f>境外所得税收抵免审核表!K11-境外所得税收抵免审核表!M11</f>
        <v>0</v>
      </c>
      <c r="T11" s="2077">
        <f t="shared" si="7"/>
        <v>0</v>
      </c>
    </row>
    <row r="12" spans="1:21" s="1616" customFormat="1" ht="14.25" customHeight="1">
      <c r="A12" s="1899">
        <v>7</v>
      </c>
      <c r="B12" s="1903">
        <f>境外所得纳税调整后所得审核表!B12</f>
        <v>0</v>
      </c>
      <c r="C12" s="2078"/>
      <c r="D12" s="2078"/>
      <c r="E12" s="2078"/>
      <c r="F12" s="2078"/>
      <c r="G12" s="2078"/>
      <c r="H12" s="2077">
        <f t="shared" si="1"/>
        <v>0</v>
      </c>
      <c r="I12" s="2078"/>
      <c r="J12" s="2078"/>
      <c r="K12" s="2078"/>
      <c r="L12" s="2078"/>
      <c r="M12" s="2078"/>
      <c r="N12" s="2077">
        <f t="shared" si="2"/>
        <v>0</v>
      </c>
      <c r="O12" s="2077">
        <f t="shared" si="3"/>
        <v>0</v>
      </c>
      <c r="P12" s="2077">
        <f t="shared" si="4"/>
        <v>0</v>
      </c>
      <c r="Q12" s="2077">
        <f t="shared" si="5"/>
        <v>0</v>
      </c>
      <c r="R12" s="2077">
        <f t="shared" si="6"/>
        <v>0</v>
      </c>
      <c r="S12" s="2077">
        <f>境外所得税收抵免审核表!K12-境外所得税收抵免审核表!M12</f>
        <v>0</v>
      </c>
      <c r="T12" s="2077">
        <f t="shared" si="7"/>
        <v>0</v>
      </c>
    </row>
    <row r="13" spans="1:21" s="1616" customFormat="1" ht="14.25" customHeight="1">
      <c r="A13" s="1899">
        <v>8</v>
      </c>
      <c r="B13" s="1903">
        <f>境外所得纳税调整后所得审核表!B13</f>
        <v>0</v>
      </c>
      <c r="C13" s="2078"/>
      <c r="D13" s="2078"/>
      <c r="E13" s="2078"/>
      <c r="F13" s="2078"/>
      <c r="G13" s="2078"/>
      <c r="H13" s="2077">
        <f t="shared" si="1"/>
        <v>0</v>
      </c>
      <c r="I13" s="2078"/>
      <c r="J13" s="2078"/>
      <c r="K13" s="2078"/>
      <c r="L13" s="2078"/>
      <c r="M13" s="2078"/>
      <c r="N13" s="2077">
        <f t="shared" si="2"/>
        <v>0</v>
      </c>
      <c r="O13" s="2077">
        <f t="shared" si="3"/>
        <v>0</v>
      </c>
      <c r="P13" s="2077">
        <f t="shared" si="4"/>
        <v>0</v>
      </c>
      <c r="Q13" s="2077">
        <f t="shared" si="5"/>
        <v>0</v>
      </c>
      <c r="R13" s="2077">
        <f t="shared" si="6"/>
        <v>0</v>
      </c>
      <c r="S13" s="2077">
        <f>境外所得税收抵免审核表!K13-境外所得税收抵免审核表!M13</f>
        <v>0</v>
      </c>
      <c r="T13" s="2077">
        <f t="shared" si="7"/>
        <v>0</v>
      </c>
    </row>
    <row r="14" spans="1:21" s="1625" customFormat="1" ht="14.25" customHeight="1">
      <c r="A14" s="1899">
        <v>9</v>
      </c>
      <c r="B14" s="1903">
        <f>境外所得纳税调整后所得审核表!B14</f>
        <v>0</v>
      </c>
      <c r="C14" s="2078"/>
      <c r="D14" s="2078"/>
      <c r="E14" s="2078"/>
      <c r="F14" s="2078"/>
      <c r="G14" s="2078"/>
      <c r="H14" s="2077">
        <f t="shared" si="1"/>
        <v>0</v>
      </c>
      <c r="I14" s="2078"/>
      <c r="J14" s="2078"/>
      <c r="K14" s="2078"/>
      <c r="L14" s="2078"/>
      <c r="M14" s="2078"/>
      <c r="N14" s="2077">
        <f t="shared" si="2"/>
        <v>0</v>
      </c>
      <c r="O14" s="2077">
        <f t="shared" si="3"/>
        <v>0</v>
      </c>
      <c r="P14" s="2077">
        <f t="shared" si="4"/>
        <v>0</v>
      </c>
      <c r="Q14" s="2077">
        <f t="shared" si="5"/>
        <v>0</v>
      </c>
      <c r="R14" s="2077">
        <f t="shared" si="6"/>
        <v>0</v>
      </c>
      <c r="S14" s="2077">
        <f>境外所得税收抵免审核表!K14-境外所得税收抵免审核表!M14</f>
        <v>0</v>
      </c>
      <c r="T14" s="2077">
        <f t="shared" si="7"/>
        <v>0</v>
      </c>
    </row>
    <row r="15" spans="1:21" s="1625" customFormat="1" ht="14.25" customHeight="1">
      <c r="A15" s="1899">
        <v>10</v>
      </c>
      <c r="B15" s="1912" t="s">
        <v>5484</v>
      </c>
      <c r="C15" s="2077">
        <f>SUM(C6:C14)</f>
        <v>0</v>
      </c>
      <c r="D15" s="2077">
        <f t="shared" ref="D15:T15" si="8">SUM(D6:D14)</f>
        <v>0</v>
      </c>
      <c r="E15" s="2077">
        <f t="shared" si="8"/>
        <v>0</v>
      </c>
      <c r="F15" s="2077">
        <f t="shared" si="8"/>
        <v>0</v>
      </c>
      <c r="G15" s="2077">
        <f t="shared" si="8"/>
        <v>0</v>
      </c>
      <c r="H15" s="2077">
        <f t="shared" si="8"/>
        <v>0</v>
      </c>
      <c r="I15" s="2077">
        <f t="shared" si="8"/>
        <v>0</v>
      </c>
      <c r="J15" s="2077">
        <f t="shared" si="8"/>
        <v>0</v>
      </c>
      <c r="K15" s="2077">
        <f t="shared" si="8"/>
        <v>0</v>
      </c>
      <c r="L15" s="2077">
        <f t="shared" si="8"/>
        <v>0</v>
      </c>
      <c r="M15" s="2077">
        <f t="shared" si="8"/>
        <v>0</v>
      </c>
      <c r="N15" s="2077">
        <f t="shared" si="8"/>
        <v>0</v>
      </c>
      <c r="O15" s="2077">
        <f t="shared" si="8"/>
        <v>0</v>
      </c>
      <c r="P15" s="2077">
        <f t="shared" si="8"/>
        <v>0</v>
      </c>
      <c r="Q15" s="2077">
        <f t="shared" si="8"/>
        <v>0</v>
      </c>
      <c r="R15" s="2077">
        <f t="shared" si="8"/>
        <v>0</v>
      </c>
      <c r="S15" s="2077">
        <f t="shared" si="8"/>
        <v>0</v>
      </c>
      <c r="T15" s="2077">
        <f t="shared" si="8"/>
        <v>0</v>
      </c>
      <c r="U15" s="1772" t="s">
        <v>6483</v>
      </c>
    </row>
    <row r="16" spans="1:21" s="1625" customFormat="1" ht="280.5" customHeight="1">
      <c r="A16" s="1913"/>
      <c r="B16" s="1913" t="s">
        <v>4901</v>
      </c>
      <c r="C16" s="1899"/>
      <c r="D16" s="1899"/>
      <c r="E16" s="1899"/>
      <c r="F16" s="1913"/>
      <c r="G16" s="1913"/>
      <c r="H16" s="1913"/>
      <c r="I16" s="1913"/>
      <c r="J16" s="1913"/>
      <c r="K16" s="1913"/>
      <c r="L16" s="1913"/>
      <c r="M16" s="1913"/>
      <c r="N16" s="1904" t="s">
        <v>5876</v>
      </c>
      <c r="O16" s="1899"/>
      <c r="P16" s="1899"/>
      <c r="Q16" s="1899"/>
      <c r="R16" s="1913"/>
      <c r="S16" s="1904" t="s">
        <v>5877</v>
      </c>
      <c r="T16" s="1913"/>
    </row>
  </sheetData>
  <mergeCells count="7">
    <mergeCell ref="A1:T1"/>
    <mergeCell ref="A2:T2"/>
    <mergeCell ref="A3:A5"/>
    <mergeCell ref="B3:B4"/>
    <mergeCell ref="C3:H3"/>
    <mergeCell ref="I3:N3"/>
    <mergeCell ref="O3:T3"/>
  </mergeCells>
  <phoneticPr fontId="51" type="noConversion"/>
  <hyperlinks>
    <hyperlink ref="U15" location="A108030跨年度结转抵免境外所得税明细表!A1" display="A108030跨年度结转抵免境外所得税明细表!A1"/>
  </hyperlinks>
  <printOptions horizontalCentered="1"/>
  <pageMargins left="0.78740157480314998" right="0.35433070866141703" top="0.511811023622047" bottom="0.11811023622047198" header="0.511811023622047" footer="0.511811023622047"/>
  <pageSetup paperSize="9" scale="90" orientation="landscape" r:id="rId1"/>
  <headerFooter alignWithMargins="0"/>
</worksheet>
</file>

<file path=xl/worksheets/sheet6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81">
    <tabColor rgb="FFFFFF00"/>
  </sheetPr>
  <dimension ref="A1:G20"/>
  <sheetViews>
    <sheetView workbookViewId="0">
      <selection activeCell="C10" sqref="C10"/>
    </sheetView>
  </sheetViews>
  <sheetFormatPr defaultRowHeight="15.6"/>
  <cols>
    <col min="1" max="1" width="5.19921875" style="1656" customWidth="1"/>
    <col min="2" max="2" width="56.09765625" style="1656" customWidth="1"/>
    <col min="3" max="3" width="19.19921875" style="1656" customWidth="1"/>
    <col min="4" max="4" width="22.5" style="1656" customWidth="1"/>
    <col min="5" max="256" width="9" style="1656"/>
    <col min="257" max="257" width="5.19921875" style="1656" customWidth="1"/>
    <col min="258" max="258" width="56.09765625" style="1656" customWidth="1"/>
    <col min="259" max="259" width="19.19921875" style="1656" customWidth="1"/>
    <col min="260" max="260" width="22.5" style="1656" customWidth="1"/>
    <col min="261" max="512" width="9" style="1656"/>
    <col min="513" max="513" width="5.19921875" style="1656" customWidth="1"/>
    <col min="514" max="514" width="56.09765625" style="1656" customWidth="1"/>
    <col min="515" max="515" width="19.19921875" style="1656" customWidth="1"/>
    <col min="516" max="516" width="22.5" style="1656" customWidth="1"/>
    <col min="517" max="768" width="9" style="1656"/>
    <col min="769" max="769" width="5.19921875" style="1656" customWidth="1"/>
    <col min="770" max="770" width="56.09765625" style="1656" customWidth="1"/>
    <col min="771" max="771" width="19.19921875" style="1656" customWidth="1"/>
    <col min="772" max="772" width="22.5" style="1656" customWidth="1"/>
    <col min="773" max="1024" width="9" style="1656"/>
    <col min="1025" max="1025" width="5.19921875" style="1656" customWidth="1"/>
    <col min="1026" max="1026" width="56.09765625" style="1656" customWidth="1"/>
    <col min="1027" max="1027" width="19.19921875" style="1656" customWidth="1"/>
    <col min="1028" max="1028" width="22.5" style="1656" customWidth="1"/>
    <col min="1029" max="1280" width="9" style="1656"/>
    <col min="1281" max="1281" width="5.19921875" style="1656" customWidth="1"/>
    <col min="1282" max="1282" width="56.09765625" style="1656" customWidth="1"/>
    <col min="1283" max="1283" width="19.19921875" style="1656" customWidth="1"/>
    <col min="1284" max="1284" width="22.5" style="1656" customWidth="1"/>
    <col min="1285" max="1536" width="9" style="1656"/>
    <col min="1537" max="1537" width="5.19921875" style="1656" customWidth="1"/>
    <col min="1538" max="1538" width="56.09765625" style="1656" customWidth="1"/>
    <col min="1539" max="1539" width="19.19921875" style="1656" customWidth="1"/>
    <col min="1540" max="1540" width="22.5" style="1656" customWidth="1"/>
    <col min="1541" max="1792" width="9" style="1656"/>
    <col min="1793" max="1793" width="5.19921875" style="1656" customWidth="1"/>
    <col min="1794" max="1794" width="56.09765625" style="1656" customWidth="1"/>
    <col min="1795" max="1795" width="19.19921875" style="1656" customWidth="1"/>
    <col min="1796" max="1796" width="22.5" style="1656" customWidth="1"/>
    <col min="1797" max="2048" width="9" style="1656"/>
    <col min="2049" max="2049" width="5.19921875" style="1656" customWidth="1"/>
    <col min="2050" max="2050" width="56.09765625" style="1656" customWidth="1"/>
    <col min="2051" max="2051" width="19.19921875" style="1656" customWidth="1"/>
    <col min="2052" max="2052" width="22.5" style="1656" customWidth="1"/>
    <col min="2053" max="2304" width="9" style="1656"/>
    <col min="2305" max="2305" width="5.19921875" style="1656" customWidth="1"/>
    <col min="2306" max="2306" width="56.09765625" style="1656" customWidth="1"/>
    <col min="2307" max="2307" width="19.19921875" style="1656" customWidth="1"/>
    <col min="2308" max="2308" width="22.5" style="1656" customWidth="1"/>
    <col min="2309" max="2560" width="9" style="1656"/>
    <col min="2561" max="2561" width="5.19921875" style="1656" customWidth="1"/>
    <col min="2562" max="2562" width="56.09765625" style="1656" customWidth="1"/>
    <col min="2563" max="2563" width="19.19921875" style="1656" customWidth="1"/>
    <col min="2564" max="2564" width="22.5" style="1656" customWidth="1"/>
    <col min="2565" max="2816" width="9" style="1656"/>
    <col min="2817" max="2817" width="5.19921875" style="1656" customWidth="1"/>
    <col min="2818" max="2818" width="56.09765625" style="1656" customWidth="1"/>
    <col min="2819" max="2819" width="19.19921875" style="1656" customWidth="1"/>
    <col min="2820" max="2820" width="22.5" style="1656" customWidth="1"/>
    <col min="2821" max="3072" width="9" style="1656"/>
    <col min="3073" max="3073" width="5.19921875" style="1656" customWidth="1"/>
    <col min="3074" max="3074" width="56.09765625" style="1656" customWidth="1"/>
    <col min="3075" max="3075" width="19.19921875" style="1656" customWidth="1"/>
    <col min="3076" max="3076" width="22.5" style="1656" customWidth="1"/>
    <col min="3077" max="3328" width="9" style="1656"/>
    <col min="3329" max="3329" width="5.19921875" style="1656" customWidth="1"/>
    <col min="3330" max="3330" width="56.09765625" style="1656" customWidth="1"/>
    <col min="3331" max="3331" width="19.19921875" style="1656" customWidth="1"/>
    <col min="3332" max="3332" width="22.5" style="1656" customWidth="1"/>
    <col min="3333" max="3584" width="9" style="1656"/>
    <col min="3585" max="3585" width="5.19921875" style="1656" customWidth="1"/>
    <col min="3586" max="3586" width="56.09765625" style="1656" customWidth="1"/>
    <col min="3587" max="3587" width="19.19921875" style="1656" customWidth="1"/>
    <col min="3588" max="3588" width="22.5" style="1656" customWidth="1"/>
    <col min="3589" max="3840" width="9" style="1656"/>
    <col min="3841" max="3841" width="5.19921875" style="1656" customWidth="1"/>
    <col min="3842" max="3842" width="56.09765625" style="1656" customWidth="1"/>
    <col min="3843" max="3843" width="19.19921875" style="1656" customWidth="1"/>
    <col min="3844" max="3844" width="22.5" style="1656" customWidth="1"/>
    <col min="3845" max="4096" width="9" style="1656"/>
    <col min="4097" max="4097" width="5.19921875" style="1656" customWidth="1"/>
    <col min="4098" max="4098" width="56.09765625" style="1656" customWidth="1"/>
    <col min="4099" max="4099" width="19.19921875" style="1656" customWidth="1"/>
    <col min="4100" max="4100" width="22.5" style="1656" customWidth="1"/>
    <col min="4101" max="4352" width="9" style="1656"/>
    <col min="4353" max="4353" width="5.19921875" style="1656" customWidth="1"/>
    <col min="4354" max="4354" width="56.09765625" style="1656" customWidth="1"/>
    <col min="4355" max="4355" width="19.19921875" style="1656" customWidth="1"/>
    <col min="4356" max="4356" width="22.5" style="1656" customWidth="1"/>
    <col min="4357" max="4608" width="9" style="1656"/>
    <col min="4609" max="4609" width="5.19921875" style="1656" customWidth="1"/>
    <col min="4610" max="4610" width="56.09765625" style="1656" customWidth="1"/>
    <col min="4611" max="4611" width="19.19921875" style="1656" customWidth="1"/>
    <col min="4612" max="4612" width="22.5" style="1656" customWidth="1"/>
    <col min="4613" max="4864" width="9" style="1656"/>
    <col min="4865" max="4865" width="5.19921875" style="1656" customWidth="1"/>
    <col min="4866" max="4866" width="56.09765625" style="1656" customWidth="1"/>
    <col min="4867" max="4867" width="19.19921875" style="1656" customWidth="1"/>
    <col min="4868" max="4868" width="22.5" style="1656" customWidth="1"/>
    <col min="4869" max="5120" width="9" style="1656"/>
    <col min="5121" max="5121" width="5.19921875" style="1656" customWidth="1"/>
    <col min="5122" max="5122" width="56.09765625" style="1656" customWidth="1"/>
    <col min="5123" max="5123" width="19.19921875" style="1656" customWidth="1"/>
    <col min="5124" max="5124" width="22.5" style="1656" customWidth="1"/>
    <col min="5125" max="5376" width="9" style="1656"/>
    <col min="5377" max="5377" width="5.19921875" style="1656" customWidth="1"/>
    <col min="5378" max="5378" width="56.09765625" style="1656" customWidth="1"/>
    <col min="5379" max="5379" width="19.19921875" style="1656" customWidth="1"/>
    <col min="5380" max="5380" width="22.5" style="1656" customWidth="1"/>
    <col min="5381" max="5632" width="9" style="1656"/>
    <col min="5633" max="5633" width="5.19921875" style="1656" customWidth="1"/>
    <col min="5634" max="5634" width="56.09765625" style="1656" customWidth="1"/>
    <col min="5635" max="5635" width="19.19921875" style="1656" customWidth="1"/>
    <col min="5636" max="5636" width="22.5" style="1656" customWidth="1"/>
    <col min="5637" max="5888" width="9" style="1656"/>
    <col min="5889" max="5889" width="5.19921875" style="1656" customWidth="1"/>
    <col min="5890" max="5890" width="56.09765625" style="1656" customWidth="1"/>
    <col min="5891" max="5891" width="19.19921875" style="1656" customWidth="1"/>
    <col min="5892" max="5892" width="22.5" style="1656" customWidth="1"/>
    <col min="5893" max="6144" width="9" style="1656"/>
    <col min="6145" max="6145" width="5.19921875" style="1656" customWidth="1"/>
    <col min="6146" max="6146" width="56.09765625" style="1656" customWidth="1"/>
    <col min="6147" max="6147" width="19.19921875" style="1656" customWidth="1"/>
    <col min="6148" max="6148" width="22.5" style="1656" customWidth="1"/>
    <col min="6149" max="6400" width="9" style="1656"/>
    <col min="6401" max="6401" width="5.19921875" style="1656" customWidth="1"/>
    <col min="6402" max="6402" width="56.09765625" style="1656" customWidth="1"/>
    <col min="6403" max="6403" width="19.19921875" style="1656" customWidth="1"/>
    <col min="6404" max="6404" width="22.5" style="1656" customWidth="1"/>
    <col min="6405" max="6656" width="9" style="1656"/>
    <col min="6657" max="6657" width="5.19921875" style="1656" customWidth="1"/>
    <col min="6658" max="6658" width="56.09765625" style="1656" customWidth="1"/>
    <col min="6659" max="6659" width="19.19921875" style="1656" customWidth="1"/>
    <col min="6660" max="6660" width="22.5" style="1656" customWidth="1"/>
    <col min="6661" max="6912" width="9" style="1656"/>
    <col min="6913" max="6913" width="5.19921875" style="1656" customWidth="1"/>
    <col min="6914" max="6914" width="56.09765625" style="1656" customWidth="1"/>
    <col min="6915" max="6915" width="19.19921875" style="1656" customWidth="1"/>
    <col min="6916" max="6916" width="22.5" style="1656" customWidth="1"/>
    <col min="6917" max="7168" width="9" style="1656"/>
    <col min="7169" max="7169" width="5.19921875" style="1656" customWidth="1"/>
    <col min="7170" max="7170" width="56.09765625" style="1656" customWidth="1"/>
    <col min="7171" max="7171" width="19.19921875" style="1656" customWidth="1"/>
    <col min="7172" max="7172" width="22.5" style="1656" customWidth="1"/>
    <col min="7173" max="7424" width="9" style="1656"/>
    <col min="7425" max="7425" width="5.19921875" style="1656" customWidth="1"/>
    <col min="7426" max="7426" width="56.09765625" style="1656" customWidth="1"/>
    <col min="7427" max="7427" width="19.19921875" style="1656" customWidth="1"/>
    <col min="7428" max="7428" width="22.5" style="1656" customWidth="1"/>
    <col min="7429" max="7680" width="9" style="1656"/>
    <col min="7681" max="7681" width="5.19921875" style="1656" customWidth="1"/>
    <col min="7682" max="7682" width="56.09765625" style="1656" customWidth="1"/>
    <col min="7683" max="7683" width="19.19921875" style="1656" customWidth="1"/>
    <col min="7684" max="7684" width="22.5" style="1656" customWidth="1"/>
    <col min="7685" max="7936" width="9" style="1656"/>
    <col min="7937" max="7937" width="5.19921875" style="1656" customWidth="1"/>
    <col min="7938" max="7938" width="56.09765625" style="1656" customWidth="1"/>
    <col min="7939" max="7939" width="19.19921875" style="1656" customWidth="1"/>
    <col min="7940" max="7940" width="22.5" style="1656" customWidth="1"/>
    <col min="7941" max="8192" width="9" style="1656"/>
    <col min="8193" max="8193" width="5.19921875" style="1656" customWidth="1"/>
    <col min="8194" max="8194" width="56.09765625" style="1656" customWidth="1"/>
    <col min="8195" max="8195" width="19.19921875" style="1656" customWidth="1"/>
    <col min="8196" max="8196" width="22.5" style="1656" customWidth="1"/>
    <col min="8197" max="8448" width="9" style="1656"/>
    <col min="8449" max="8449" width="5.19921875" style="1656" customWidth="1"/>
    <col min="8450" max="8450" width="56.09765625" style="1656" customWidth="1"/>
    <col min="8451" max="8451" width="19.19921875" style="1656" customWidth="1"/>
    <col min="8452" max="8452" width="22.5" style="1656" customWidth="1"/>
    <col min="8453" max="8704" width="9" style="1656"/>
    <col min="8705" max="8705" width="5.19921875" style="1656" customWidth="1"/>
    <col min="8706" max="8706" width="56.09765625" style="1656" customWidth="1"/>
    <col min="8707" max="8707" width="19.19921875" style="1656" customWidth="1"/>
    <col min="8708" max="8708" width="22.5" style="1656" customWidth="1"/>
    <col min="8709" max="8960" width="9" style="1656"/>
    <col min="8961" max="8961" width="5.19921875" style="1656" customWidth="1"/>
    <col min="8962" max="8962" width="56.09765625" style="1656" customWidth="1"/>
    <col min="8963" max="8963" width="19.19921875" style="1656" customWidth="1"/>
    <col min="8964" max="8964" width="22.5" style="1656" customWidth="1"/>
    <col min="8965" max="9216" width="9" style="1656"/>
    <col min="9217" max="9217" width="5.19921875" style="1656" customWidth="1"/>
    <col min="9218" max="9218" width="56.09765625" style="1656" customWidth="1"/>
    <col min="9219" max="9219" width="19.19921875" style="1656" customWidth="1"/>
    <col min="9220" max="9220" width="22.5" style="1656" customWidth="1"/>
    <col min="9221" max="9472" width="9" style="1656"/>
    <col min="9473" max="9473" width="5.19921875" style="1656" customWidth="1"/>
    <col min="9474" max="9474" width="56.09765625" style="1656" customWidth="1"/>
    <col min="9475" max="9475" width="19.19921875" style="1656" customWidth="1"/>
    <col min="9476" max="9476" width="22.5" style="1656" customWidth="1"/>
    <col min="9477" max="9728" width="9" style="1656"/>
    <col min="9729" max="9729" width="5.19921875" style="1656" customWidth="1"/>
    <col min="9730" max="9730" width="56.09765625" style="1656" customWidth="1"/>
    <col min="9731" max="9731" width="19.19921875" style="1656" customWidth="1"/>
    <col min="9732" max="9732" width="22.5" style="1656" customWidth="1"/>
    <col min="9733" max="9984" width="9" style="1656"/>
    <col min="9985" max="9985" width="5.19921875" style="1656" customWidth="1"/>
    <col min="9986" max="9986" width="56.09765625" style="1656" customWidth="1"/>
    <col min="9987" max="9987" width="19.19921875" style="1656" customWidth="1"/>
    <col min="9988" max="9988" width="22.5" style="1656" customWidth="1"/>
    <col min="9989" max="10240" width="9" style="1656"/>
    <col min="10241" max="10241" width="5.19921875" style="1656" customWidth="1"/>
    <col min="10242" max="10242" width="56.09765625" style="1656" customWidth="1"/>
    <col min="10243" max="10243" width="19.19921875" style="1656" customWidth="1"/>
    <col min="10244" max="10244" width="22.5" style="1656" customWidth="1"/>
    <col min="10245" max="10496" width="9" style="1656"/>
    <col min="10497" max="10497" width="5.19921875" style="1656" customWidth="1"/>
    <col min="10498" max="10498" width="56.09765625" style="1656" customWidth="1"/>
    <col min="10499" max="10499" width="19.19921875" style="1656" customWidth="1"/>
    <col min="10500" max="10500" width="22.5" style="1656" customWidth="1"/>
    <col min="10501" max="10752" width="9" style="1656"/>
    <col min="10753" max="10753" width="5.19921875" style="1656" customWidth="1"/>
    <col min="10754" max="10754" width="56.09765625" style="1656" customWidth="1"/>
    <col min="10755" max="10755" width="19.19921875" style="1656" customWidth="1"/>
    <col min="10756" max="10756" width="22.5" style="1656" customWidth="1"/>
    <col min="10757" max="11008" width="9" style="1656"/>
    <col min="11009" max="11009" width="5.19921875" style="1656" customWidth="1"/>
    <col min="11010" max="11010" width="56.09765625" style="1656" customWidth="1"/>
    <col min="11011" max="11011" width="19.19921875" style="1656" customWidth="1"/>
    <col min="11012" max="11012" width="22.5" style="1656" customWidth="1"/>
    <col min="11013" max="11264" width="9" style="1656"/>
    <col min="11265" max="11265" width="5.19921875" style="1656" customWidth="1"/>
    <col min="11266" max="11266" width="56.09765625" style="1656" customWidth="1"/>
    <col min="11267" max="11267" width="19.19921875" style="1656" customWidth="1"/>
    <col min="11268" max="11268" width="22.5" style="1656" customWidth="1"/>
    <col min="11269" max="11520" width="9" style="1656"/>
    <col min="11521" max="11521" width="5.19921875" style="1656" customWidth="1"/>
    <col min="11522" max="11522" width="56.09765625" style="1656" customWidth="1"/>
    <col min="11523" max="11523" width="19.19921875" style="1656" customWidth="1"/>
    <col min="11524" max="11524" width="22.5" style="1656" customWidth="1"/>
    <col min="11525" max="11776" width="9" style="1656"/>
    <col min="11777" max="11777" width="5.19921875" style="1656" customWidth="1"/>
    <col min="11778" max="11778" width="56.09765625" style="1656" customWidth="1"/>
    <col min="11779" max="11779" width="19.19921875" style="1656" customWidth="1"/>
    <col min="11780" max="11780" width="22.5" style="1656" customWidth="1"/>
    <col min="11781" max="12032" width="9" style="1656"/>
    <col min="12033" max="12033" width="5.19921875" style="1656" customWidth="1"/>
    <col min="12034" max="12034" width="56.09765625" style="1656" customWidth="1"/>
    <col min="12035" max="12035" width="19.19921875" style="1656" customWidth="1"/>
    <col min="12036" max="12036" width="22.5" style="1656" customWidth="1"/>
    <col min="12037" max="12288" width="9" style="1656"/>
    <col min="12289" max="12289" width="5.19921875" style="1656" customWidth="1"/>
    <col min="12290" max="12290" width="56.09765625" style="1656" customWidth="1"/>
    <col min="12291" max="12291" width="19.19921875" style="1656" customWidth="1"/>
    <col min="12292" max="12292" width="22.5" style="1656" customWidth="1"/>
    <col min="12293" max="12544" width="9" style="1656"/>
    <col min="12545" max="12545" width="5.19921875" style="1656" customWidth="1"/>
    <col min="12546" max="12546" width="56.09765625" style="1656" customWidth="1"/>
    <col min="12547" max="12547" width="19.19921875" style="1656" customWidth="1"/>
    <col min="12548" max="12548" width="22.5" style="1656" customWidth="1"/>
    <col min="12549" max="12800" width="9" style="1656"/>
    <col min="12801" max="12801" width="5.19921875" style="1656" customWidth="1"/>
    <col min="12802" max="12802" width="56.09765625" style="1656" customWidth="1"/>
    <col min="12803" max="12803" width="19.19921875" style="1656" customWidth="1"/>
    <col min="12804" max="12804" width="22.5" style="1656" customWidth="1"/>
    <col min="12805" max="13056" width="9" style="1656"/>
    <col min="13057" max="13057" width="5.19921875" style="1656" customWidth="1"/>
    <col min="13058" max="13058" width="56.09765625" style="1656" customWidth="1"/>
    <col min="13059" max="13059" width="19.19921875" style="1656" customWidth="1"/>
    <col min="13060" max="13060" width="22.5" style="1656" customWidth="1"/>
    <col min="13061" max="13312" width="9" style="1656"/>
    <col min="13313" max="13313" width="5.19921875" style="1656" customWidth="1"/>
    <col min="13314" max="13314" width="56.09765625" style="1656" customWidth="1"/>
    <col min="13315" max="13315" width="19.19921875" style="1656" customWidth="1"/>
    <col min="13316" max="13316" width="22.5" style="1656" customWidth="1"/>
    <col min="13317" max="13568" width="9" style="1656"/>
    <col min="13569" max="13569" width="5.19921875" style="1656" customWidth="1"/>
    <col min="13570" max="13570" width="56.09765625" style="1656" customWidth="1"/>
    <col min="13571" max="13571" width="19.19921875" style="1656" customWidth="1"/>
    <col min="13572" max="13572" width="22.5" style="1656" customWidth="1"/>
    <col min="13573" max="13824" width="9" style="1656"/>
    <col min="13825" max="13825" width="5.19921875" style="1656" customWidth="1"/>
    <col min="13826" max="13826" width="56.09765625" style="1656" customWidth="1"/>
    <col min="13827" max="13827" width="19.19921875" style="1656" customWidth="1"/>
    <col min="13828" max="13828" width="22.5" style="1656" customWidth="1"/>
    <col min="13829" max="14080" width="9" style="1656"/>
    <col min="14081" max="14081" width="5.19921875" style="1656" customWidth="1"/>
    <col min="14082" max="14082" width="56.09765625" style="1656" customWidth="1"/>
    <col min="14083" max="14083" width="19.19921875" style="1656" customWidth="1"/>
    <col min="14084" max="14084" width="22.5" style="1656" customWidth="1"/>
    <col min="14085" max="14336" width="9" style="1656"/>
    <col min="14337" max="14337" width="5.19921875" style="1656" customWidth="1"/>
    <col min="14338" max="14338" width="56.09765625" style="1656" customWidth="1"/>
    <col min="14339" max="14339" width="19.19921875" style="1656" customWidth="1"/>
    <col min="14340" max="14340" width="22.5" style="1656" customWidth="1"/>
    <col min="14341" max="14592" width="9" style="1656"/>
    <col min="14593" max="14593" width="5.19921875" style="1656" customWidth="1"/>
    <col min="14594" max="14594" width="56.09765625" style="1656" customWidth="1"/>
    <col min="14595" max="14595" width="19.19921875" style="1656" customWidth="1"/>
    <col min="14596" max="14596" width="22.5" style="1656" customWidth="1"/>
    <col min="14597" max="14848" width="9" style="1656"/>
    <col min="14849" max="14849" width="5.19921875" style="1656" customWidth="1"/>
    <col min="14850" max="14850" width="56.09765625" style="1656" customWidth="1"/>
    <col min="14851" max="14851" width="19.19921875" style="1656" customWidth="1"/>
    <col min="14852" max="14852" width="22.5" style="1656" customWidth="1"/>
    <col min="14853" max="15104" width="9" style="1656"/>
    <col min="15105" max="15105" width="5.19921875" style="1656" customWidth="1"/>
    <col min="15106" max="15106" width="56.09765625" style="1656" customWidth="1"/>
    <col min="15107" max="15107" width="19.19921875" style="1656" customWidth="1"/>
    <col min="15108" max="15108" width="22.5" style="1656" customWidth="1"/>
    <col min="15109" max="15360" width="9" style="1656"/>
    <col min="15361" max="15361" width="5.19921875" style="1656" customWidth="1"/>
    <col min="15362" max="15362" width="56.09765625" style="1656" customWidth="1"/>
    <col min="15363" max="15363" width="19.19921875" style="1656" customWidth="1"/>
    <col min="15364" max="15364" width="22.5" style="1656" customWidth="1"/>
    <col min="15365" max="15616" width="9" style="1656"/>
    <col min="15617" max="15617" width="5.19921875" style="1656" customWidth="1"/>
    <col min="15618" max="15618" width="56.09765625" style="1656" customWidth="1"/>
    <col min="15619" max="15619" width="19.19921875" style="1656" customWidth="1"/>
    <col min="15620" max="15620" width="22.5" style="1656" customWidth="1"/>
    <col min="15621" max="15872" width="9" style="1656"/>
    <col min="15873" max="15873" width="5.19921875" style="1656" customWidth="1"/>
    <col min="15874" max="15874" width="56.09765625" style="1656" customWidth="1"/>
    <col min="15875" max="15875" width="19.19921875" style="1656" customWidth="1"/>
    <col min="15876" max="15876" width="22.5" style="1656" customWidth="1"/>
    <col min="15877" max="16128" width="9" style="1656"/>
    <col min="16129" max="16129" width="5.19921875" style="1656" customWidth="1"/>
    <col min="16130" max="16130" width="56.09765625" style="1656" customWidth="1"/>
    <col min="16131" max="16131" width="19.19921875" style="1656" customWidth="1"/>
    <col min="16132" max="16132" width="22.5" style="1656" customWidth="1"/>
    <col min="16133" max="16384" width="9" style="1656"/>
  </cols>
  <sheetData>
    <row r="1" spans="1:7" s="1621" customFormat="1" ht="20.100000000000001" customHeight="1">
      <c r="A1" s="3438"/>
      <c r="B1" s="3438"/>
      <c r="C1" s="3438"/>
      <c r="D1" s="2184" t="str">
        <f>"索引号："&amp;档案索引!A45</f>
        <v>索引号：2A-25</v>
      </c>
    </row>
    <row r="2" spans="1:7" s="1622" customFormat="1" ht="25.5" customHeight="1">
      <c r="A2" s="3379" t="s">
        <v>5944</v>
      </c>
      <c r="B2" s="3379"/>
      <c r="C2" s="3379"/>
      <c r="D2" s="1914"/>
    </row>
    <row r="3" spans="1:7" s="1627" customFormat="1" ht="14.25" customHeight="1">
      <c r="A3" s="1912" t="s">
        <v>1854</v>
      </c>
      <c r="B3" s="1912" t="s">
        <v>4975</v>
      </c>
      <c r="C3" s="1912" t="s">
        <v>5880</v>
      </c>
      <c r="D3" s="1912" t="s">
        <v>4901</v>
      </c>
      <c r="G3" s="1628"/>
    </row>
    <row r="4" spans="1:7" s="1627" customFormat="1" ht="14.25" customHeight="1">
      <c r="A4" s="1912">
        <v>1</v>
      </c>
      <c r="B4" s="1915" t="s">
        <v>5881</v>
      </c>
      <c r="C4" s="2077">
        <f>IF(A000000企业基础信息表!B5="否",0,'A100000中华人民共和国企业所得税年度纳税申报表（A类）'!D34)</f>
        <v>0</v>
      </c>
      <c r="D4" s="1915" t="s">
        <v>5882</v>
      </c>
    </row>
    <row r="5" spans="1:7" s="1627" customFormat="1" ht="14.25" customHeight="1">
      <c r="A5" s="1912">
        <v>2</v>
      </c>
      <c r="B5" s="1915" t="s">
        <v>5883</v>
      </c>
      <c r="C5" s="2077">
        <f>IF(A000000企业基础信息表!B5="否",0,'A100000中华人民共和国企业所得税年度纳税申报表（A类）'!D32)</f>
        <v>0</v>
      </c>
      <c r="D5" s="1915" t="s">
        <v>5884</v>
      </c>
    </row>
    <row r="6" spans="1:7" s="1627" customFormat="1" ht="14.25" customHeight="1">
      <c r="A6" s="1912">
        <v>3</v>
      </c>
      <c r="B6" s="1915" t="s">
        <v>5885</v>
      </c>
      <c r="C6" s="2077">
        <f>IF(A000000企业基础信息表!B5="否",0,'A100000中华人民共和国企业所得税年度纳税申报表（A类）'!D33)</f>
        <v>0</v>
      </c>
      <c r="D6" s="1915" t="s">
        <v>5886</v>
      </c>
    </row>
    <row r="7" spans="1:7" s="1627" customFormat="1" ht="14.25" customHeight="1">
      <c r="A7" s="1912">
        <v>4</v>
      </c>
      <c r="B7" s="1916" t="s">
        <v>5887</v>
      </c>
      <c r="C7" s="2077">
        <f>C4-C5+C6</f>
        <v>0</v>
      </c>
      <c r="D7" s="1915"/>
    </row>
    <row r="8" spans="1:7" s="1627" customFormat="1" ht="14.25" customHeight="1">
      <c r="A8" s="1912">
        <v>5</v>
      </c>
      <c r="B8" s="1916" t="s">
        <v>5888</v>
      </c>
      <c r="C8" s="2077">
        <f>SUM(C9:C12)</f>
        <v>0</v>
      </c>
      <c r="D8" s="1915" t="s">
        <v>5889</v>
      </c>
      <c r="E8" s="1627">
        <f>'A100000中华人民共和国企业所得税年度纳税申报表（A类）'!D35</f>
        <v>0</v>
      </c>
    </row>
    <row r="9" spans="1:7" s="1627" customFormat="1" ht="14.25" customHeight="1">
      <c r="A9" s="1912">
        <v>6</v>
      </c>
      <c r="B9" s="1916" t="s">
        <v>5890</v>
      </c>
      <c r="C9" s="2078"/>
      <c r="D9" s="1915"/>
    </row>
    <row r="10" spans="1:7" s="1627" customFormat="1" ht="14.25" customHeight="1">
      <c r="A10" s="1912">
        <v>7</v>
      </c>
      <c r="B10" s="1916" t="s">
        <v>5891</v>
      </c>
      <c r="C10" s="2078"/>
      <c r="D10" s="1915"/>
    </row>
    <row r="11" spans="1:7" s="1627" customFormat="1" ht="14.25" customHeight="1">
      <c r="A11" s="1912">
        <v>8</v>
      </c>
      <c r="B11" s="1916" t="s">
        <v>5892</v>
      </c>
      <c r="C11" s="2078"/>
      <c r="D11" s="1915"/>
    </row>
    <row r="12" spans="1:7" s="1627" customFormat="1" ht="14.25" customHeight="1">
      <c r="A12" s="1912">
        <v>9</v>
      </c>
      <c r="B12" s="1916" t="s">
        <v>5893</v>
      </c>
      <c r="C12" s="2078"/>
      <c r="D12" s="1915"/>
    </row>
    <row r="13" spans="1:7" s="1627" customFormat="1" ht="14.25" customHeight="1">
      <c r="A13" s="1912">
        <v>10</v>
      </c>
      <c r="B13" s="1916" t="s">
        <v>5894</v>
      </c>
      <c r="C13" s="2078"/>
      <c r="D13" s="1915"/>
    </row>
    <row r="14" spans="1:7" s="1627" customFormat="1" ht="14.25" customHeight="1">
      <c r="A14" s="1912">
        <v>11</v>
      </c>
      <c r="B14" s="1916" t="s">
        <v>5895</v>
      </c>
      <c r="C14" s="2077">
        <f>C7-C8</f>
        <v>0</v>
      </c>
      <c r="D14" s="1915"/>
    </row>
    <row r="15" spans="1:7" s="1627" customFormat="1" ht="14.25" customHeight="1">
      <c r="A15" s="1912">
        <v>12</v>
      </c>
      <c r="B15" s="1916" t="s">
        <v>5896</v>
      </c>
      <c r="C15" s="2077">
        <f>ROUND(C14*0.25,2)</f>
        <v>0</v>
      </c>
      <c r="D15" s="1915" t="s">
        <v>5897</v>
      </c>
      <c r="E15" s="1627">
        <f>C15+C19</f>
        <v>0</v>
      </c>
      <c r="F15" s="1627">
        <f>'A100000中华人民共和国企业所得税年度纳税申报表（A类）'!D37</f>
        <v>0</v>
      </c>
    </row>
    <row r="16" spans="1:7" s="1627" customFormat="1" ht="14.25" customHeight="1">
      <c r="A16" s="1912">
        <v>13</v>
      </c>
      <c r="B16" s="1916" t="s">
        <v>5898</v>
      </c>
      <c r="C16" s="2077">
        <f>ROUND(C14*0.25,2)</f>
        <v>0</v>
      </c>
      <c r="D16" s="1915" t="s">
        <v>5899</v>
      </c>
      <c r="E16" s="1627">
        <f>'A100000中华人民共和国企业所得税年度纳税申报表（A类）'!D38</f>
        <v>0</v>
      </c>
    </row>
    <row r="17" spans="1:5" s="1627" customFormat="1" ht="14.25" customHeight="1">
      <c r="A17" s="1912">
        <v>14</v>
      </c>
      <c r="B17" s="1904" t="s">
        <v>5900</v>
      </c>
      <c r="C17" s="2077">
        <f>ROUND(C14*0.5,2)</f>
        <v>0</v>
      </c>
      <c r="D17" s="1915"/>
    </row>
    <row r="18" spans="1:5" s="1627" customFormat="1" ht="28.5" customHeight="1">
      <c r="A18" s="1912">
        <v>15</v>
      </c>
      <c r="B18" s="1904" t="s">
        <v>5901</v>
      </c>
      <c r="C18" s="2078"/>
      <c r="D18" s="1989" t="s">
        <v>5902</v>
      </c>
    </row>
    <row r="19" spans="1:5" s="1627" customFormat="1" ht="14.25" customHeight="1">
      <c r="A19" s="1912">
        <v>16</v>
      </c>
      <c r="B19" s="1916" t="s">
        <v>5903</v>
      </c>
      <c r="C19" s="2077">
        <f>C5-C6</f>
        <v>0</v>
      </c>
      <c r="D19" s="1915"/>
    </row>
    <row r="20" spans="1:5" s="1627" customFormat="1" ht="14.25" customHeight="1">
      <c r="A20" s="1912">
        <v>17</v>
      </c>
      <c r="B20" s="1916" t="s">
        <v>5904</v>
      </c>
      <c r="C20" s="2077">
        <f>C15+C16+C18+C19</f>
        <v>0</v>
      </c>
      <c r="D20" s="1915"/>
      <c r="E20" s="1772" t="s">
        <v>6485</v>
      </c>
    </row>
  </sheetData>
  <mergeCells count="2">
    <mergeCell ref="A1:C1"/>
    <mergeCell ref="A2:C2"/>
  </mergeCells>
  <phoneticPr fontId="51" type="noConversion"/>
  <hyperlinks>
    <hyperlink ref="E20" location="A109000跨地区经营汇总纳税企业年度分摊企业所得税明细表!A1" display="A109000跨地区经营汇总纳税企业年度分摊企业所得税明细表!A1"/>
  </hyperlinks>
  <printOptions horizontalCentered="1"/>
  <pageMargins left="0.78740157480314998" right="0.35433070866141703" top="0.511811023622047" bottom="0.11811023622047198" header="0.511811023622047" footer="0.511811023622047"/>
  <pageSetup paperSize="9" orientation="landscape" r:id="rId1"/>
  <headerFooter alignWithMargins="0"/>
</worksheet>
</file>

<file path=xl/worksheets/sheet6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82">
    <tabColor rgb="FFFFFF00"/>
  </sheetPr>
  <dimension ref="A1:J556"/>
  <sheetViews>
    <sheetView workbookViewId="0">
      <selection activeCell="C9" sqref="C9"/>
    </sheetView>
  </sheetViews>
  <sheetFormatPr defaultColWidth="8" defaultRowHeight="0" customHeight="1" zeroHeight="1"/>
  <cols>
    <col min="1" max="1" width="5.19921875" style="1554" customWidth="1"/>
    <col min="2" max="2" width="20.3984375" style="1630" customWidth="1"/>
    <col min="3" max="3" width="17.59765625" style="1630" customWidth="1"/>
    <col min="4" max="6" width="12.3984375" style="1630" customWidth="1"/>
    <col min="7" max="7" width="8.69921875" style="1630" customWidth="1"/>
    <col min="8" max="8" width="12.3984375" style="1630" customWidth="1"/>
    <col min="9" max="9" width="14.09765625" style="1630" customWidth="1"/>
    <col min="10" max="256" width="8" style="1630"/>
    <col min="257" max="257" width="5.19921875" style="1630" customWidth="1"/>
    <col min="258" max="258" width="20.3984375" style="1630" customWidth="1"/>
    <col min="259" max="259" width="17.59765625" style="1630" customWidth="1"/>
    <col min="260" max="260" width="12.09765625" style="1630" customWidth="1"/>
    <col min="261" max="261" width="11.8984375" style="1630" customWidth="1"/>
    <col min="262" max="262" width="12.19921875" style="1630" customWidth="1"/>
    <col min="263" max="263" width="8.69921875" style="1630" customWidth="1"/>
    <col min="264" max="264" width="17.5" style="1630" customWidth="1"/>
    <col min="265" max="265" width="14.09765625" style="1630" customWidth="1"/>
    <col min="266" max="512" width="8" style="1630"/>
    <col min="513" max="513" width="5.19921875" style="1630" customWidth="1"/>
    <col min="514" max="514" width="20.3984375" style="1630" customWidth="1"/>
    <col min="515" max="515" width="17.59765625" style="1630" customWidth="1"/>
    <col min="516" max="516" width="12.09765625" style="1630" customWidth="1"/>
    <col min="517" max="517" width="11.8984375" style="1630" customWidth="1"/>
    <col min="518" max="518" width="12.19921875" style="1630" customWidth="1"/>
    <col min="519" max="519" width="8.69921875" style="1630" customWidth="1"/>
    <col min="520" max="520" width="17.5" style="1630" customWidth="1"/>
    <col min="521" max="521" width="14.09765625" style="1630" customWidth="1"/>
    <col min="522" max="768" width="8" style="1630"/>
    <col min="769" max="769" width="5.19921875" style="1630" customWidth="1"/>
    <col min="770" max="770" width="20.3984375" style="1630" customWidth="1"/>
    <col min="771" max="771" width="17.59765625" style="1630" customWidth="1"/>
    <col min="772" max="772" width="12.09765625" style="1630" customWidth="1"/>
    <col min="773" max="773" width="11.8984375" style="1630" customWidth="1"/>
    <col min="774" max="774" width="12.19921875" style="1630" customWidth="1"/>
    <col min="775" max="775" width="8.69921875" style="1630" customWidth="1"/>
    <col min="776" max="776" width="17.5" style="1630" customWidth="1"/>
    <col min="777" max="777" width="14.09765625" style="1630" customWidth="1"/>
    <col min="778" max="1024" width="8" style="1630"/>
    <col min="1025" max="1025" width="5.19921875" style="1630" customWidth="1"/>
    <col min="1026" max="1026" width="20.3984375" style="1630" customWidth="1"/>
    <col min="1027" max="1027" width="17.59765625" style="1630" customWidth="1"/>
    <col min="1028" max="1028" width="12.09765625" style="1630" customWidth="1"/>
    <col min="1029" max="1029" width="11.8984375" style="1630" customWidth="1"/>
    <col min="1030" max="1030" width="12.19921875" style="1630" customWidth="1"/>
    <col min="1031" max="1031" width="8.69921875" style="1630" customWidth="1"/>
    <col min="1032" max="1032" width="17.5" style="1630" customWidth="1"/>
    <col min="1033" max="1033" width="14.09765625" style="1630" customWidth="1"/>
    <col min="1034" max="1280" width="8" style="1630"/>
    <col min="1281" max="1281" width="5.19921875" style="1630" customWidth="1"/>
    <col min="1282" max="1282" width="20.3984375" style="1630" customWidth="1"/>
    <col min="1283" max="1283" width="17.59765625" style="1630" customWidth="1"/>
    <col min="1284" max="1284" width="12.09765625" style="1630" customWidth="1"/>
    <col min="1285" max="1285" width="11.8984375" style="1630" customWidth="1"/>
    <col min="1286" max="1286" width="12.19921875" style="1630" customWidth="1"/>
    <col min="1287" max="1287" width="8.69921875" style="1630" customWidth="1"/>
    <col min="1288" max="1288" width="17.5" style="1630" customWidth="1"/>
    <col min="1289" max="1289" width="14.09765625" style="1630" customWidth="1"/>
    <col min="1290" max="1536" width="8" style="1630"/>
    <col min="1537" max="1537" width="5.19921875" style="1630" customWidth="1"/>
    <col min="1538" max="1538" width="20.3984375" style="1630" customWidth="1"/>
    <col min="1539" max="1539" width="17.59765625" style="1630" customWidth="1"/>
    <col min="1540" max="1540" width="12.09765625" style="1630" customWidth="1"/>
    <col min="1541" max="1541" width="11.8984375" style="1630" customWidth="1"/>
    <col min="1542" max="1542" width="12.19921875" style="1630" customWidth="1"/>
    <col min="1543" max="1543" width="8.69921875" style="1630" customWidth="1"/>
    <col min="1544" max="1544" width="17.5" style="1630" customWidth="1"/>
    <col min="1545" max="1545" width="14.09765625" style="1630" customWidth="1"/>
    <col min="1546" max="1792" width="8" style="1630"/>
    <col min="1793" max="1793" width="5.19921875" style="1630" customWidth="1"/>
    <col min="1794" max="1794" width="20.3984375" style="1630" customWidth="1"/>
    <col min="1795" max="1795" width="17.59765625" style="1630" customWidth="1"/>
    <col min="1796" max="1796" width="12.09765625" style="1630" customWidth="1"/>
    <col min="1797" max="1797" width="11.8984375" style="1630" customWidth="1"/>
    <col min="1798" max="1798" width="12.19921875" style="1630" customWidth="1"/>
    <col min="1799" max="1799" width="8.69921875" style="1630" customWidth="1"/>
    <col min="1800" max="1800" width="17.5" style="1630" customWidth="1"/>
    <col min="1801" max="1801" width="14.09765625" style="1630" customWidth="1"/>
    <col min="1802" max="2048" width="8" style="1630"/>
    <col min="2049" max="2049" width="5.19921875" style="1630" customWidth="1"/>
    <col min="2050" max="2050" width="20.3984375" style="1630" customWidth="1"/>
    <col min="2051" max="2051" width="17.59765625" style="1630" customWidth="1"/>
    <col min="2052" max="2052" width="12.09765625" style="1630" customWidth="1"/>
    <col min="2053" max="2053" width="11.8984375" style="1630" customWidth="1"/>
    <col min="2054" max="2054" width="12.19921875" style="1630" customWidth="1"/>
    <col min="2055" max="2055" width="8.69921875" style="1630" customWidth="1"/>
    <col min="2056" max="2056" width="17.5" style="1630" customWidth="1"/>
    <col min="2057" max="2057" width="14.09765625" style="1630" customWidth="1"/>
    <col min="2058" max="2304" width="8" style="1630"/>
    <col min="2305" max="2305" width="5.19921875" style="1630" customWidth="1"/>
    <col min="2306" max="2306" width="20.3984375" style="1630" customWidth="1"/>
    <col min="2307" max="2307" width="17.59765625" style="1630" customWidth="1"/>
    <col min="2308" max="2308" width="12.09765625" style="1630" customWidth="1"/>
    <col min="2309" max="2309" width="11.8984375" style="1630" customWidth="1"/>
    <col min="2310" max="2310" width="12.19921875" style="1630" customWidth="1"/>
    <col min="2311" max="2311" width="8.69921875" style="1630" customWidth="1"/>
    <col min="2312" max="2312" width="17.5" style="1630" customWidth="1"/>
    <col min="2313" max="2313" width="14.09765625" style="1630" customWidth="1"/>
    <col min="2314" max="2560" width="8" style="1630"/>
    <col min="2561" max="2561" width="5.19921875" style="1630" customWidth="1"/>
    <col min="2562" max="2562" width="20.3984375" style="1630" customWidth="1"/>
    <col min="2563" max="2563" width="17.59765625" style="1630" customWidth="1"/>
    <col min="2564" max="2564" width="12.09765625" style="1630" customWidth="1"/>
    <col min="2565" max="2565" width="11.8984375" style="1630" customWidth="1"/>
    <col min="2566" max="2566" width="12.19921875" style="1630" customWidth="1"/>
    <col min="2567" max="2567" width="8.69921875" style="1630" customWidth="1"/>
    <col min="2568" max="2568" width="17.5" style="1630" customWidth="1"/>
    <col min="2569" max="2569" width="14.09765625" style="1630" customWidth="1"/>
    <col min="2570" max="2816" width="8" style="1630"/>
    <col min="2817" max="2817" width="5.19921875" style="1630" customWidth="1"/>
    <col min="2818" max="2818" width="20.3984375" style="1630" customWidth="1"/>
    <col min="2819" max="2819" width="17.59765625" style="1630" customWidth="1"/>
    <col min="2820" max="2820" width="12.09765625" style="1630" customWidth="1"/>
    <col min="2821" max="2821" width="11.8984375" style="1630" customWidth="1"/>
    <col min="2822" max="2822" width="12.19921875" style="1630" customWidth="1"/>
    <col min="2823" max="2823" width="8.69921875" style="1630" customWidth="1"/>
    <col min="2824" max="2824" width="17.5" style="1630" customWidth="1"/>
    <col min="2825" max="2825" width="14.09765625" style="1630" customWidth="1"/>
    <col min="2826" max="3072" width="8" style="1630"/>
    <col min="3073" max="3073" width="5.19921875" style="1630" customWidth="1"/>
    <col min="3074" max="3074" width="20.3984375" style="1630" customWidth="1"/>
    <col min="3075" max="3075" width="17.59765625" style="1630" customWidth="1"/>
    <col min="3076" max="3076" width="12.09765625" style="1630" customWidth="1"/>
    <col min="3077" max="3077" width="11.8984375" style="1630" customWidth="1"/>
    <col min="3078" max="3078" width="12.19921875" style="1630" customWidth="1"/>
    <col min="3079" max="3079" width="8.69921875" style="1630" customWidth="1"/>
    <col min="3080" max="3080" width="17.5" style="1630" customWidth="1"/>
    <col min="3081" max="3081" width="14.09765625" style="1630" customWidth="1"/>
    <col min="3082" max="3328" width="8" style="1630"/>
    <col min="3329" max="3329" width="5.19921875" style="1630" customWidth="1"/>
    <col min="3330" max="3330" width="20.3984375" style="1630" customWidth="1"/>
    <col min="3331" max="3331" width="17.59765625" style="1630" customWidth="1"/>
    <col min="3332" max="3332" width="12.09765625" style="1630" customWidth="1"/>
    <col min="3333" max="3333" width="11.8984375" style="1630" customWidth="1"/>
    <col min="3334" max="3334" width="12.19921875" style="1630" customWidth="1"/>
    <col min="3335" max="3335" width="8.69921875" style="1630" customWidth="1"/>
    <col min="3336" max="3336" width="17.5" style="1630" customWidth="1"/>
    <col min="3337" max="3337" width="14.09765625" style="1630" customWidth="1"/>
    <col min="3338" max="3584" width="8" style="1630"/>
    <col min="3585" max="3585" width="5.19921875" style="1630" customWidth="1"/>
    <col min="3586" max="3586" width="20.3984375" style="1630" customWidth="1"/>
    <col min="3587" max="3587" width="17.59765625" style="1630" customWidth="1"/>
    <col min="3588" max="3588" width="12.09765625" style="1630" customWidth="1"/>
    <col min="3589" max="3589" width="11.8984375" style="1630" customWidth="1"/>
    <col min="3590" max="3590" width="12.19921875" style="1630" customWidth="1"/>
    <col min="3591" max="3591" width="8.69921875" style="1630" customWidth="1"/>
    <col min="3592" max="3592" width="17.5" style="1630" customWidth="1"/>
    <col min="3593" max="3593" width="14.09765625" style="1630" customWidth="1"/>
    <col min="3594" max="3840" width="8" style="1630"/>
    <col min="3841" max="3841" width="5.19921875" style="1630" customWidth="1"/>
    <col min="3842" max="3842" width="20.3984375" style="1630" customWidth="1"/>
    <col min="3843" max="3843" width="17.59765625" style="1630" customWidth="1"/>
    <col min="3844" max="3844" width="12.09765625" style="1630" customWidth="1"/>
    <col min="3845" max="3845" width="11.8984375" style="1630" customWidth="1"/>
    <col min="3846" max="3846" width="12.19921875" style="1630" customWidth="1"/>
    <col min="3847" max="3847" width="8.69921875" style="1630" customWidth="1"/>
    <col min="3848" max="3848" width="17.5" style="1630" customWidth="1"/>
    <col min="3849" max="3849" width="14.09765625" style="1630" customWidth="1"/>
    <col min="3850" max="4096" width="8" style="1630"/>
    <col min="4097" max="4097" width="5.19921875" style="1630" customWidth="1"/>
    <col min="4098" max="4098" width="20.3984375" style="1630" customWidth="1"/>
    <col min="4099" max="4099" width="17.59765625" style="1630" customWidth="1"/>
    <col min="4100" max="4100" width="12.09765625" style="1630" customWidth="1"/>
    <col min="4101" max="4101" width="11.8984375" style="1630" customWidth="1"/>
    <col min="4102" max="4102" width="12.19921875" style="1630" customWidth="1"/>
    <col min="4103" max="4103" width="8.69921875" style="1630" customWidth="1"/>
    <col min="4104" max="4104" width="17.5" style="1630" customWidth="1"/>
    <col min="4105" max="4105" width="14.09765625" style="1630" customWidth="1"/>
    <col min="4106" max="4352" width="8" style="1630"/>
    <col min="4353" max="4353" width="5.19921875" style="1630" customWidth="1"/>
    <col min="4354" max="4354" width="20.3984375" style="1630" customWidth="1"/>
    <col min="4355" max="4355" width="17.59765625" style="1630" customWidth="1"/>
    <col min="4356" max="4356" width="12.09765625" style="1630" customWidth="1"/>
    <col min="4357" max="4357" width="11.8984375" style="1630" customWidth="1"/>
    <col min="4358" max="4358" width="12.19921875" style="1630" customWidth="1"/>
    <col min="4359" max="4359" width="8.69921875" style="1630" customWidth="1"/>
    <col min="4360" max="4360" width="17.5" style="1630" customWidth="1"/>
    <col min="4361" max="4361" width="14.09765625" style="1630" customWidth="1"/>
    <col min="4362" max="4608" width="8" style="1630"/>
    <col min="4609" max="4609" width="5.19921875" style="1630" customWidth="1"/>
    <col min="4610" max="4610" width="20.3984375" style="1630" customWidth="1"/>
    <col min="4611" max="4611" width="17.59765625" style="1630" customWidth="1"/>
    <col min="4612" max="4612" width="12.09765625" style="1630" customWidth="1"/>
    <col min="4613" max="4613" width="11.8984375" style="1630" customWidth="1"/>
    <col min="4614" max="4614" width="12.19921875" style="1630" customWidth="1"/>
    <col min="4615" max="4615" width="8.69921875" style="1630" customWidth="1"/>
    <col min="4616" max="4616" width="17.5" style="1630" customWidth="1"/>
    <col min="4617" max="4617" width="14.09765625" style="1630" customWidth="1"/>
    <col min="4618" max="4864" width="8" style="1630"/>
    <col min="4865" max="4865" width="5.19921875" style="1630" customWidth="1"/>
    <col min="4866" max="4866" width="20.3984375" style="1630" customWidth="1"/>
    <col min="4867" max="4867" width="17.59765625" style="1630" customWidth="1"/>
    <col min="4868" max="4868" width="12.09765625" style="1630" customWidth="1"/>
    <col min="4869" max="4869" width="11.8984375" style="1630" customWidth="1"/>
    <col min="4870" max="4870" width="12.19921875" style="1630" customWidth="1"/>
    <col min="4871" max="4871" width="8.69921875" style="1630" customWidth="1"/>
    <col min="4872" max="4872" width="17.5" style="1630" customWidth="1"/>
    <col min="4873" max="4873" width="14.09765625" style="1630" customWidth="1"/>
    <col min="4874" max="5120" width="8" style="1630"/>
    <col min="5121" max="5121" width="5.19921875" style="1630" customWidth="1"/>
    <col min="5122" max="5122" width="20.3984375" style="1630" customWidth="1"/>
    <col min="5123" max="5123" width="17.59765625" style="1630" customWidth="1"/>
    <col min="5124" max="5124" width="12.09765625" style="1630" customWidth="1"/>
    <col min="5125" max="5125" width="11.8984375" style="1630" customWidth="1"/>
    <col min="5126" max="5126" width="12.19921875" style="1630" customWidth="1"/>
    <col min="5127" max="5127" width="8.69921875" style="1630" customWidth="1"/>
    <col min="5128" max="5128" width="17.5" style="1630" customWidth="1"/>
    <col min="5129" max="5129" width="14.09765625" style="1630" customWidth="1"/>
    <col min="5130" max="5376" width="8" style="1630"/>
    <col min="5377" max="5377" width="5.19921875" style="1630" customWidth="1"/>
    <col min="5378" max="5378" width="20.3984375" style="1630" customWidth="1"/>
    <col min="5379" max="5379" width="17.59765625" style="1630" customWidth="1"/>
    <col min="5380" max="5380" width="12.09765625" style="1630" customWidth="1"/>
    <col min="5381" max="5381" width="11.8984375" style="1630" customWidth="1"/>
    <col min="5382" max="5382" width="12.19921875" style="1630" customWidth="1"/>
    <col min="5383" max="5383" width="8.69921875" style="1630" customWidth="1"/>
    <col min="5384" max="5384" width="17.5" style="1630" customWidth="1"/>
    <col min="5385" max="5385" width="14.09765625" style="1630" customWidth="1"/>
    <col min="5386" max="5632" width="8" style="1630"/>
    <col min="5633" max="5633" width="5.19921875" style="1630" customWidth="1"/>
    <col min="5634" max="5634" width="20.3984375" style="1630" customWidth="1"/>
    <col min="5635" max="5635" width="17.59765625" style="1630" customWidth="1"/>
    <col min="5636" max="5636" width="12.09765625" style="1630" customWidth="1"/>
    <col min="5637" max="5637" width="11.8984375" style="1630" customWidth="1"/>
    <col min="5638" max="5638" width="12.19921875" style="1630" customWidth="1"/>
    <col min="5639" max="5639" width="8.69921875" style="1630" customWidth="1"/>
    <col min="5640" max="5640" width="17.5" style="1630" customWidth="1"/>
    <col min="5641" max="5641" width="14.09765625" style="1630" customWidth="1"/>
    <col min="5642" max="5888" width="8" style="1630"/>
    <col min="5889" max="5889" width="5.19921875" style="1630" customWidth="1"/>
    <col min="5890" max="5890" width="20.3984375" style="1630" customWidth="1"/>
    <col min="5891" max="5891" width="17.59765625" style="1630" customWidth="1"/>
    <col min="5892" max="5892" width="12.09765625" style="1630" customWidth="1"/>
    <col min="5893" max="5893" width="11.8984375" style="1630" customWidth="1"/>
    <col min="5894" max="5894" width="12.19921875" style="1630" customWidth="1"/>
    <col min="5895" max="5895" width="8.69921875" style="1630" customWidth="1"/>
    <col min="5896" max="5896" width="17.5" style="1630" customWidth="1"/>
    <col min="5897" max="5897" width="14.09765625" style="1630" customWidth="1"/>
    <col min="5898" max="6144" width="8" style="1630"/>
    <col min="6145" max="6145" width="5.19921875" style="1630" customWidth="1"/>
    <col min="6146" max="6146" width="20.3984375" style="1630" customWidth="1"/>
    <col min="6147" max="6147" width="17.59765625" style="1630" customWidth="1"/>
    <col min="6148" max="6148" width="12.09765625" style="1630" customWidth="1"/>
    <col min="6149" max="6149" width="11.8984375" style="1630" customWidth="1"/>
    <col min="6150" max="6150" width="12.19921875" style="1630" customWidth="1"/>
    <col min="6151" max="6151" width="8.69921875" style="1630" customWidth="1"/>
    <col min="6152" max="6152" width="17.5" style="1630" customWidth="1"/>
    <col min="6153" max="6153" width="14.09765625" style="1630" customWidth="1"/>
    <col min="6154" max="6400" width="8" style="1630"/>
    <col min="6401" max="6401" width="5.19921875" style="1630" customWidth="1"/>
    <col min="6402" max="6402" width="20.3984375" style="1630" customWidth="1"/>
    <col min="6403" max="6403" width="17.59765625" style="1630" customWidth="1"/>
    <col min="6404" max="6404" width="12.09765625" style="1630" customWidth="1"/>
    <col min="6405" max="6405" width="11.8984375" style="1630" customWidth="1"/>
    <col min="6406" max="6406" width="12.19921875" style="1630" customWidth="1"/>
    <col min="6407" max="6407" width="8.69921875" style="1630" customWidth="1"/>
    <col min="6408" max="6408" width="17.5" style="1630" customWidth="1"/>
    <col min="6409" max="6409" width="14.09765625" style="1630" customWidth="1"/>
    <col min="6410" max="6656" width="8" style="1630"/>
    <col min="6657" max="6657" width="5.19921875" style="1630" customWidth="1"/>
    <col min="6658" max="6658" width="20.3984375" style="1630" customWidth="1"/>
    <col min="6659" max="6659" width="17.59765625" style="1630" customWidth="1"/>
    <col min="6660" max="6660" width="12.09765625" style="1630" customWidth="1"/>
    <col min="6661" max="6661" width="11.8984375" style="1630" customWidth="1"/>
    <col min="6662" max="6662" width="12.19921875" style="1630" customWidth="1"/>
    <col min="6663" max="6663" width="8.69921875" style="1630" customWidth="1"/>
    <col min="6664" max="6664" width="17.5" style="1630" customWidth="1"/>
    <col min="6665" max="6665" width="14.09765625" style="1630" customWidth="1"/>
    <col min="6666" max="6912" width="8" style="1630"/>
    <col min="6913" max="6913" width="5.19921875" style="1630" customWidth="1"/>
    <col min="6914" max="6914" width="20.3984375" style="1630" customWidth="1"/>
    <col min="6915" max="6915" width="17.59765625" style="1630" customWidth="1"/>
    <col min="6916" max="6916" width="12.09765625" style="1630" customWidth="1"/>
    <col min="6917" max="6917" width="11.8984375" style="1630" customWidth="1"/>
    <col min="6918" max="6918" width="12.19921875" style="1630" customWidth="1"/>
    <col min="6919" max="6919" width="8.69921875" style="1630" customWidth="1"/>
    <col min="6920" max="6920" width="17.5" style="1630" customWidth="1"/>
    <col min="6921" max="6921" width="14.09765625" style="1630" customWidth="1"/>
    <col min="6922" max="7168" width="8" style="1630"/>
    <col min="7169" max="7169" width="5.19921875" style="1630" customWidth="1"/>
    <col min="7170" max="7170" width="20.3984375" style="1630" customWidth="1"/>
    <col min="7171" max="7171" width="17.59765625" style="1630" customWidth="1"/>
    <col min="7172" max="7172" width="12.09765625" style="1630" customWidth="1"/>
    <col min="7173" max="7173" width="11.8984375" style="1630" customWidth="1"/>
    <col min="7174" max="7174" width="12.19921875" style="1630" customWidth="1"/>
    <col min="7175" max="7175" width="8.69921875" style="1630" customWidth="1"/>
    <col min="7176" max="7176" width="17.5" style="1630" customWidth="1"/>
    <col min="7177" max="7177" width="14.09765625" style="1630" customWidth="1"/>
    <col min="7178" max="7424" width="8" style="1630"/>
    <col min="7425" max="7425" width="5.19921875" style="1630" customWidth="1"/>
    <col min="7426" max="7426" width="20.3984375" style="1630" customWidth="1"/>
    <col min="7427" max="7427" width="17.59765625" style="1630" customWidth="1"/>
    <col min="7428" max="7428" width="12.09765625" style="1630" customWidth="1"/>
    <col min="7429" max="7429" width="11.8984375" style="1630" customWidth="1"/>
    <col min="7430" max="7430" width="12.19921875" style="1630" customWidth="1"/>
    <col min="7431" max="7431" width="8.69921875" style="1630" customWidth="1"/>
    <col min="7432" max="7432" width="17.5" style="1630" customWidth="1"/>
    <col min="7433" max="7433" width="14.09765625" style="1630" customWidth="1"/>
    <col min="7434" max="7680" width="8" style="1630"/>
    <col min="7681" max="7681" width="5.19921875" style="1630" customWidth="1"/>
    <col min="7682" max="7682" width="20.3984375" style="1630" customWidth="1"/>
    <col min="7683" max="7683" width="17.59765625" style="1630" customWidth="1"/>
    <col min="7684" max="7684" width="12.09765625" style="1630" customWidth="1"/>
    <col min="7685" max="7685" width="11.8984375" style="1630" customWidth="1"/>
    <col min="7686" max="7686" width="12.19921875" style="1630" customWidth="1"/>
    <col min="7687" max="7687" width="8.69921875" style="1630" customWidth="1"/>
    <col min="7688" max="7688" width="17.5" style="1630" customWidth="1"/>
    <col min="7689" max="7689" width="14.09765625" style="1630" customWidth="1"/>
    <col min="7690" max="7936" width="8" style="1630"/>
    <col min="7937" max="7937" width="5.19921875" style="1630" customWidth="1"/>
    <col min="7938" max="7938" width="20.3984375" style="1630" customWidth="1"/>
    <col min="7939" max="7939" width="17.59765625" style="1630" customWidth="1"/>
    <col min="7940" max="7940" width="12.09765625" style="1630" customWidth="1"/>
    <col min="7941" max="7941" width="11.8984375" style="1630" customWidth="1"/>
    <col min="7942" max="7942" width="12.19921875" style="1630" customWidth="1"/>
    <col min="7943" max="7943" width="8.69921875" style="1630" customWidth="1"/>
    <col min="7944" max="7944" width="17.5" style="1630" customWidth="1"/>
    <col min="7945" max="7945" width="14.09765625" style="1630" customWidth="1"/>
    <col min="7946" max="8192" width="8" style="1630"/>
    <col min="8193" max="8193" width="5.19921875" style="1630" customWidth="1"/>
    <col min="8194" max="8194" width="20.3984375" style="1630" customWidth="1"/>
    <col min="8195" max="8195" width="17.59765625" style="1630" customWidth="1"/>
    <col min="8196" max="8196" width="12.09765625" style="1630" customWidth="1"/>
    <col min="8197" max="8197" width="11.8984375" style="1630" customWidth="1"/>
    <col min="8198" max="8198" width="12.19921875" style="1630" customWidth="1"/>
    <col min="8199" max="8199" width="8.69921875" style="1630" customWidth="1"/>
    <col min="8200" max="8200" width="17.5" style="1630" customWidth="1"/>
    <col min="8201" max="8201" width="14.09765625" style="1630" customWidth="1"/>
    <col min="8202" max="8448" width="8" style="1630"/>
    <col min="8449" max="8449" width="5.19921875" style="1630" customWidth="1"/>
    <col min="8450" max="8450" width="20.3984375" style="1630" customWidth="1"/>
    <col min="8451" max="8451" width="17.59765625" style="1630" customWidth="1"/>
    <col min="8452" max="8452" width="12.09765625" style="1630" customWidth="1"/>
    <col min="8453" max="8453" width="11.8984375" style="1630" customWidth="1"/>
    <col min="8454" max="8454" width="12.19921875" style="1630" customWidth="1"/>
    <col min="8455" max="8455" width="8.69921875" style="1630" customWidth="1"/>
    <col min="8456" max="8456" width="17.5" style="1630" customWidth="1"/>
    <col min="8457" max="8457" width="14.09765625" style="1630" customWidth="1"/>
    <col min="8458" max="8704" width="8" style="1630"/>
    <col min="8705" max="8705" width="5.19921875" style="1630" customWidth="1"/>
    <col min="8706" max="8706" width="20.3984375" style="1630" customWidth="1"/>
    <col min="8707" max="8707" width="17.59765625" style="1630" customWidth="1"/>
    <col min="8708" max="8708" width="12.09765625" style="1630" customWidth="1"/>
    <col min="8709" max="8709" width="11.8984375" style="1630" customWidth="1"/>
    <col min="8710" max="8710" width="12.19921875" style="1630" customWidth="1"/>
    <col min="8711" max="8711" width="8.69921875" style="1630" customWidth="1"/>
    <col min="8712" max="8712" width="17.5" style="1630" customWidth="1"/>
    <col min="8713" max="8713" width="14.09765625" style="1630" customWidth="1"/>
    <col min="8714" max="8960" width="8" style="1630"/>
    <col min="8961" max="8961" width="5.19921875" style="1630" customWidth="1"/>
    <col min="8962" max="8962" width="20.3984375" style="1630" customWidth="1"/>
    <col min="8963" max="8963" width="17.59765625" style="1630" customWidth="1"/>
    <col min="8964" max="8964" width="12.09765625" style="1630" customWidth="1"/>
    <col min="8965" max="8965" width="11.8984375" style="1630" customWidth="1"/>
    <col min="8966" max="8966" width="12.19921875" style="1630" customWidth="1"/>
    <col min="8967" max="8967" width="8.69921875" style="1630" customWidth="1"/>
    <col min="8968" max="8968" width="17.5" style="1630" customWidth="1"/>
    <col min="8969" max="8969" width="14.09765625" style="1630" customWidth="1"/>
    <col min="8970" max="9216" width="8" style="1630"/>
    <col min="9217" max="9217" width="5.19921875" style="1630" customWidth="1"/>
    <col min="9218" max="9218" width="20.3984375" style="1630" customWidth="1"/>
    <col min="9219" max="9219" width="17.59765625" style="1630" customWidth="1"/>
    <col min="9220" max="9220" width="12.09765625" style="1630" customWidth="1"/>
    <col min="9221" max="9221" width="11.8984375" style="1630" customWidth="1"/>
    <col min="9222" max="9222" width="12.19921875" style="1630" customWidth="1"/>
    <col min="9223" max="9223" width="8.69921875" style="1630" customWidth="1"/>
    <col min="9224" max="9224" width="17.5" style="1630" customWidth="1"/>
    <col min="9225" max="9225" width="14.09765625" style="1630" customWidth="1"/>
    <col min="9226" max="9472" width="8" style="1630"/>
    <col min="9473" max="9473" width="5.19921875" style="1630" customWidth="1"/>
    <col min="9474" max="9474" width="20.3984375" style="1630" customWidth="1"/>
    <col min="9475" max="9475" width="17.59765625" style="1630" customWidth="1"/>
    <col min="9476" max="9476" width="12.09765625" style="1630" customWidth="1"/>
    <col min="9477" max="9477" width="11.8984375" style="1630" customWidth="1"/>
    <col min="9478" max="9478" width="12.19921875" style="1630" customWidth="1"/>
    <col min="9479" max="9479" width="8.69921875" style="1630" customWidth="1"/>
    <col min="9480" max="9480" width="17.5" style="1630" customWidth="1"/>
    <col min="9481" max="9481" width="14.09765625" style="1630" customWidth="1"/>
    <col min="9482" max="9728" width="8" style="1630"/>
    <col min="9729" max="9729" width="5.19921875" style="1630" customWidth="1"/>
    <col min="9730" max="9730" width="20.3984375" style="1630" customWidth="1"/>
    <col min="9731" max="9731" width="17.59765625" style="1630" customWidth="1"/>
    <col min="9732" max="9732" width="12.09765625" style="1630" customWidth="1"/>
    <col min="9733" max="9733" width="11.8984375" style="1630" customWidth="1"/>
    <col min="9734" max="9734" width="12.19921875" style="1630" customWidth="1"/>
    <col min="9735" max="9735" width="8.69921875" style="1630" customWidth="1"/>
    <col min="9736" max="9736" width="17.5" style="1630" customWidth="1"/>
    <col min="9737" max="9737" width="14.09765625" style="1630" customWidth="1"/>
    <col min="9738" max="9984" width="8" style="1630"/>
    <col min="9985" max="9985" width="5.19921875" style="1630" customWidth="1"/>
    <col min="9986" max="9986" width="20.3984375" style="1630" customWidth="1"/>
    <col min="9987" max="9987" width="17.59765625" style="1630" customWidth="1"/>
    <col min="9988" max="9988" width="12.09765625" style="1630" customWidth="1"/>
    <col min="9989" max="9989" width="11.8984375" style="1630" customWidth="1"/>
    <col min="9990" max="9990" width="12.19921875" style="1630" customWidth="1"/>
    <col min="9991" max="9991" width="8.69921875" style="1630" customWidth="1"/>
    <col min="9992" max="9992" width="17.5" style="1630" customWidth="1"/>
    <col min="9993" max="9993" width="14.09765625" style="1630" customWidth="1"/>
    <col min="9994" max="10240" width="8" style="1630"/>
    <col min="10241" max="10241" width="5.19921875" style="1630" customWidth="1"/>
    <col min="10242" max="10242" width="20.3984375" style="1630" customWidth="1"/>
    <col min="10243" max="10243" width="17.59765625" style="1630" customWidth="1"/>
    <col min="10244" max="10244" width="12.09765625" style="1630" customWidth="1"/>
    <col min="10245" max="10245" width="11.8984375" style="1630" customWidth="1"/>
    <col min="10246" max="10246" width="12.19921875" style="1630" customWidth="1"/>
    <col min="10247" max="10247" width="8.69921875" style="1630" customWidth="1"/>
    <col min="10248" max="10248" width="17.5" style="1630" customWidth="1"/>
    <col min="10249" max="10249" width="14.09765625" style="1630" customWidth="1"/>
    <col min="10250" max="10496" width="8" style="1630"/>
    <col min="10497" max="10497" width="5.19921875" style="1630" customWidth="1"/>
    <col min="10498" max="10498" width="20.3984375" style="1630" customWidth="1"/>
    <col min="10499" max="10499" width="17.59765625" style="1630" customWidth="1"/>
    <col min="10500" max="10500" width="12.09765625" style="1630" customWidth="1"/>
    <col min="10501" max="10501" width="11.8984375" style="1630" customWidth="1"/>
    <col min="10502" max="10502" width="12.19921875" style="1630" customWidth="1"/>
    <col min="10503" max="10503" width="8.69921875" style="1630" customWidth="1"/>
    <col min="10504" max="10504" width="17.5" style="1630" customWidth="1"/>
    <col min="10505" max="10505" width="14.09765625" style="1630" customWidth="1"/>
    <col min="10506" max="10752" width="8" style="1630"/>
    <col min="10753" max="10753" width="5.19921875" style="1630" customWidth="1"/>
    <col min="10754" max="10754" width="20.3984375" style="1630" customWidth="1"/>
    <col min="10755" max="10755" width="17.59765625" style="1630" customWidth="1"/>
    <col min="10756" max="10756" width="12.09765625" style="1630" customWidth="1"/>
    <col min="10757" max="10757" width="11.8984375" style="1630" customWidth="1"/>
    <col min="10758" max="10758" width="12.19921875" style="1630" customWidth="1"/>
    <col min="10759" max="10759" width="8.69921875" style="1630" customWidth="1"/>
    <col min="10760" max="10760" width="17.5" style="1630" customWidth="1"/>
    <col min="10761" max="10761" width="14.09765625" style="1630" customWidth="1"/>
    <col min="10762" max="11008" width="8" style="1630"/>
    <col min="11009" max="11009" width="5.19921875" style="1630" customWidth="1"/>
    <col min="11010" max="11010" width="20.3984375" style="1630" customWidth="1"/>
    <col min="11011" max="11011" width="17.59765625" style="1630" customWidth="1"/>
    <col min="11012" max="11012" width="12.09765625" style="1630" customWidth="1"/>
    <col min="11013" max="11013" width="11.8984375" style="1630" customWidth="1"/>
    <col min="11014" max="11014" width="12.19921875" style="1630" customWidth="1"/>
    <col min="11015" max="11015" width="8.69921875" style="1630" customWidth="1"/>
    <col min="11016" max="11016" width="17.5" style="1630" customWidth="1"/>
    <col min="11017" max="11017" width="14.09765625" style="1630" customWidth="1"/>
    <col min="11018" max="11264" width="8" style="1630"/>
    <col min="11265" max="11265" width="5.19921875" style="1630" customWidth="1"/>
    <col min="11266" max="11266" width="20.3984375" style="1630" customWidth="1"/>
    <col min="11267" max="11267" width="17.59765625" style="1630" customWidth="1"/>
    <col min="11268" max="11268" width="12.09765625" style="1630" customWidth="1"/>
    <col min="11269" max="11269" width="11.8984375" style="1630" customWidth="1"/>
    <col min="11270" max="11270" width="12.19921875" style="1630" customWidth="1"/>
    <col min="11271" max="11271" width="8.69921875" style="1630" customWidth="1"/>
    <col min="11272" max="11272" width="17.5" style="1630" customWidth="1"/>
    <col min="11273" max="11273" width="14.09765625" style="1630" customWidth="1"/>
    <col min="11274" max="11520" width="8" style="1630"/>
    <col min="11521" max="11521" width="5.19921875" style="1630" customWidth="1"/>
    <col min="11522" max="11522" width="20.3984375" style="1630" customWidth="1"/>
    <col min="11523" max="11523" width="17.59765625" style="1630" customWidth="1"/>
    <col min="11524" max="11524" width="12.09765625" style="1630" customWidth="1"/>
    <col min="11525" max="11525" width="11.8984375" style="1630" customWidth="1"/>
    <col min="11526" max="11526" width="12.19921875" style="1630" customWidth="1"/>
    <col min="11527" max="11527" width="8.69921875" style="1630" customWidth="1"/>
    <col min="11528" max="11528" width="17.5" style="1630" customWidth="1"/>
    <col min="11529" max="11529" width="14.09765625" style="1630" customWidth="1"/>
    <col min="11530" max="11776" width="8" style="1630"/>
    <col min="11777" max="11777" width="5.19921875" style="1630" customWidth="1"/>
    <col min="11778" max="11778" width="20.3984375" style="1630" customWidth="1"/>
    <col min="11779" max="11779" width="17.59765625" style="1630" customWidth="1"/>
    <col min="11780" max="11780" width="12.09765625" style="1630" customWidth="1"/>
    <col min="11781" max="11781" width="11.8984375" style="1630" customWidth="1"/>
    <col min="11782" max="11782" width="12.19921875" style="1630" customWidth="1"/>
    <col min="11783" max="11783" width="8.69921875" style="1630" customWidth="1"/>
    <col min="11784" max="11784" width="17.5" style="1630" customWidth="1"/>
    <col min="11785" max="11785" width="14.09765625" style="1630" customWidth="1"/>
    <col min="11786" max="12032" width="8" style="1630"/>
    <col min="12033" max="12033" width="5.19921875" style="1630" customWidth="1"/>
    <col min="12034" max="12034" width="20.3984375" style="1630" customWidth="1"/>
    <col min="12035" max="12035" width="17.59765625" style="1630" customWidth="1"/>
    <col min="12036" max="12036" width="12.09765625" style="1630" customWidth="1"/>
    <col min="12037" max="12037" width="11.8984375" style="1630" customWidth="1"/>
    <col min="12038" max="12038" width="12.19921875" style="1630" customWidth="1"/>
    <col min="12039" max="12039" width="8.69921875" style="1630" customWidth="1"/>
    <col min="12040" max="12040" width="17.5" style="1630" customWidth="1"/>
    <col min="12041" max="12041" width="14.09765625" style="1630" customWidth="1"/>
    <col min="12042" max="12288" width="8" style="1630"/>
    <col min="12289" max="12289" width="5.19921875" style="1630" customWidth="1"/>
    <col min="12290" max="12290" width="20.3984375" style="1630" customWidth="1"/>
    <col min="12291" max="12291" width="17.59765625" style="1630" customWidth="1"/>
    <col min="12292" max="12292" width="12.09765625" style="1630" customWidth="1"/>
    <col min="12293" max="12293" width="11.8984375" style="1630" customWidth="1"/>
    <col min="12294" max="12294" width="12.19921875" style="1630" customWidth="1"/>
    <col min="12295" max="12295" width="8.69921875" style="1630" customWidth="1"/>
    <col min="12296" max="12296" width="17.5" style="1630" customWidth="1"/>
    <col min="12297" max="12297" width="14.09765625" style="1630" customWidth="1"/>
    <col min="12298" max="12544" width="8" style="1630"/>
    <col min="12545" max="12545" width="5.19921875" style="1630" customWidth="1"/>
    <col min="12546" max="12546" width="20.3984375" style="1630" customWidth="1"/>
    <col min="12547" max="12547" width="17.59765625" style="1630" customWidth="1"/>
    <col min="12548" max="12548" width="12.09765625" style="1630" customWidth="1"/>
    <col min="12549" max="12549" width="11.8984375" style="1630" customWidth="1"/>
    <col min="12550" max="12550" width="12.19921875" style="1630" customWidth="1"/>
    <col min="12551" max="12551" width="8.69921875" style="1630" customWidth="1"/>
    <col min="12552" max="12552" width="17.5" style="1630" customWidth="1"/>
    <col min="12553" max="12553" width="14.09765625" style="1630" customWidth="1"/>
    <col min="12554" max="12800" width="8" style="1630"/>
    <col min="12801" max="12801" width="5.19921875" style="1630" customWidth="1"/>
    <col min="12802" max="12802" width="20.3984375" style="1630" customWidth="1"/>
    <col min="12803" max="12803" width="17.59765625" style="1630" customWidth="1"/>
    <col min="12804" max="12804" width="12.09765625" style="1630" customWidth="1"/>
    <col min="12805" max="12805" width="11.8984375" style="1630" customWidth="1"/>
    <col min="12806" max="12806" width="12.19921875" style="1630" customWidth="1"/>
    <col min="12807" max="12807" width="8.69921875" style="1630" customWidth="1"/>
    <col min="12808" max="12808" width="17.5" style="1630" customWidth="1"/>
    <col min="12809" max="12809" width="14.09765625" style="1630" customWidth="1"/>
    <col min="12810" max="13056" width="8" style="1630"/>
    <col min="13057" max="13057" width="5.19921875" style="1630" customWidth="1"/>
    <col min="13058" max="13058" width="20.3984375" style="1630" customWidth="1"/>
    <col min="13059" max="13059" width="17.59765625" style="1630" customWidth="1"/>
    <col min="13060" max="13060" width="12.09765625" style="1630" customWidth="1"/>
    <col min="13061" max="13061" width="11.8984375" style="1630" customWidth="1"/>
    <col min="13062" max="13062" width="12.19921875" style="1630" customWidth="1"/>
    <col min="13063" max="13063" width="8.69921875" style="1630" customWidth="1"/>
    <col min="13064" max="13064" width="17.5" style="1630" customWidth="1"/>
    <col min="13065" max="13065" width="14.09765625" style="1630" customWidth="1"/>
    <col min="13066" max="13312" width="8" style="1630"/>
    <col min="13313" max="13313" width="5.19921875" style="1630" customWidth="1"/>
    <col min="13314" max="13314" width="20.3984375" style="1630" customWidth="1"/>
    <col min="13315" max="13315" width="17.59765625" style="1630" customWidth="1"/>
    <col min="13316" max="13316" width="12.09765625" style="1630" customWidth="1"/>
    <col min="13317" max="13317" width="11.8984375" style="1630" customWidth="1"/>
    <col min="13318" max="13318" width="12.19921875" style="1630" customWidth="1"/>
    <col min="13319" max="13319" width="8.69921875" style="1630" customWidth="1"/>
    <col min="13320" max="13320" width="17.5" style="1630" customWidth="1"/>
    <col min="13321" max="13321" width="14.09765625" style="1630" customWidth="1"/>
    <col min="13322" max="13568" width="8" style="1630"/>
    <col min="13569" max="13569" width="5.19921875" style="1630" customWidth="1"/>
    <col min="13570" max="13570" width="20.3984375" style="1630" customWidth="1"/>
    <col min="13571" max="13571" width="17.59765625" style="1630" customWidth="1"/>
    <col min="13572" max="13572" width="12.09765625" style="1630" customWidth="1"/>
    <col min="13573" max="13573" width="11.8984375" style="1630" customWidth="1"/>
    <col min="13574" max="13574" width="12.19921875" style="1630" customWidth="1"/>
    <col min="13575" max="13575" width="8.69921875" style="1630" customWidth="1"/>
    <col min="13576" max="13576" width="17.5" style="1630" customWidth="1"/>
    <col min="13577" max="13577" width="14.09765625" style="1630" customWidth="1"/>
    <col min="13578" max="13824" width="8" style="1630"/>
    <col min="13825" max="13825" width="5.19921875" style="1630" customWidth="1"/>
    <col min="13826" max="13826" width="20.3984375" style="1630" customWidth="1"/>
    <col min="13827" max="13827" width="17.59765625" style="1630" customWidth="1"/>
    <col min="13828" max="13828" width="12.09765625" style="1630" customWidth="1"/>
    <col min="13829" max="13829" width="11.8984375" style="1630" customWidth="1"/>
    <col min="13830" max="13830" width="12.19921875" style="1630" customWidth="1"/>
    <col min="13831" max="13831" width="8.69921875" style="1630" customWidth="1"/>
    <col min="13832" max="13832" width="17.5" style="1630" customWidth="1"/>
    <col min="13833" max="13833" width="14.09765625" style="1630" customWidth="1"/>
    <col min="13834" max="14080" width="8" style="1630"/>
    <col min="14081" max="14081" width="5.19921875" style="1630" customWidth="1"/>
    <col min="14082" max="14082" width="20.3984375" style="1630" customWidth="1"/>
    <col min="14083" max="14083" width="17.59765625" style="1630" customWidth="1"/>
    <col min="14084" max="14084" width="12.09765625" style="1630" customWidth="1"/>
    <col min="14085" max="14085" width="11.8984375" style="1630" customWidth="1"/>
    <col min="14086" max="14086" width="12.19921875" style="1630" customWidth="1"/>
    <col min="14087" max="14087" width="8.69921875" style="1630" customWidth="1"/>
    <col min="14088" max="14088" width="17.5" style="1630" customWidth="1"/>
    <col min="14089" max="14089" width="14.09765625" style="1630" customWidth="1"/>
    <col min="14090" max="14336" width="8" style="1630"/>
    <col min="14337" max="14337" width="5.19921875" style="1630" customWidth="1"/>
    <col min="14338" max="14338" width="20.3984375" style="1630" customWidth="1"/>
    <col min="14339" max="14339" width="17.59765625" style="1630" customWidth="1"/>
    <col min="14340" max="14340" width="12.09765625" style="1630" customWidth="1"/>
    <col min="14341" max="14341" width="11.8984375" style="1630" customWidth="1"/>
    <col min="14342" max="14342" width="12.19921875" style="1630" customWidth="1"/>
    <col min="14343" max="14343" width="8.69921875" style="1630" customWidth="1"/>
    <col min="14344" max="14344" width="17.5" style="1630" customWidth="1"/>
    <col min="14345" max="14345" width="14.09765625" style="1630" customWidth="1"/>
    <col min="14346" max="14592" width="8" style="1630"/>
    <col min="14593" max="14593" width="5.19921875" style="1630" customWidth="1"/>
    <col min="14594" max="14594" width="20.3984375" style="1630" customWidth="1"/>
    <col min="14595" max="14595" width="17.59765625" style="1630" customWidth="1"/>
    <col min="14596" max="14596" width="12.09765625" style="1630" customWidth="1"/>
    <col min="14597" max="14597" width="11.8984375" style="1630" customWidth="1"/>
    <col min="14598" max="14598" width="12.19921875" style="1630" customWidth="1"/>
    <col min="14599" max="14599" width="8.69921875" style="1630" customWidth="1"/>
    <col min="14600" max="14600" width="17.5" style="1630" customWidth="1"/>
    <col min="14601" max="14601" width="14.09765625" style="1630" customWidth="1"/>
    <col min="14602" max="14848" width="8" style="1630"/>
    <col min="14849" max="14849" width="5.19921875" style="1630" customWidth="1"/>
    <col min="14850" max="14850" width="20.3984375" style="1630" customWidth="1"/>
    <col min="14851" max="14851" width="17.59765625" style="1630" customWidth="1"/>
    <col min="14852" max="14852" width="12.09765625" style="1630" customWidth="1"/>
    <col min="14853" max="14853" width="11.8984375" style="1630" customWidth="1"/>
    <col min="14854" max="14854" width="12.19921875" style="1630" customWidth="1"/>
    <col min="14855" max="14855" width="8.69921875" style="1630" customWidth="1"/>
    <col min="14856" max="14856" width="17.5" style="1630" customWidth="1"/>
    <col min="14857" max="14857" width="14.09765625" style="1630" customWidth="1"/>
    <col min="14858" max="15104" width="8" style="1630"/>
    <col min="15105" max="15105" width="5.19921875" style="1630" customWidth="1"/>
    <col min="15106" max="15106" width="20.3984375" style="1630" customWidth="1"/>
    <col min="15107" max="15107" width="17.59765625" style="1630" customWidth="1"/>
    <col min="15108" max="15108" width="12.09765625" style="1630" customWidth="1"/>
    <col min="15109" max="15109" width="11.8984375" style="1630" customWidth="1"/>
    <col min="15110" max="15110" width="12.19921875" style="1630" customWidth="1"/>
    <col min="15111" max="15111" width="8.69921875" style="1630" customWidth="1"/>
    <col min="15112" max="15112" width="17.5" style="1630" customWidth="1"/>
    <col min="15113" max="15113" width="14.09765625" style="1630" customWidth="1"/>
    <col min="15114" max="15360" width="8" style="1630"/>
    <col min="15361" max="15361" width="5.19921875" style="1630" customWidth="1"/>
    <col min="15362" max="15362" width="20.3984375" style="1630" customWidth="1"/>
    <col min="15363" max="15363" width="17.59765625" style="1630" customWidth="1"/>
    <col min="15364" max="15364" width="12.09765625" style="1630" customWidth="1"/>
    <col min="15365" max="15365" width="11.8984375" style="1630" customWidth="1"/>
    <col min="15366" max="15366" width="12.19921875" style="1630" customWidth="1"/>
    <col min="15367" max="15367" width="8.69921875" style="1630" customWidth="1"/>
    <col min="15368" max="15368" width="17.5" style="1630" customWidth="1"/>
    <col min="15369" max="15369" width="14.09765625" style="1630" customWidth="1"/>
    <col min="15370" max="15616" width="8" style="1630"/>
    <col min="15617" max="15617" width="5.19921875" style="1630" customWidth="1"/>
    <col min="15618" max="15618" width="20.3984375" style="1630" customWidth="1"/>
    <col min="15619" max="15619" width="17.59765625" style="1630" customWidth="1"/>
    <col min="15620" max="15620" width="12.09765625" style="1630" customWidth="1"/>
    <col min="15621" max="15621" width="11.8984375" style="1630" customWidth="1"/>
    <col min="15622" max="15622" width="12.19921875" style="1630" customWidth="1"/>
    <col min="15623" max="15623" width="8.69921875" style="1630" customWidth="1"/>
    <col min="15624" max="15624" width="17.5" style="1630" customWidth="1"/>
    <col min="15625" max="15625" width="14.09765625" style="1630" customWidth="1"/>
    <col min="15626" max="15872" width="8" style="1630"/>
    <col min="15873" max="15873" width="5.19921875" style="1630" customWidth="1"/>
    <col min="15874" max="15874" width="20.3984375" style="1630" customWidth="1"/>
    <col min="15875" max="15875" width="17.59765625" style="1630" customWidth="1"/>
    <col min="15876" max="15876" width="12.09765625" style="1630" customWidth="1"/>
    <col min="15877" max="15877" width="11.8984375" style="1630" customWidth="1"/>
    <col min="15878" max="15878" width="12.19921875" style="1630" customWidth="1"/>
    <col min="15879" max="15879" width="8.69921875" style="1630" customWidth="1"/>
    <col min="15880" max="15880" width="17.5" style="1630" customWidth="1"/>
    <col min="15881" max="15881" width="14.09765625" style="1630" customWidth="1"/>
    <col min="15882" max="16128" width="8" style="1630"/>
    <col min="16129" max="16129" width="5.19921875" style="1630" customWidth="1"/>
    <col min="16130" max="16130" width="20.3984375" style="1630" customWidth="1"/>
    <col min="16131" max="16131" width="17.59765625" style="1630" customWidth="1"/>
    <col min="16132" max="16132" width="12.09765625" style="1630" customWidth="1"/>
    <col min="16133" max="16133" width="11.8984375" style="1630" customWidth="1"/>
    <col min="16134" max="16134" width="12.19921875" style="1630" customWidth="1"/>
    <col min="16135" max="16135" width="8.69921875" style="1630" customWidth="1"/>
    <col min="16136" max="16136" width="17.5" style="1630" customWidth="1"/>
    <col min="16137" max="16137" width="14.09765625" style="1630" customWidth="1"/>
    <col min="16138" max="16384" width="8" style="1630"/>
  </cols>
  <sheetData>
    <row r="1" spans="1:9" ht="20.100000000000001" customHeight="1">
      <c r="A1" s="3440"/>
      <c r="B1" s="3440"/>
      <c r="C1" s="3440"/>
      <c r="D1" s="3440"/>
      <c r="E1" s="3440"/>
      <c r="F1" s="3440"/>
      <c r="G1" s="3440"/>
      <c r="H1" s="3440"/>
      <c r="I1" s="1804" t="str">
        <f>"索引号："&amp;档案索引!A46</f>
        <v>索引号：2A-26</v>
      </c>
    </row>
    <row r="2" spans="1:9" ht="25.5" customHeight="1">
      <c r="A2" s="3483" t="s">
        <v>2411</v>
      </c>
      <c r="B2" s="3483"/>
      <c r="C2" s="3483"/>
      <c r="D2" s="3483"/>
      <c r="E2" s="3483"/>
      <c r="F2" s="3483"/>
      <c r="G2" s="3483"/>
      <c r="H2" s="3483"/>
      <c r="I2" s="1804"/>
    </row>
    <row r="3" spans="1:9" s="1554" customFormat="1" ht="14.25" customHeight="1">
      <c r="A3" s="3484" t="str">
        <f>"税款所属期间： "&amp;基本情况!B7</f>
        <v>税款所属期间： 2016年01月01日至2016年12月31日</v>
      </c>
      <c r="B3" s="3484"/>
      <c r="C3" s="3484"/>
      <c r="D3" s="3484"/>
      <c r="E3" s="3484"/>
      <c r="F3" s="3484"/>
      <c r="G3" s="3484"/>
      <c r="H3" s="3484"/>
      <c r="I3" s="1805"/>
    </row>
    <row r="4" spans="1:9" s="1554" customFormat="1" ht="14.25" customHeight="1">
      <c r="A4" s="3485" t="str">
        <f>"总机构名称（盖章）: "&amp;基本情况!B23</f>
        <v xml:space="preserve">总机构名称（盖章）: </v>
      </c>
      <c r="B4" s="3485"/>
      <c r="C4" s="3486"/>
      <c r="D4" s="3486"/>
      <c r="E4" s="1805"/>
      <c r="F4" s="1806"/>
      <c r="G4" s="1806"/>
      <c r="H4" s="1807" t="s">
        <v>5906</v>
      </c>
      <c r="I4" s="1805"/>
    </row>
    <row r="5" spans="1:9" s="1554" customFormat="1" ht="21" customHeight="1">
      <c r="A5" s="3385" t="s">
        <v>5907</v>
      </c>
      <c r="B5" s="3385"/>
      <c r="C5" s="1808" t="s">
        <v>1623</v>
      </c>
      <c r="D5" s="3385" t="s">
        <v>2417</v>
      </c>
      <c r="E5" s="3385"/>
      <c r="F5" s="3385" t="s">
        <v>2418</v>
      </c>
      <c r="G5" s="3385"/>
      <c r="H5" s="1809" t="s">
        <v>2419</v>
      </c>
      <c r="I5" s="1809" t="s">
        <v>4901</v>
      </c>
    </row>
    <row r="6" spans="1:9" s="1631" customFormat="1" ht="24" customHeight="1">
      <c r="A6" s="3487"/>
      <c r="B6" s="3487"/>
      <c r="C6" s="2074">
        <f>跨地区经营汇总纳税企业年度分摊企业所得税审核表!C14</f>
        <v>0</v>
      </c>
      <c r="D6" s="3488">
        <f>跨地区经营汇总纳税企业年度分摊企业所得税审核表!C15</f>
        <v>0</v>
      </c>
      <c r="E6" s="3488"/>
      <c r="F6" s="3488">
        <f>跨地区经营汇总纳税企业年度分摊企业所得税审核表!C16</f>
        <v>0</v>
      </c>
      <c r="G6" s="3488"/>
      <c r="H6" s="2074">
        <f>跨地区经营汇总纳税企业年度分摊企业所得税审核表!C17</f>
        <v>0</v>
      </c>
      <c r="I6" s="1990" t="s">
        <v>5908</v>
      </c>
    </row>
    <row r="7" spans="1:9" s="1631" customFormat="1" ht="14.25" customHeight="1">
      <c r="A7" s="3489" t="s">
        <v>2421</v>
      </c>
      <c r="B7" s="3377" t="s">
        <v>5909</v>
      </c>
      <c r="C7" s="3385" t="s">
        <v>2423</v>
      </c>
      <c r="D7" s="3377" t="s">
        <v>2424</v>
      </c>
      <c r="E7" s="3377"/>
      <c r="F7" s="3377"/>
      <c r="G7" s="3385" t="s">
        <v>5910</v>
      </c>
      <c r="H7" s="3385" t="s">
        <v>2473</v>
      </c>
      <c r="I7" s="3385"/>
    </row>
    <row r="8" spans="1:9" s="1631" customFormat="1" ht="14.25" customHeight="1">
      <c r="A8" s="3489"/>
      <c r="B8" s="3377"/>
      <c r="C8" s="3385"/>
      <c r="D8" s="1851" t="s">
        <v>2441</v>
      </c>
      <c r="E8" s="1851" t="s">
        <v>5911</v>
      </c>
      <c r="F8" s="1851" t="s">
        <v>5912</v>
      </c>
      <c r="G8" s="3385"/>
      <c r="H8" s="3385"/>
      <c r="I8" s="3385"/>
    </row>
    <row r="9" spans="1:9" s="1554" customFormat="1" ht="14.25" customHeight="1">
      <c r="A9" s="3489"/>
      <c r="B9" s="1657"/>
      <c r="C9" s="1657"/>
      <c r="D9" s="2079"/>
      <c r="E9" s="2079"/>
      <c r="F9" s="2079"/>
      <c r="G9" s="2077">
        <f>IFERROR(ROUND((D9/D$23*0.35+E9/E$23*0.35+F9/F$23*0.3)*100,4),0)</f>
        <v>0</v>
      </c>
      <c r="H9" s="2077">
        <f>ROUND(H$6*G9/100,2)</f>
        <v>0</v>
      </c>
      <c r="I9" s="1991"/>
    </row>
    <row r="10" spans="1:9" s="1554" customFormat="1" ht="14.25" customHeight="1">
      <c r="A10" s="3489"/>
      <c r="B10" s="1657"/>
      <c r="C10" s="1657"/>
      <c r="D10" s="2079"/>
      <c r="E10" s="2079"/>
      <c r="F10" s="2079"/>
      <c r="G10" s="2077">
        <f t="shared" ref="G10:G22" si="0">IFERROR(ROUND((D10/D$23*0.35+E10/E$23*0.35+F10/F$23*0.3)*100,4),0)</f>
        <v>0</v>
      </c>
      <c r="H10" s="2077">
        <f t="shared" ref="H10:H22" si="1">ROUND(H$6*G10/100,2)</f>
        <v>0</v>
      </c>
      <c r="I10" s="1991"/>
    </row>
    <row r="11" spans="1:9" s="1554" customFormat="1" ht="14.25" customHeight="1">
      <c r="A11" s="3489"/>
      <c r="B11" s="1657"/>
      <c r="C11" s="1657"/>
      <c r="D11" s="2079"/>
      <c r="E11" s="2079"/>
      <c r="F11" s="2079"/>
      <c r="G11" s="2077">
        <f t="shared" si="0"/>
        <v>0</v>
      </c>
      <c r="H11" s="2077">
        <f t="shared" si="1"/>
        <v>0</v>
      </c>
      <c r="I11" s="1991"/>
    </row>
    <row r="12" spans="1:9" s="1554" customFormat="1" ht="14.25" customHeight="1">
      <c r="A12" s="3489"/>
      <c r="B12" s="1658"/>
      <c r="C12" s="1658"/>
      <c r="D12" s="2079"/>
      <c r="E12" s="2079"/>
      <c r="F12" s="2079"/>
      <c r="G12" s="2077">
        <f t="shared" si="0"/>
        <v>0</v>
      </c>
      <c r="H12" s="2077">
        <f t="shared" si="1"/>
        <v>0</v>
      </c>
      <c r="I12" s="1991"/>
    </row>
    <row r="13" spans="1:9" s="1554" customFormat="1" ht="14.25" customHeight="1">
      <c r="A13" s="3489"/>
      <c r="B13" s="1658"/>
      <c r="C13" s="1658"/>
      <c r="D13" s="2079"/>
      <c r="E13" s="2079"/>
      <c r="F13" s="2079"/>
      <c r="G13" s="2077">
        <f t="shared" si="0"/>
        <v>0</v>
      </c>
      <c r="H13" s="2077">
        <f t="shared" si="1"/>
        <v>0</v>
      </c>
      <c r="I13" s="1991"/>
    </row>
    <row r="14" spans="1:9" s="1554" customFormat="1" ht="14.25" customHeight="1">
      <c r="A14" s="3489"/>
      <c r="B14" s="1658"/>
      <c r="C14" s="1658"/>
      <c r="D14" s="2079"/>
      <c r="E14" s="2079"/>
      <c r="F14" s="2079"/>
      <c r="G14" s="2077">
        <f t="shared" si="0"/>
        <v>0</v>
      </c>
      <c r="H14" s="2077">
        <f t="shared" si="1"/>
        <v>0</v>
      </c>
      <c r="I14" s="1991"/>
    </row>
    <row r="15" spans="1:9" s="1554" customFormat="1" ht="14.25" customHeight="1">
      <c r="A15" s="3489"/>
      <c r="B15" s="1658"/>
      <c r="C15" s="1658"/>
      <c r="D15" s="2079"/>
      <c r="E15" s="2079"/>
      <c r="F15" s="2079"/>
      <c r="G15" s="2077">
        <f t="shared" si="0"/>
        <v>0</v>
      </c>
      <c r="H15" s="2077">
        <f t="shared" si="1"/>
        <v>0</v>
      </c>
      <c r="I15" s="1991"/>
    </row>
    <row r="16" spans="1:9" s="1554" customFormat="1" ht="14.25" customHeight="1">
      <c r="A16" s="3489"/>
      <c r="B16" s="1658"/>
      <c r="C16" s="1658"/>
      <c r="D16" s="2079"/>
      <c r="E16" s="2079"/>
      <c r="F16" s="2079"/>
      <c r="G16" s="2077">
        <f t="shared" si="0"/>
        <v>0</v>
      </c>
      <c r="H16" s="2077">
        <f t="shared" si="1"/>
        <v>0</v>
      </c>
      <c r="I16" s="1991"/>
    </row>
    <row r="17" spans="1:10" s="1554" customFormat="1" ht="14.25" customHeight="1">
      <c r="A17" s="3489"/>
      <c r="B17" s="1658"/>
      <c r="C17" s="1658"/>
      <c r="D17" s="2079"/>
      <c r="E17" s="2079"/>
      <c r="F17" s="2079"/>
      <c r="G17" s="2077">
        <f t="shared" si="0"/>
        <v>0</v>
      </c>
      <c r="H17" s="2077">
        <f t="shared" si="1"/>
        <v>0</v>
      </c>
      <c r="I17" s="1991"/>
    </row>
    <row r="18" spans="1:10" s="1554" customFormat="1" ht="14.25" customHeight="1">
      <c r="A18" s="3489"/>
      <c r="B18" s="1658"/>
      <c r="C18" s="1658"/>
      <c r="D18" s="2079"/>
      <c r="E18" s="2079"/>
      <c r="F18" s="2079"/>
      <c r="G18" s="2077">
        <f t="shared" si="0"/>
        <v>0</v>
      </c>
      <c r="H18" s="2077">
        <f t="shared" si="1"/>
        <v>0</v>
      </c>
      <c r="I18" s="1991"/>
    </row>
    <row r="19" spans="1:10" s="1554" customFormat="1" ht="14.25" customHeight="1">
      <c r="A19" s="3489"/>
      <c r="B19" s="1658"/>
      <c r="C19" s="1658"/>
      <c r="D19" s="2079"/>
      <c r="E19" s="2079"/>
      <c r="F19" s="2079"/>
      <c r="G19" s="2077">
        <f t="shared" si="0"/>
        <v>0</v>
      </c>
      <c r="H19" s="2077">
        <f t="shared" si="1"/>
        <v>0</v>
      </c>
      <c r="I19" s="1991"/>
    </row>
    <row r="20" spans="1:10" s="1554" customFormat="1" ht="14.25" customHeight="1">
      <c r="A20" s="3489"/>
      <c r="B20" s="1658"/>
      <c r="C20" s="1658"/>
      <c r="D20" s="2079"/>
      <c r="E20" s="2079"/>
      <c r="F20" s="2079"/>
      <c r="G20" s="2077">
        <f t="shared" si="0"/>
        <v>0</v>
      </c>
      <c r="H20" s="2077">
        <f t="shared" si="1"/>
        <v>0</v>
      </c>
      <c r="I20" s="1991"/>
    </row>
    <row r="21" spans="1:10" s="1554" customFormat="1" ht="14.25" customHeight="1">
      <c r="A21" s="3489"/>
      <c r="B21" s="1658"/>
      <c r="C21" s="1658"/>
      <c r="D21" s="2079"/>
      <c r="E21" s="2079"/>
      <c r="F21" s="2079"/>
      <c r="G21" s="2077">
        <f t="shared" si="0"/>
        <v>0</v>
      </c>
      <c r="H21" s="2077">
        <f t="shared" si="1"/>
        <v>0</v>
      </c>
      <c r="I21" s="1991"/>
    </row>
    <row r="22" spans="1:10" s="1554" customFormat="1" ht="14.25" customHeight="1">
      <c r="A22" s="3489"/>
      <c r="B22" s="1658"/>
      <c r="C22" s="1658"/>
      <c r="D22" s="2079"/>
      <c r="E22" s="2079"/>
      <c r="F22" s="2079"/>
      <c r="G22" s="2077">
        <f t="shared" si="0"/>
        <v>0</v>
      </c>
      <c r="H22" s="2077">
        <f t="shared" si="1"/>
        <v>0</v>
      </c>
      <c r="I22" s="1991"/>
    </row>
    <row r="23" spans="1:10" s="1554" customFormat="1" ht="14.25" customHeight="1">
      <c r="A23" s="3489"/>
      <c r="B23" s="1808" t="s">
        <v>5484</v>
      </c>
      <c r="C23" s="1918" t="s">
        <v>1243</v>
      </c>
      <c r="D23" s="2077">
        <f>SUM(D9:D22)</f>
        <v>0</v>
      </c>
      <c r="E23" s="2077">
        <f t="shared" ref="E23:H23" si="2">SUM(E9:E22)</f>
        <v>0</v>
      </c>
      <c r="F23" s="2077">
        <f t="shared" si="2"/>
        <v>0</v>
      </c>
      <c r="G23" s="2077">
        <f t="shared" si="2"/>
        <v>0</v>
      </c>
      <c r="H23" s="2077">
        <f t="shared" si="2"/>
        <v>0</v>
      </c>
      <c r="I23" s="1991"/>
      <c r="J23" s="1772" t="s">
        <v>6487</v>
      </c>
    </row>
    <row r="24" spans="1:10" ht="14.25" customHeight="1"/>
    <row r="25" spans="1:10" ht="14.25" customHeight="1"/>
    <row r="26" spans="1:10" ht="14.25" customHeight="1"/>
    <row r="27" spans="1:10" ht="14.25" customHeight="1"/>
    <row r="28" spans="1:10" ht="14.25" customHeight="1"/>
    <row r="29" spans="1:10" ht="14.25" customHeight="1"/>
    <row r="30" spans="1:10" ht="14.25" customHeight="1"/>
    <row r="31" spans="1:10" ht="14.25" customHeight="1"/>
    <row r="32" spans="1:10" ht="14.25" customHeight="1"/>
    <row r="33" ht="14.25" customHeight="1"/>
    <row r="34" ht="14.25" customHeight="1"/>
    <row r="35" ht="14.25" customHeight="1"/>
    <row r="36" ht="14.25" customHeight="1"/>
    <row r="37" ht="14.25" customHeight="1"/>
    <row r="38" ht="14.25" customHeight="1"/>
    <row r="39" ht="14.25" customHeight="1"/>
    <row r="40" ht="14.25" customHeight="1"/>
    <row r="41" ht="14.25" customHeight="1"/>
    <row r="42" ht="14.25" customHeight="1"/>
    <row r="43" ht="14.25" customHeight="1"/>
    <row r="44" ht="14.25" customHeight="1"/>
    <row r="45" ht="14.25" customHeight="1"/>
    <row r="46" ht="14.25" customHeight="1"/>
    <row r="47" ht="14.25" customHeight="1"/>
    <row r="48" ht="14.25" customHeight="1"/>
    <row r="49" ht="14.25" customHeight="1"/>
    <row r="50" ht="14.25" customHeight="1"/>
    <row r="51" ht="14.25" customHeight="1"/>
    <row r="52" ht="14.25" customHeight="1"/>
    <row r="53" ht="14.25" customHeight="1"/>
    <row r="54" ht="14.25" customHeight="1"/>
    <row r="55" ht="14.25" customHeight="1"/>
    <row r="56" ht="14.25" customHeight="1"/>
    <row r="57" ht="14.25" customHeight="1"/>
    <row r="58" ht="14.25" customHeight="1"/>
    <row r="59" ht="14.25" customHeight="1"/>
    <row r="60" ht="14.25" customHeight="1"/>
    <row r="61" ht="14.25" customHeight="1"/>
    <row r="62" ht="14.25" customHeight="1"/>
    <row r="63" ht="14.25" customHeight="1"/>
    <row r="64" ht="14.25" customHeight="1"/>
    <row r="65" ht="14.25" customHeight="1"/>
    <row r="66" ht="14.25" customHeight="1"/>
    <row r="67" ht="14.25" customHeight="1"/>
    <row r="68" ht="14.25" customHeight="1"/>
    <row r="69" ht="14.25" customHeight="1"/>
    <row r="70" ht="14.25" customHeight="1"/>
    <row r="71" ht="14.25" customHeight="1"/>
    <row r="72" ht="14.25" customHeight="1"/>
    <row r="73" ht="14.25" customHeight="1"/>
    <row r="74" ht="14.25" customHeight="1"/>
    <row r="75" ht="14.25" customHeight="1"/>
    <row r="76" ht="14.25" customHeight="1"/>
    <row r="77" ht="14.25" customHeight="1"/>
    <row r="78" ht="14.25" customHeight="1"/>
    <row r="79" ht="14.25" customHeight="1"/>
    <row r="80" ht="14.25" customHeight="1"/>
    <row r="81" ht="14.25" customHeight="1"/>
    <row r="82" ht="14.25" customHeight="1"/>
    <row r="83" ht="14.25" customHeight="1"/>
    <row r="84" ht="14.25" customHeight="1"/>
    <row r="85" ht="14.25" customHeight="1"/>
    <row r="86" ht="14.25" customHeight="1"/>
    <row r="87" ht="14.25" customHeight="1"/>
    <row r="88" ht="14.25" customHeight="1"/>
    <row r="89" ht="14.25" customHeight="1"/>
    <row r="90" ht="14.25" customHeight="1"/>
    <row r="91" ht="14.25" customHeight="1"/>
    <row r="92" ht="14.25" customHeight="1"/>
    <row r="93" ht="14.25" customHeight="1"/>
    <row r="94" ht="14.25" customHeight="1"/>
    <row r="95" ht="14.25" customHeight="1"/>
    <row r="96" ht="14.25" customHeight="1"/>
    <row r="97" ht="14.25" customHeight="1"/>
    <row r="98" ht="14.25" customHeight="1"/>
    <row r="99" ht="14.25" customHeight="1"/>
    <row r="100" ht="14.25" customHeight="1"/>
    <row r="101" ht="14.25" customHeight="1"/>
    <row r="102" ht="14.25" customHeight="1"/>
    <row r="103" ht="14.25" customHeight="1"/>
    <row r="104" ht="14.25" customHeight="1"/>
    <row r="105" ht="14.25" customHeight="1"/>
    <row r="106" ht="14.25" customHeight="1"/>
    <row r="107" ht="14.25" customHeight="1"/>
    <row r="108" ht="14.25" customHeight="1"/>
    <row r="109" ht="14.25" customHeight="1"/>
    <row r="110" ht="14.25" customHeight="1"/>
    <row r="111" ht="14.25" customHeight="1"/>
    <row r="112" ht="14.25" customHeight="1"/>
    <row r="113" ht="14.25" customHeight="1"/>
    <row r="114" ht="14.25" customHeight="1"/>
    <row r="115" ht="14.25" customHeight="1"/>
    <row r="116" ht="14.25" customHeight="1"/>
    <row r="117" ht="14.25" customHeight="1"/>
    <row r="118" ht="14.25" customHeight="1"/>
    <row r="119" ht="14.25" customHeight="1"/>
    <row r="120" ht="14.25" customHeight="1"/>
    <row r="121" ht="14.25" customHeight="1"/>
    <row r="122" ht="14.25" customHeight="1"/>
    <row r="123" ht="14.25" customHeight="1"/>
    <row r="124" ht="14.25" customHeight="1"/>
    <row r="125" ht="14.25" customHeight="1"/>
    <row r="126" ht="14.25" customHeight="1"/>
    <row r="127" ht="14.25" customHeight="1"/>
    <row r="128" ht="14.25" customHeight="1"/>
    <row r="129" ht="14.25" customHeight="1"/>
    <row r="130" ht="14.25" customHeight="1"/>
    <row r="131" ht="14.25" customHeight="1"/>
    <row r="132" ht="14.25" customHeight="1"/>
    <row r="133" ht="14.25" customHeight="1"/>
    <row r="134" ht="14.25" customHeight="1"/>
    <row r="135" ht="14.25" customHeight="1"/>
    <row r="136" ht="14.25" customHeight="1"/>
    <row r="137" ht="14.25" customHeight="1"/>
    <row r="138" ht="14.25" customHeight="1"/>
    <row r="139" ht="14.25" customHeight="1"/>
    <row r="140" ht="14.25" customHeight="1"/>
    <row r="141" ht="14.25" customHeight="1"/>
    <row r="142" ht="14.25" customHeight="1"/>
    <row r="143" ht="14.25" customHeight="1"/>
    <row r="144" ht="14.25" customHeight="1"/>
    <row r="145" ht="14.25" customHeight="1"/>
    <row r="146" ht="14.25" customHeight="1"/>
    <row r="147" ht="14.25" customHeight="1"/>
    <row r="148" ht="14.25" customHeight="1"/>
    <row r="149" ht="14.25" customHeight="1"/>
    <row r="150" ht="14.25" customHeight="1"/>
    <row r="151" ht="14.25" customHeight="1"/>
    <row r="152" ht="14.25" customHeight="1"/>
    <row r="153" ht="14.25" customHeight="1"/>
    <row r="154" ht="14.25" customHeight="1"/>
    <row r="155" ht="14.25" customHeight="1"/>
    <row r="156" ht="14.25" customHeight="1"/>
    <row r="157" ht="14.25" customHeight="1"/>
    <row r="158" ht="14.25" customHeight="1"/>
    <row r="159" ht="14.25" customHeight="1"/>
    <row r="160" ht="14.25" customHeight="1"/>
    <row r="161" ht="14.25" customHeight="1"/>
    <row r="162" ht="14.25" customHeight="1"/>
    <row r="163" ht="14.25" customHeight="1"/>
    <row r="164" ht="14.25" customHeight="1"/>
    <row r="165" ht="14.25" customHeight="1"/>
    <row r="166" ht="14.25" customHeight="1"/>
    <row r="167" ht="14.25" customHeight="1"/>
    <row r="168" ht="14.25" customHeight="1"/>
    <row r="169" ht="14.25" customHeight="1"/>
    <row r="170" ht="14.25" customHeight="1"/>
    <row r="171" ht="14.25" customHeight="1"/>
    <row r="172" ht="14.25" customHeight="1"/>
    <row r="173" ht="14.25" customHeight="1"/>
    <row r="174" ht="14.25" customHeight="1"/>
    <row r="175" ht="14.25" customHeight="1"/>
    <row r="176" ht="14.25" customHeight="1"/>
    <row r="177" ht="14.25" customHeight="1"/>
    <row r="178" ht="14.25" customHeight="1"/>
    <row r="179" ht="14.25" customHeight="1"/>
    <row r="180" ht="14.25" customHeight="1"/>
    <row r="181" ht="14.25" customHeight="1"/>
    <row r="182" ht="14.25" customHeight="1"/>
    <row r="183" ht="14.25" customHeight="1"/>
    <row r="184" ht="14.25" customHeight="1"/>
    <row r="185" ht="14.25" customHeight="1"/>
    <row r="186" ht="14.25" customHeight="1"/>
    <row r="187" ht="14.25" customHeight="1"/>
    <row r="188" ht="14.25" customHeight="1"/>
    <row r="189" ht="14.25" customHeight="1"/>
    <row r="190" ht="14.25" customHeight="1"/>
    <row r="191" ht="14.25" customHeight="1"/>
    <row r="192" ht="14.25" customHeight="1"/>
    <row r="193" ht="14.25" customHeight="1"/>
    <row r="194" ht="14.25" customHeight="1"/>
    <row r="195" ht="14.25" customHeight="1"/>
    <row r="196" ht="14.25" customHeight="1"/>
    <row r="197" ht="14.25" customHeight="1"/>
    <row r="198" ht="14.25" customHeight="1"/>
    <row r="199" ht="14.25" customHeight="1"/>
    <row r="200" ht="14.25" customHeight="1"/>
    <row r="201" ht="14.25" customHeight="1"/>
    <row r="202" ht="14.25" customHeight="1"/>
    <row r="203" ht="14.25" customHeight="1"/>
    <row r="204" ht="14.25" customHeight="1"/>
    <row r="205" ht="14.25" customHeight="1"/>
    <row r="206" ht="14.25" customHeight="1"/>
    <row r="207" ht="14.25" customHeight="1"/>
    <row r="208" ht="14.25" customHeight="1"/>
    <row r="209" ht="14.25" customHeight="1"/>
    <row r="210" ht="14.25" customHeight="1"/>
    <row r="211" ht="14.25" customHeight="1"/>
    <row r="212" ht="14.25" customHeight="1"/>
    <row r="213" ht="14.25" customHeight="1"/>
    <row r="214" ht="14.25" customHeight="1"/>
    <row r="215" ht="14.25" customHeight="1"/>
    <row r="216" ht="14.25" customHeight="1"/>
    <row r="217" ht="14.25" customHeight="1"/>
    <row r="218" ht="14.25" customHeight="1"/>
    <row r="219" ht="14.25" customHeight="1"/>
    <row r="220" ht="14.25" customHeight="1"/>
    <row r="221" ht="14.25" customHeight="1"/>
    <row r="222" ht="14.25" customHeight="1"/>
    <row r="223" ht="14.25" customHeight="1"/>
    <row r="224" ht="14.25" customHeight="1"/>
    <row r="225" ht="14.25" customHeight="1"/>
    <row r="226" ht="14.25" customHeight="1"/>
    <row r="227" ht="14.25" customHeight="1"/>
    <row r="228" ht="14.25" customHeight="1"/>
    <row r="229" ht="14.25" customHeight="1"/>
    <row r="230" ht="14.25" customHeight="1"/>
    <row r="231" ht="14.25" customHeight="1"/>
    <row r="232" ht="14.25" customHeight="1"/>
    <row r="233" ht="14.25" customHeight="1"/>
    <row r="234" ht="14.25" customHeight="1"/>
    <row r="235" ht="14.25" customHeight="1"/>
    <row r="236" ht="14.25" customHeight="1"/>
    <row r="237" ht="14.25" customHeight="1"/>
    <row r="238" ht="14.25" customHeight="1"/>
    <row r="239" ht="14.25" customHeight="1"/>
    <row r="240" ht="14.25" customHeight="1"/>
    <row r="241" ht="14.25" customHeight="1"/>
    <row r="242" ht="14.25" customHeight="1"/>
    <row r="243" ht="14.25" customHeight="1"/>
    <row r="244" ht="14.25" customHeight="1"/>
    <row r="245" ht="14.25" customHeight="1"/>
    <row r="246" ht="14.25" customHeight="1"/>
    <row r="247" ht="14.25" customHeight="1"/>
    <row r="248" ht="14.25" customHeight="1"/>
    <row r="249" ht="14.25" customHeight="1"/>
    <row r="250" ht="14.25" customHeight="1"/>
    <row r="251" ht="14.25" customHeight="1"/>
    <row r="252" ht="14.25" customHeight="1"/>
    <row r="253" ht="14.25" customHeight="1"/>
    <row r="254" ht="14.25" customHeight="1"/>
    <row r="255" ht="14.25" customHeight="1"/>
    <row r="256" ht="14.25" customHeight="1"/>
    <row r="257" ht="14.25" customHeight="1"/>
    <row r="258" ht="14.25" customHeight="1"/>
    <row r="259" ht="14.25" customHeight="1"/>
    <row r="260" ht="14.25" customHeight="1"/>
    <row r="261" ht="14.25" customHeight="1"/>
    <row r="262" ht="14.25" customHeight="1"/>
    <row r="263" ht="14.25" customHeight="1"/>
    <row r="264" ht="14.25" customHeight="1"/>
    <row r="265" ht="14.25" customHeight="1"/>
    <row r="266" ht="14.25" customHeight="1"/>
    <row r="267" ht="14.25" customHeight="1"/>
    <row r="268" ht="14.25" customHeight="1"/>
    <row r="269" ht="14.25" customHeight="1"/>
    <row r="270" ht="14.25" customHeight="1"/>
    <row r="271" ht="14.25" customHeight="1"/>
    <row r="272" ht="14.25" customHeight="1"/>
    <row r="273" ht="14.25" customHeight="1"/>
    <row r="274" ht="14.25" customHeight="1"/>
    <row r="275" ht="14.25" customHeight="1"/>
    <row r="276" ht="14.25" customHeight="1"/>
    <row r="277" ht="14.25" customHeight="1"/>
    <row r="278" ht="14.25" customHeight="1"/>
    <row r="279" ht="14.25" customHeight="1"/>
    <row r="280" ht="14.25" customHeight="1"/>
    <row r="281" ht="14.25" customHeight="1"/>
    <row r="282" ht="14.25" customHeight="1"/>
    <row r="283" ht="14.25" customHeight="1"/>
    <row r="284" ht="14.25" customHeight="1"/>
    <row r="285" ht="14.25" customHeight="1"/>
    <row r="286" ht="14.25" customHeight="1"/>
    <row r="287" ht="14.25" customHeight="1"/>
    <row r="288" ht="14.25" customHeight="1"/>
    <row r="289" ht="14.25" customHeight="1"/>
    <row r="290" ht="14.25" customHeight="1"/>
    <row r="291" ht="14.25" customHeight="1"/>
    <row r="292" ht="14.25" customHeight="1"/>
    <row r="293" ht="14.25" customHeight="1"/>
    <row r="294" ht="14.25" customHeight="1"/>
    <row r="295" ht="14.25" customHeight="1"/>
    <row r="296" ht="14.25" customHeight="1"/>
    <row r="297" ht="14.25" customHeight="1"/>
    <row r="298" ht="14.25" customHeight="1"/>
    <row r="299" ht="14.25" customHeight="1"/>
    <row r="300" ht="14.25" customHeight="1"/>
    <row r="301" ht="14.25" customHeight="1"/>
    <row r="302" ht="14.25" customHeight="1"/>
    <row r="303" ht="14.25" customHeight="1"/>
    <row r="304" ht="14.25" customHeight="1"/>
    <row r="305" ht="14.25" customHeight="1"/>
    <row r="306" ht="14.25" customHeight="1"/>
    <row r="307" ht="14.25" customHeight="1"/>
    <row r="308" ht="14.25" customHeight="1"/>
    <row r="309" ht="14.25" customHeight="1"/>
    <row r="310" ht="14.25" customHeight="1"/>
    <row r="311" ht="14.25" customHeight="1"/>
    <row r="312" ht="14.25" customHeight="1"/>
    <row r="313" ht="14.25" customHeight="1"/>
    <row r="314" ht="14.25" customHeight="1"/>
    <row r="315" ht="14.25" customHeight="1"/>
    <row r="316" ht="14.25" customHeight="1"/>
    <row r="317" ht="14.25" customHeight="1"/>
    <row r="318" ht="14.25" customHeight="1"/>
    <row r="319" ht="14.25" customHeight="1"/>
    <row r="320" ht="14.25" customHeight="1"/>
    <row r="321" ht="14.25" customHeight="1"/>
    <row r="322" ht="14.25" customHeight="1"/>
    <row r="323" ht="14.25" customHeight="1"/>
    <row r="324" ht="14.25" customHeight="1"/>
    <row r="325" ht="14.25" customHeight="1"/>
    <row r="326" ht="14.25" customHeight="1"/>
    <row r="327" ht="14.25" customHeight="1"/>
    <row r="328" ht="14.25" customHeight="1"/>
    <row r="329" ht="14.25" customHeight="1"/>
    <row r="330" ht="14.25" customHeight="1"/>
    <row r="331" ht="14.25" customHeight="1"/>
    <row r="332" ht="14.25" customHeight="1"/>
    <row r="333" ht="14.25" customHeight="1"/>
    <row r="334" ht="14.25" customHeight="1"/>
    <row r="335" ht="14.25" customHeight="1"/>
    <row r="336" ht="14.25" customHeight="1"/>
    <row r="337" ht="14.25" customHeight="1"/>
    <row r="338" ht="14.25" customHeight="1"/>
    <row r="339" ht="14.25" customHeight="1"/>
    <row r="340" ht="14.25" customHeight="1"/>
    <row r="341" ht="14.25" customHeight="1"/>
    <row r="342" ht="14.25" customHeight="1"/>
    <row r="343" ht="14.25" customHeight="1"/>
    <row r="344" ht="14.25" customHeight="1"/>
    <row r="345" ht="14.25" customHeight="1"/>
    <row r="346" ht="14.25" customHeight="1"/>
    <row r="347" ht="14.25" customHeight="1"/>
    <row r="348" ht="14.25" customHeight="1"/>
    <row r="349" ht="14.25" customHeight="1"/>
    <row r="350" ht="14.25" customHeight="1"/>
    <row r="351" ht="14.25" customHeight="1"/>
    <row r="352" ht="14.25" customHeight="1"/>
    <row r="353" ht="14.25" customHeight="1"/>
    <row r="354" ht="14.25" customHeight="1"/>
    <row r="355" ht="14.25" customHeight="1"/>
    <row r="356" ht="14.25" customHeight="1"/>
    <row r="357" ht="14.25" customHeight="1"/>
    <row r="358" ht="14.25" customHeight="1"/>
    <row r="359" ht="14.25" customHeight="1"/>
    <row r="360" ht="14.25" customHeight="1"/>
    <row r="361" ht="14.25" customHeight="1"/>
    <row r="362" ht="14.25" customHeight="1"/>
    <row r="363" ht="14.25" customHeight="1"/>
    <row r="364" ht="14.25" customHeight="1"/>
    <row r="365" ht="14.25" customHeight="1"/>
    <row r="366" ht="14.25" customHeight="1"/>
    <row r="367" ht="14.25" customHeight="1"/>
    <row r="368" ht="14.25" customHeight="1"/>
    <row r="369" ht="14.25" customHeight="1"/>
    <row r="370" ht="14.25" customHeight="1"/>
    <row r="371" ht="14.25" customHeight="1"/>
    <row r="372" ht="14.25" customHeight="1"/>
    <row r="373" ht="14.25" customHeight="1"/>
    <row r="374" ht="14.25" customHeight="1"/>
    <row r="375" ht="14.25" customHeight="1"/>
    <row r="376" ht="14.25" customHeight="1"/>
    <row r="377" ht="14.25" customHeight="1"/>
    <row r="378" ht="14.25" customHeight="1"/>
    <row r="379" ht="14.25" customHeight="1"/>
    <row r="380" ht="14.25" customHeight="1"/>
    <row r="381" ht="14.25" customHeight="1"/>
    <row r="382" ht="14.25" customHeight="1"/>
    <row r="383" ht="14.25" customHeight="1"/>
    <row r="384" ht="14.25" customHeight="1"/>
    <row r="385" ht="14.25" customHeight="1"/>
    <row r="386" ht="14.25" customHeight="1"/>
    <row r="387" ht="14.25" customHeight="1"/>
    <row r="388" ht="14.25" customHeight="1"/>
    <row r="389" ht="14.25" customHeight="1"/>
    <row r="390" ht="14.25" customHeight="1"/>
    <row r="391" ht="14.25" customHeight="1"/>
    <row r="392" ht="14.25" customHeight="1"/>
    <row r="393" ht="14.25" customHeight="1"/>
    <row r="394" ht="14.25" customHeight="1"/>
    <row r="395" ht="14.25" customHeight="1"/>
    <row r="396" ht="14.25" customHeight="1"/>
    <row r="397" ht="14.25" customHeight="1"/>
    <row r="398" ht="14.25" customHeight="1"/>
    <row r="399" ht="14.25" customHeight="1"/>
    <row r="400" ht="14.25" customHeight="1"/>
    <row r="401" ht="14.25" customHeight="1"/>
    <row r="402" ht="14.25" customHeight="1"/>
    <row r="403" ht="14.25" customHeight="1"/>
    <row r="404" ht="14.25" customHeight="1"/>
    <row r="405" ht="14.25" customHeight="1"/>
    <row r="406" ht="14.25" customHeight="1"/>
    <row r="407" ht="14.25" customHeight="1"/>
    <row r="408" ht="14.25" customHeight="1"/>
    <row r="409" ht="14.25" customHeight="1"/>
    <row r="410" ht="14.25" customHeight="1"/>
    <row r="411" ht="14.25" customHeight="1"/>
    <row r="412" ht="14.25" customHeight="1"/>
    <row r="413" ht="14.25" customHeight="1"/>
    <row r="414" ht="14.25" customHeight="1"/>
    <row r="415" ht="14.25" customHeight="1"/>
    <row r="416" ht="14.25" customHeight="1"/>
    <row r="417" ht="14.25" customHeight="1"/>
    <row r="418" ht="14.25" customHeight="1"/>
    <row r="419" ht="14.25" customHeight="1"/>
    <row r="420" ht="14.25" customHeight="1"/>
    <row r="421" ht="14.25" customHeight="1"/>
    <row r="422" ht="14.25" customHeight="1"/>
    <row r="423" ht="14.25" customHeight="1"/>
    <row r="424" ht="14.25" customHeight="1"/>
    <row r="425" ht="14.25" customHeight="1"/>
    <row r="426" ht="14.25" customHeight="1"/>
    <row r="427" ht="14.25" customHeight="1"/>
    <row r="428" ht="14.25" customHeight="1"/>
    <row r="429" ht="14.25" customHeight="1"/>
    <row r="430" ht="14.25" customHeight="1"/>
    <row r="431" ht="14.25" customHeight="1"/>
    <row r="432" ht="14.25" customHeight="1"/>
    <row r="433" ht="14.25" customHeight="1"/>
    <row r="434" ht="14.25" customHeight="1"/>
    <row r="435" ht="14.25" customHeight="1"/>
    <row r="436" ht="14.25" customHeight="1"/>
    <row r="437" ht="14.25" customHeight="1"/>
    <row r="438" ht="14.25" customHeight="1"/>
    <row r="439" ht="14.25" customHeight="1"/>
    <row r="440" ht="14.25" customHeight="1"/>
    <row r="441" ht="14.25" customHeight="1"/>
    <row r="442" ht="14.25" customHeight="1"/>
    <row r="443" ht="14.25" customHeight="1"/>
    <row r="444" ht="14.25" customHeight="1"/>
    <row r="445" ht="14.25" customHeight="1"/>
    <row r="446" ht="14.25" customHeight="1"/>
    <row r="447" ht="14.25" customHeight="1"/>
    <row r="448" ht="14.25" customHeight="1"/>
    <row r="449" ht="14.25" customHeight="1"/>
    <row r="450" ht="14.25" customHeight="1"/>
    <row r="451" ht="14.25" customHeight="1"/>
    <row r="452" ht="15.6"/>
    <row r="453" ht="15.6"/>
    <row r="454" ht="15.6"/>
    <row r="455" ht="15.6"/>
    <row r="456" ht="15.6"/>
    <row r="457" ht="15.6"/>
    <row r="458" ht="15.6"/>
    <row r="459" ht="15.6"/>
    <row r="460" ht="14.25" customHeight="1"/>
    <row r="461" ht="14.25" customHeight="1"/>
    <row r="462" ht="14.25" customHeight="1"/>
    <row r="463" ht="14.25" customHeight="1"/>
    <row r="464" ht="14.25" customHeight="1"/>
    <row r="465" ht="14.25" customHeight="1"/>
    <row r="466" ht="14.25" customHeight="1"/>
    <row r="467" ht="14.25" customHeight="1"/>
    <row r="468" ht="14.25" customHeight="1"/>
    <row r="469" ht="14.25" customHeight="1"/>
    <row r="470" ht="14.25" customHeight="1"/>
    <row r="471" ht="14.25" customHeight="1"/>
    <row r="472" ht="14.25" customHeight="1"/>
    <row r="473" ht="14.25" customHeight="1"/>
    <row r="474" ht="14.25" customHeight="1"/>
    <row r="475" ht="14.25" customHeight="1"/>
    <row r="476" ht="14.25" customHeight="1"/>
    <row r="477" ht="14.25" customHeight="1"/>
    <row r="478" ht="14.25" customHeight="1"/>
    <row r="479" ht="14.25" customHeight="1"/>
    <row r="480" ht="14.25" customHeight="1"/>
    <row r="481" ht="14.25" customHeight="1"/>
    <row r="482" ht="14.25" customHeight="1"/>
    <row r="483" ht="14.25" customHeight="1"/>
    <row r="484" ht="14.25" customHeight="1"/>
    <row r="485" ht="14.25" customHeight="1"/>
    <row r="486" ht="14.25" customHeight="1"/>
    <row r="487" ht="14.25" customHeight="1"/>
    <row r="488" ht="14.25" customHeight="1"/>
    <row r="489" ht="14.25" customHeight="1"/>
    <row r="490" ht="14.25" customHeight="1"/>
    <row r="491" ht="14.25" customHeight="1"/>
    <row r="492" ht="14.25" customHeight="1"/>
    <row r="493" ht="14.25" customHeight="1"/>
    <row r="494" ht="14.25" customHeight="1"/>
    <row r="495" ht="14.25" customHeight="1"/>
    <row r="496" ht="14.25" customHeight="1"/>
    <row r="497" ht="14.25" customHeight="1"/>
    <row r="498" ht="14.25" customHeight="1"/>
    <row r="499" ht="14.25" customHeight="1"/>
    <row r="500" ht="14.25" customHeight="1"/>
    <row r="501" ht="14.25" customHeight="1"/>
    <row r="502" ht="14.25" customHeight="1"/>
    <row r="503" ht="14.25" customHeight="1"/>
    <row r="504" ht="14.25" customHeight="1"/>
    <row r="505" ht="14.25" customHeight="1"/>
    <row r="506" ht="14.25" customHeight="1"/>
    <row r="507" ht="14.25" customHeight="1"/>
    <row r="508" ht="14.25" customHeight="1"/>
    <row r="509" ht="14.25" customHeight="1"/>
    <row r="510" ht="14.25" customHeight="1"/>
    <row r="511" ht="14.25" customHeight="1"/>
    <row r="512" ht="14.25" customHeight="1"/>
    <row r="513" ht="14.25" customHeight="1"/>
    <row r="514" ht="14.25" customHeight="1"/>
    <row r="515" ht="14.25" customHeight="1"/>
    <row r="516" ht="14.25" customHeight="1"/>
    <row r="517" ht="14.25" customHeight="1"/>
    <row r="518" ht="14.25" customHeight="1"/>
    <row r="519" ht="14.25" customHeight="1"/>
    <row r="520" ht="14.25" customHeight="1"/>
    <row r="521" ht="14.25" customHeight="1"/>
    <row r="522" ht="14.25" customHeight="1"/>
    <row r="523" ht="14.25" customHeight="1"/>
    <row r="524" ht="14.25" customHeight="1"/>
    <row r="525" ht="14.25" customHeight="1"/>
    <row r="526" ht="14.25" customHeight="1"/>
    <row r="527" ht="14.25" customHeight="1"/>
    <row r="528" ht="14.25" customHeight="1"/>
    <row r="529" ht="14.25" customHeight="1"/>
    <row r="530" ht="14.25" customHeight="1"/>
    <row r="531" ht="14.25" customHeight="1"/>
    <row r="532" ht="14.25" customHeight="1"/>
    <row r="533" ht="14.25" customHeight="1"/>
    <row r="534" ht="14.25" customHeight="1"/>
    <row r="535" ht="14.25" customHeight="1"/>
    <row r="536" ht="14.25" customHeight="1"/>
    <row r="537" ht="14.25" customHeight="1"/>
    <row r="538" ht="14.25" customHeight="1"/>
    <row r="539" ht="14.25" customHeight="1"/>
    <row r="540" ht="14.25" customHeight="1"/>
    <row r="541" ht="14.25" customHeight="1"/>
    <row r="542" ht="14.25" customHeight="1"/>
    <row r="543" ht="14.25" customHeight="1"/>
    <row r="544" ht="14.25" customHeight="1"/>
    <row r="545" ht="14.25" customHeight="1"/>
    <row r="546" ht="14.25" customHeight="1"/>
    <row r="547" ht="14.25" customHeight="1"/>
    <row r="548" ht="14.25" customHeight="1"/>
    <row r="549" ht="14.25" customHeight="1"/>
    <row r="550" ht="14.25" customHeight="1"/>
    <row r="551" ht="14.25" customHeight="1"/>
    <row r="552" ht="14.25" customHeight="1"/>
    <row r="553" ht="14.25" customHeight="1"/>
    <row r="554" ht="14.25" customHeight="1"/>
    <row r="555" ht="14.25" customHeight="1"/>
    <row r="556" ht="14.25" customHeight="1"/>
  </sheetData>
  <mergeCells count="18">
    <mergeCell ref="H7:H8"/>
    <mergeCell ref="I7:I8"/>
    <mergeCell ref="A6:B6"/>
    <mergeCell ref="D6:E6"/>
    <mergeCell ref="F6:G6"/>
    <mergeCell ref="A7:A23"/>
    <mergeCell ref="B7:B8"/>
    <mergeCell ref="C7:C8"/>
    <mergeCell ref="D7:F7"/>
    <mergeCell ref="G7:G8"/>
    <mergeCell ref="A5:B5"/>
    <mergeCell ref="D5:E5"/>
    <mergeCell ref="F5:G5"/>
    <mergeCell ref="A1:H1"/>
    <mergeCell ref="A2:H2"/>
    <mergeCell ref="A3:H3"/>
    <mergeCell ref="A4:B4"/>
    <mergeCell ref="C4:D4"/>
  </mergeCells>
  <phoneticPr fontId="51" type="noConversion"/>
  <hyperlinks>
    <hyperlink ref="J23" location="A109010企业所得税汇总纳税分支机构所得税分配表!A1" display="A109010企业所得税汇总纳税分支机构所得税分配表!A1"/>
  </hyperlinks>
  <printOptions horizontalCentered="1"/>
  <pageMargins left="0.78740157480314998" right="0.35433070866141703" top="0.511811023622047" bottom="0.11811023622047198" header="0.511811023622047" footer="0.511811023622047"/>
  <pageSetup paperSize="9" orientation="landscape" r:id="rId1"/>
  <headerFooter alignWithMargins="0"/>
</worksheet>
</file>

<file path=xl/worksheets/sheet6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85"/>
  <dimension ref="A1:L64"/>
  <sheetViews>
    <sheetView topLeftCell="A13" workbookViewId="0">
      <selection activeCell="E10" sqref="E10"/>
    </sheetView>
  </sheetViews>
  <sheetFormatPr defaultRowHeight="15.6"/>
  <cols>
    <col min="1" max="1" width="5" style="500" customWidth="1"/>
    <col min="2" max="2" width="31.09765625" style="500" customWidth="1"/>
    <col min="3" max="8" width="13.59765625" style="500" customWidth="1"/>
    <col min="9" max="9" width="30.5" customWidth="1"/>
  </cols>
  <sheetData>
    <row r="1" spans="1:12">
      <c r="A1" s="470"/>
      <c r="B1" s="470"/>
      <c r="C1" s="470"/>
      <c r="D1" s="470"/>
      <c r="E1" s="470"/>
      <c r="F1" s="470"/>
      <c r="G1" s="470"/>
      <c r="H1" s="2185" t="str">
        <f>"索引号："&amp;档案索引!A47</f>
        <v>索引号：2A-27</v>
      </c>
      <c r="I1" s="84"/>
      <c r="J1" s="84"/>
      <c r="K1" s="84"/>
    </row>
    <row r="2" spans="1:12" ht="22.2">
      <c r="A2" s="2707" t="s">
        <v>6501</v>
      </c>
      <c r="B2" s="2707"/>
      <c r="C2" s="2707"/>
      <c r="D2" s="2707"/>
      <c r="E2" s="2707"/>
      <c r="F2" s="2707"/>
      <c r="G2" s="2707"/>
      <c r="H2" s="2707"/>
      <c r="I2" s="84"/>
      <c r="J2" s="84"/>
      <c r="K2" s="84"/>
    </row>
    <row r="3" spans="1:12" ht="27.75" customHeight="1">
      <c r="A3" s="470"/>
      <c r="B3" s="3490" t="str">
        <f>"税款所属期间："&amp;基本情况!B7</f>
        <v>税款所属期间：2016年01月01日至2016年12月31日</v>
      </c>
      <c r="C3" s="3490"/>
      <c r="D3" s="3490"/>
      <c r="E3" s="3490"/>
      <c r="F3" s="2933" t="s">
        <v>933</v>
      </c>
      <c r="G3" s="2933"/>
      <c r="H3" s="2933"/>
      <c r="I3" s="84"/>
      <c r="J3" s="84"/>
      <c r="K3" s="84"/>
    </row>
    <row r="4" spans="1:12" ht="19.5" customHeight="1">
      <c r="A4" s="2894" t="s">
        <v>646</v>
      </c>
      <c r="B4" s="2894" t="s">
        <v>934</v>
      </c>
      <c r="C4" s="1717" t="s">
        <v>1252</v>
      </c>
      <c r="D4" s="1717" t="s">
        <v>935</v>
      </c>
      <c r="E4" s="1717" t="s">
        <v>936</v>
      </c>
      <c r="F4" s="1717" t="s">
        <v>1255</v>
      </c>
      <c r="G4" s="1717"/>
      <c r="H4" s="1717" t="s">
        <v>1523</v>
      </c>
      <c r="I4" s="84"/>
      <c r="J4" s="84"/>
      <c r="K4" s="84"/>
    </row>
    <row r="5" spans="1:12" ht="19.5" customHeight="1">
      <c r="A5" s="2894"/>
      <c r="B5" s="2894"/>
      <c r="C5" s="1717">
        <v>1</v>
      </c>
      <c r="D5" s="1717">
        <v>2</v>
      </c>
      <c r="E5" s="1717">
        <v>3</v>
      </c>
      <c r="F5" s="1717">
        <v>4</v>
      </c>
      <c r="G5" s="1717">
        <v>5</v>
      </c>
      <c r="H5" s="1717">
        <v>6</v>
      </c>
      <c r="I5" s="1060" t="s">
        <v>396</v>
      </c>
      <c r="J5" s="84"/>
      <c r="K5" s="84"/>
    </row>
    <row r="6" spans="1:12" ht="19.5" customHeight="1">
      <c r="A6" s="1717">
        <v>1</v>
      </c>
      <c r="B6" s="794" t="s">
        <v>937</v>
      </c>
      <c r="C6" s="1223"/>
      <c r="D6" s="1223"/>
      <c r="E6" s="1223"/>
      <c r="F6" s="1223"/>
      <c r="G6" s="1223"/>
      <c r="H6" s="1061">
        <f>E6-D6-G6</f>
        <v>0</v>
      </c>
      <c r="I6" s="84"/>
      <c r="J6" s="84"/>
      <c r="K6" s="84"/>
    </row>
    <row r="7" spans="1:12" ht="19.5" customHeight="1">
      <c r="A7" s="1717">
        <v>2</v>
      </c>
      <c r="B7" s="794" t="s">
        <v>1001</v>
      </c>
      <c r="C7" s="1223"/>
      <c r="D7" s="1223"/>
      <c r="E7" s="1223"/>
      <c r="F7" s="1223"/>
      <c r="G7" s="1223"/>
      <c r="H7" s="1061">
        <f>E7-D7-G7</f>
        <v>0</v>
      </c>
      <c r="I7" s="84"/>
      <c r="J7" s="84"/>
      <c r="K7" s="84"/>
    </row>
    <row r="8" spans="1:12" ht="19.5" customHeight="1">
      <c r="A8" s="1717">
        <v>3</v>
      </c>
      <c r="B8" s="794" t="s">
        <v>938</v>
      </c>
      <c r="C8" s="1223"/>
      <c r="D8" s="1223"/>
      <c r="E8" s="1223"/>
      <c r="F8" s="1223"/>
      <c r="G8" s="1223"/>
      <c r="H8" s="1061">
        <f t="shared" ref="H8:H21" si="0">E8-D8-G8</f>
        <v>0</v>
      </c>
      <c r="I8" s="84"/>
      <c r="J8" s="84"/>
      <c r="K8" s="84"/>
    </row>
    <row r="9" spans="1:12" ht="19.5" customHeight="1">
      <c r="A9" s="1717">
        <v>4</v>
      </c>
      <c r="B9" s="794" t="s">
        <v>939</v>
      </c>
      <c r="C9" s="1223"/>
      <c r="D9" s="1223"/>
      <c r="E9" s="1223"/>
      <c r="F9" s="1223"/>
      <c r="G9" s="1223"/>
      <c r="H9" s="1061">
        <f t="shared" si="0"/>
        <v>0</v>
      </c>
      <c r="I9" s="84"/>
      <c r="J9" s="84"/>
      <c r="K9" s="84"/>
    </row>
    <row r="10" spans="1:12" ht="19.5" customHeight="1">
      <c r="A10" s="1717">
        <v>5</v>
      </c>
      <c r="B10" s="794" t="s">
        <v>940</v>
      </c>
      <c r="C10" s="1223"/>
      <c r="D10" s="1062" t="s">
        <v>510</v>
      </c>
      <c r="E10" s="1223"/>
      <c r="F10" s="1223"/>
      <c r="G10" s="1223"/>
      <c r="H10" s="1224"/>
      <c r="I10" s="493" t="s">
        <v>941</v>
      </c>
      <c r="J10" s="84"/>
      <c r="K10" s="84"/>
    </row>
    <row r="11" spans="1:12" ht="19.5" customHeight="1">
      <c r="A11" s="1717">
        <v>6</v>
      </c>
      <c r="B11" s="794" t="s">
        <v>942</v>
      </c>
      <c r="C11" s="1223"/>
      <c r="D11" s="1223"/>
      <c r="E11" s="1223"/>
      <c r="F11" s="1223"/>
      <c r="G11" s="1223"/>
      <c r="H11" s="1061">
        <f t="shared" si="0"/>
        <v>0</v>
      </c>
      <c r="I11" s="84"/>
      <c r="J11" s="84"/>
      <c r="K11" s="84"/>
    </row>
    <row r="12" spans="1:12" ht="19.5" customHeight="1">
      <c r="A12" s="1717">
        <v>7</v>
      </c>
      <c r="B12" s="794" t="s">
        <v>943</v>
      </c>
      <c r="C12" s="1223"/>
      <c r="D12" s="1223"/>
      <c r="E12" s="1223"/>
      <c r="F12" s="1223"/>
      <c r="G12" s="1223"/>
      <c r="H12" s="1061">
        <f t="shared" si="0"/>
        <v>0</v>
      </c>
      <c r="I12" s="1725" t="s">
        <v>944</v>
      </c>
      <c r="J12" s="84"/>
      <c r="K12" s="84"/>
    </row>
    <row r="13" spans="1:12" ht="19.5" customHeight="1">
      <c r="A13" s="1717">
        <v>8</v>
      </c>
      <c r="B13" s="794" t="s">
        <v>945</v>
      </c>
      <c r="C13" s="1223"/>
      <c r="D13" s="1223"/>
      <c r="E13" s="1223"/>
      <c r="F13" s="1223"/>
      <c r="G13" s="1223"/>
      <c r="H13" s="1061">
        <f t="shared" si="0"/>
        <v>0</v>
      </c>
      <c r="I13" s="84" t="s">
        <v>457</v>
      </c>
      <c r="J13" s="84"/>
      <c r="K13" s="84"/>
    </row>
    <row r="14" spans="1:12" ht="19.5" customHeight="1">
      <c r="A14" s="1717">
        <v>9</v>
      </c>
      <c r="B14" s="794" t="s">
        <v>946</v>
      </c>
      <c r="C14" s="1223"/>
      <c r="D14" s="1223"/>
      <c r="E14" s="1223"/>
      <c r="F14" s="1223"/>
      <c r="G14" s="1223"/>
      <c r="H14" s="1061">
        <f t="shared" si="0"/>
        <v>0</v>
      </c>
      <c r="I14" s="3090" t="s">
        <v>947</v>
      </c>
      <c r="J14" s="3090"/>
      <c r="K14" s="3090"/>
      <c r="L14" s="673"/>
    </row>
    <row r="15" spans="1:12" ht="19.5" customHeight="1">
      <c r="A15" s="1717">
        <v>10</v>
      </c>
      <c r="B15" s="794" t="s">
        <v>948</v>
      </c>
      <c r="C15" s="1223"/>
      <c r="D15" s="1223"/>
      <c r="E15" s="1223"/>
      <c r="F15" s="1223"/>
      <c r="G15" s="1223"/>
      <c r="H15" s="1061">
        <f t="shared" si="0"/>
        <v>0</v>
      </c>
      <c r="I15" s="3090"/>
      <c r="J15" s="3090"/>
      <c r="K15" s="3090"/>
      <c r="L15" s="673"/>
    </row>
    <row r="16" spans="1:12" ht="19.5" customHeight="1">
      <c r="A16" s="1717">
        <v>11</v>
      </c>
      <c r="B16" s="794" t="s">
        <v>949</v>
      </c>
      <c r="C16" s="1223"/>
      <c r="D16" s="1223"/>
      <c r="E16" s="1223"/>
      <c r="F16" s="1223"/>
      <c r="G16" s="1223"/>
      <c r="H16" s="1061">
        <f t="shared" si="0"/>
        <v>0</v>
      </c>
      <c r="I16" s="1719"/>
      <c r="J16" s="592"/>
      <c r="K16" s="592"/>
      <c r="L16" s="673"/>
    </row>
    <row r="17" spans="1:11" ht="19.5" customHeight="1">
      <c r="A17" s="1717">
        <v>12</v>
      </c>
      <c r="B17" s="794" t="s">
        <v>950</v>
      </c>
      <c r="C17" s="1223"/>
      <c r="D17" s="1223"/>
      <c r="E17" s="1223"/>
      <c r="F17" s="1223"/>
      <c r="G17" s="1223"/>
      <c r="H17" s="1061">
        <f t="shared" si="0"/>
        <v>0</v>
      </c>
      <c r="I17" s="84"/>
      <c r="J17" s="84"/>
      <c r="K17" s="84"/>
    </row>
    <row r="18" spans="1:11" ht="19.5" customHeight="1">
      <c r="A18" s="1717">
        <v>13</v>
      </c>
      <c r="B18" s="794" t="s">
        <v>951</v>
      </c>
      <c r="C18" s="1223"/>
      <c r="D18" s="1223"/>
      <c r="E18" s="1223"/>
      <c r="F18" s="1223"/>
      <c r="G18" s="1223"/>
      <c r="H18" s="1061">
        <f t="shared" si="0"/>
        <v>0</v>
      </c>
      <c r="I18" s="84"/>
      <c r="J18" s="84"/>
      <c r="K18" s="84"/>
    </row>
    <row r="19" spans="1:11" ht="19.5" customHeight="1">
      <c r="A19" s="1717">
        <v>14</v>
      </c>
      <c r="B19" s="794" t="s">
        <v>952</v>
      </c>
      <c r="C19" s="1223"/>
      <c r="D19" s="1223"/>
      <c r="E19" s="1223"/>
      <c r="F19" s="1223"/>
      <c r="G19" s="1223"/>
      <c r="H19" s="1061">
        <f t="shared" si="0"/>
        <v>0</v>
      </c>
      <c r="I19" s="84"/>
      <c r="J19" s="84"/>
      <c r="K19" s="84"/>
    </row>
    <row r="20" spans="1:11" ht="19.5" customHeight="1">
      <c r="A20" s="1717">
        <v>15</v>
      </c>
      <c r="B20" s="794" t="s">
        <v>953</v>
      </c>
      <c r="C20" s="1223"/>
      <c r="D20" s="1223"/>
      <c r="E20" s="1223"/>
      <c r="F20" s="1223"/>
      <c r="G20" s="1223"/>
      <c r="H20" s="1061">
        <f t="shared" si="0"/>
        <v>0</v>
      </c>
      <c r="I20" s="84"/>
      <c r="J20" s="84"/>
      <c r="K20" s="84"/>
    </row>
    <row r="21" spans="1:11" ht="19.5" customHeight="1">
      <c r="A21" s="1717">
        <v>16</v>
      </c>
      <c r="B21" s="794" t="s">
        <v>1296</v>
      </c>
      <c r="C21" s="1223"/>
      <c r="D21" s="1223"/>
      <c r="E21" s="1223"/>
      <c r="F21" s="1223"/>
      <c r="G21" s="1223"/>
      <c r="H21" s="1061">
        <f t="shared" si="0"/>
        <v>0</v>
      </c>
      <c r="I21" s="84"/>
      <c r="J21" s="84"/>
      <c r="K21" s="84"/>
    </row>
    <row r="22" spans="1:11" ht="19.5" customHeight="1">
      <c r="A22" s="1717">
        <v>17</v>
      </c>
      <c r="B22" s="794" t="s">
        <v>703</v>
      </c>
      <c r="C22" s="1061">
        <f>SUM(C6:C21)</f>
        <v>0</v>
      </c>
      <c r="D22" s="1061">
        <f>SUM(D6:D21)</f>
        <v>0</v>
      </c>
      <c r="E22" s="1061">
        <f>SUM(E6:E21)</f>
        <v>0</v>
      </c>
      <c r="F22" s="1061">
        <f>SUM(F6:F21)</f>
        <v>0</v>
      </c>
      <c r="G22" s="2317"/>
      <c r="H22" s="1061">
        <f>SUM(H6:H21)</f>
        <v>0</v>
      </c>
      <c r="I22" s="84"/>
      <c r="J22" s="84"/>
      <c r="K22" s="84"/>
    </row>
    <row r="23" spans="1:11" s="501" customFormat="1">
      <c r="A23" s="1031"/>
      <c r="B23" s="1031"/>
      <c r="C23" s="1031"/>
      <c r="D23" s="1031"/>
      <c r="E23" s="1031"/>
      <c r="F23" s="1031"/>
      <c r="G23" s="1031"/>
      <c r="H23" s="1031"/>
    </row>
    <row r="24" spans="1:11" s="501" customFormat="1">
      <c r="A24" s="1031"/>
      <c r="B24" s="1031"/>
      <c r="C24" s="1031"/>
      <c r="D24" s="1031"/>
      <c r="E24" s="1031"/>
      <c r="F24" s="1031"/>
      <c r="G24" s="1031"/>
      <c r="H24" s="1031"/>
    </row>
    <row r="25" spans="1:11" s="501" customFormat="1">
      <c r="A25" s="1031"/>
      <c r="B25" s="1031"/>
      <c r="C25" s="1031"/>
      <c r="D25" s="1031"/>
      <c r="E25" s="1031"/>
      <c r="F25" s="1031"/>
      <c r="G25" s="1031"/>
      <c r="H25" s="1031"/>
    </row>
    <row r="26" spans="1:11" s="501" customFormat="1">
      <c r="A26" s="1031"/>
      <c r="B26" s="1031"/>
      <c r="C26" s="1031"/>
      <c r="D26" s="1031"/>
      <c r="E26" s="1031"/>
      <c r="F26" s="1031"/>
      <c r="G26" s="1031"/>
      <c r="H26" s="1031"/>
    </row>
    <row r="27" spans="1:11" s="501" customFormat="1">
      <c r="A27" s="1031"/>
      <c r="B27" s="1031"/>
      <c r="C27" s="1031"/>
      <c r="D27" s="1031"/>
      <c r="E27" s="1031"/>
      <c r="F27" s="1031"/>
      <c r="G27" s="1031"/>
      <c r="H27" s="1031"/>
    </row>
    <row r="28" spans="1:11" s="501" customFormat="1">
      <c r="A28" s="1031"/>
      <c r="B28" s="1031"/>
      <c r="C28" s="1031"/>
      <c r="D28" s="1031"/>
      <c r="E28" s="1031"/>
      <c r="F28" s="1031"/>
      <c r="G28" s="1031"/>
      <c r="H28" s="1031"/>
    </row>
    <row r="29" spans="1:11" s="501" customFormat="1">
      <c r="A29" s="1031"/>
      <c r="B29" s="1031"/>
      <c r="C29" s="1031"/>
      <c r="D29" s="1031"/>
      <c r="E29" s="1031"/>
      <c r="F29" s="1031"/>
      <c r="G29" s="1031"/>
      <c r="H29" s="1031"/>
    </row>
    <row r="30" spans="1:11" s="501" customFormat="1">
      <c r="A30" s="1031"/>
      <c r="B30" s="1031"/>
      <c r="C30" s="1031"/>
      <c r="D30" s="1031"/>
      <c r="E30" s="1031"/>
      <c r="F30" s="1031"/>
      <c r="G30" s="1031"/>
      <c r="H30" s="1031"/>
    </row>
    <row r="31" spans="1:11" s="501" customFormat="1">
      <c r="A31" s="1031"/>
      <c r="B31" s="1031"/>
      <c r="C31" s="1031"/>
      <c r="D31" s="1031"/>
      <c r="E31" s="1031"/>
      <c r="F31" s="1031"/>
      <c r="G31" s="1031"/>
      <c r="H31" s="1031"/>
    </row>
    <row r="32" spans="1:11" s="501" customFormat="1">
      <c r="A32" s="1031"/>
      <c r="B32" s="1031"/>
      <c r="C32" s="1031"/>
      <c r="D32" s="1031"/>
      <c r="E32" s="1031"/>
      <c r="F32" s="1031"/>
      <c r="G32" s="1031"/>
      <c r="H32" s="1031"/>
    </row>
    <row r="33" spans="1:8" s="501" customFormat="1">
      <c r="A33" s="1031"/>
      <c r="B33" s="1031"/>
      <c r="C33" s="1031"/>
      <c r="D33" s="1031"/>
      <c r="E33" s="1031"/>
      <c r="F33" s="1031"/>
      <c r="G33" s="1031"/>
      <c r="H33" s="1031"/>
    </row>
    <row r="34" spans="1:8" s="501" customFormat="1">
      <c r="A34" s="1031"/>
      <c r="B34" s="1031"/>
      <c r="C34" s="1031"/>
      <c r="D34" s="1031"/>
      <c r="E34" s="1031"/>
      <c r="F34" s="1031"/>
      <c r="G34" s="1031"/>
      <c r="H34" s="1031"/>
    </row>
    <row r="35" spans="1:8" s="501" customFormat="1">
      <c r="A35" s="1031"/>
      <c r="B35" s="1031"/>
      <c r="C35" s="1031"/>
      <c r="D35" s="1031"/>
      <c r="E35" s="1031"/>
      <c r="F35" s="1031"/>
      <c r="G35" s="1031"/>
      <c r="H35" s="1031"/>
    </row>
    <row r="36" spans="1:8" s="501" customFormat="1">
      <c r="A36" s="1031"/>
      <c r="B36" s="1031"/>
      <c r="C36" s="1031"/>
      <c r="D36" s="1031"/>
      <c r="E36" s="1031"/>
      <c r="F36" s="1031"/>
      <c r="G36" s="1031"/>
      <c r="H36" s="1031"/>
    </row>
    <row r="37" spans="1:8" s="501" customFormat="1">
      <c r="A37" s="1031"/>
      <c r="B37" s="1031"/>
      <c r="C37" s="1031"/>
      <c r="D37" s="1031"/>
      <c r="E37" s="1031"/>
      <c r="F37" s="1031"/>
      <c r="G37" s="1031"/>
      <c r="H37" s="1031"/>
    </row>
    <row r="38" spans="1:8" s="501" customFormat="1">
      <c r="A38" s="1031"/>
      <c r="B38" s="1031"/>
      <c r="C38" s="1031"/>
      <c r="D38" s="1031"/>
      <c r="E38" s="1031"/>
      <c r="F38" s="1031"/>
      <c r="G38" s="1031"/>
      <c r="H38" s="1031"/>
    </row>
    <row r="39" spans="1:8" s="501" customFormat="1">
      <c r="A39" s="1031"/>
      <c r="B39" s="1031"/>
      <c r="C39" s="1031"/>
      <c r="D39" s="1031"/>
      <c r="E39" s="1031"/>
      <c r="F39" s="1031"/>
      <c r="G39" s="1031"/>
      <c r="H39" s="1031"/>
    </row>
    <row r="40" spans="1:8" s="501" customFormat="1">
      <c r="A40" s="1031"/>
      <c r="B40" s="1031"/>
      <c r="C40" s="1031"/>
      <c r="D40" s="1031"/>
      <c r="E40" s="1031"/>
      <c r="F40" s="1031"/>
      <c r="G40" s="1031"/>
      <c r="H40" s="1031"/>
    </row>
    <row r="41" spans="1:8" s="501" customFormat="1">
      <c r="A41" s="1031"/>
      <c r="B41" s="1031"/>
      <c r="C41" s="1031"/>
      <c r="D41" s="1031"/>
      <c r="E41" s="1031"/>
      <c r="F41" s="1031"/>
      <c r="G41" s="1031"/>
      <c r="H41" s="1031"/>
    </row>
    <row r="42" spans="1:8" s="501" customFormat="1">
      <c r="A42" s="1031"/>
      <c r="B42" s="1031"/>
      <c r="C42" s="1031"/>
      <c r="D42" s="1031"/>
      <c r="E42" s="1031"/>
      <c r="F42" s="1031"/>
      <c r="G42" s="1031"/>
      <c r="H42" s="1031"/>
    </row>
    <row r="43" spans="1:8" s="501" customFormat="1">
      <c r="A43" s="1031"/>
      <c r="B43" s="1031"/>
      <c r="C43" s="1031"/>
      <c r="D43" s="1031"/>
      <c r="E43" s="1031"/>
      <c r="F43" s="1031"/>
      <c r="G43" s="1031"/>
      <c r="H43" s="1031"/>
    </row>
    <row r="44" spans="1:8" s="501" customFormat="1">
      <c r="A44" s="1031"/>
      <c r="B44" s="1031"/>
      <c r="C44" s="1031"/>
      <c r="D44" s="1031"/>
      <c r="E44" s="1031"/>
      <c r="F44" s="1031"/>
      <c r="G44" s="1031"/>
      <c r="H44" s="1031"/>
    </row>
    <row r="45" spans="1:8" s="501" customFormat="1">
      <c r="A45" s="1031"/>
      <c r="B45" s="1031"/>
      <c r="C45" s="1031"/>
      <c r="D45" s="1031"/>
      <c r="E45" s="1031"/>
      <c r="F45" s="1031"/>
      <c r="G45" s="1031"/>
      <c r="H45" s="1031"/>
    </row>
    <row r="46" spans="1:8" s="501" customFormat="1">
      <c r="A46" s="1031"/>
      <c r="B46" s="1031"/>
      <c r="C46" s="1031"/>
      <c r="D46" s="1031"/>
      <c r="E46" s="1031"/>
      <c r="F46" s="1031"/>
      <c r="G46" s="1031"/>
      <c r="H46" s="1031"/>
    </row>
    <row r="47" spans="1:8" s="501" customFormat="1">
      <c r="A47" s="1031"/>
      <c r="B47" s="1031"/>
      <c r="C47" s="1031"/>
      <c r="D47" s="1031"/>
      <c r="E47" s="1031"/>
      <c r="F47" s="1031"/>
      <c r="G47" s="1031"/>
      <c r="H47" s="1031"/>
    </row>
    <row r="48" spans="1:8" s="501" customFormat="1">
      <c r="A48" s="1031"/>
      <c r="B48" s="1031"/>
      <c r="C48" s="1031"/>
      <c r="D48" s="1031"/>
      <c r="E48" s="1031"/>
      <c r="F48" s="1031"/>
      <c r="G48" s="1031"/>
      <c r="H48" s="1031"/>
    </row>
    <row r="49" spans="1:8" s="501" customFormat="1">
      <c r="A49" s="1031"/>
      <c r="B49" s="1031"/>
      <c r="C49" s="1031"/>
      <c r="D49" s="1031"/>
      <c r="E49" s="1031"/>
      <c r="F49" s="1031"/>
      <c r="G49" s="1031"/>
      <c r="H49" s="1031"/>
    </row>
    <row r="50" spans="1:8" s="501" customFormat="1">
      <c r="A50" s="1031"/>
      <c r="B50" s="1031"/>
      <c r="C50" s="1031"/>
      <c r="D50" s="1031"/>
      <c r="E50" s="1031"/>
      <c r="F50" s="1031"/>
      <c r="G50" s="1031"/>
      <c r="H50" s="1031"/>
    </row>
    <row r="51" spans="1:8" s="501" customFormat="1">
      <c r="A51" s="1031"/>
      <c r="B51" s="1031"/>
      <c r="C51" s="1031"/>
      <c r="D51" s="1031"/>
      <c r="E51" s="1031"/>
      <c r="F51" s="1031"/>
      <c r="G51" s="1031"/>
      <c r="H51" s="1031"/>
    </row>
    <row r="52" spans="1:8" s="501" customFormat="1">
      <c r="A52" s="1031"/>
      <c r="B52" s="1031"/>
      <c r="C52" s="1031"/>
      <c r="D52" s="1031"/>
      <c r="E52" s="1031"/>
      <c r="F52" s="1031"/>
      <c r="G52" s="1031"/>
      <c r="H52" s="1031"/>
    </row>
    <row r="53" spans="1:8" s="501" customFormat="1">
      <c r="A53" s="1031"/>
      <c r="B53" s="1031"/>
      <c r="C53" s="1031"/>
      <c r="D53" s="1031"/>
      <c r="E53" s="1031"/>
      <c r="F53" s="1031"/>
      <c r="G53" s="1031"/>
      <c r="H53" s="1031"/>
    </row>
    <row r="54" spans="1:8" s="501" customFormat="1">
      <c r="A54" s="1031"/>
      <c r="B54" s="1031"/>
      <c r="C54" s="1031"/>
      <c r="D54" s="1031"/>
      <c r="E54" s="1031"/>
      <c r="F54" s="1031"/>
      <c r="G54" s="1031"/>
      <c r="H54" s="1031"/>
    </row>
    <row r="55" spans="1:8" s="501" customFormat="1">
      <c r="A55" s="1031"/>
      <c r="B55" s="1031"/>
      <c r="C55" s="1031"/>
      <c r="D55" s="1031"/>
      <c r="E55" s="1031"/>
      <c r="F55" s="1031"/>
      <c r="G55" s="1031"/>
      <c r="H55" s="1031"/>
    </row>
    <row r="56" spans="1:8" s="501" customFormat="1">
      <c r="A56" s="1031"/>
      <c r="B56" s="1031"/>
      <c r="C56" s="1031"/>
      <c r="D56" s="1031"/>
      <c r="E56" s="1031"/>
      <c r="F56" s="1031"/>
      <c r="G56" s="1031"/>
      <c r="H56" s="1031"/>
    </row>
    <row r="57" spans="1:8" s="501" customFormat="1">
      <c r="A57" s="1031"/>
      <c r="B57" s="1031"/>
      <c r="C57" s="1031"/>
      <c r="D57" s="1031"/>
      <c r="E57" s="1031"/>
      <c r="F57" s="1031"/>
      <c r="G57" s="1031"/>
      <c r="H57" s="1031"/>
    </row>
    <row r="58" spans="1:8" s="501" customFormat="1">
      <c r="A58" s="1031"/>
      <c r="B58" s="1031"/>
      <c r="C58" s="1031"/>
      <c r="D58" s="1031"/>
      <c r="E58" s="1031"/>
      <c r="F58" s="1031"/>
      <c r="G58" s="1031"/>
      <c r="H58" s="1031"/>
    </row>
    <row r="59" spans="1:8" s="501" customFormat="1">
      <c r="A59" s="1031"/>
      <c r="B59" s="1031"/>
      <c r="C59" s="1031"/>
      <c r="D59" s="1031"/>
      <c r="E59" s="1031"/>
      <c r="F59" s="1031"/>
      <c r="G59" s="1031"/>
      <c r="H59" s="1031"/>
    </row>
    <row r="60" spans="1:8" s="501" customFormat="1">
      <c r="A60" s="1031"/>
      <c r="B60" s="1031"/>
      <c r="C60" s="1031"/>
      <c r="D60" s="1031"/>
      <c r="E60" s="1031"/>
      <c r="F60" s="1031"/>
      <c r="G60" s="1031"/>
      <c r="H60" s="1031"/>
    </row>
    <row r="61" spans="1:8" s="501" customFormat="1">
      <c r="A61" s="1031"/>
      <c r="B61" s="1031"/>
      <c r="C61" s="1031"/>
      <c r="D61" s="1031"/>
      <c r="E61" s="1031"/>
      <c r="F61" s="1031"/>
      <c r="G61" s="1031"/>
      <c r="H61" s="1031"/>
    </row>
    <row r="62" spans="1:8" s="501" customFormat="1">
      <c r="A62" s="1031"/>
      <c r="B62" s="1031"/>
      <c r="C62" s="1031"/>
      <c r="D62" s="1031"/>
      <c r="E62" s="1031"/>
      <c r="F62" s="1031"/>
      <c r="G62" s="1031"/>
      <c r="H62" s="1031"/>
    </row>
    <row r="63" spans="1:8" s="501" customFormat="1">
      <c r="A63" s="1031"/>
      <c r="B63" s="1031"/>
      <c r="C63" s="1031"/>
      <c r="D63" s="1031"/>
      <c r="E63" s="1031"/>
      <c r="F63" s="1031"/>
      <c r="G63" s="1031"/>
      <c r="H63" s="1031"/>
    </row>
    <row r="64" spans="1:8" s="501" customFormat="1">
      <c r="A64" s="1031"/>
      <c r="B64" s="1031"/>
      <c r="C64" s="1031"/>
      <c r="D64" s="1031"/>
      <c r="E64" s="1031"/>
      <c r="F64" s="1031"/>
      <c r="G64" s="1031"/>
      <c r="H64" s="1031"/>
    </row>
  </sheetData>
  <sheetProtection selectLockedCells="1" selectUnlockedCells="1"/>
  <mergeCells count="6">
    <mergeCell ref="I14:K15"/>
    <mergeCell ref="A2:H2"/>
    <mergeCell ref="B3:E3"/>
    <mergeCell ref="F3:H3"/>
    <mergeCell ref="A4:A5"/>
    <mergeCell ref="B4:B5"/>
  </mergeCells>
  <phoneticPr fontId="51" type="noConversion"/>
  <hyperlinks>
    <hyperlink ref="I10" location="其他事项!B17" display="其他事项!B17"/>
    <hyperlink ref="I12" location="纳税调整明细表!G56" display="纳税调整明细表!G56"/>
  </hyperlinks>
  <pageMargins left="0.78740157480314998" right="0.35433070866141703" top="0.511811023622047" bottom="0.11811023622047198" header="0.511811023622047" footer="0.511811023622047"/>
  <pageSetup paperSize="9" firstPageNumber="0" orientation="landscape" blackAndWhite="1" r:id="rId1"/>
  <headerFooter alignWithMargins="0"/>
</worksheet>
</file>

<file path=xl/worksheets/sheet6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84"/>
  <dimension ref="A1:M17"/>
  <sheetViews>
    <sheetView workbookViewId="0">
      <selection activeCell="F9" sqref="F9"/>
    </sheetView>
  </sheetViews>
  <sheetFormatPr defaultRowHeight="15.6"/>
  <cols>
    <col min="1" max="1" width="3.69921875" customWidth="1"/>
    <col min="2" max="2" width="46.19921875" customWidth="1"/>
    <col min="3" max="7" width="14.69921875" customWidth="1"/>
    <col min="8" max="8" width="12.19921875" customWidth="1"/>
  </cols>
  <sheetData>
    <row r="1" spans="1:13">
      <c r="A1" s="470"/>
      <c r="B1" s="470"/>
      <c r="C1" s="470"/>
      <c r="D1" s="470"/>
      <c r="E1" s="470"/>
      <c r="F1" s="470"/>
      <c r="G1" s="2185" t="str">
        <f>"索引号："&amp;档案索引!A48</f>
        <v>索引号：2A-28</v>
      </c>
      <c r="H1" s="84"/>
      <c r="I1" s="84"/>
      <c r="J1" s="84"/>
      <c r="K1" s="84"/>
      <c r="L1" s="84"/>
      <c r="M1" s="84"/>
    </row>
    <row r="2" spans="1:13" ht="22.2">
      <c r="A2" s="2707" t="s">
        <v>6102</v>
      </c>
      <c r="B2" s="2707"/>
      <c r="C2" s="2707"/>
      <c r="D2" s="2707"/>
      <c r="E2" s="2707"/>
      <c r="F2" s="2707"/>
      <c r="G2" s="2707"/>
      <c r="H2" s="84"/>
      <c r="I2" s="84"/>
      <c r="J2" s="84"/>
      <c r="K2" s="84"/>
      <c r="L2" s="84"/>
      <c r="M2" s="84"/>
    </row>
    <row r="3" spans="1:13">
      <c r="A3" s="470"/>
      <c r="B3" s="3239"/>
      <c r="C3" s="3239"/>
      <c r="D3" s="3239"/>
      <c r="E3" s="3239"/>
      <c r="F3" s="470"/>
      <c r="G3" s="470"/>
      <c r="H3" s="84"/>
      <c r="I3" s="84"/>
      <c r="J3" s="84"/>
      <c r="K3" s="84"/>
      <c r="L3" s="84"/>
      <c r="M3" s="84"/>
    </row>
    <row r="4" spans="1:13">
      <c r="A4" s="470"/>
      <c r="B4" s="3491" t="str">
        <f>"税款所属期间："&amp;基本情况!B7</f>
        <v>税款所属期间：2016年01月01日至2016年12月31日</v>
      </c>
      <c r="C4" s="3491"/>
      <c r="D4" s="3491"/>
      <c r="E4" s="3491"/>
      <c r="F4" s="3492" t="s">
        <v>109</v>
      </c>
      <c r="G4" s="3492"/>
      <c r="H4" s="84"/>
      <c r="I4" s="84"/>
      <c r="J4" s="84"/>
      <c r="K4" s="84"/>
      <c r="L4" s="84"/>
      <c r="M4" s="84"/>
    </row>
    <row r="5" spans="1:13" ht="15.15" customHeight="1">
      <c r="A5" s="2894" t="s">
        <v>646</v>
      </c>
      <c r="B5" s="2894" t="s">
        <v>110</v>
      </c>
      <c r="C5" s="2894" t="s">
        <v>111</v>
      </c>
      <c r="D5" s="2894"/>
      <c r="E5" s="2894" t="s">
        <v>112</v>
      </c>
      <c r="F5" s="2894"/>
      <c r="G5" s="2959" t="s">
        <v>113</v>
      </c>
      <c r="H5" s="84"/>
      <c r="I5" s="84"/>
      <c r="J5" s="84"/>
      <c r="K5" s="84"/>
      <c r="L5" s="84"/>
      <c r="M5" s="84"/>
    </row>
    <row r="6" spans="1:13" ht="35.25" customHeight="1">
      <c r="A6" s="2894"/>
      <c r="B6" s="2894"/>
      <c r="C6" s="1678" t="s">
        <v>114</v>
      </c>
      <c r="D6" s="1677" t="s">
        <v>1256</v>
      </c>
      <c r="E6" s="1678" t="s">
        <v>114</v>
      </c>
      <c r="F6" s="1677" t="s">
        <v>1256</v>
      </c>
      <c r="G6" s="2959"/>
      <c r="H6" s="84"/>
      <c r="I6" s="84"/>
      <c r="J6" s="84"/>
      <c r="K6" s="84"/>
      <c r="L6" s="84"/>
      <c r="M6" s="84"/>
    </row>
    <row r="7" spans="1:13" ht="21" customHeight="1">
      <c r="A7" s="2894"/>
      <c r="B7" s="2894"/>
      <c r="C7" s="1677">
        <v>1</v>
      </c>
      <c r="D7" s="1677">
        <v>2</v>
      </c>
      <c r="E7" s="1677">
        <v>3</v>
      </c>
      <c r="F7" s="1677">
        <v>4</v>
      </c>
      <c r="G7" s="1677">
        <v>5</v>
      </c>
      <c r="H7" s="1060" t="s">
        <v>396</v>
      </c>
      <c r="I7" s="84"/>
      <c r="J7" s="84"/>
      <c r="K7" s="84"/>
      <c r="L7" s="84"/>
      <c r="M7" s="84"/>
    </row>
    <row r="8" spans="1:13" ht="25.5" customHeight="1">
      <c r="A8" s="1677">
        <v>1</v>
      </c>
      <c r="B8" s="794" t="s">
        <v>115</v>
      </c>
      <c r="C8" s="1061">
        <f>SUM(C9:C11)</f>
        <v>0</v>
      </c>
      <c r="D8" s="1061">
        <f>SUM(D9:D11)</f>
        <v>0</v>
      </c>
      <c r="E8" s="1061">
        <f>SUM(E9:E11)</f>
        <v>0</v>
      </c>
      <c r="F8" s="1061">
        <f>SUM(F9:F11)</f>
        <v>0</v>
      </c>
      <c r="G8" s="1061">
        <f>(F8-D8)-(E8-C8)</f>
        <v>0</v>
      </c>
      <c r="H8" s="84"/>
      <c r="I8" s="84"/>
      <c r="J8" s="84"/>
      <c r="K8" s="84"/>
      <c r="L8" s="84"/>
      <c r="M8" s="84"/>
    </row>
    <row r="9" spans="1:13" ht="25.5" customHeight="1">
      <c r="A9" s="1677">
        <v>2</v>
      </c>
      <c r="B9" s="794" t="s">
        <v>116</v>
      </c>
      <c r="C9" s="1225"/>
      <c r="D9" s="1225"/>
      <c r="E9" s="1225"/>
      <c r="F9" s="1225"/>
      <c r="G9" s="1061">
        <f t="shared" ref="G9:G16" si="0">(F9-D9)-(E9-C9)</f>
        <v>0</v>
      </c>
      <c r="H9" s="2445" t="s">
        <v>5989</v>
      </c>
      <c r="I9" s="84"/>
      <c r="J9" s="84"/>
      <c r="K9" s="84"/>
      <c r="L9" s="84"/>
      <c r="M9" s="84"/>
    </row>
    <row r="10" spans="1:13" ht="25.5" customHeight="1">
      <c r="A10" s="1677">
        <v>3</v>
      </c>
      <c r="B10" s="794" t="s">
        <v>117</v>
      </c>
      <c r="C10" s="1225"/>
      <c r="D10" s="1225"/>
      <c r="E10" s="1225"/>
      <c r="F10" s="1225"/>
      <c r="G10" s="1061">
        <f t="shared" si="0"/>
        <v>0</v>
      </c>
      <c r="H10" s="84"/>
      <c r="I10" s="84"/>
      <c r="J10" s="84"/>
      <c r="K10" s="84"/>
      <c r="L10" s="84"/>
      <c r="M10" s="84"/>
    </row>
    <row r="11" spans="1:13" ht="25.5" customHeight="1">
      <c r="A11" s="1677">
        <v>4</v>
      </c>
      <c r="B11" s="794" t="s">
        <v>118</v>
      </c>
      <c r="C11" s="1225"/>
      <c r="D11" s="1225"/>
      <c r="E11" s="1225"/>
      <c r="F11" s="1225"/>
      <c r="G11" s="1061">
        <f t="shared" si="0"/>
        <v>0</v>
      </c>
      <c r="H11" s="84" t="s">
        <v>457</v>
      </c>
      <c r="I11" s="84"/>
      <c r="J11" s="84"/>
      <c r="K11" s="84"/>
      <c r="L11" s="84"/>
      <c r="M11" s="84"/>
    </row>
    <row r="12" spans="1:13" ht="25.5" customHeight="1">
      <c r="A12" s="1677">
        <v>5</v>
      </c>
      <c r="B12" s="794" t="s">
        <v>119</v>
      </c>
      <c r="C12" s="1061">
        <f>SUM(C13:C15)</f>
        <v>0</v>
      </c>
      <c r="D12" s="1061">
        <f>SUM(D13:D15)</f>
        <v>0</v>
      </c>
      <c r="E12" s="1061">
        <f>SUM(E13:E15)</f>
        <v>0</v>
      </c>
      <c r="F12" s="1061">
        <f>SUM(F13:F15)</f>
        <v>0</v>
      </c>
      <c r="G12" s="1061">
        <f>(D12-F12)-(C12-E12)</f>
        <v>0</v>
      </c>
      <c r="H12" s="3090" t="s">
        <v>120</v>
      </c>
      <c r="I12" s="3090"/>
      <c r="J12" s="3090"/>
      <c r="K12" s="3090"/>
      <c r="L12" s="3090"/>
      <c r="M12" s="3090"/>
    </row>
    <row r="13" spans="1:13" ht="25.5" customHeight="1">
      <c r="A13" s="1677">
        <v>6</v>
      </c>
      <c r="B13" s="794" t="s">
        <v>121</v>
      </c>
      <c r="C13" s="1225"/>
      <c r="D13" s="1225"/>
      <c r="E13" s="1225"/>
      <c r="F13" s="1225"/>
      <c r="G13" s="1061">
        <f>(D13-F13)-(C13-E13)</f>
        <v>0</v>
      </c>
      <c r="H13" s="3090"/>
      <c r="I13" s="3090"/>
      <c r="J13" s="3090"/>
      <c r="K13" s="3090"/>
      <c r="L13" s="3090"/>
      <c r="M13" s="3090"/>
    </row>
    <row r="14" spans="1:13" ht="25.5" customHeight="1">
      <c r="A14" s="1677">
        <v>7</v>
      </c>
      <c r="B14" s="794" t="s">
        <v>117</v>
      </c>
      <c r="C14" s="1225"/>
      <c r="D14" s="1225"/>
      <c r="E14" s="1225"/>
      <c r="F14" s="1225"/>
      <c r="G14" s="1061">
        <f>(D14-F14)-(C14-E14)</f>
        <v>0</v>
      </c>
      <c r="H14" s="3090" t="s">
        <v>122</v>
      </c>
      <c r="I14" s="3090"/>
      <c r="J14" s="3090"/>
      <c r="K14" s="3090"/>
      <c r="L14" s="3090"/>
      <c r="M14" s="3090"/>
    </row>
    <row r="15" spans="1:13" ht="25.5" customHeight="1">
      <c r="A15" s="1677">
        <v>8</v>
      </c>
      <c r="B15" s="794" t="s">
        <v>123</v>
      </c>
      <c r="C15" s="1225"/>
      <c r="D15" s="1225"/>
      <c r="E15" s="1225"/>
      <c r="F15" s="1225"/>
      <c r="G15" s="1061">
        <f>(D15-F15)-(C15-E15)</f>
        <v>0</v>
      </c>
      <c r="H15" s="84"/>
      <c r="I15" s="84"/>
      <c r="J15" s="84"/>
      <c r="K15" s="84"/>
      <c r="L15" s="84"/>
      <c r="M15" s="84"/>
    </row>
    <row r="16" spans="1:13" ht="25.5" customHeight="1">
      <c r="A16" s="1677">
        <v>9</v>
      </c>
      <c r="B16" s="794" t="s">
        <v>124</v>
      </c>
      <c r="C16" s="1225"/>
      <c r="D16" s="1225"/>
      <c r="E16" s="1225"/>
      <c r="F16" s="1225"/>
      <c r="G16" s="1061">
        <f t="shared" si="0"/>
        <v>0</v>
      </c>
      <c r="H16" s="84"/>
      <c r="I16" s="84"/>
      <c r="J16" s="84"/>
      <c r="K16" s="84"/>
      <c r="L16" s="84"/>
      <c r="M16" s="84"/>
    </row>
    <row r="17" spans="1:13" ht="29.25" customHeight="1">
      <c r="A17" s="1677">
        <v>10</v>
      </c>
      <c r="B17" s="794" t="s">
        <v>703</v>
      </c>
      <c r="C17" s="1061">
        <f>C8+C12+C16</f>
        <v>0</v>
      </c>
      <c r="D17" s="1061">
        <f>D8+D12+D16</f>
        <v>0</v>
      </c>
      <c r="E17" s="1061">
        <f>E8+E12+E16</f>
        <v>0</v>
      </c>
      <c r="F17" s="1061">
        <f>F8+F12+F16</f>
        <v>0</v>
      </c>
      <c r="G17" s="1061">
        <f>G8+G12+G16</f>
        <v>0</v>
      </c>
      <c r="H17" s="84"/>
      <c r="I17" s="84"/>
      <c r="J17" s="84"/>
      <c r="K17" s="84"/>
      <c r="L17" s="84"/>
      <c r="M17" s="84"/>
    </row>
  </sheetData>
  <sheetProtection selectLockedCells="1" selectUnlockedCells="1"/>
  <mergeCells count="11">
    <mergeCell ref="H12:M13"/>
    <mergeCell ref="H14:M14"/>
    <mergeCell ref="A2:G2"/>
    <mergeCell ref="B3:E3"/>
    <mergeCell ref="B4:E4"/>
    <mergeCell ref="F4:G4"/>
    <mergeCell ref="A5:A7"/>
    <mergeCell ref="B5:B7"/>
    <mergeCell ref="C5:D5"/>
    <mergeCell ref="E5:F5"/>
    <mergeCell ref="G5:G6"/>
  </mergeCells>
  <phoneticPr fontId="51" type="noConversion"/>
  <hyperlinks>
    <hyperlink ref="H9" location="利润!A25" display="利润"/>
  </hyperlinks>
  <pageMargins left="0.78740157480314998" right="0.35433070866141703" top="0.511811023622047" bottom="0.11811023622047198" header="0.511811023622047" footer="0.511811023622047"/>
  <pageSetup paperSize="9" firstPageNumber="0" orientation="landscape" blackAndWhite="1" r:id="rId1"/>
  <headerFooter alignWithMargins="0"/>
</worksheet>
</file>

<file path=xl/worksheets/sheet7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40"/>
  <dimension ref="A1:M67"/>
  <sheetViews>
    <sheetView showGridLines="0" showRowColHeaders="0" topLeftCell="D1" workbookViewId="0">
      <selection activeCell="H23" sqref="H23"/>
    </sheetView>
  </sheetViews>
  <sheetFormatPr defaultColWidth="9" defaultRowHeight="15.6"/>
  <cols>
    <col min="1" max="1" width="3.8984375" style="796" customWidth="1"/>
    <col min="2" max="2" width="16.5" style="797" customWidth="1"/>
    <col min="3" max="3" width="22.8984375" style="797" customWidth="1"/>
    <col min="4" max="4" width="27.5" style="797" customWidth="1"/>
    <col min="5" max="5" width="20.3984375" style="797" customWidth="1"/>
    <col min="6" max="7" width="21.19921875" style="797" customWidth="1"/>
    <col min="8" max="8" width="18.59765625" style="797" customWidth="1"/>
    <col min="9" max="9" width="21.19921875" style="797" customWidth="1"/>
    <col min="10" max="10" width="16.8984375" style="797" customWidth="1"/>
    <col min="11" max="12" width="25.5" style="796" customWidth="1"/>
    <col min="13" max="16384" width="9" style="796"/>
  </cols>
  <sheetData>
    <row r="1" spans="1:13" ht="25.8">
      <c r="C1" s="798"/>
      <c r="D1" s="798"/>
      <c r="E1" s="798"/>
      <c r="F1" s="798"/>
      <c r="G1" s="798"/>
      <c r="H1" s="798"/>
      <c r="I1" s="798"/>
      <c r="J1" s="1092"/>
      <c r="K1" s="799"/>
      <c r="L1" s="799"/>
      <c r="M1" s="799"/>
    </row>
    <row r="3" spans="1:13" ht="17.399999999999999">
      <c r="H3" s="2464" t="str">
        <f>首页!A1</f>
        <v>V20170422</v>
      </c>
    </row>
    <row r="4" spans="1:13" ht="14.25" customHeight="1" thickBot="1">
      <c r="B4" s="800" t="s">
        <v>50</v>
      </c>
      <c r="C4" s="3493" t="s">
        <v>51</v>
      </c>
      <c r="D4" s="3493"/>
      <c r="E4" s="3493"/>
      <c r="F4" s="3493"/>
      <c r="G4" s="3493"/>
      <c r="H4" s="3493"/>
      <c r="I4" s="3493"/>
      <c r="J4" s="801"/>
      <c r="K4" s="802"/>
      <c r="L4" s="803"/>
    </row>
    <row r="5" spans="1:13" s="804" customFormat="1" ht="19.5" customHeight="1" thickBot="1">
      <c r="B5" s="3494" t="s">
        <v>52</v>
      </c>
      <c r="C5" s="3505" t="s">
        <v>53</v>
      </c>
      <c r="D5" s="3503"/>
      <c r="E5" s="3504"/>
      <c r="F5" s="3499" t="s">
        <v>6434</v>
      </c>
      <c r="G5" s="3500"/>
      <c r="H5" s="3503" t="s">
        <v>53</v>
      </c>
      <c r="I5" s="3504"/>
      <c r="J5" s="3495" t="s">
        <v>6431</v>
      </c>
      <c r="K5" s="805"/>
      <c r="L5" s="806"/>
    </row>
    <row r="6" spans="1:13" s="804" customFormat="1" ht="19.5" customHeight="1">
      <c r="B6" s="3494"/>
      <c r="C6" s="3497" t="s">
        <v>54</v>
      </c>
      <c r="D6" s="3498"/>
      <c r="E6" s="807" t="s">
        <v>55</v>
      </c>
      <c r="F6" s="3501"/>
      <c r="G6" s="3502"/>
      <c r="H6" s="1770" t="s">
        <v>33</v>
      </c>
      <c r="I6" s="808" t="s">
        <v>56</v>
      </c>
      <c r="J6" s="3496"/>
      <c r="K6" s="805"/>
      <c r="L6" s="806"/>
    </row>
    <row r="7" spans="1:13" s="804" customFormat="1" ht="14.25" customHeight="1">
      <c r="A7" s="809"/>
      <c r="B7" s="2114" t="s">
        <v>57</v>
      </c>
      <c r="C7" s="2115" t="s">
        <v>58</v>
      </c>
      <c r="D7" s="2115" t="s">
        <v>5952</v>
      </c>
      <c r="E7" s="2116" t="s">
        <v>296</v>
      </c>
      <c r="F7" s="2117" t="s">
        <v>7697</v>
      </c>
      <c r="G7" s="2117" t="s">
        <v>4898</v>
      </c>
      <c r="H7" s="2118" t="s">
        <v>339</v>
      </c>
      <c r="I7" s="2116" t="s">
        <v>362</v>
      </c>
      <c r="J7" s="2119" t="s">
        <v>59</v>
      </c>
      <c r="K7" s="796"/>
      <c r="L7" s="806"/>
    </row>
    <row r="8" spans="1:13" s="804" customFormat="1" ht="14.25" customHeight="1">
      <c r="A8" s="809"/>
      <c r="B8" s="2114" t="s">
        <v>60</v>
      </c>
      <c r="C8" s="2115" t="s">
        <v>1330</v>
      </c>
      <c r="D8" s="2115" t="s">
        <v>5953</v>
      </c>
      <c r="E8" s="2116" t="s">
        <v>670</v>
      </c>
      <c r="F8" s="2120" t="s">
        <v>2478</v>
      </c>
      <c r="G8" s="2117" t="s">
        <v>4974</v>
      </c>
      <c r="H8" s="2118" t="s">
        <v>61</v>
      </c>
      <c r="I8" s="2115" t="s">
        <v>366</v>
      </c>
      <c r="J8" s="2119" t="s">
        <v>651</v>
      </c>
      <c r="K8" s="796"/>
      <c r="L8" s="806"/>
    </row>
    <row r="9" spans="1:13" s="804" customFormat="1" ht="14.25" customHeight="1">
      <c r="A9" s="809"/>
      <c r="B9" s="2114" t="s">
        <v>62</v>
      </c>
      <c r="C9" s="2115" t="s">
        <v>63</v>
      </c>
      <c r="D9" s="2115" t="s">
        <v>5954</v>
      </c>
      <c r="E9" s="2116" t="s">
        <v>64</v>
      </c>
      <c r="F9" s="2121" t="s">
        <v>1632</v>
      </c>
      <c r="G9" s="2117" t="s">
        <v>5014</v>
      </c>
      <c r="H9" s="2118" t="s">
        <v>343</v>
      </c>
      <c r="I9" s="2115" t="s">
        <v>370</v>
      </c>
      <c r="J9" s="2119" t="s">
        <v>400</v>
      </c>
      <c r="K9" s="796"/>
      <c r="L9" s="806"/>
    </row>
    <row r="10" spans="1:13" s="804" customFormat="1" ht="14.25" customHeight="1">
      <c r="A10" s="809"/>
      <c r="B10" s="2114" t="s">
        <v>447</v>
      </c>
      <c r="C10" s="2115" t="s">
        <v>65</v>
      </c>
      <c r="D10" s="2115" t="s">
        <v>5955</v>
      </c>
      <c r="E10" s="2116" t="s">
        <v>1297</v>
      </c>
      <c r="F10" s="2117" t="s">
        <v>1857</v>
      </c>
      <c r="G10" s="2117" t="s">
        <v>5454</v>
      </c>
      <c r="H10" s="2118" t="s">
        <v>347</v>
      </c>
      <c r="I10" s="2122" t="s">
        <v>66</v>
      </c>
      <c r="J10" s="2119" t="s">
        <v>1539</v>
      </c>
      <c r="K10" s="796"/>
      <c r="L10" s="806"/>
    </row>
    <row r="11" spans="1:13" s="804" customFormat="1" ht="14.25" customHeight="1">
      <c r="A11" s="809"/>
      <c r="B11" s="2114" t="s">
        <v>67</v>
      </c>
      <c r="C11" s="2115" t="s">
        <v>353</v>
      </c>
      <c r="D11" s="2115" t="s">
        <v>5956</v>
      </c>
      <c r="E11" s="2116" t="s">
        <v>68</v>
      </c>
      <c r="F11" s="2117" t="s">
        <v>4946</v>
      </c>
      <c r="G11" s="2117" t="s">
        <v>5547</v>
      </c>
      <c r="H11" s="2118" t="s">
        <v>351</v>
      </c>
      <c r="I11" s="2115" t="s">
        <v>378</v>
      </c>
      <c r="J11" s="2119" t="s">
        <v>677</v>
      </c>
      <c r="K11" s="796"/>
      <c r="L11" s="806"/>
    </row>
    <row r="12" spans="1:13" s="804" customFormat="1" ht="14.25" customHeight="1">
      <c r="A12" s="809"/>
      <c r="B12" s="2114" t="s">
        <v>69</v>
      </c>
      <c r="C12" s="2115" t="s">
        <v>70</v>
      </c>
      <c r="D12" s="2115" t="s">
        <v>5957</v>
      </c>
      <c r="E12" s="2116" t="s">
        <v>71</v>
      </c>
      <c r="F12" s="2117" t="s">
        <v>5051</v>
      </c>
      <c r="G12" s="2117" t="s">
        <v>5564</v>
      </c>
      <c r="H12" s="2118" t="s">
        <v>355</v>
      </c>
      <c r="I12" s="1" t="s">
        <v>10135</v>
      </c>
      <c r="J12" s="2119" t="s">
        <v>7149</v>
      </c>
      <c r="K12" s="796"/>
      <c r="L12" s="806"/>
    </row>
    <row r="13" spans="1:13" s="804" customFormat="1" ht="14.25" customHeight="1">
      <c r="A13" s="809"/>
      <c r="B13" s="2114" t="s">
        <v>298</v>
      </c>
      <c r="C13" s="2115" t="s">
        <v>73</v>
      </c>
      <c r="D13" s="2115" t="s">
        <v>5958</v>
      </c>
      <c r="E13" s="2116" t="s">
        <v>674</v>
      </c>
      <c r="F13" s="2117" t="s">
        <v>922</v>
      </c>
      <c r="G13" s="2117" t="s">
        <v>5612</v>
      </c>
      <c r="H13" s="2118" t="s">
        <v>74</v>
      </c>
      <c r="J13" s="2119" t="s">
        <v>6025</v>
      </c>
      <c r="K13" s="796"/>
      <c r="L13" s="806"/>
    </row>
    <row r="14" spans="1:13" s="804" customFormat="1" ht="14.25" customHeight="1">
      <c r="A14" s="809"/>
      <c r="B14" s="2114" t="s">
        <v>76</v>
      </c>
      <c r="C14" s="2115" t="s">
        <v>77</v>
      </c>
      <c r="D14" s="2123" t="s">
        <v>5961</v>
      </c>
      <c r="E14" s="2116" t="s">
        <v>78</v>
      </c>
      <c r="F14" s="2117" t="s">
        <v>5151</v>
      </c>
      <c r="G14" s="2117" t="s">
        <v>5660</v>
      </c>
      <c r="H14" s="2118" t="s">
        <v>1264</v>
      </c>
      <c r="I14" s="810"/>
      <c r="J14" s="2119" t="s">
        <v>6026</v>
      </c>
      <c r="K14" s="796"/>
      <c r="L14" s="806"/>
    </row>
    <row r="15" spans="1:13" s="804" customFormat="1" ht="14.25" customHeight="1">
      <c r="A15" s="809"/>
      <c r="B15" s="2114" t="s">
        <v>79</v>
      </c>
      <c r="C15" s="2115" t="s">
        <v>80</v>
      </c>
      <c r="D15" s="2123" t="s">
        <v>5959</v>
      </c>
      <c r="E15" s="2116" t="s">
        <v>680</v>
      </c>
      <c r="F15" s="2117" t="s">
        <v>5187</v>
      </c>
      <c r="G15" s="2117" t="s">
        <v>5669</v>
      </c>
      <c r="H15" s="2118" t="s">
        <v>10122</v>
      </c>
      <c r="I15" s="810"/>
      <c r="J15" s="2119" t="s">
        <v>6027</v>
      </c>
      <c r="K15" s="796"/>
      <c r="L15" s="806"/>
    </row>
    <row r="16" spans="1:13" s="804" customFormat="1" ht="14.25" customHeight="1">
      <c r="A16" s="809"/>
      <c r="B16" s="2114" t="s">
        <v>81</v>
      </c>
      <c r="C16" s="2115" t="s">
        <v>368</v>
      </c>
      <c r="D16" s="2115" t="s">
        <v>5960</v>
      </c>
      <c r="E16" s="2116" t="s">
        <v>320</v>
      </c>
      <c r="F16" s="2117" t="s">
        <v>5209</v>
      </c>
      <c r="G16" s="2117" t="s">
        <v>5767</v>
      </c>
      <c r="H16" s="2118"/>
      <c r="I16" s="810"/>
      <c r="J16" s="2119" t="s">
        <v>6028</v>
      </c>
      <c r="K16" s="796"/>
      <c r="L16" s="806"/>
    </row>
    <row r="17" spans="1:12" s="804" customFormat="1" ht="14.25" customHeight="1">
      <c r="A17" s="809"/>
      <c r="B17" s="2114" t="s">
        <v>318</v>
      </c>
      <c r="C17" s="2115" t="s">
        <v>372</v>
      </c>
      <c r="D17" s="2123" t="s">
        <v>10295</v>
      </c>
      <c r="E17" s="2116" t="s">
        <v>324</v>
      </c>
      <c r="F17" s="2117" t="s">
        <v>5235</v>
      </c>
      <c r="G17" s="2117" t="s">
        <v>5788</v>
      </c>
      <c r="H17" s="1765"/>
      <c r="I17" s="811"/>
      <c r="J17" s="2119" t="s">
        <v>6029</v>
      </c>
      <c r="K17" s="796"/>
      <c r="L17" s="806"/>
    </row>
    <row r="18" spans="1:12" s="804" customFormat="1" ht="14.25" customHeight="1">
      <c r="A18" s="809"/>
      <c r="B18" s="2114" t="s">
        <v>322</v>
      </c>
      <c r="C18" s="2123" t="s">
        <v>376</v>
      </c>
      <c r="D18" s="2123" t="s">
        <v>5962</v>
      </c>
      <c r="E18" s="2116" t="s">
        <v>328</v>
      </c>
      <c r="F18" s="2117" t="s">
        <v>5258</v>
      </c>
      <c r="G18" s="2124" t="s">
        <v>5818</v>
      </c>
      <c r="H18" s="1765"/>
      <c r="I18" s="811"/>
      <c r="J18" s="2119" t="s">
        <v>6030</v>
      </c>
      <c r="K18" s="796"/>
      <c r="L18" s="806"/>
    </row>
    <row r="19" spans="1:12" s="804" customFormat="1" ht="14.25" customHeight="1">
      <c r="A19" s="809"/>
      <c r="B19" s="2114" t="s">
        <v>326</v>
      </c>
      <c r="C19" s="2123" t="s">
        <v>83</v>
      </c>
      <c r="D19" s="2123" t="s">
        <v>5963</v>
      </c>
      <c r="E19" s="2116" t="s">
        <v>332</v>
      </c>
      <c r="F19" s="2117" t="s">
        <v>5279</v>
      </c>
      <c r="G19" s="2117" t="s">
        <v>5843</v>
      </c>
      <c r="H19" s="1765"/>
      <c r="I19" s="811"/>
      <c r="J19" s="2119" t="s">
        <v>6031</v>
      </c>
      <c r="K19" s="796"/>
      <c r="L19" s="805"/>
    </row>
    <row r="20" spans="1:12" s="804" customFormat="1" ht="14.25" customHeight="1">
      <c r="A20" s="809"/>
      <c r="B20" s="2114" t="s">
        <v>330</v>
      </c>
      <c r="C20" s="2115" t="s">
        <v>654</v>
      </c>
      <c r="D20" s="2125" t="s">
        <v>5964</v>
      </c>
      <c r="E20" s="2116" t="s">
        <v>6022</v>
      </c>
      <c r="F20" s="2117" t="s">
        <v>5298</v>
      </c>
      <c r="G20" s="2117" t="s">
        <v>5866</v>
      </c>
      <c r="H20" s="1765"/>
      <c r="I20" s="811"/>
      <c r="J20" s="2119" t="s">
        <v>6044</v>
      </c>
      <c r="K20" s="796"/>
      <c r="L20" s="805"/>
    </row>
    <row r="21" spans="1:12" s="804" customFormat="1" ht="14.25" customHeight="1">
      <c r="A21" s="809"/>
      <c r="B21" s="2114" t="s">
        <v>87</v>
      </c>
      <c r="C21" s="2115" t="s">
        <v>86</v>
      </c>
      <c r="D21" s="2125" t="s">
        <v>5965</v>
      </c>
      <c r="E21" s="2116"/>
      <c r="F21" s="2117" t="s">
        <v>6432</v>
      </c>
      <c r="G21" s="2117" t="s">
        <v>10290</v>
      </c>
      <c r="H21" s="1765"/>
      <c r="I21" s="811"/>
      <c r="J21" s="2119" t="s">
        <v>2433</v>
      </c>
      <c r="K21" s="796"/>
      <c r="L21" s="805"/>
    </row>
    <row r="22" spans="1:12" s="804" customFormat="1" ht="14.25" customHeight="1">
      <c r="A22" s="809"/>
      <c r="B22" s="2126" t="s">
        <v>90</v>
      </c>
      <c r="C22" s="2123" t="s">
        <v>88</v>
      </c>
      <c r="D22" s="2127" t="s">
        <v>6669</v>
      </c>
      <c r="E22" s="2116"/>
      <c r="F22" s="2117" t="s">
        <v>6433</v>
      </c>
      <c r="G22" s="2117" t="s">
        <v>7422</v>
      </c>
      <c r="H22" s="1765"/>
      <c r="I22" s="811"/>
      <c r="J22" s="2119" t="s">
        <v>6045</v>
      </c>
      <c r="K22" s="796"/>
      <c r="L22" s="805"/>
    </row>
    <row r="23" spans="1:12" ht="14.25" customHeight="1">
      <c r="A23" s="809"/>
      <c r="B23" s="2128" t="s">
        <v>92</v>
      </c>
      <c r="C23" s="2123" t="s">
        <v>470</v>
      </c>
      <c r="D23" s="2125" t="s">
        <v>5968</v>
      </c>
      <c r="E23" s="2116"/>
      <c r="F23" s="2117" t="s">
        <v>5359</v>
      </c>
      <c r="G23" s="2117" t="s">
        <v>10291</v>
      </c>
      <c r="H23" s="1765"/>
      <c r="I23" s="811"/>
      <c r="J23" s="2119" t="s">
        <v>6046</v>
      </c>
      <c r="L23" s="802"/>
    </row>
    <row r="24" spans="1:12">
      <c r="A24" s="809"/>
      <c r="B24" s="2126" t="s">
        <v>1289</v>
      </c>
      <c r="C24" s="2125" t="s">
        <v>1431</v>
      </c>
      <c r="D24" s="2125" t="s">
        <v>5969</v>
      </c>
      <c r="E24" s="2116"/>
      <c r="F24" s="2117" t="s">
        <v>5385</v>
      </c>
      <c r="G24" s="2117" t="s">
        <v>10292</v>
      </c>
      <c r="H24" s="1765"/>
      <c r="I24" s="811"/>
      <c r="J24" s="2117" t="s">
        <v>7698</v>
      </c>
    </row>
    <row r="25" spans="1:12">
      <c r="A25" s="809"/>
      <c r="B25" s="2128" t="s">
        <v>643</v>
      </c>
      <c r="C25" s="2115" t="s">
        <v>5950</v>
      </c>
      <c r="D25" s="2125" t="s">
        <v>5946</v>
      </c>
      <c r="E25" s="2116"/>
      <c r="F25" s="2117" t="s">
        <v>5404</v>
      </c>
      <c r="G25" s="2117" t="s">
        <v>10293</v>
      </c>
      <c r="H25" s="1765"/>
      <c r="I25" s="811"/>
      <c r="J25" s="2117" t="s">
        <v>7699</v>
      </c>
    </row>
    <row r="26" spans="1:12">
      <c r="A26" s="809"/>
      <c r="B26" s="2129" t="s">
        <v>93</v>
      </c>
      <c r="C26" s="2115" t="s">
        <v>5951</v>
      </c>
      <c r="D26" s="2125" t="s">
        <v>5966</v>
      </c>
      <c r="E26" s="2130"/>
      <c r="F26" s="2117" t="s">
        <v>5426</v>
      </c>
      <c r="G26" s="2117"/>
      <c r="H26" s="1766"/>
      <c r="I26" s="1667"/>
      <c r="J26" s="1668"/>
    </row>
    <row r="27" spans="1:12">
      <c r="A27" s="809"/>
      <c r="B27" s="2128" t="s">
        <v>7153</v>
      </c>
      <c r="C27" s="2115" t="s">
        <v>5927</v>
      </c>
      <c r="D27" s="2125" t="s">
        <v>5967</v>
      </c>
      <c r="E27" s="1763"/>
      <c r="F27" s="2117" t="s">
        <v>1348</v>
      </c>
      <c r="G27" s="2117"/>
      <c r="H27" s="1767"/>
      <c r="I27" s="1670"/>
      <c r="J27" s="1671"/>
    </row>
    <row r="28" spans="1:12">
      <c r="A28" s="809"/>
      <c r="B28" s="2129" t="s">
        <v>6021</v>
      </c>
      <c r="C28" s="2115" t="s">
        <v>5928</v>
      </c>
      <c r="D28" s="2125" t="s">
        <v>5971</v>
      </c>
      <c r="E28" s="1763"/>
      <c r="F28" s="2117" t="s">
        <v>5489</v>
      </c>
      <c r="G28" s="2117"/>
      <c r="H28" s="1767"/>
      <c r="I28" s="1670"/>
      <c r="J28" s="1671"/>
    </row>
    <row r="29" spans="1:12">
      <c r="A29" s="809"/>
      <c r="B29" s="2129" t="s">
        <v>6023</v>
      </c>
      <c r="C29" s="1670"/>
      <c r="D29" s="2127" t="s">
        <v>5970</v>
      </c>
      <c r="E29" s="1763"/>
      <c r="F29" s="2124" t="s">
        <v>5524</v>
      </c>
      <c r="G29" s="2117"/>
      <c r="H29" s="1767"/>
      <c r="I29" s="1670"/>
      <c r="J29" s="1671"/>
    </row>
    <row r="30" spans="1:12">
      <c r="A30" s="809"/>
      <c r="B30" s="1669"/>
      <c r="C30" s="1670"/>
      <c r="D30" s="2125" t="s">
        <v>6502</v>
      </c>
      <c r="E30" s="1763"/>
      <c r="F30" s="2117" t="s">
        <v>5581</v>
      </c>
      <c r="G30" s="2117"/>
      <c r="H30" s="1767"/>
      <c r="I30" s="1670"/>
      <c r="J30" s="1671"/>
    </row>
    <row r="31" spans="1:12">
      <c r="A31" s="809"/>
      <c r="B31" s="1669"/>
      <c r="C31" s="1670"/>
      <c r="D31" s="2125" t="s">
        <v>6503</v>
      </c>
      <c r="E31" s="1763"/>
      <c r="F31" s="2117" t="s">
        <v>5672</v>
      </c>
      <c r="G31" s="2117"/>
      <c r="H31" s="1767"/>
      <c r="I31" s="1670"/>
      <c r="J31" s="1671"/>
    </row>
    <row r="32" spans="1:12">
      <c r="A32" s="809"/>
      <c r="B32" s="1669"/>
      <c r="C32" s="1670"/>
      <c r="D32" s="2125"/>
      <c r="E32" s="1763"/>
      <c r="F32" s="2117" t="s">
        <v>5711</v>
      </c>
      <c r="G32" s="2131"/>
      <c r="H32" s="1767"/>
      <c r="I32" s="1670"/>
      <c r="J32" s="1671"/>
    </row>
    <row r="33" spans="1:10">
      <c r="A33" s="809"/>
      <c r="B33" s="2048"/>
      <c r="C33" s="2049"/>
      <c r="D33" s="2127"/>
      <c r="E33" s="2050"/>
      <c r="F33" s="2117" t="s">
        <v>5879</v>
      </c>
      <c r="G33" s="2132"/>
      <c r="H33" s="2051"/>
      <c r="I33" s="2049"/>
      <c r="J33" s="2052"/>
    </row>
    <row r="34" spans="1:10" ht="16.2" thickBot="1">
      <c r="A34" s="809"/>
      <c r="B34" s="1672"/>
      <c r="C34" s="1673"/>
      <c r="D34" s="2133"/>
      <c r="E34" s="1764"/>
      <c r="F34" s="2134" t="s">
        <v>2411</v>
      </c>
      <c r="G34" s="2135"/>
      <c r="H34" s="1768"/>
      <c r="I34" s="1673"/>
      <c r="J34" s="1674"/>
    </row>
    <row r="35" spans="1:10">
      <c r="F35" s="1769"/>
      <c r="J35" s="796"/>
    </row>
    <row r="36" spans="1:10">
      <c r="G36" s="796"/>
      <c r="H36" s="796"/>
      <c r="I36" s="796"/>
      <c r="J36" s="796"/>
    </row>
    <row r="37" spans="1:10">
      <c r="G37" s="796"/>
      <c r="H37" s="796"/>
      <c r="I37" s="796"/>
      <c r="J37" s="796"/>
    </row>
    <row r="38" spans="1:10">
      <c r="G38" s="796"/>
      <c r="H38" s="796"/>
      <c r="I38" s="796"/>
      <c r="J38" s="796"/>
    </row>
    <row r="39" spans="1:10">
      <c r="G39" s="796"/>
      <c r="H39" s="796"/>
      <c r="I39" s="796"/>
      <c r="J39" s="796"/>
    </row>
    <row r="40" spans="1:10">
      <c r="G40" s="796"/>
      <c r="H40" s="796"/>
      <c r="I40" s="796"/>
      <c r="J40" s="796"/>
    </row>
    <row r="41" spans="1:10">
      <c r="G41" s="796"/>
      <c r="H41" s="796"/>
      <c r="I41" s="796"/>
      <c r="J41" s="796"/>
    </row>
    <row r="42" spans="1:10">
      <c r="G42" s="796"/>
      <c r="H42" s="796"/>
      <c r="I42" s="796"/>
      <c r="J42" s="796"/>
    </row>
    <row r="43" spans="1:10">
      <c r="G43" s="796"/>
      <c r="H43" s="796"/>
      <c r="I43" s="796"/>
      <c r="J43" s="796"/>
    </row>
    <row r="44" spans="1:10">
      <c r="G44" s="796"/>
      <c r="H44" s="796"/>
      <c r="I44" s="796"/>
      <c r="J44" s="796"/>
    </row>
    <row r="45" spans="1:10">
      <c r="G45" s="796"/>
      <c r="H45" s="796"/>
      <c r="I45" s="796"/>
      <c r="J45" s="796"/>
    </row>
    <row r="46" spans="1:10">
      <c r="G46" s="796"/>
      <c r="H46" s="796"/>
      <c r="I46" s="796"/>
      <c r="J46" s="796"/>
    </row>
    <row r="47" spans="1:10">
      <c r="G47" s="796"/>
      <c r="H47" s="796"/>
      <c r="I47" s="796"/>
      <c r="J47" s="796"/>
    </row>
    <row r="48" spans="1:10">
      <c r="G48" s="796"/>
      <c r="H48" s="796"/>
      <c r="I48" s="796"/>
      <c r="J48" s="796"/>
    </row>
    <row r="49" spans="7:10">
      <c r="G49" s="796"/>
      <c r="H49" s="796"/>
      <c r="I49" s="796"/>
      <c r="J49" s="796"/>
    </row>
    <row r="50" spans="7:10">
      <c r="G50" s="796"/>
      <c r="H50" s="796"/>
      <c r="I50" s="796"/>
      <c r="J50" s="796"/>
    </row>
    <row r="51" spans="7:10">
      <c r="G51" s="796"/>
      <c r="H51" s="796"/>
      <c r="I51" s="796"/>
      <c r="J51" s="796"/>
    </row>
    <row r="52" spans="7:10">
      <c r="G52" s="796"/>
      <c r="H52" s="796"/>
      <c r="I52" s="796"/>
      <c r="J52" s="796"/>
    </row>
    <row r="53" spans="7:10">
      <c r="G53" s="796"/>
      <c r="H53" s="796"/>
      <c r="I53" s="796"/>
      <c r="J53" s="796"/>
    </row>
    <row r="54" spans="7:10">
      <c r="G54" s="796"/>
      <c r="H54" s="796"/>
      <c r="I54" s="796"/>
      <c r="J54" s="796"/>
    </row>
    <row r="55" spans="7:10">
      <c r="G55" s="796"/>
      <c r="H55" s="796"/>
      <c r="I55" s="796"/>
      <c r="J55" s="796"/>
    </row>
    <row r="56" spans="7:10">
      <c r="G56" s="796"/>
      <c r="H56" s="796"/>
      <c r="I56" s="796"/>
      <c r="J56" s="796"/>
    </row>
    <row r="57" spans="7:10">
      <c r="G57" s="796"/>
      <c r="H57" s="796"/>
      <c r="I57" s="796"/>
      <c r="J57" s="796"/>
    </row>
    <row r="58" spans="7:10">
      <c r="G58" s="796"/>
      <c r="H58" s="796"/>
      <c r="I58" s="796"/>
      <c r="J58" s="796"/>
    </row>
    <row r="59" spans="7:10">
      <c r="G59" s="796"/>
      <c r="H59" s="796"/>
      <c r="I59" s="796"/>
      <c r="J59" s="796"/>
    </row>
    <row r="60" spans="7:10">
      <c r="G60" s="796"/>
      <c r="H60" s="796"/>
      <c r="I60" s="796"/>
      <c r="J60" s="796"/>
    </row>
    <row r="61" spans="7:10">
      <c r="G61" s="796"/>
      <c r="H61" s="796"/>
      <c r="I61" s="796"/>
      <c r="J61" s="796"/>
    </row>
    <row r="62" spans="7:10">
      <c r="G62" s="796"/>
      <c r="H62" s="796"/>
      <c r="I62" s="796"/>
      <c r="J62" s="796"/>
    </row>
    <row r="63" spans="7:10">
      <c r="G63" s="796"/>
      <c r="H63" s="796"/>
      <c r="I63" s="796"/>
      <c r="J63" s="796"/>
    </row>
    <row r="64" spans="7:10">
      <c r="G64" s="796"/>
      <c r="H64" s="796"/>
      <c r="I64" s="796"/>
      <c r="J64" s="796"/>
    </row>
    <row r="65" spans="7:10">
      <c r="G65" s="796"/>
      <c r="H65" s="796"/>
      <c r="I65" s="796"/>
      <c r="J65" s="796"/>
    </row>
    <row r="66" spans="7:10">
      <c r="G66" s="796"/>
      <c r="H66" s="796"/>
      <c r="I66" s="796"/>
      <c r="J66" s="796"/>
    </row>
    <row r="67" spans="7:10">
      <c r="G67" s="796"/>
      <c r="H67" s="796"/>
      <c r="I67" s="796"/>
      <c r="J67" s="796"/>
    </row>
  </sheetData>
  <sheetProtection selectLockedCells="1" selectUnlockedCells="1"/>
  <mergeCells count="7">
    <mergeCell ref="C4:I4"/>
    <mergeCell ref="B5:B6"/>
    <mergeCell ref="J5:J6"/>
    <mergeCell ref="C6:D6"/>
    <mergeCell ref="F5:G6"/>
    <mergeCell ref="H5:I5"/>
    <mergeCell ref="C5:E5"/>
  </mergeCells>
  <phoneticPr fontId="51" type="noConversion"/>
  <hyperlinks>
    <hyperlink ref="B7" location="档案封面!A1" display="档案封面"/>
    <hyperlink ref="C7" location="工资福利!A1" display="工资三项经费审核表"/>
    <hyperlink ref="E7" location="主营收支!A1" display="主营业务收支审核表"/>
    <hyperlink ref="H7" location="货币资金!A1" display="货币资金审核表"/>
    <hyperlink ref="I7" location="应付!A1" display="应付账款审核表"/>
    <hyperlink ref="J7" location="报告封面!a1" display="报告封面"/>
    <hyperlink ref="B8" location="档案索引!A1" display="档案索引"/>
    <hyperlink ref="C8" location="招待!A1" display="业务招待费审核表"/>
    <hyperlink ref="E8" location="收入与申报核对表!A1" display="收入与申报核对表"/>
    <hyperlink ref="H8" location="银行调节!A1" display="银行存款余额调节表"/>
    <hyperlink ref="I8" location="预收!A1" display="预收账款审核表"/>
    <hyperlink ref="B9" location="基本情况!A1" display="基本情况表"/>
    <hyperlink ref="C9" location="固资折旧!A1" display="固定资产累计折旧审核表"/>
    <hyperlink ref="E9" location="毛利分析!A1" display="主营业务毛利分析表"/>
    <hyperlink ref="H9" location="应收!A1" display="应收账款审核表"/>
    <hyperlink ref="I9" location="其他应付!A1" display="其他应付款审核表"/>
    <hyperlink ref="J9" location="企业情况表!a1" display="企业情况表"/>
    <hyperlink ref="B10" location="待办事项!A1" display="待办事项"/>
    <hyperlink ref="C10" location="折旧测算!A1" display="折旧测算表"/>
    <hyperlink ref="E10" location="制造费用、生产成本!A1" display="制造费用、生产成本审核表"/>
    <hyperlink ref="H10" location="预付!A1" display="预付账款审核表"/>
    <hyperlink ref="I10" location="实收公积!A1" display="实收资本资本公积盈余公积审核表"/>
    <hyperlink ref="J10" location="事项说明!a1" display="事项说明"/>
    <hyperlink ref="B11" location="签发单!A1" display="签发单"/>
    <hyperlink ref="C11" location="无形长摊!A1" display="无形资产、长期待摊费用审核表"/>
    <hyperlink ref="E11" location="成本倒轧!A1" display="成本倒轧表"/>
    <hyperlink ref="H11" location="其他应收!A1" display="其他应收款审核表"/>
    <hyperlink ref="I11" location="未分利润!A1" display="未分配利润审核表"/>
    <hyperlink ref="B12" location="三级复核!A1" display="三级复核"/>
    <hyperlink ref="C12" location="社保!A1" display="社保住房公积金审核表"/>
    <hyperlink ref="E12" location="存货计价测试!A1" display="存货计价测试表"/>
    <hyperlink ref="H12" location="存货!A1" display="存货审核表"/>
    <hyperlink ref="B13" location="业务约定!A1" display="业务约定书"/>
    <hyperlink ref="C13" location="社保明细工资人数!A1" display="社保明细工资人数审核表"/>
    <hyperlink ref="E13" location="主营税金!A1" display="主营税金审核表"/>
    <hyperlink ref="H13" location="待摊预提!A1" display="待摊费用预提费用审核表"/>
    <hyperlink ref="B14" location="当局声明!A1" display="管理当局声明"/>
    <hyperlink ref="C14" location="广宣!A1" display="广告费业务宣传费审核表"/>
    <hyperlink ref="E14" location="税费缴纳测算!A1" display="税费缴纳测算审核表"/>
    <hyperlink ref="H14" location="在建工程审核表!A1" display="在建工程审核表"/>
    <hyperlink ref="B15" location="计划!A1" display="整体工作计划"/>
    <hyperlink ref="C15" location="捐赠!A1" display="捐赠赞助支出审核表"/>
    <hyperlink ref="E15" location="其他业务!A1" display="其他业务利润审核表"/>
    <hyperlink ref="B16" location="内控!A1" display="内控调查问卷"/>
    <hyperlink ref="C16" location="利息!A1" display="利息支出审核表"/>
    <hyperlink ref="E16" location="营业费用!A1" display="营业费用审核表"/>
    <hyperlink ref="B17" location="审核问卷!A1" display="审核调查问卷"/>
    <hyperlink ref="C17" location="租金!A1" display="租金支出审核表"/>
    <hyperlink ref="E17" location="管理费用!A1" display="管理费用审核表"/>
    <hyperlink ref="B18" location="重大问题!A1" display="重大问题请示报告"/>
    <hyperlink ref="C18" location="补亏!A1" display="弥补亏损审核表"/>
    <hyperlink ref="E18" location="财务费用!A1" display="财务费用审核表"/>
    <hyperlink ref="B19" location="交换意见!A1" display="与客户交换意见记录"/>
    <hyperlink ref="E19" location="营外收支!A1" display="营业外收支审核表"/>
    <hyperlink ref="B20" location="资料清单!A1" display="客户提供资料一览表"/>
    <hyperlink ref="B21" location="审核标识!A1" display="审核标识说明书"/>
    <hyperlink ref="B22" location="现金证明!A1" display="现金证明书"/>
    <hyperlink ref="B23" location="盘点表!A1" display="资产盘点表"/>
    <hyperlink ref="B24" location="资产负债!A1" display="资产负债表"/>
    <hyperlink ref="B25" location="利润!A1" display="利润及利润分配表"/>
    <hyperlink ref="B26" location="使用说明!A1" display="使用说明"/>
    <hyperlink ref="C19" location="其他事项!A1" display="其他事项"/>
    <hyperlink ref="C20" location="纳税申报数据!A1" display="纳税申报数据"/>
    <hyperlink ref="C21" location="通用记录!A1" display="通用工作记录"/>
    <hyperlink ref="C22" location="凭证检查!A1" display="凭证检查底稿"/>
    <hyperlink ref="C23" location="无限期结转扣除项目审核表!A1" display="无限期结转扣除项目审核表"/>
    <hyperlink ref="C24" location="跨年度确认所得情况表!A1" display="跨年度确认所得情况表"/>
    <hyperlink ref="J8" location="报告正文!a1" display="报告正文"/>
    <hyperlink ref="G7" location="A101020金融企业收入明细表!A1" display="    金融企业收入明细表"/>
    <hyperlink ref="G8" location="A102020金融企业支出明细表!A1" display="    金融企业支出明细表"/>
    <hyperlink ref="G9" location="A103000事业单位、民间非营利组织收入、支出明细表!A1" display="    事业单位、民间非营利组织收入、支出明细表"/>
    <hyperlink ref="G10" location="A105120特殊行业准备金纳税调整明细表!A1" display="        特殊行业准备金纳税调整明细表"/>
    <hyperlink ref="G12" location="A107013金融保险等机构取得涉农利息保费收入优惠明细表!A1" display="        金融、保险等机构取得的涉农利息、保费收入优惠明细表"/>
    <hyperlink ref="G11" location="A107012综合利用资源生产产品取得的收入优惠明细表!A1" display="        综合利用资源生产产品取得的收入优惠明细表"/>
    <hyperlink ref="G15" location="A107040减免所得税优惠明细表!A1" display="    减免所得税优惠明细表"/>
    <hyperlink ref="G14" location="A107030抵扣应纳税所得额明细表!A1" display="    抵扣应纳税所得额明细表"/>
    <hyperlink ref="G13" location="A107020所得减免优惠明细表!A1" display="    所得减免优惠明细表"/>
    <hyperlink ref="G20" location="A108030跨年度结转抵免境外所得税明细表!A1" display="        跨年度结转抵免境外所得税明细表"/>
    <hyperlink ref="G19" location="A108020境外分支机构弥补亏损明细表!A1" display="        境外分支机构弥补亏损明细表"/>
    <hyperlink ref="G17" location="A108000境外所得税收抵免明细表!A1" display="    境外所得税收抵免明细表"/>
    <hyperlink ref="G18" location="A108010境外所得纳税调整后所得明细表!A1" display="        境外所得纳税调整后所得明细表"/>
    <hyperlink ref="G16" location="A107050税额抵免优惠明细表!A1" display="    税额抵免优惠明细表"/>
    <hyperlink ref="C25" location="视同销售和房地产开发企业特定业务审核表!A1" display="视同销售和房开企业特定业务"/>
    <hyperlink ref="C26" location="未按权责发生制确认收入审核表!A1" display="未按权责发生制确认收入审核表"/>
    <hyperlink ref="C27" location="投资收益审核表!A1" display="投资收益审核表"/>
    <hyperlink ref="C28" location="专项用途财政性资金审核表!A1" display="专项用途财政性资金审核表"/>
    <hyperlink ref="D7" location="固定资产加速折旧审核表!A1" display="固定资产加速折旧审核表"/>
    <hyperlink ref="D8" location="资产损失税前扣除审核表!A1" display="资产损失税前扣除审核表"/>
    <hyperlink ref="D9" location="'资产损失（专项申报）税前扣除审核表'!A1" display="资产损失（专项申报）审核表"/>
    <hyperlink ref="D10" location="企业重组审核表!A1" display="企业重组审核表"/>
    <hyperlink ref="D11" location="政策性搬迁审核表!A1" display="政策性搬迁审核表"/>
    <hyperlink ref="D12" location="特殊行业准备金审核表!A1" display="特殊行业准备金审核表"/>
    <hyperlink ref="D13" location="免税、减计收入及加计扣除优惠审核表!A1" display="免税、减计收入及加计扣除优惠"/>
    <hyperlink ref="D14" location="股息红利优惠审核表!A1" display="股息红利优惠审核表"/>
    <hyperlink ref="D15" location="综合利用资源生产产品取得的收入优惠审核表!A1" display="综合利用资源生产产品取得收入"/>
    <hyperlink ref="D16" location="金融保险等机构取得涉农利息保费收入优惠审核表!A1" display="金融保险机构涉农利息保费收入"/>
    <hyperlink ref="D17" location="研发加计扣除归集审核表!A1" tooltip="#研发加计扣除归集审核表!A1" display="研发加计扣除归集审核表"/>
    <hyperlink ref="D18" location="所得减免优惠审核表!A1" display="所得减免优惠审核表"/>
    <hyperlink ref="D19" location="抵扣应纳税所得额审核表!A1" display="抵扣应纳税所得额审核表"/>
    <hyperlink ref="D20" location="减免所得税优惠审核表!A1" display="减免所得税优惠审核表"/>
    <hyperlink ref="D21" location="高新技术企业优惠情况审核表!A1" display="高新技术企业优惠情况审核表"/>
    <hyperlink ref="D22" location="软件、集成电路企业优惠情况审核表!A1" display="软件、集成电路企业优惠情况审核"/>
    <hyperlink ref="D23" location="税额抵免优惠审核表!A1" display="税额抵免优惠审核表"/>
    <hyperlink ref="D24" location="境外所得税收抵免审核表!A1" display="境外所得税收抵免审核表"/>
    <hyperlink ref="D25" location="境外所得纳税调整后所得审核表!A1" display="境外所得纳税调整后所得审核表"/>
    <hyperlink ref="D26" location="境外分支机构弥补亏损审核表!A1" display="境外分支机构弥补亏损审核表"/>
    <hyperlink ref="D27" location="跨年度结转抵免境外所得税审核表!A1" display="跨年度结转抵免境外所得税审核表"/>
    <hyperlink ref="D28" location="跨地区经营汇总纳税企业年度分摊企业所得税审核表!A1" display="汇总纳税分摊企业所得税审核表"/>
    <hyperlink ref="D29" location="企业所得税汇总纳税分支机构所得税分配表!A1" display="汇总纳税分支机构所得税分配表"/>
    <hyperlink ref="D31" location="公允价值变动审定表!A1" display="公允价值变动审定表"/>
    <hyperlink ref="D30" location="减值准备审核表!A1" display="减值准备审核表"/>
    <hyperlink ref="F7" location="'（三）企业所得税年度纳税申报表填报表单'!A1" display="'（三）企业所得税年度纳税申报表填报表单'!A1"/>
    <hyperlink ref="F32" location="A107042软件、集成电路企业优惠情况及明细表!A1" display="        软件、集成电路企业优惠情况及明细表"/>
    <hyperlink ref="F31" location="A107041高新技术企业优惠情况及明细表!A1" display="        高新技术企业优惠情况及明细表"/>
    <hyperlink ref="F30" location="A107014研发费用加计扣除优惠明细表!A1" display="        研发费用加计扣除优惠明细表"/>
    <hyperlink ref="F27" location="A106000企业所得税弥补亏损明细表!A1" display="    企业所得税弥补亏损明细表"/>
    <hyperlink ref="F28" location="A107010免税、减计收入及加计扣除优惠明细表!A1" display="    免税、减计收入及加计扣除优惠明细表"/>
    <hyperlink ref="F29" location="A107011股息红利优惠明细表!A1" display="        符合条件的居民企业之间的股息、红利等权益性投资收益优惠明细表"/>
    <hyperlink ref="F12" location="A104000期间费用明细表!A1" display="    期间费用明细表"/>
    <hyperlink ref="F13" location="A105000纳税调整项目明细表!A1" display="    纳税调整项目明细表"/>
    <hyperlink ref="F14" location="A105010视同销售和房地产开发企业特定业务纳税调整明细表!A1" display="        视同销售和房地产开发企业特定业务纳税调整明细表"/>
    <hyperlink ref="F15" location="A105020未按权责发生制确认收入纳税调整明细表!A1" display="        未按权责发生制确认收入纳税调整明细表"/>
    <hyperlink ref="F16" location="A105030投资收益纳税调整明细表!A1" display="        投资收益纳税调整明细表"/>
    <hyperlink ref="F17" location="A105040专项用途财政性资金纳税调整表!A1" display="        专项用途财政性资金纳税调整明细表"/>
    <hyperlink ref="F18" location="A105050职工薪酬纳税调整明细表!A1" display="        职工薪酬纳税调整明细表"/>
    <hyperlink ref="F19" location="A105060广告费和业务宣传费跨年度纳税调整明细表!A1" display="        广告费和业务宣传费跨年度纳税调整明细表"/>
    <hyperlink ref="F20" location="A105070捐赠支出纳税调整明细表!A1" display="        捐赠支出纳税调整明细表"/>
    <hyperlink ref="F21" location="A105080资产折旧、摊销情况及纳税调整明细表!A1" display="        资产折旧、摊销情况及纳税调整明细表"/>
    <hyperlink ref="F22" location="A105081固定资产加速折旧、扣除明细表!A1" display="            固定资产加速折旧、扣除明细表"/>
    <hyperlink ref="F23" location="A105090资产损失税前扣除及纳税调整明细表!A1" display="        资产损失税前扣除及纳税调整明细表"/>
    <hyperlink ref="F24" location="'A105091资产损失（专项申报）税前扣除及纳税调整明细表'!A1" display="            资产损失（专项申报）税前扣除及纳税调整明细表"/>
    <hyperlink ref="F26" location="A105110政策性搬迁纳税调整明细表!A1" display="        政策性搬迁纳税调整明细表"/>
    <hyperlink ref="F25" location="A105100企业重组纳税调整明细表!A1" display="        企业重组纳税调整明细表"/>
    <hyperlink ref="F11" location="A102010一般企业成本支出明细表!A1" display="    一般企业成本支出明细表"/>
    <hyperlink ref="F10" location="A101010一般企业收入明细表!A1" display="    一般企业收入明细表"/>
    <hyperlink ref="F9" location="'A100000中华人民共和国企业所得税年度纳税申报表（A类）'!A1" display="中华人民共和国企业所得税年度纳税申报表（A类）"/>
    <hyperlink ref="F34" location="A109010企业所得税汇总纳税分支机构所得税分配表!A1" display="        企业所得税汇总纳税分支机构所得税分配表"/>
    <hyperlink ref="F33" location="A109000跨地区经营汇总纳税企业年度分摊企业所得税明细表!A1" display="    跨地区经营汇总纳税企业年度分摊企业所得税明细表"/>
    <hyperlink ref="F8" location="A000000企业基础信息表!A1" display="企业基础信息表"/>
    <hyperlink ref="B27" location="地税、基本情况!A1" display="地税、基本情况"/>
    <hyperlink ref="B28" location="余额表!A1" display="余额表"/>
    <hyperlink ref="B29" location="检查表!A1" display="检查表"/>
    <hyperlink ref="E20" location="税金申报明细!A1" display="税金申报明细"/>
    <hyperlink ref="J11" location="企业各税审核汇总表!A1" display="企业各税审核汇总表"/>
    <hyperlink ref="J12" location="'基本情况（封面）'!A1" display="'基本情况（封面）'"/>
    <hyperlink ref="J13" location="'1.保留意见'!A1" display="1.保留意见"/>
    <hyperlink ref="J14" location="'2.否定意见'!A1" display="2.否定意见"/>
    <hyperlink ref="J15" location="'3.无保留意见'!A1" display="3.无保留意见"/>
    <hyperlink ref="J16" location="'4.无法表明意见'!A1" display="4.无法表明意见"/>
    <hyperlink ref="J17" location="'(二)企业基本情况和审核事项说明'!A1" display="(二)企业基本情况和审核事项说明"/>
    <hyperlink ref="J18" location="'(二)附表-科目说明'!A1" display="(二)附表-科目说明"/>
    <hyperlink ref="J19" location="'(二)附表-纳税调整额的审核'!A1" display="(二)附表-纳税调整额的审核"/>
    <hyperlink ref="J20" location="'(三)子表12.企业所得税汇总纳税分支机构所得税分配表'!A1" display="(三)子表12.企业所得税汇总纳税分支机构所得税分配表"/>
    <hyperlink ref="J21" location="'分支机构企业所得税申报表（A类）'!A1" display="分支机构企业所得税申报表（A类）"/>
    <hyperlink ref="J22" location="'(四)无限期结转扣除项目情况表'!A1" display="(四)无限期结转扣除项目情况表"/>
    <hyperlink ref="J23" location="'(五)跨年度确认所得情况表'!A1" display="(五)跨年度确认所得情况表"/>
    <hyperlink ref="J24" location="'（四）企业各税（费）审核汇总表'!A1" display="（六）企业各税（费）审核汇总表"/>
    <hyperlink ref="J25" location="'（五）社会保险费明细表'!A1" display="（七）社会保险费明细表"/>
    <hyperlink ref="H15" location="对外投资!A1" display="对外投资!A1"/>
    <hyperlink ref="I12" location="借款!A1" display="借款!A1"/>
    <hyperlink ref="G25" location="研发项目可加计扣除研究开发费用情况归集表!A1" tooltip="#研发项目可加计扣除研究开发费用情况归集表!A1" display="研发项目可加计扣除研究开发费用情况归集表"/>
  </hyperlinks>
  <pageMargins left="0.78740157480314998" right="0.35433070866141703" top="0.511811023622047" bottom="0.11811023622047198" header="0.511811023622047" footer="0.511811023622047"/>
  <pageSetup paperSize="9" firstPageNumber="0" orientation="landscape" blackAndWhite="1" r:id="rId1"/>
  <headerFooter alignWithMargins="0"/>
  <drawing r:id="rId2"/>
</worksheet>
</file>

<file path=xl/worksheets/sheet7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83"/>
  <dimension ref="A1:H183"/>
  <sheetViews>
    <sheetView workbookViewId="0">
      <selection activeCell="C8" sqref="C8"/>
    </sheetView>
  </sheetViews>
  <sheetFormatPr defaultRowHeight="15.6"/>
  <cols>
    <col min="1" max="1" width="12.59765625" customWidth="1"/>
    <col min="3" max="3" width="19.8984375" customWidth="1"/>
    <col min="4" max="4" width="63" customWidth="1"/>
  </cols>
  <sheetData>
    <row r="1" spans="1:8">
      <c r="A1" t="s">
        <v>5974</v>
      </c>
      <c r="B1" s="1675"/>
      <c r="C1" s="1681"/>
      <c r="D1" s="1681" t="s">
        <v>2476</v>
      </c>
    </row>
    <row r="2" spans="1:8">
      <c r="A2" t="s">
        <v>57</v>
      </c>
      <c r="C2" s="1680" t="s">
        <v>6112</v>
      </c>
      <c r="D2" s="1518" t="s">
        <v>2478</v>
      </c>
      <c r="E2" t="e">
        <f ca="1">VLOOKUP(TRIM(C2),H:H,1,0)</f>
        <v>#N/A</v>
      </c>
      <c r="G2" t="s">
        <v>5991</v>
      </c>
      <c r="H2" t="str">
        <f ca="1">TRIM(INDIRECT("'"&amp;G2&amp;"'!A1"))</f>
        <v>视同销售和房地产开发企业特定业务审核表</v>
      </c>
    </row>
    <row r="3" spans="1:8">
      <c r="A3" t="s">
        <v>447</v>
      </c>
      <c r="C3" s="1680" t="s">
        <v>6111</v>
      </c>
      <c r="D3" s="1518" t="s">
        <v>2480</v>
      </c>
      <c r="E3" t="e">
        <f t="shared" ref="E3:E42" ca="1" si="0">VLOOKUP(TRIM(C3),H:H,1,0)</f>
        <v>#N/A</v>
      </c>
      <c r="G3" t="s">
        <v>5992</v>
      </c>
      <c r="H3" t="str">
        <f t="shared" ref="H3:H28" ca="1" si="1">TRIM(INDIRECT("'"&amp;G3&amp;"'!A1"))</f>
        <v/>
      </c>
    </row>
    <row r="4" spans="1:8">
      <c r="A4" t="s">
        <v>60</v>
      </c>
      <c r="C4" s="1680" t="s">
        <v>6110</v>
      </c>
      <c r="D4" s="1518" t="s">
        <v>2481</v>
      </c>
      <c r="E4" t="e">
        <f t="shared" ca="1" si="0"/>
        <v>#N/A</v>
      </c>
      <c r="G4" t="s">
        <v>5993</v>
      </c>
      <c r="H4" t="str">
        <f t="shared" ca="1" si="1"/>
        <v/>
      </c>
    </row>
    <row r="5" spans="1:8">
      <c r="A5" t="s">
        <v>67</v>
      </c>
      <c r="C5" s="1680" t="s">
        <v>2482</v>
      </c>
      <c r="D5" s="1518" t="s">
        <v>2483</v>
      </c>
      <c r="E5" t="e">
        <f t="shared" ca="1" si="0"/>
        <v>#N/A</v>
      </c>
      <c r="G5" t="s">
        <v>5994</v>
      </c>
      <c r="H5" t="str">
        <f t="shared" ca="1" si="1"/>
        <v/>
      </c>
    </row>
    <row r="6" spans="1:8">
      <c r="A6" t="s">
        <v>69</v>
      </c>
      <c r="C6" s="1680" t="s">
        <v>2484</v>
      </c>
      <c r="D6" s="1518" t="s">
        <v>2485</v>
      </c>
      <c r="E6" t="e">
        <f t="shared" ca="1" si="0"/>
        <v>#N/A</v>
      </c>
      <c r="G6" t="s">
        <v>5995</v>
      </c>
      <c r="H6" t="str">
        <f t="shared" ca="1" si="1"/>
        <v/>
      </c>
    </row>
    <row r="7" spans="1:8">
      <c r="A7" t="s">
        <v>5975</v>
      </c>
      <c r="C7" s="1680" t="s">
        <v>2486</v>
      </c>
      <c r="D7" s="1518" t="s">
        <v>2487</v>
      </c>
      <c r="E7" t="e">
        <f t="shared" ca="1" si="0"/>
        <v>#N/A</v>
      </c>
      <c r="G7" t="s">
        <v>5996</v>
      </c>
      <c r="H7" t="str">
        <f t="shared" ca="1" si="1"/>
        <v/>
      </c>
    </row>
    <row r="8" spans="1:8">
      <c r="A8" t="s">
        <v>5976</v>
      </c>
      <c r="C8" s="1680" t="s">
        <v>2488</v>
      </c>
      <c r="D8" s="1518" t="s">
        <v>2489</v>
      </c>
      <c r="E8" t="e">
        <f t="shared" ca="1" si="0"/>
        <v>#N/A</v>
      </c>
      <c r="G8" t="s">
        <v>5997</v>
      </c>
      <c r="H8" t="str">
        <f t="shared" ca="1" si="1"/>
        <v/>
      </c>
    </row>
    <row r="9" spans="1:8">
      <c r="A9" t="s">
        <v>5977</v>
      </c>
      <c r="C9" s="1680" t="s">
        <v>2490</v>
      </c>
      <c r="D9" s="1518" t="s">
        <v>2491</v>
      </c>
      <c r="E9" t="e">
        <f t="shared" ca="1" si="0"/>
        <v>#N/A</v>
      </c>
      <c r="G9" t="s">
        <v>5998</v>
      </c>
      <c r="H9" t="str">
        <f t="shared" ca="1" si="1"/>
        <v/>
      </c>
    </row>
    <row r="10" spans="1:8">
      <c r="A10" t="s">
        <v>5978</v>
      </c>
      <c r="C10" s="1680" t="s">
        <v>2492</v>
      </c>
      <c r="D10" s="1518" t="s">
        <v>2493</v>
      </c>
      <c r="E10" t="e">
        <f t="shared" ca="1" si="0"/>
        <v>#N/A</v>
      </c>
      <c r="G10" t="s">
        <v>5999</v>
      </c>
      <c r="H10" t="str">
        <f t="shared" ca="1" si="1"/>
        <v/>
      </c>
    </row>
    <row r="11" spans="1:8">
      <c r="A11" t="s">
        <v>5979</v>
      </c>
      <c r="C11" s="1680" t="s">
        <v>2494</v>
      </c>
      <c r="D11" s="1518" t="s">
        <v>2495</v>
      </c>
      <c r="E11" t="e">
        <f t="shared" ca="1" si="0"/>
        <v>#N/A</v>
      </c>
      <c r="G11" t="s">
        <v>6000</v>
      </c>
      <c r="H11" t="str">
        <f t="shared" ca="1" si="1"/>
        <v/>
      </c>
    </row>
    <row r="12" spans="1:8">
      <c r="A12" t="s">
        <v>5980</v>
      </c>
      <c r="C12" s="1680" t="s">
        <v>2496</v>
      </c>
      <c r="D12" s="1518" t="s">
        <v>2497</v>
      </c>
      <c r="E12" t="e">
        <f t="shared" ca="1" si="0"/>
        <v>#N/A</v>
      </c>
      <c r="G12" t="s">
        <v>6001</v>
      </c>
      <c r="H12" t="str">
        <f t="shared" ca="1" si="1"/>
        <v/>
      </c>
    </row>
    <row r="13" spans="1:8">
      <c r="A13" t="s">
        <v>5981</v>
      </c>
      <c r="C13" s="1680" t="s">
        <v>2498</v>
      </c>
      <c r="D13" s="1518" t="s">
        <v>2499</v>
      </c>
      <c r="E13" t="e">
        <f t="shared" ca="1" si="0"/>
        <v>#N/A</v>
      </c>
      <c r="G13" t="s">
        <v>6002</v>
      </c>
      <c r="H13" t="str">
        <f t="shared" ca="1" si="1"/>
        <v>索引号：2B-2</v>
      </c>
    </row>
    <row r="14" spans="1:8">
      <c r="A14" t="s">
        <v>5982</v>
      </c>
      <c r="C14" s="1680" t="s">
        <v>2500</v>
      </c>
      <c r="D14" s="1518" t="s">
        <v>2501</v>
      </c>
      <c r="E14" t="e">
        <f t="shared" ca="1" si="0"/>
        <v>#N/A</v>
      </c>
      <c r="G14" t="s">
        <v>6003</v>
      </c>
      <c r="H14" t="str">
        <f t="shared" ca="1" si="1"/>
        <v/>
      </c>
    </row>
    <row r="15" spans="1:8">
      <c r="A15" t="s">
        <v>5983</v>
      </c>
      <c r="C15" s="1680" t="s">
        <v>2502</v>
      </c>
      <c r="D15" s="1518" t="s">
        <v>2503</v>
      </c>
      <c r="E15" s="1695" t="e">
        <f t="shared" ca="1" si="0"/>
        <v>#N/A</v>
      </c>
      <c r="G15" t="s">
        <v>6004</v>
      </c>
      <c r="H15" t="str">
        <f t="shared" ca="1" si="1"/>
        <v/>
      </c>
    </row>
    <row r="16" spans="1:8">
      <c r="A16" t="s">
        <v>5984</v>
      </c>
      <c r="C16" s="1680" t="s">
        <v>2504</v>
      </c>
      <c r="D16" s="1518" t="s">
        <v>2505</v>
      </c>
      <c r="E16" s="1684" t="e">
        <f t="shared" ca="1" si="0"/>
        <v>#N/A</v>
      </c>
      <c r="G16" t="s">
        <v>6005</v>
      </c>
      <c r="H16" t="str">
        <f t="shared" ca="1" si="1"/>
        <v/>
      </c>
    </row>
    <row r="17" spans="1:8">
      <c r="A17" t="s">
        <v>5985</v>
      </c>
      <c r="C17" s="1680" t="s">
        <v>2506</v>
      </c>
      <c r="D17" s="1518" t="s">
        <v>2507</v>
      </c>
      <c r="E17" s="1684" t="e">
        <f t="shared" ca="1" si="0"/>
        <v>#N/A</v>
      </c>
      <c r="G17" t="s">
        <v>6006</v>
      </c>
      <c r="H17" t="str">
        <f t="shared" ca="1" si="1"/>
        <v/>
      </c>
    </row>
    <row r="18" spans="1:8">
      <c r="A18" t="s">
        <v>5986</v>
      </c>
      <c r="C18" s="1680" t="s">
        <v>2508</v>
      </c>
      <c r="D18" s="1518" t="s">
        <v>2509</v>
      </c>
      <c r="E18" s="1684" t="e">
        <f t="shared" ca="1" si="0"/>
        <v>#N/A</v>
      </c>
      <c r="G18" t="s">
        <v>6007</v>
      </c>
      <c r="H18" t="str">
        <f t="shared" ca="1" si="1"/>
        <v/>
      </c>
    </row>
    <row r="19" spans="1:8">
      <c r="A19" t="s">
        <v>5987</v>
      </c>
      <c r="C19" s="1680" t="s">
        <v>2510</v>
      </c>
      <c r="D19" s="1518" t="s">
        <v>2511</v>
      </c>
      <c r="E19" t="e">
        <f t="shared" ca="1" si="0"/>
        <v>#N/A</v>
      </c>
      <c r="G19" t="s">
        <v>6008</v>
      </c>
      <c r="H19" t="str">
        <f t="shared" ca="1" si="1"/>
        <v/>
      </c>
    </row>
    <row r="20" spans="1:8">
      <c r="A20" t="s">
        <v>1336</v>
      </c>
      <c r="C20" s="1680" t="s">
        <v>2512</v>
      </c>
      <c r="D20" s="1518" t="s">
        <v>2513</v>
      </c>
      <c r="E20" t="e">
        <f t="shared" ca="1" si="0"/>
        <v>#N/A</v>
      </c>
      <c r="G20" t="s">
        <v>6009</v>
      </c>
      <c r="H20" t="str">
        <f t="shared" ca="1" si="1"/>
        <v/>
      </c>
    </row>
    <row r="21" spans="1:8">
      <c r="A21" t="s">
        <v>93</v>
      </c>
      <c r="C21" s="1680" t="s">
        <v>2514</v>
      </c>
      <c r="D21" s="1518" t="s">
        <v>2515</v>
      </c>
      <c r="E21" t="e">
        <f t="shared" ca="1" si="0"/>
        <v>#N/A</v>
      </c>
      <c r="G21" t="s">
        <v>6010</v>
      </c>
      <c r="H21" t="str">
        <f t="shared" ca="1" si="1"/>
        <v/>
      </c>
    </row>
    <row r="22" spans="1:8">
      <c r="A22" t="s">
        <v>5988</v>
      </c>
      <c r="C22" s="1680" t="s">
        <v>2516</v>
      </c>
      <c r="D22" s="1518" t="s">
        <v>2517</v>
      </c>
      <c r="E22" t="e">
        <f t="shared" ca="1" si="0"/>
        <v>#N/A</v>
      </c>
      <c r="G22" t="s">
        <v>6011</v>
      </c>
      <c r="H22" t="str">
        <f t="shared" ca="1" si="1"/>
        <v/>
      </c>
    </row>
    <row r="23" spans="1:8">
      <c r="A23" t="s">
        <v>5989</v>
      </c>
      <c r="C23" s="1680" t="s">
        <v>2518</v>
      </c>
      <c r="D23" s="1518" t="s">
        <v>2519</v>
      </c>
      <c r="E23" t="e">
        <f t="shared" ca="1" si="0"/>
        <v>#N/A</v>
      </c>
      <c r="G23" t="s">
        <v>6012</v>
      </c>
      <c r="H23" t="str">
        <f t="shared" ca="1" si="1"/>
        <v/>
      </c>
    </row>
    <row r="24" spans="1:8">
      <c r="A24" t="s">
        <v>654</v>
      </c>
      <c r="C24" s="1680" t="s">
        <v>2520</v>
      </c>
      <c r="D24" s="1518" t="s">
        <v>2521</v>
      </c>
      <c r="E24" t="e">
        <f t="shared" ca="1" si="0"/>
        <v>#N/A</v>
      </c>
      <c r="G24" t="s">
        <v>6013</v>
      </c>
      <c r="H24" t="str">
        <f t="shared" ca="1" si="1"/>
        <v>索引号：2B-13</v>
      </c>
    </row>
    <row r="25" spans="1:8">
      <c r="A25" t="s">
        <v>1485</v>
      </c>
      <c r="C25" s="1680" t="s">
        <v>2522</v>
      </c>
      <c r="D25" s="1518" t="s">
        <v>2523</v>
      </c>
      <c r="E25" s="1684" t="e">
        <f t="shared" ca="1" si="0"/>
        <v>#N/A</v>
      </c>
      <c r="G25" t="s">
        <v>6014</v>
      </c>
      <c r="H25" t="str">
        <f t="shared" ca="1" si="1"/>
        <v>索引号：2B-14</v>
      </c>
    </row>
    <row r="26" spans="1:8">
      <c r="A26" t="s">
        <v>1658</v>
      </c>
      <c r="C26" s="1680" t="s">
        <v>2524</v>
      </c>
      <c r="D26" s="1518" t="s">
        <v>2525</v>
      </c>
      <c r="E26" t="e">
        <f t="shared" ca="1" si="0"/>
        <v>#N/A</v>
      </c>
      <c r="G26" t="s">
        <v>6015</v>
      </c>
      <c r="H26" t="str">
        <f t="shared" ca="1" si="1"/>
        <v>索引号：2B-15</v>
      </c>
    </row>
    <row r="27" spans="1:8">
      <c r="A27" t="s">
        <v>1630</v>
      </c>
      <c r="C27" s="1680" t="s">
        <v>2526</v>
      </c>
      <c r="D27" s="1519" t="s">
        <v>2527</v>
      </c>
      <c r="E27" t="e">
        <f t="shared" ca="1" si="0"/>
        <v>#N/A</v>
      </c>
      <c r="G27" t="s">
        <v>6016</v>
      </c>
      <c r="H27" t="str">
        <f t="shared" ca="1" si="1"/>
        <v/>
      </c>
    </row>
    <row r="28" spans="1:8">
      <c r="A28" t="s">
        <v>1659</v>
      </c>
      <c r="C28" s="1680" t="s">
        <v>2528</v>
      </c>
      <c r="D28" s="1518" t="s">
        <v>2529</v>
      </c>
      <c r="E28" t="e">
        <f t="shared" ca="1" si="0"/>
        <v>#N/A</v>
      </c>
      <c r="G28" t="s">
        <v>2411</v>
      </c>
      <c r="H28" t="str">
        <f t="shared" ca="1" si="1"/>
        <v/>
      </c>
    </row>
    <row r="29" spans="1:8">
      <c r="A29" t="s">
        <v>1660</v>
      </c>
      <c r="C29" s="1680" t="s">
        <v>2530</v>
      </c>
      <c r="D29" s="1518" t="s">
        <v>2531</v>
      </c>
      <c r="E29" t="e">
        <f t="shared" ca="1" si="0"/>
        <v>#N/A</v>
      </c>
    </row>
    <row r="30" spans="1:8">
      <c r="A30" t="s">
        <v>1480</v>
      </c>
      <c r="C30" s="1680" t="s">
        <v>2532</v>
      </c>
      <c r="D30" s="1518" t="s">
        <v>2533</v>
      </c>
      <c r="E30" t="e">
        <f t="shared" ca="1" si="0"/>
        <v>#N/A</v>
      </c>
    </row>
    <row r="31" spans="1:8">
      <c r="A31" t="s">
        <v>262</v>
      </c>
      <c r="C31" s="1680" t="s">
        <v>2534</v>
      </c>
      <c r="D31" s="1518" t="s">
        <v>2535</v>
      </c>
      <c r="E31" t="e">
        <f t="shared" ca="1" si="0"/>
        <v>#N/A</v>
      </c>
    </row>
    <row r="32" spans="1:8">
      <c r="A32" t="s">
        <v>1661</v>
      </c>
      <c r="C32" s="1680" t="s">
        <v>2536</v>
      </c>
      <c r="D32" s="1518" t="s">
        <v>2537</v>
      </c>
      <c r="E32" t="e">
        <f t="shared" ca="1" si="0"/>
        <v>#N/A</v>
      </c>
    </row>
    <row r="33" spans="1:5">
      <c r="A33" t="s">
        <v>1361</v>
      </c>
      <c r="C33" s="1680" t="s">
        <v>2538</v>
      </c>
      <c r="D33" s="1518" t="s">
        <v>2539</v>
      </c>
      <c r="E33" t="e">
        <f t="shared" ca="1" si="0"/>
        <v>#N/A</v>
      </c>
    </row>
    <row r="34" spans="1:5">
      <c r="A34" t="s">
        <v>1662</v>
      </c>
      <c r="C34" s="1680" t="s">
        <v>2540</v>
      </c>
      <c r="D34" s="1518" t="s">
        <v>2541</v>
      </c>
      <c r="E34" t="e">
        <f t="shared" ca="1" si="0"/>
        <v>#N/A</v>
      </c>
    </row>
    <row r="35" spans="1:5">
      <c r="A35" t="s">
        <v>473</v>
      </c>
      <c r="C35" s="1680" t="s">
        <v>2542</v>
      </c>
      <c r="D35" s="1518" t="s">
        <v>2543</v>
      </c>
      <c r="E35" t="e">
        <f t="shared" ca="1" si="0"/>
        <v>#N/A</v>
      </c>
    </row>
    <row r="36" spans="1:5">
      <c r="A36" t="s">
        <v>5990</v>
      </c>
      <c r="C36" s="1680" t="s">
        <v>2544</v>
      </c>
      <c r="D36" s="1518" t="s">
        <v>2545</v>
      </c>
      <c r="E36" t="e">
        <f t="shared" ca="1" si="0"/>
        <v>#N/A</v>
      </c>
    </row>
    <row r="37" spans="1:5">
      <c r="A37" t="s">
        <v>470</v>
      </c>
      <c r="C37" s="1680" t="s">
        <v>2546</v>
      </c>
      <c r="D37" s="1518" t="s">
        <v>2547</v>
      </c>
      <c r="E37" t="e">
        <f t="shared" ca="1" si="0"/>
        <v>#N/A</v>
      </c>
    </row>
    <row r="38" spans="1:5">
      <c r="A38" t="s">
        <v>1431</v>
      </c>
      <c r="C38" s="1680" t="s">
        <v>2548</v>
      </c>
      <c r="D38" s="1519" t="s">
        <v>2549</v>
      </c>
      <c r="E38" t="e">
        <f t="shared" ca="1" si="0"/>
        <v>#N/A</v>
      </c>
    </row>
    <row r="39" spans="1:5">
      <c r="A39" t="s">
        <v>5991</v>
      </c>
      <c r="C39" s="1680" t="s">
        <v>2550</v>
      </c>
      <c r="D39" s="1518" t="s">
        <v>2551</v>
      </c>
      <c r="E39" t="e">
        <f t="shared" ca="1" si="0"/>
        <v>#N/A</v>
      </c>
    </row>
    <row r="40" spans="1:5">
      <c r="A40" t="s">
        <v>5992</v>
      </c>
      <c r="C40" s="1680" t="s">
        <v>2552</v>
      </c>
      <c r="D40" s="1518" t="s">
        <v>2553</v>
      </c>
      <c r="E40" t="e">
        <f t="shared" ca="1" si="0"/>
        <v>#N/A</v>
      </c>
    </row>
    <row r="41" spans="1:5">
      <c r="A41" t="s">
        <v>5993</v>
      </c>
      <c r="C41" s="1680" t="s">
        <v>2554</v>
      </c>
      <c r="D41" s="1518" t="s">
        <v>2555</v>
      </c>
      <c r="E41" t="e">
        <f t="shared" ca="1" si="0"/>
        <v>#N/A</v>
      </c>
    </row>
    <row r="42" spans="1:5">
      <c r="A42" t="s">
        <v>5994</v>
      </c>
      <c r="C42" s="1680" t="s">
        <v>2556</v>
      </c>
      <c r="D42" s="1520" t="s">
        <v>2557</v>
      </c>
      <c r="E42" t="e">
        <f t="shared" ca="1" si="0"/>
        <v>#N/A</v>
      </c>
    </row>
    <row r="43" spans="1:5">
      <c r="A43" t="s">
        <v>5995</v>
      </c>
    </row>
    <row r="44" spans="1:5">
      <c r="A44" t="s">
        <v>5996</v>
      </c>
    </row>
    <row r="45" spans="1:5">
      <c r="A45" t="s">
        <v>5997</v>
      </c>
    </row>
    <row r="46" spans="1:5">
      <c r="A46" t="s">
        <v>5998</v>
      </c>
    </row>
    <row r="47" spans="1:5">
      <c r="A47" t="s">
        <v>5999</v>
      </c>
    </row>
    <row r="48" spans="1:5">
      <c r="A48" t="s">
        <v>6000</v>
      </c>
    </row>
    <row r="49" spans="1:1">
      <c r="A49" t="s">
        <v>6001</v>
      </c>
    </row>
    <row r="50" spans="1:1">
      <c r="A50" t="s">
        <v>6002</v>
      </c>
    </row>
    <row r="51" spans="1:1">
      <c r="A51" t="s">
        <v>6003</v>
      </c>
    </row>
    <row r="52" spans="1:1">
      <c r="A52" t="s">
        <v>6004</v>
      </c>
    </row>
    <row r="53" spans="1:1">
      <c r="A53" t="s">
        <v>6005</v>
      </c>
    </row>
    <row r="54" spans="1:1">
      <c r="A54" t="s">
        <v>6006</v>
      </c>
    </row>
    <row r="55" spans="1:1">
      <c r="A55" t="s">
        <v>6007</v>
      </c>
    </row>
    <row r="56" spans="1:1">
      <c r="A56" t="s">
        <v>6008</v>
      </c>
    </row>
    <row r="57" spans="1:1">
      <c r="A57" t="s">
        <v>6009</v>
      </c>
    </row>
    <row r="58" spans="1:1">
      <c r="A58" t="s">
        <v>6010</v>
      </c>
    </row>
    <row r="59" spans="1:1">
      <c r="A59" t="s">
        <v>6011</v>
      </c>
    </row>
    <row r="60" spans="1:1">
      <c r="A60" t="s">
        <v>6012</v>
      </c>
    </row>
    <row r="61" spans="1:1">
      <c r="A61" t="s">
        <v>6013</v>
      </c>
    </row>
    <row r="62" spans="1:1">
      <c r="A62" t="s">
        <v>6014</v>
      </c>
    </row>
    <row r="63" spans="1:1">
      <c r="A63" t="s">
        <v>6015</v>
      </c>
    </row>
    <row r="64" spans="1:1">
      <c r="A64" t="s">
        <v>6016</v>
      </c>
    </row>
    <row r="65" spans="1:1">
      <c r="A65" t="s">
        <v>2411</v>
      </c>
    </row>
    <row r="66" spans="1:1">
      <c r="A66" t="s">
        <v>83</v>
      </c>
    </row>
    <row r="67" spans="1:1">
      <c r="A67" t="s">
        <v>6017</v>
      </c>
    </row>
    <row r="68" spans="1:1">
      <c r="A68" t="s">
        <v>6018</v>
      </c>
    </row>
    <row r="69" spans="1:1">
      <c r="A69" t="s">
        <v>1663</v>
      </c>
    </row>
    <row r="70" spans="1:1">
      <c r="A70" t="s">
        <v>670</v>
      </c>
    </row>
    <row r="71" spans="1:1">
      <c r="A71" t="s">
        <v>1664</v>
      </c>
    </row>
    <row r="72" spans="1:1">
      <c r="A72" t="s">
        <v>1665</v>
      </c>
    </row>
    <row r="73" spans="1:1">
      <c r="A73" t="s">
        <v>1666</v>
      </c>
    </row>
    <row r="74" spans="1:1">
      <c r="A74" t="s">
        <v>1667</v>
      </c>
    </row>
    <row r="75" spans="1:1">
      <c r="A75" t="s">
        <v>6019</v>
      </c>
    </row>
    <row r="76" spans="1:1">
      <c r="A76" t="s">
        <v>252</v>
      </c>
    </row>
    <row r="77" spans="1:1">
      <c r="A77" t="s">
        <v>1668</v>
      </c>
    </row>
    <row r="78" spans="1:1">
      <c r="A78" t="s">
        <v>856</v>
      </c>
    </row>
    <row r="79" spans="1:1">
      <c r="A79" t="s">
        <v>1293</v>
      </c>
    </row>
    <row r="80" spans="1:1">
      <c r="A80" t="s">
        <v>967</v>
      </c>
    </row>
    <row r="81" spans="1:1">
      <c r="A81" t="s">
        <v>1669</v>
      </c>
    </row>
    <row r="82" spans="1:1">
      <c r="A82" t="s">
        <v>1670</v>
      </c>
    </row>
    <row r="83" spans="1:1">
      <c r="A83" t="s">
        <v>1381</v>
      </c>
    </row>
    <row r="84" spans="1:1">
      <c r="A84" t="s">
        <v>6020</v>
      </c>
    </row>
    <row r="85" spans="1:1">
      <c r="A85" t="s">
        <v>1671</v>
      </c>
    </row>
    <row r="86" spans="1:1">
      <c r="A86" t="s">
        <v>1672</v>
      </c>
    </row>
    <row r="87" spans="1:1">
      <c r="A87" t="s">
        <v>1673</v>
      </c>
    </row>
    <row r="88" spans="1:1">
      <c r="A88" t="s">
        <v>1674</v>
      </c>
    </row>
    <row r="89" spans="1:1">
      <c r="A89" t="s">
        <v>1675</v>
      </c>
    </row>
    <row r="90" spans="1:1">
      <c r="A90" t="s">
        <v>1264</v>
      </c>
    </row>
    <row r="91" spans="1:1">
      <c r="A91" t="s">
        <v>1676</v>
      </c>
    </row>
    <row r="92" spans="1:1">
      <c r="A92" t="s">
        <v>1677</v>
      </c>
    </row>
    <row r="93" spans="1:1">
      <c r="A93" t="s">
        <v>1678</v>
      </c>
    </row>
    <row r="94" spans="1:1">
      <c r="A94" t="s">
        <v>1679</v>
      </c>
    </row>
    <row r="95" spans="1:1">
      <c r="A95" t="s">
        <v>1680</v>
      </c>
    </row>
    <row r="96" spans="1:1">
      <c r="A96" s="1684" t="s">
        <v>59</v>
      </c>
    </row>
    <row r="97" spans="1:1">
      <c r="A97" s="1684" t="s">
        <v>651</v>
      </c>
    </row>
    <row r="98" spans="1:1">
      <c r="A98" s="1684" t="s">
        <v>400</v>
      </c>
    </row>
    <row r="99" spans="1:1">
      <c r="A99" s="1684" t="s">
        <v>1539</v>
      </c>
    </row>
    <row r="100" spans="1:1">
      <c r="A100" t="s">
        <v>649</v>
      </c>
    </row>
    <row r="101" spans="1:1">
      <c r="A101" t="s">
        <v>72</v>
      </c>
    </row>
    <row r="102" spans="1:1">
      <c r="A102" t="s">
        <v>75</v>
      </c>
    </row>
    <row r="103" spans="1:1">
      <c r="A103" t="s">
        <v>1292</v>
      </c>
    </row>
    <row r="104" spans="1:1">
      <c r="A104" t="s">
        <v>22</v>
      </c>
    </row>
    <row r="105" spans="1:1">
      <c r="A105" t="s">
        <v>1486</v>
      </c>
    </row>
    <row r="106" spans="1:1">
      <c r="A106" t="s">
        <v>82</v>
      </c>
    </row>
    <row r="107" spans="1:1">
      <c r="A107" t="s">
        <v>84</v>
      </c>
    </row>
    <row r="108" spans="1:1">
      <c r="A108" t="s">
        <v>85</v>
      </c>
    </row>
    <row r="109" spans="1:1">
      <c r="A109" t="s">
        <v>620</v>
      </c>
    </row>
    <row r="110" spans="1:1">
      <c r="A110" t="s">
        <v>89</v>
      </c>
    </row>
    <row r="111" spans="1:1">
      <c r="A111" t="s">
        <v>91</v>
      </c>
    </row>
    <row r="112" spans="1:1">
      <c r="A112" t="s">
        <v>677</v>
      </c>
    </row>
    <row r="113" spans="1:1">
      <c r="A113" t="s">
        <v>6021</v>
      </c>
    </row>
    <row r="114" spans="1:1">
      <c r="A114" t="s">
        <v>6022</v>
      </c>
    </row>
    <row r="115" spans="1:1">
      <c r="A115" t="s">
        <v>6023</v>
      </c>
    </row>
    <row r="116" spans="1:1">
      <c r="A116" t="s">
        <v>6024</v>
      </c>
    </row>
    <row r="117" spans="1:1">
      <c r="A117" t="s">
        <v>6025</v>
      </c>
    </row>
    <row r="118" spans="1:1">
      <c r="A118" t="s">
        <v>6026</v>
      </c>
    </row>
    <row r="119" spans="1:1">
      <c r="A119" t="s">
        <v>6027</v>
      </c>
    </row>
    <row r="120" spans="1:1">
      <c r="A120" t="s">
        <v>6028</v>
      </c>
    </row>
    <row r="121" spans="1:1">
      <c r="A121" t="s">
        <v>6029</v>
      </c>
    </row>
    <row r="122" spans="1:1">
      <c r="A122" t="s">
        <v>6030</v>
      </c>
    </row>
    <row r="123" spans="1:1">
      <c r="A123" t="s">
        <v>6031</v>
      </c>
    </row>
    <row r="124" spans="1:1">
      <c r="A124" t="s">
        <v>6032</v>
      </c>
    </row>
    <row r="125" spans="1:1">
      <c r="A125" t="s">
        <v>6033</v>
      </c>
    </row>
    <row r="126" spans="1:1">
      <c r="A126" t="s">
        <v>6034</v>
      </c>
    </row>
    <row r="127" spans="1:1">
      <c r="A127" t="s">
        <v>6035</v>
      </c>
    </row>
    <row r="128" spans="1:1">
      <c r="A128" t="s">
        <v>6036</v>
      </c>
    </row>
    <row r="129" spans="1:1">
      <c r="A129" t="s">
        <v>6037</v>
      </c>
    </row>
    <row r="130" spans="1:1">
      <c r="A130" t="s">
        <v>6038</v>
      </c>
    </row>
    <row r="131" spans="1:1">
      <c r="A131" t="s">
        <v>6039</v>
      </c>
    </row>
    <row r="132" spans="1:1">
      <c r="A132" t="s">
        <v>6040</v>
      </c>
    </row>
    <row r="133" spans="1:1">
      <c r="A133" t="s">
        <v>6041</v>
      </c>
    </row>
    <row r="134" spans="1:1">
      <c r="A134" t="s">
        <v>6042</v>
      </c>
    </row>
    <row r="135" spans="1:1">
      <c r="A135" t="s">
        <v>6043</v>
      </c>
    </row>
    <row r="136" spans="1:1">
      <c r="A136" t="s">
        <v>6044</v>
      </c>
    </row>
    <row r="137" spans="1:1">
      <c r="A137" t="s">
        <v>2433</v>
      </c>
    </row>
    <row r="138" spans="1:1">
      <c r="A138" t="s">
        <v>6045</v>
      </c>
    </row>
    <row r="139" spans="1:1">
      <c r="A139" t="s">
        <v>6046</v>
      </c>
    </row>
    <row r="140" spans="1:1">
      <c r="A140" t="s">
        <v>6047</v>
      </c>
    </row>
    <row r="141" spans="1:1">
      <c r="A141" t="s">
        <v>6048</v>
      </c>
    </row>
    <row r="142" spans="1:1">
      <c r="A142" t="s">
        <v>5973</v>
      </c>
    </row>
    <row r="143" spans="1:1">
      <c r="A143" t="s">
        <v>6049</v>
      </c>
    </row>
    <row r="144" spans="1:1">
      <c r="A144" t="s">
        <v>6050</v>
      </c>
    </row>
    <row r="145" spans="1:1">
      <c r="A145" t="s">
        <v>6051</v>
      </c>
    </row>
    <row r="146" spans="1:1">
      <c r="A146" t="s">
        <v>6052</v>
      </c>
    </row>
    <row r="147" spans="1:1">
      <c r="A147" t="s">
        <v>6053</v>
      </c>
    </row>
    <row r="148" spans="1:1">
      <c r="A148" t="s">
        <v>6054</v>
      </c>
    </row>
    <row r="149" spans="1:1">
      <c r="A149" t="s">
        <v>6055</v>
      </c>
    </row>
    <row r="150" spans="1:1">
      <c r="A150" t="s">
        <v>6056</v>
      </c>
    </row>
    <row r="151" spans="1:1">
      <c r="A151" t="s">
        <v>6057</v>
      </c>
    </row>
    <row r="152" spans="1:1">
      <c r="A152" t="s">
        <v>6058</v>
      </c>
    </row>
    <row r="153" spans="1:1">
      <c r="A153" t="s">
        <v>6059</v>
      </c>
    </row>
    <row r="154" spans="1:1">
      <c r="A154" t="s">
        <v>6060</v>
      </c>
    </row>
    <row r="155" spans="1:1">
      <c r="A155" t="s">
        <v>6061</v>
      </c>
    </row>
    <row r="156" spans="1:1">
      <c r="A156" t="s">
        <v>6062</v>
      </c>
    </row>
    <row r="157" spans="1:1">
      <c r="A157" t="s">
        <v>6063</v>
      </c>
    </row>
    <row r="158" spans="1:1">
      <c r="A158" t="s">
        <v>6064</v>
      </c>
    </row>
    <row r="159" spans="1:1">
      <c r="A159" t="s">
        <v>6065</v>
      </c>
    </row>
    <row r="160" spans="1:1">
      <c r="A160" t="s">
        <v>6066</v>
      </c>
    </row>
    <row r="161" spans="1:1">
      <c r="A161" t="s">
        <v>6067</v>
      </c>
    </row>
    <row r="162" spans="1:1">
      <c r="A162" t="s">
        <v>6068</v>
      </c>
    </row>
    <row r="163" spans="1:1">
      <c r="A163" t="s">
        <v>6069</v>
      </c>
    </row>
    <row r="164" spans="1:1">
      <c r="A164" t="s">
        <v>6070</v>
      </c>
    </row>
    <row r="165" spans="1:1">
      <c r="A165" t="s">
        <v>6071</v>
      </c>
    </row>
    <row r="166" spans="1:1">
      <c r="A166" t="s">
        <v>6072</v>
      </c>
    </row>
    <row r="167" spans="1:1">
      <c r="A167" t="s">
        <v>6073</v>
      </c>
    </row>
    <row r="168" spans="1:1">
      <c r="A168" t="s">
        <v>6074</v>
      </c>
    </row>
    <row r="169" spans="1:1">
      <c r="A169" t="s">
        <v>6075</v>
      </c>
    </row>
    <row r="170" spans="1:1">
      <c r="A170" t="s">
        <v>6076</v>
      </c>
    </row>
    <row r="171" spans="1:1">
      <c r="A171" t="s">
        <v>6077</v>
      </c>
    </row>
    <row r="172" spans="1:1">
      <c r="A172" t="s">
        <v>6078</v>
      </c>
    </row>
    <row r="173" spans="1:1">
      <c r="A173" t="s">
        <v>6079</v>
      </c>
    </row>
    <row r="174" spans="1:1">
      <c r="A174" t="s">
        <v>6080</v>
      </c>
    </row>
    <row r="175" spans="1:1">
      <c r="A175" t="s">
        <v>6081</v>
      </c>
    </row>
    <row r="176" spans="1:1">
      <c r="A176" t="s">
        <v>6082</v>
      </c>
    </row>
    <row r="177" spans="1:1">
      <c r="A177" t="s">
        <v>6083</v>
      </c>
    </row>
    <row r="178" spans="1:1">
      <c r="A178" t="s">
        <v>6084</v>
      </c>
    </row>
    <row r="179" spans="1:1">
      <c r="A179" t="s">
        <v>6085</v>
      </c>
    </row>
    <row r="180" spans="1:1">
      <c r="A180" t="s">
        <v>6086</v>
      </c>
    </row>
    <row r="181" spans="1:1">
      <c r="A181" t="s">
        <v>6087</v>
      </c>
    </row>
    <row r="182" spans="1:1">
      <c r="A182" t="s">
        <v>6088</v>
      </c>
    </row>
    <row r="183" spans="1:1">
      <c r="A183" t="s">
        <v>6089</v>
      </c>
    </row>
  </sheetData>
  <phoneticPr fontId="51" type="noConversion"/>
  <hyperlinks>
    <hyperlink ref="D2" location="A000000企业基础信息表!A1" display="企业基础信息表"/>
    <hyperlink ref="D3" location="'A100000中华人民共和国企业所得税年度纳税申报表（A类）'!A1" display="中华人民共和国企业所得税年度纳税申报表（A类）"/>
    <hyperlink ref="D4" location="A101010一般企业收入明细表!A1" display="    一般企业收入明细表"/>
    <hyperlink ref="D5" location="A101020金融企业收入明细表!A1" display="    金融企业收入明细表"/>
    <hyperlink ref="D6" location="A102010一般企业成本支出明细表!A1" display="    一般企业成本支出明细表"/>
    <hyperlink ref="D7" location="A102020金融企业支出明细表!A1" display="    金融企业支出明细表"/>
    <hyperlink ref="D8" location="A103000事业单位、民间非营利组织收入、支出明细表!A1" display="    事业单位、民间非营利组织收入、支出明细表"/>
    <hyperlink ref="D9" location="A104000期间费用明细表!A1" display="    期间费用明细表"/>
    <hyperlink ref="D10" location="A105000纳税调整项目明细表!A1" display="    纳税调整项目明细表"/>
    <hyperlink ref="D11" location="A105010视同销售和房地产开发企业特定业务纳税调整明细表!A1" display="        视同销售和房地产开发企业特定业务纳税调整明细表"/>
    <hyperlink ref="D12" location="A105020未按权责发生制确认收入纳税调整明细表!A1" display="        未按权责发生制确认收入纳税调整明细表"/>
    <hyperlink ref="D13" location="A105030投资收益纳税调整明细表!A1" display="        投资收益纳税调整明细表"/>
    <hyperlink ref="D14" location="A105040专项用途财政性资金纳税调整表!A1" display="        专项用途财政性资金纳税调整明细表"/>
    <hyperlink ref="D15" location="A105050职工薪酬纳税调整明细表!A1" display="        职工薪酬纳税调整明细表"/>
    <hyperlink ref="D16" location="A105060广告费和业务宣传费跨年度纳税调整明细表!A1" display="        广告费和业务宣传费跨年度纳税调整明细表"/>
    <hyperlink ref="D17" location="A105070捐赠支出纳税调整明细表!A1" display="        捐赠支出纳税调整明细表"/>
    <hyperlink ref="D18" location="A105080资产折旧、摊销情况及纳税调整明细表!A1" display="        资产折旧、摊销情况及纳税调整明细表"/>
    <hyperlink ref="D19" location="A105081固定资产加速折旧、扣除明细表!A1" display="            固定资产加速折旧、扣除明细表"/>
    <hyperlink ref="D20" location="A105090资产损失税前扣除及纳税调整明细表!A1" display="        资产损失税前扣除及纳税调整明细表"/>
    <hyperlink ref="D21" location="'A105091资产损失（专项申报）税前扣除及纳税调整明细表'!A1" display="            资产损失（专项申报）税前扣除及纳税调整明细表"/>
    <hyperlink ref="D42" location="A109010企业所得税汇总纳税分支机构所得税分配表!A1" display="        企业所得税汇总纳税分支机构所得税分配表"/>
    <hyperlink ref="D41" location="A109000跨地区经营汇总纳税企业年度分摊企业所得税明细表!A1" display="    跨地区经营汇总纳税企业年度分摊企业所得税明细表"/>
    <hyperlink ref="D40" location="A108030跨年度结转抵免境外所得税明细表!A1" display="        跨年度结转抵免境外所得税明细表"/>
    <hyperlink ref="D39" location="A108020境外分支机构弥补亏损明细表!A1" display="        境外分支机构弥补亏损明细表"/>
    <hyperlink ref="D37" location="A108000境外所得税收抵免明细表!A1" display="    境外所得税收抵免明细表"/>
    <hyperlink ref="D38" location="A108010境外所得纳税调整后所得明细表!A1" display="        境外所得纳税调整后所得明细表"/>
    <hyperlink ref="D36" location="A107050税额抵免优惠明细表!A1" display="    税额抵免优惠明细表"/>
    <hyperlink ref="D35" location="A107042软件、集成电路企业优惠情况及明细表!A1" display="        软件、集成电路企业优惠情况及明细表"/>
    <hyperlink ref="D34" location="A107041高新技术企业优惠情况及明细表!A1" display="        高新技术企业优惠情况及明细表"/>
    <hyperlink ref="D33" location="A107040减免所得税优惠明细表!A1" display="    减免所得税优惠明细表"/>
    <hyperlink ref="D32" location="A107030抵扣应纳税所得额明细表!A1" display="    抵扣应纳税所得额明细表"/>
    <hyperlink ref="D31" location="A107020所得减免优惠明细表!A1" display="    所得减免优惠明细表"/>
    <hyperlink ref="D30" location="A107014研发费用加计扣除优惠明细表!A1" display="        研发费用加计扣除优惠明细表"/>
    <hyperlink ref="D29" location="A107013金融保险等机构取得涉农利息保费收入优惠明细表!A1" display="        金融、保险等机构取得的涉农利息、保费收入优惠明细表"/>
    <hyperlink ref="D28" location="A107012综合利用资源生产产品取得的收入优惠明细表!A1" display="        综合利用资源生产产品取得的收入优惠明细表"/>
    <hyperlink ref="D26" location="A107010免税、减计收入及加计扣除优惠明细表!A1" display="    免税、减计收入及加计扣除优惠明细表"/>
    <hyperlink ref="D25" location="A106000企业所得税弥补亏损明细表!A1" display="    企业所得税弥补亏损明细表"/>
    <hyperlink ref="D24" location="A105120特殊行业准备金纳税调整明细表!A1" display="        特殊行业准备金纳税调整明细表"/>
    <hyperlink ref="D23" location="A105110政策性搬迁纳税调整明细表!A1" display="        政策性搬迁纳税调整明细表"/>
    <hyperlink ref="D22" location="A105100企业重组纳税调整明细表!A1" display="        企业重组纳税调整明细表"/>
    <hyperlink ref="D27" location="A107011股息红利优惠明细表!A1" display="        符合条件的居民企业之间的股息、红利等权益性投资收益优惠明细表"/>
  </hyperlinks>
  <pageMargins left="0.78740157480314998" right="0.35433070866141703" top="0.511811023622047" bottom="0.11811023622047198" header="0.511811023622047" footer="0.511811023622047"/>
  <pageSetup paperSize="9" orientation="portrait" r:id="rId1"/>
</worksheet>
</file>

<file path=xl/worksheets/sheet7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41">
    <pageSetUpPr fitToPage="1"/>
  </sheetPr>
  <dimension ref="A1:M94"/>
  <sheetViews>
    <sheetView workbookViewId="0">
      <selection activeCell="C41" sqref="C41:H41"/>
    </sheetView>
  </sheetViews>
  <sheetFormatPr defaultRowHeight="15.6"/>
  <cols>
    <col min="1" max="1" width="3.59765625" style="771" customWidth="1"/>
    <col min="2" max="2" width="6.8984375" style="771" customWidth="1"/>
    <col min="3" max="3" width="13.09765625" style="771" customWidth="1"/>
    <col min="4" max="4" width="12.5" style="771" customWidth="1"/>
    <col min="5" max="6" width="12.69921875" style="771" customWidth="1"/>
    <col min="7" max="8" width="13.09765625" style="771" customWidth="1"/>
    <col min="9" max="9" width="34.69921875" style="131" customWidth="1"/>
    <col min="10" max="10" width="17.19921875" customWidth="1"/>
  </cols>
  <sheetData>
    <row r="1" spans="1:13" ht="30.75" customHeight="1">
      <c r="A1" s="2707" t="s">
        <v>296</v>
      </c>
      <c r="B1" s="2707"/>
      <c r="C1" s="2707"/>
      <c r="D1" s="2707"/>
      <c r="E1" s="2707"/>
      <c r="F1" s="2707"/>
      <c r="G1" s="2707"/>
      <c r="H1" s="2707"/>
      <c r="I1" s="812"/>
      <c r="J1" s="84"/>
      <c r="K1" s="84"/>
      <c r="L1" s="84"/>
    </row>
    <row r="2" spans="1:13" s="502" customFormat="1" ht="13.5" customHeight="1">
      <c r="A2" s="813"/>
      <c r="B2" s="813"/>
      <c r="C2" s="813"/>
      <c r="D2" s="813"/>
      <c r="E2" s="813"/>
      <c r="F2" s="813"/>
      <c r="G2" s="133" t="s">
        <v>1053</v>
      </c>
      <c r="H2" s="814" t="str">
        <f>档案索引!D22</f>
        <v>3-1</v>
      </c>
      <c r="I2" s="815"/>
      <c r="J2" s="144"/>
      <c r="K2" s="144"/>
      <c r="L2" s="144"/>
    </row>
    <row r="3" spans="1:13" s="502" customFormat="1" ht="20.25" customHeight="1">
      <c r="A3" s="3141" t="s">
        <v>448</v>
      </c>
      <c r="B3" s="3141"/>
      <c r="C3" s="3506">
        <f>基本情况!B2</f>
        <v>0</v>
      </c>
      <c r="D3" s="3506"/>
      <c r="E3" s="136"/>
      <c r="F3" s="3511" t="s">
        <v>1067</v>
      </c>
      <c r="G3" s="3512"/>
      <c r="H3" s="485" t="s">
        <v>450</v>
      </c>
      <c r="I3" s="815"/>
      <c r="J3" s="144"/>
      <c r="K3" s="144"/>
      <c r="L3" s="144"/>
    </row>
    <row r="4" spans="1:13" s="502" customFormat="1" ht="20.25" customHeight="1">
      <c r="A4" s="3141"/>
      <c r="B4" s="3141"/>
      <c r="C4" s="3506"/>
      <c r="D4" s="3506"/>
      <c r="E4" s="158" t="s">
        <v>451</v>
      </c>
      <c r="F4" s="3509">
        <f>基本情况!B12</f>
        <v>0</v>
      </c>
      <c r="G4" s="3510"/>
      <c r="H4" s="816" t="str">
        <f>TEXT(基本情况!B21,"yyyy-mm-dd")</f>
        <v>2017-03-16</v>
      </c>
      <c r="I4" s="817" t="s">
        <v>396</v>
      </c>
      <c r="J4" s="144"/>
      <c r="K4" s="144"/>
      <c r="L4" s="144"/>
    </row>
    <row r="5" spans="1:13" s="502" customFormat="1" ht="20.25" customHeight="1">
      <c r="A5" s="3156" t="s">
        <v>452</v>
      </c>
      <c r="B5" s="3156"/>
      <c r="C5" s="2899" t="str">
        <f>基本情况!B7</f>
        <v>2016年01月01日至2016年12月31日</v>
      </c>
      <c r="D5" s="2899"/>
      <c r="E5" s="140" t="s">
        <v>453</v>
      </c>
      <c r="F5" s="3507">
        <f>基本情况!B11</f>
        <v>0</v>
      </c>
      <c r="G5" s="3508"/>
      <c r="H5" s="816" t="str">
        <f>TEXT(基本情况!B22,"yyyy-mm-dd")</f>
        <v>2017-05-04</v>
      </c>
      <c r="I5" s="232" t="s">
        <v>654</v>
      </c>
      <c r="J5" s="144"/>
      <c r="K5" s="144"/>
      <c r="L5" s="144"/>
    </row>
    <row r="6" spans="1:13" s="502" customFormat="1" ht="7.5" customHeight="1">
      <c r="A6" s="2959"/>
      <c r="B6" s="2959"/>
      <c r="C6" s="2959"/>
      <c r="D6" s="2959"/>
      <c r="E6" s="2959"/>
      <c r="F6" s="2959"/>
      <c r="G6" s="2959"/>
      <c r="H6" s="2959"/>
      <c r="I6" s="815"/>
      <c r="J6" s="144"/>
      <c r="K6" s="144"/>
      <c r="L6" s="144"/>
    </row>
    <row r="7" spans="1:13" s="502" customFormat="1" ht="20.25" customHeight="1">
      <c r="A7" s="3021" t="s">
        <v>666</v>
      </c>
      <c r="B7" s="3021"/>
      <c r="C7" s="818" t="s">
        <v>94</v>
      </c>
      <c r="D7" s="819" t="s">
        <v>95</v>
      </c>
      <c r="E7" s="819" t="s">
        <v>5917</v>
      </c>
      <c r="F7" s="819" t="s">
        <v>96</v>
      </c>
      <c r="G7" s="1641" t="s">
        <v>5913</v>
      </c>
      <c r="H7" s="772" t="s">
        <v>703</v>
      </c>
      <c r="I7" s="493"/>
      <c r="J7" s="144"/>
      <c r="K7" s="144"/>
      <c r="L7" s="144"/>
    </row>
    <row r="8" spans="1:13" s="502" customFormat="1" ht="15.75" customHeight="1">
      <c r="A8" s="3128" t="s">
        <v>956</v>
      </c>
      <c r="B8" s="136" t="s">
        <v>668</v>
      </c>
      <c r="C8" s="1635"/>
      <c r="D8" s="1635"/>
      <c r="E8" s="1635"/>
      <c r="F8" s="1635"/>
      <c r="G8" s="1642"/>
      <c r="H8" s="1636">
        <f>SUM(C8:G8)</f>
        <v>0</v>
      </c>
      <c r="I8" s="232" t="s">
        <v>674</v>
      </c>
      <c r="J8" s="144"/>
      <c r="K8" s="144"/>
      <c r="L8" s="144"/>
    </row>
    <row r="9" spans="1:13" s="502" customFormat="1" ht="15.75" customHeight="1">
      <c r="A9" s="3128"/>
      <c r="B9" s="158" t="s">
        <v>672</v>
      </c>
      <c r="C9" s="1634"/>
      <c r="D9" s="1634"/>
      <c r="E9" s="1634"/>
      <c r="F9" s="1634"/>
      <c r="G9" s="1643"/>
      <c r="H9" s="1637">
        <f t="shared" ref="H9:H22" si="0">SUM(C9:G9)</f>
        <v>0</v>
      </c>
      <c r="I9" s="232" t="s">
        <v>670</v>
      </c>
      <c r="J9" s="144"/>
      <c r="K9" s="144"/>
      <c r="L9" s="144"/>
    </row>
    <row r="10" spans="1:13" s="502" customFormat="1" ht="15.75" customHeight="1">
      <c r="A10" s="3128"/>
      <c r="B10" s="158" t="s">
        <v>676</v>
      </c>
      <c r="C10" s="1634"/>
      <c r="D10" s="1634"/>
      <c r="E10" s="1634"/>
      <c r="F10" s="1634"/>
      <c r="G10" s="1643"/>
      <c r="H10" s="1637">
        <f t="shared" si="0"/>
        <v>0</v>
      </c>
      <c r="I10" s="493" t="s">
        <v>72</v>
      </c>
      <c r="J10" s="144"/>
      <c r="K10" s="144"/>
      <c r="L10" s="144"/>
    </row>
    <row r="11" spans="1:13" s="502" customFormat="1" ht="15.75" customHeight="1">
      <c r="A11" s="3128"/>
      <c r="B11" s="158" t="s">
        <v>679</v>
      </c>
      <c r="C11" s="1634"/>
      <c r="D11" s="1634"/>
      <c r="E11" s="1634"/>
      <c r="F11" s="1634"/>
      <c r="G11" s="1643"/>
      <c r="H11" s="1637">
        <f t="shared" si="0"/>
        <v>0</v>
      </c>
      <c r="I11" s="232" t="s">
        <v>643</v>
      </c>
      <c r="J11" s="144"/>
      <c r="K11" s="144"/>
      <c r="L11" s="144"/>
    </row>
    <row r="12" spans="1:13" s="502" customFormat="1" ht="15.75" customHeight="1">
      <c r="A12" s="3128"/>
      <c r="B12" s="158" t="s">
        <v>682</v>
      </c>
      <c r="C12" s="1634"/>
      <c r="D12" s="1634"/>
      <c r="E12" s="1634"/>
      <c r="F12" s="1634"/>
      <c r="G12" s="1643"/>
      <c r="H12" s="1637">
        <f t="shared" si="0"/>
        <v>0</v>
      </c>
      <c r="I12" s="493" t="s">
        <v>677</v>
      </c>
      <c r="J12" s="144"/>
      <c r="K12" s="144"/>
      <c r="L12" s="144"/>
    </row>
    <row r="13" spans="1:13" s="502" customFormat="1" ht="15.75" customHeight="1">
      <c r="A13" s="3128"/>
      <c r="B13" s="158" t="s">
        <v>686</v>
      </c>
      <c r="C13" s="1634"/>
      <c r="D13" s="1634"/>
      <c r="E13" s="1634"/>
      <c r="F13" s="1634"/>
      <c r="G13" s="1643"/>
      <c r="H13" s="1637">
        <f t="shared" si="0"/>
        <v>0</v>
      </c>
      <c r="I13" s="493" t="s">
        <v>957</v>
      </c>
      <c r="J13" s="144"/>
      <c r="K13" s="144"/>
      <c r="L13" s="144"/>
    </row>
    <row r="14" spans="1:13" s="502" customFormat="1" ht="15.75" customHeight="1">
      <c r="A14" s="3128"/>
      <c r="B14" s="158" t="s">
        <v>688</v>
      </c>
      <c r="C14" s="1634"/>
      <c r="D14" s="1634"/>
      <c r="E14" s="1634"/>
      <c r="F14" s="1634"/>
      <c r="G14" s="1643"/>
      <c r="H14" s="1637">
        <f t="shared" si="0"/>
        <v>0</v>
      </c>
      <c r="I14" s="815"/>
      <c r="J14" s="144"/>
      <c r="K14" s="144"/>
      <c r="L14" s="144"/>
    </row>
    <row r="15" spans="1:13" s="502" customFormat="1" ht="15.75" customHeight="1">
      <c r="A15" s="3128"/>
      <c r="B15" s="158" t="s">
        <v>691</v>
      </c>
      <c r="C15" s="1634"/>
      <c r="D15" s="1634"/>
      <c r="E15" s="1634"/>
      <c r="F15" s="1634"/>
      <c r="G15" s="1643"/>
      <c r="H15" s="1637">
        <f t="shared" si="0"/>
        <v>0</v>
      </c>
      <c r="I15" s="3513" t="s">
        <v>976</v>
      </c>
      <c r="J15" s="3513"/>
      <c r="K15" s="3513"/>
      <c r="L15" s="3513"/>
      <c r="M15" s="749"/>
    </row>
    <row r="16" spans="1:13" s="502" customFormat="1" ht="15.75" customHeight="1">
      <c r="A16" s="3128"/>
      <c r="B16" s="158" t="s">
        <v>694</v>
      </c>
      <c r="C16" s="1634"/>
      <c r="D16" s="1634"/>
      <c r="E16" s="1634"/>
      <c r="F16" s="1634"/>
      <c r="G16" s="1643"/>
      <c r="H16" s="1637">
        <f t="shared" si="0"/>
        <v>0</v>
      </c>
      <c r="I16" s="3513"/>
      <c r="J16" s="3513"/>
      <c r="K16" s="3513"/>
      <c r="L16" s="3513"/>
      <c r="M16" s="749"/>
    </row>
    <row r="17" spans="1:13" s="502" customFormat="1" ht="15.75" customHeight="1">
      <c r="A17" s="3128"/>
      <c r="B17" s="821" t="s">
        <v>977</v>
      </c>
      <c r="C17" s="1634"/>
      <c r="D17" s="1634"/>
      <c r="E17" s="1634"/>
      <c r="F17" s="1634"/>
      <c r="G17" s="1643"/>
      <c r="H17" s="1637">
        <f t="shared" si="0"/>
        <v>0</v>
      </c>
      <c r="I17" s="3513"/>
      <c r="J17" s="3513"/>
      <c r="K17" s="3513"/>
      <c r="L17" s="3513"/>
      <c r="M17" s="749"/>
    </row>
    <row r="18" spans="1:13" s="502" customFormat="1" ht="15.75" customHeight="1">
      <c r="A18" s="3128"/>
      <c r="B18" s="822" t="s">
        <v>978</v>
      </c>
      <c r="C18" s="1634"/>
      <c r="D18" s="1634"/>
      <c r="E18" s="1634"/>
      <c r="F18" s="1634"/>
      <c r="G18" s="1643"/>
      <c r="H18" s="1637">
        <f t="shared" si="0"/>
        <v>0</v>
      </c>
      <c r="I18" s="3513"/>
      <c r="J18" s="3513"/>
      <c r="K18" s="3513"/>
      <c r="L18" s="3513"/>
      <c r="M18" s="749"/>
    </row>
    <row r="19" spans="1:13" s="502" customFormat="1" ht="15.75" customHeight="1">
      <c r="A19" s="3128"/>
      <c r="B19" s="822" t="s">
        <v>979</v>
      </c>
      <c r="C19" s="1634"/>
      <c r="D19" s="1634"/>
      <c r="E19" s="1634"/>
      <c r="F19" s="1634"/>
      <c r="G19" s="1643"/>
      <c r="H19" s="1637">
        <f t="shared" si="0"/>
        <v>0</v>
      </c>
      <c r="I19" s="3513"/>
      <c r="J19" s="3513"/>
      <c r="K19" s="3513"/>
      <c r="L19" s="3513"/>
      <c r="M19" s="749"/>
    </row>
    <row r="20" spans="1:13" s="502" customFormat="1" ht="15.75" customHeight="1">
      <c r="A20" s="3128"/>
      <c r="B20" s="158" t="s">
        <v>980</v>
      </c>
      <c r="C20" s="1638">
        <f>SUM(C8:C19)</f>
        <v>0</v>
      </c>
      <c r="D20" s="1638">
        <f>SUM(D8:D19)</f>
        <v>0</v>
      </c>
      <c r="E20" s="1638">
        <f>SUM(E8:E19)</f>
        <v>0</v>
      </c>
      <c r="F20" s="1638">
        <f>SUM(F8:F19)</f>
        <v>0</v>
      </c>
      <c r="G20" s="1638">
        <f>SUM(G8:G19)</f>
        <v>0</v>
      </c>
      <c r="H20" s="1637">
        <f t="shared" si="0"/>
        <v>0</v>
      </c>
      <c r="I20" s="3513"/>
      <c r="J20" s="3513"/>
      <c r="K20" s="3513"/>
      <c r="L20" s="3513"/>
      <c r="M20" s="749"/>
    </row>
    <row r="21" spans="1:13" s="502" customFormat="1" ht="15.75" customHeight="1">
      <c r="A21" s="3128"/>
      <c r="B21" s="2186" t="s">
        <v>6507</v>
      </c>
      <c r="C21" s="1798"/>
      <c r="D21" s="1799" t="s">
        <v>6508</v>
      </c>
      <c r="E21" s="1799" t="s">
        <v>6509</v>
      </c>
      <c r="F21" s="1799" t="s">
        <v>6509</v>
      </c>
      <c r="G21" s="1800" t="s">
        <v>6509</v>
      </c>
      <c r="H21" s="1791">
        <f>SUM(C21:G21)</f>
        <v>0</v>
      </c>
      <c r="I21" s="3513"/>
      <c r="J21" s="3513"/>
      <c r="K21" s="3513"/>
      <c r="L21" s="3513"/>
      <c r="M21" s="749"/>
    </row>
    <row r="22" spans="1:13" s="502" customFormat="1" ht="15.75" customHeight="1">
      <c r="A22" s="3128"/>
      <c r="B22" s="1718" t="s">
        <v>981</v>
      </c>
      <c r="C22" s="1634"/>
      <c r="D22" s="1634"/>
      <c r="E22" s="1634"/>
      <c r="F22" s="1634"/>
      <c r="G22" s="1643"/>
      <c r="H22" s="1637">
        <f t="shared" si="0"/>
        <v>0</v>
      </c>
      <c r="I22" s="3513"/>
      <c r="J22" s="3513"/>
      <c r="K22" s="3513"/>
      <c r="L22" s="3513"/>
      <c r="M22" s="749"/>
    </row>
    <row r="23" spans="1:13" s="502" customFormat="1" ht="15.75" customHeight="1">
      <c r="A23" s="3183"/>
      <c r="B23" s="605" t="s">
        <v>503</v>
      </c>
      <c r="C23" s="1790">
        <f t="shared" ref="C23:H23" si="1">C20+C22</f>
        <v>0</v>
      </c>
      <c r="D23" s="1790">
        <f t="shared" si="1"/>
        <v>0</v>
      </c>
      <c r="E23" s="1790">
        <f t="shared" si="1"/>
        <v>0</v>
      </c>
      <c r="F23" s="1790">
        <f t="shared" si="1"/>
        <v>0</v>
      </c>
      <c r="G23" s="1790">
        <f t="shared" si="1"/>
        <v>0</v>
      </c>
      <c r="H23" s="1791">
        <f t="shared" si="1"/>
        <v>0</v>
      </c>
      <c r="I23" s="3513"/>
      <c r="J23" s="3513"/>
      <c r="K23" s="3513"/>
      <c r="L23" s="3513"/>
      <c r="M23" s="749"/>
    </row>
    <row r="24" spans="1:13" s="502" customFormat="1" ht="15.75" hidden="1" customHeight="1">
      <c r="A24" s="1720"/>
      <c r="B24" s="1792"/>
      <c r="C24" s="1793"/>
      <c r="D24" s="1794"/>
      <c r="E24" s="1794"/>
      <c r="F24" s="1794"/>
      <c r="G24" s="1795"/>
      <c r="H24" s="1640"/>
      <c r="I24" s="3513"/>
      <c r="J24" s="3513"/>
      <c r="K24" s="3513"/>
      <c r="L24" s="3513"/>
      <c r="M24" s="749"/>
    </row>
    <row r="25" spans="1:13" s="502" customFormat="1" ht="15.75" customHeight="1">
      <c r="A25" s="3128" t="s">
        <v>982</v>
      </c>
      <c r="B25" s="824" t="s">
        <v>983</v>
      </c>
      <c r="C25" s="1635"/>
      <c r="D25" s="1635"/>
      <c r="E25" s="1635"/>
      <c r="F25" s="1635"/>
      <c r="G25" s="1642"/>
      <c r="H25" s="1636">
        <f>SUM(C25:G25)</f>
        <v>0</v>
      </c>
      <c r="I25" s="3513"/>
      <c r="J25" s="3513"/>
      <c r="K25" s="3513"/>
      <c r="L25" s="3513"/>
      <c r="M25" s="749"/>
    </row>
    <row r="26" spans="1:13" s="502" customFormat="1" ht="15.75" customHeight="1">
      <c r="A26" s="3128"/>
      <c r="B26" s="822" t="s">
        <v>984</v>
      </c>
      <c r="C26" s="1634"/>
      <c r="D26" s="1634"/>
      <c r="E26" s="1634"/>
      <c r="F26" s="1634"/>
      <c r="G26" s="1643"/>
      <c r="H26" s="1637">
        <f t="shared" ref="H26:H39" si="2">SUM(C26:G26)</f>
        <v>0</v>
      </c>
      <c r="I26" s="3513"/>
      <c r="J26" s="3513"/>
      <c r="K26" s="3513"/>
      <c r="L26" s="3513"/>
      <c r="M26" s="749"/>
    </row>
    <row r="27" spans="1:13" s="502" customFormat="1" ht="15.75" customHeight="1">
      <c r="A27" s="3128"/>
      <c r="B27" s="822" t="s">
        <v>985</v>
      </c>
      <c r="C27" s="1634"/>
      <c r="D27" s="1634"/>
      <c r="E27" s="1634"/>
      <c r="F27" s="1634"/>
      <c r="G27" s="1643"/>
      <c r="H27" s="1637">
        <f t="shared" si="2"/>
        <v>0</v>
      </c>
      <c r="I27" s="3513"/>
      <c r="J27" s="3513"/>
      <c r="K27" s="3513"/>
      <c r="L27" s="3513"/>
    </row>
    <row r="28" spans="1:13" s="502" customFormat="1" ht="15.75" customHeight="1">
      <c r="A28" s="3128"/>
      <c r="B28" s="822" t="s">
        <v>986</v>
      </c>
      <c r="C28" s="1634"/>
      <c r="D28" s="1634"/>
      <c r="E28" s="1634"/>
      <c r="F28" s="1634"/>
      <c r="G28" s="1643"/>
      <c r="H28" s="1637">
        <f t="shared" si="2"/>
        <v>0</v>
      </c>
      <c r="I28" s="3513"/>
      <c r="J28" s="3513"/>
      <c r="K28" s="3513"/>
      <c r="L28" s="3513"/>
    </row>
    <row r="29" spans="1:13" s="502" customFormat="1" ht="15.75" customHeight="1">
      <c r="A29" s="3128"/>
      <c r="B29" s="822" t="s">
        <v>987</v>
      </c>
      <c r="C29" s="1634"/>
      <c r="D29" s="1634"/>
      <c r="E29" s="1634"/>
      <c r="F29" s="1634"/>
      <c r="G29" s="1643"/>
      <c r="H29" s="1637">
        <f t="shared" si="2"/>
        <v>0</v>
      </c>
      <c r="I29" s="3090" t="s">
        <v>1640</v>
      </c>
      <c r="J29" s="3090"/>
      <c r="K29" s="3090"/>
      <c r="L29" s="3090"/>
      <c r="M29" s="587"/>
    </row>
    <row r="30" spans="1:13" s="502" customFormat="1" ht="15.75" customHeight="1">
      <c r="A30" s="3128"/>
      <c r="B30" s="822" t="s">
        <v>1641</v>
      </c>
      <c r="C30" s="1634"/>
      <c r="D30" s="1634"/>
      <c r="E30" s="1634"/>
      <c r="F30" s="1634"/>
      <c r="G30" s="1643"/>
      <c r="H30" s="1637">
        <f t="shared" si="2"/>
        <v>0</v>
      </c>
      <c r="I30" s="3090"/>
      <c r="J30" s="3090"/>
      <c r="K30" s="3090"/>
      <c r="L30" s="3090"/>
      <c r="M30" s="587"/>
    </row>
    <row r="31" spans="1:13" s="502" customFormat="1" ht="15.75" customHeight="1">
      <c r="A31" s="3128"/>
      <c r="B31" s="822" t="s">
        <v>1642</v>
      </c>
      <c r="C31" s="1634"/>
      <c r="D31" s="1634"/>
      <c r="E31" s="1634"/>
      <c r="F31" s="1634"/>
      <c r="G31" s="1643"/>
      <c r="H31" s="1637">
        <f t="shared" si="2"/>
        <v>0</v>
      </c>
      <c r="I31" s="3090"/>
      <c r="J31" s="3090"/>
      <c r="K31" s="3090"/>
      <c r="L31" s="3090"/>
      <c r="M31" s="587"/>
    </row>
    <row r="32" spans="1:13" s="502" customFormat="1" ht="15.75" customHeight="1">
      <c r="A32" s="3128"/>
      <c r="B32" s="822" t="s">
        <v>1643</v>
      </c>
      <c r="C32" s="1634"/>
      <c r="D32" s="1634"/>
      <c r="E32" s="1634"/>
      <c r="F32" s="1634"/>
      <c r="G32" s="1643"/>
      <c r="H32" s="1637">
        <f t="shared" si="2"/>
        <v>0</v>
      </c>
      <c r="I32" s="3090"/>
      <c r="J32" s="3090"/>
      <c r="K32" s="3090"/>
      <c r="L32" s="3090"/>
      <c r="M32" s="587"/>
    </row>
    <row r="33" spans="1:13" s="502" customFormat="1" ht="15.75" customHeight="1">
      <c r="A33" s="3128"/>
      <c r="B33" s="822" t="s">
        <v>1644</v>
      </c>
      <c r="C33" s="1634"/>
      <c r="D33" s="1634"/>
      <c r="E33" s="1634"/>
      <c r="F33" s="1634"/>
      <c r="G33" s="1643"/>
      <c r="H33" s="1637">
        <f t="shared" si="2"/>
        <v>0</v>
      </c>
      <c r="I33" s="3090"/>
      <c r="J33" s="3090"/>
      <c r="K33" s="3090"/>
      <c r="L33" s="3090"/>
      <c r="M33" s="587"/>
    </row>
    <row r="34" spans="1:13" s="502" customFormat="1" ht="15.75" customHeight="1">
      <c r="A34" s="3128"/>
      <c r="B34" s="821" t="s">
        <v>977</v>
      </c>
      <c r="C34" s="1634"/>
      <c r="D34" s="1634"/>
      <c r="E34" s="1634"/>
      <c r="F34" s="1634"/>
      <c r="G34" s="1643"/>
      <c r="H34" s="1637">
        <f t="shared" si="2"/>
        <v>0</v>
      </c>
      <c r="I34" s="3090"/>
      <c r="J34" s="3090"/>
      <c r="K34" s="3090"/>
      <c r="L34" s="3090"/>
      <c r="M34" s="587"/>
    </row>
    <row r="35" spans="1:13" s="502" customFormat="1" ht="15.75" customHeight="1">
      <c r="A35" s="3128"/>
      <c r="B35" s="822" t="s">
        <v>978</v>
      </c>
      <c r="C35" s="1634"/>
      <c r="D35" s="1634"/>
      <c r="E35" s="1634"/>
      <c r="F35" s="1634"/>
      <c r="G35" s="1643"/>
      <c r="H35" s="1637">
        <f t="shared" si="2"/>
        <v>0</v>
      </c>
      <c r="I35" s="3090"/>
      <c r="J35" s="3090"/>
      <c r="K35" s="3090"/>
      <c r="L35" s="3090"/>
      <c r="M35" s="587"/>
    </row>
    <row r="36" spans="1:13" s="502" customFormat="1" ht="15.75" customHeight="1">
      <c r="A36" s="3128"/>
      <c r="B36" s="822" t="s">
        <v>979</v>
      </c>
      <c r="C36" s="1634"/>
      <c r="D36" s="1634"/>
      <c r="E36" s="1634"/>
      <c r="F36" s="1634"/>
      <c r="G36" s="1643"/>
      <c r="H36" s="1637">
        <f t="shared" si="2"/>
        <v>0</v>
      </c>
      <c r="I36" s="3090"/>
      <c r="J36" s="3090"/>
      <c r="K36" s="3090"/>
      <c r="L36" s="3090"/>
      <c r="M36" s="587"/>
    </row>
    <row r="37" spans="1:13" s="502" customFormat="1" ht="15.75" customHeight="1">
      <c r="A37" s="3128"/>
      <c r="B37" s="158" t="s">
        <v>980</v>
      </c>
      <c r="C37" s="1638">
        <f>SUM(C25:C36)</f>
        <v>0</v>
      </c>
      <c r="D37" s="1638">
        <f>SUM(D25:D36)</f>
        <v>0</v>
      </c>
      <c r="E37" s="1638">
        <f>SUM(E25:E36)</f>
        <v>0</v>
      </c>
      <c r="F37" s="1638">
        <f>SUM(F25:F36)</f>
        <v>0</v>
      </c>
      <c r="G37" s="1638">
        <f>SUM(G25:G36)</f>
        <v>0</v>
      </c>
      <c r="H37" s="1637">
        <f t="shared" si="2"/>
        <v>0</v>
      </c>
      <c r="I37" s="3090"/>
      <c r="J37" s="3090"/>
      <c r="K37" s="3090"/>
      <c r="L37" s="3090"/>
      <c r="M37" s="587"/>
    </row>
    <row r="38" spans="1:13" s="502" customFormat="1" ht="15.75" customHeight="1">
      <c r="A38" s="3128"/>
      <c r="B38" s="2186" t="s">
        <v>6507</v>
      </c>
      <c r="C38" s="1798"/>
      <c r="D38" s="1799" t="s">
        <v>6508</v>
      </c>
      <c r="E38" s="1799" t="s">
        <v>6509</v>
      </c>
      <c r="F38" s="1799" t="s">
        <v>6509</v>
      </c>
      <c r="G38" s="1800" t="s">
        <v>6509</v>
      </c>
      <c r="H38" s="1791">
        <f>SUM(C38:G38)</f>
        <v>0</v>
      </c>
      <c r="I38" s="3090"/>
      <c r="J38" s="3090"/>
      <c r="K38" s="3090"/>
      <c r="L38" s="3090"/>
      <c r="M38" s="1722"/>
    </row>
    <row r="39" spans="1:13" s="502" customFormat="1" ht="15.75" customHeight="1">
      <c r="A39" s="3128"/>
      <c r="B39" s="158" t="s">
        <v>981</v>
      </c>
      <c r="C39" s="1634"/>
      <c r="D39" s="1634"/>
      <c r="E39" s="1634"/>
      <c r="F39" s="1634"/>
      <c r="G39" s="1634"/>
      <c r="H39" s="1637">
        <f t="shared" si="2"/>
        <v>0</v>
      </c>
      <c r="I39" s="3090"/>
      <c r="J39" s="3090"/>
      <c r="K39" s="3090"/>
      <c r="L39" s="3090"/>
      <c r="M39" s="587"/>
    </row>
    <row r="40" spans="1:13" s="502" customFormat="1" ht="15.75" customHeight="1">
      <c r="A40" s="3128"/>
      <c r="B40" s="140" t="s">
        <v>503</v>
      </c>
      <c r="C40" s="1639">
        <f t="shared" ref="C40:H40" si="3">C37+C39</f>
        <v>0</v>
      </c>
      <c r="D40" s="1639">
        <f t="shared" si="3"/>
        <v>0</v>
      </c>
      <c r="E40" s="1639">
        <f t="shared" si="3"/>
        <v>0</v>
      </c>
      <c r="F40" s="1639">
        <f t="shared" si="3"/>
        <v>0</v>
      </c>
      <c r="G40" s="1639">
        <f t="shared" si="3"/>
        <v>0</v>
      </c>
      <c r="H40" s="1640">
        <f t="shared" si="3"/>
        <v>0</v>
      </c>
      <c r="I40" s="3090"/>
      <c r="J40" s="3090"/>
      <c r="K40" s="3090"/>
      <c r="L40" s="3090"/>
    </row>
    <row r="41" spans="1:13" s="502" customFormat="1" ht="20.25" customHeight="1">
      <c r="A41" s="3128" t="s">
        <v>642</v>
      </c>
      <c r="B41" s="3128"/>
      <c r="C41" s="3515" t="str">
        <f>IF(其他业务!$C$18+主营收支!$H$20&lt;&gt;利润!$C$5,"营业收入账载数与报表数相差"&amp;DOLLAR(其他业务!$C$18+主营收支!$H$20-利润!$C$5,2)&amp;"元！","营业收入账载数与报表数相符！")</f>
        <v>营业收入账载数与报表数相符！</v>
      </c>
      <c r="D41" s="3515"/>
      <c r="E41" s="3515"/>
      <c r="F41" s="3515"/>
      <c r="G41" s="3515"/>
      <c r="H41" s="3515"/>
      <c r="I41" s="144"/>
      <c r="J41" s="144"/>
      <c r="K41" s="144"/>
      <c r="L41" s="144"/>
    </row>
    <row r="42" spans="1:13" s="502" customFormat="1" ht="20.25" customHeight="1">
      <c r="A42" s="3128"/>
      <c r="B42" s="3128"/>
      <c r="C42" s="3516" t="str">
        <f>IF(其他业务!$H$18+主营收支!$H$37&lt;&gt;利润!$C$6,"营业成本账载数与报表数相差"&amp;DOLLAR(其他业务!$H$18+主营收支!$H$37-利润!$C$6,2)&amp;"元！","营业成本账载数与报表数相符！")</f>
        <v>营业成本账载数与报表数相符！</v>
      </c>
      <c r="D42" s="3516"/>
      <c r="E42" s="3516"/>
      <c r="F42" s="3516"/>
      <c r="G42" s="3516"/>
      <c r="H42" s="3516"/>
      <c r="I42" s="144" t="s">
        <v>457</v>
      </c>
      <c r="J42" s="144"/>
      <c r="K42" s="144"/>
      <c r="L42" s="144"/>
    </row>
    <row r="43" spans="1:13" s="502" customFormat="1" ht="15" customHeight="1">
      <c r="A43" s="3141" t="s">
        <v>1324</v>
      </c>
      <c r="B43" s="3141"/>
      <c r="C43" s="3517" t="s">
        <v>1645</v>
      </c>
      <c r="D43" s="3517"/>
      <c r="E43" s="3514" t="str">
        <f>IF(OR(H20&lt;&gt;利润!C5,H37&lt;&gt;利润!C6),"、E","")</f>
        <v/>
      </c>
      <c r="F43" s="3514"/>
      <c r="G43" s="3514"/>
      <c r="H43" s="3514"/>
      <c r="I43" s="144" t="s">
        <v>1646</v>
      </c>
      <c r="J43" s="144"/>
      <c r="K43" s="144"/>
      <c r="L43" s="144"/>
    </row>
    <row r="44" spans="1:13" s="502" customFormat="1" ht="20.25" customHeight="1">
      <c r="A44" s="3141"/>
      <c r="B44" s="3141"/>
      <c r="C44" s="3518"/>
      <c r="D44" s="3518"/>
      <c r="E44" s="3518"/>
      <c r="F44" s="3518"/>
      <c r="G44" s="3518"/>
      <c r="H44" s="3518"/>
      <c r="I44" s="3090" t="s">
        <v>1647</v>
      </c>
      <c r="J44" s="3090"/>
      <c r="K44" s="3090"/>
      <c r="L44" s="3090"/>
    </row>
    <row r="45" spans="1:13" s="502" customFormat="1" ht="6.75" customHeight="1">
      <c r="A45" s="3141"/>
      <c r="B45" s="3141"/>
      <c r="C45" s="3518"/>
      <c r="D45" s="3518"/>
      <c r="E45" s="3518"/>
      <c r="F45" s="3518"/>
      <c r="G45" s="3518"/>
      <c r="H45" s="3518"/>
      <c r="I45" s="3090"/>
      <c r="J45" s="3090"/>
      <c r="K45" s="3090"/>
      <c r="L45" s="3090"/>
    </row>
    <row r="46" spans="1:13" s="502" customFormat="1" ht="12" customHeight="1">
      <c r="A46" s="3141"/>
      <c r="B46" s="3141"/>
      <c r="C46" s="3518"/>
      <c r="D46" s="3518"/>
      <c r="E46" s="3518"/>
      <c r="F46" s="3518"/>
      <c r="G46" s="3518"/>
      <c r="H46" s="3518"/>
      <c r="I46" s="3090" t="s">
        <v>1648</v>
      </c>
      <c r="J46" s="3090"/>
      <c r="K46" s="3090"/>
      <c r="L46" s="3090"/>
    </row>
    <row r="47" spans="1:13" s="502" customFormat="1" ht="20.25" customHeight="1">
      <c r="A47" s="3141"/>
      <c r="B47" s="3141"/>
      <c r="C47" s="3518"/>
      <c r="D47" s="3518"/>
      <c r="E47" s="3518"/>
      <c r="F47" s="3518"/>
      <c r="G47" s="3518"/>
      <c r="H47" s="3518"/>
      <c r="I47" s="3090"/>
      <c r="J47" s="3090"/>
      <c r="K47" s="3090"/>
      <c r="L47" s="3090"/>
    </row>
    <row r="48" spans="1:13" s="502" customFormat="1" ht="20.25" customHeight="1">
      <c r="A48" s="3519" t="s">
        <v>575</v>
      </c>
      <c r="B48" s="3519"/>
      <c r="C48" s="3516" t="str">
        <f>IF(AND(H22=0,H39=0),"不存在调整事项,认可！","调整后认可！")</f>
        <v>不存在调整事项,认可！</v>
      </c>
      <c r="D48" s="3516"/>
      <c r="E48" s="3516"/>
      <c r="F48" s="3516"/>
      <c r="G48" s="3516"/>
      <c r="H48" s="3516"/>
      <c r="I48" s="3136" t="s">
        <v>1649</v>
      </c>
      <c r="J48" s="3136"/>
      <c r="K48" s="3136"/>
      <c r="L48" s="3136"/>
    </row>
    <row r="49" spans="1:12" s="502" customFormat="1" ht="14.4">
      <c r="A49" s="771"/>
      <c r="B49" s="771"/>
      <c r="C49" s="771"/>
      <c r="D49" s="771"/>
      <c r="E49" s="771"/>
      <c r="F49" s="771"/>
      <c r="G49" s="771"/>
      <c r="H49" s="771"/>
      <c r="I49" s="3136"/>
      <c r="J49" s="3136"/>
      <c r="K49" s="3136"/>
      <c r="L49" s="3136"/>
    </row>
    <row r="50" spans="1:12" s="502" customFormat="1" ht="40.5" customHeight="1">
      <c r="A50" s="771"/>
      <c r="B50" s="771"/>
      <c r="C50" s="771"/>
      <c r="D50" s="771"/>
      <c r="E50" s="771"/>
      <c r="F50" s="771"/>
      <c r="G50" s="771"/>
      <c r="H50" s="771"/>
      <c r="I50" s="3136"/>
      <c r="J50" s="3136"/>
      <c r="K50" s="3136"/>
      <c r="L50" s="3136"/>
    </row>
    <row r="51" spans="1:12" s="502" customFormat="1" ht="33.75" customHeight="1">
      <c r="A51" s="771"/>
      <c r="B51" s="771"/>
      <c r="C51" s="771"/>
      <c r="D51" s="771"/>
      <c r="E51" s="771"/>
      <c r="F51" s="771"/>
      <c r="G51" s="771"/>
      <c r="H51" s="771"/>
      <c r="I51" s="3136" t="s">
        <v>1636</v>
      </c>
      <c r="J51" s="3136"/>
      <c r="K51" s="3136"/>
      <c r="L51" s="3136"/>
    </row>
    <row r="52" spans="1:12" s="502" customFormat="1" ht="43.5" customHeight="1">
      <c r="A52" s="771"/>
      <c r="B52" s="771"/>
      <c r="C52" s="771"/>
      <c r="D52" s="771"/>
      <c r="E52" s="771"/>
      <c r="F52" s="771"/>
      <c r="G52" s="771"/>
      <c r="H52" s="771"/>
      <c r="I52" s="3136"/>
      <c r="J52" s="3136"/>
      <c r="K52" s="3136"/>
      <c r="L52" s="3136"/>
    </row>
    <row r="53" spans="1:12" s="502" customFormat="1" ht="27.75" customHeight="1">
      <c r="A53" s="771"/>
      <c r="B53" s="771"/>
      <c r="C53" s="771"/>
      <c r="D53" s="771"/>
      <c r="E53" s="771"/>
      <c r="F53" s="771"/>
      <c r="G53" s="771"/>
      <c r="H53" s="771"/>
      <c r="I53" s="3136"/>
      <c r="J53" s="3136"/>
      <c r="K53" s="3136"/>
      <c r="L53" s="3136"/>
    </row>
    <row r="54" spans="1:12" s="502" customFormat="1" ht="27.75" customHeight="1">
      <c r="A54" s="771"/>
      <c r="B54" s="771"/>
      <c r="C54" s="771"/>
      <c r="D54" s="771"/>
      <c r="E54" s="771"/>
      <c r="F54" s="771"/>
      <c r="G54" s="771"/>
      <c r="H54" s="771"/>
      <c r="I54" s="3136"/>
      <c r="J54" s="3136"/>
      <c r="K54" s="3136"/>
      <c r="L54" s="3136"/>
    </row>
    <row r="55" spans="1:12" s="502" customFormat="1" ht="27.75" customHeight="1">
      <c r="A55" s="771"/>
      <c r="B55" s="771"/>
      <c r="C55" s="771"/>
      <c r="D55" s="771"/>
      <c r="E55" s="771"/>
      <c r="F55" s="771"/>
      <c r="G55" s="771"/>
      <c r="H55" s="771"/>
      <c r="I55" s="3136" t="s">
        <v>1637</v>
      </c>
      <c r="J55" s="3136"/>
      <c r="K55" s="3136"/>
      <c r="L55" s="3136"/>
    </row>
    <row r="56" spans="1:12" s="502" customFormat="1" ht="39" customHeight="1">
      <c r="A56" s="771"/>
      <c r="B56" s="771"/>
      <c r="C56" s="771"/>
      <c r="D56" s="771"/>
      <c r="E56" s="771"/>
      <c r="F56" s="771"/>
      <c r="G56" s="771"/>
      <c r="H56" s="771"/>
      <c r="I56" s="748"/>
      <c r="J56" s="748"/>
      <c r="K56" s="748"/>
      <c r="L56" s="748"/>
    </row>
    <row r="57" spans="1:12" s="502" customFormat="1" ht="27.75" customHeight="1">
      <c r="A57" s="771"/>
      <c r="B57" s="771"/>
      <c r="C57" s="771"/>
      <c r="D57" s="771"/>
      <c r="E57" s="771"/>
      <c r="F57" s="771"/>
      <c r="G57" s="771"/>
      <c r="H57" s="771"/>
      <c r="I57" s="815"/>
      <c r="J57" s="144"/>
      <c r="K57" s="144"/>
      <c r="L57" s="144"/>
    </row>
    <row r="58" spans="1:12" s="502" customFormat="1" ht="44.25" customHeight="1">
      <c r="A58" s="771"/>
      <c r="B58" s="771"/>
      <c r="C58" s="771"/>
      <c r="D58" s="771"/>
      <c r="E58" s="771"/>
      <c r="F58" s="771"/>
      <c r="G58" s="771"/>
      <c r="H58" s="771"/>
      <c r="I58" s="815"/>
      <c r="J58" s="144"/>
      <c r="K58" s="144"/>
      <c r="L58" s="144"/>
    </row>
    <row r="59" spans="1:12" s="502" customFormat="1" ht="46.5" customHeight="1">
      <c r="A59" s="771"/>
      <c r="B59" s="771"/>
      <c r="C59" s="771"/>
      <c r="D59" s="771"/>
      <c r="E59" s="771"/>
      <c r="F59" s="771"/>
      <c r="G59" s="771"/>
      <c r="H59" s="771"/>
      <c r="I59" s="815"/>
      <c r="J59" s="144"/>
      <c r="K59" s="144"/>
      <c r="L59" s="144"/>
    </row>
    <row r="60" spans="1:12" s="502" customFormat="1" ht="30" customHeight="1">
      <c r="A60" s="771"/>
      <c r="B60" s="771"/>
      <c r="C60" s="771"/>
      <c r="D60" s="771"/>
      <c r="E60" s="771"/>
      <c r="F60" s="771"/>
      <c r="G60" s="771"/>
      <c r="H60" s="771"/>
      <c r="I60" s="815"/>
      <c r="J60" s="144"/>
      <c r="K60" s="144"/>
      <c r="L60" s="144"/>
    </row>
    <row r="61" spans="1:12" s="502" customFormat="1" ht="22.5" customHeight="1">
      <c r="A61" s="771"/>
      <c r="B61" s="771"/>
      <c r="C61" s="771"/>
      <c r="D61" s="771"/>
      <c r="E61" s="771"/>
      <c r="F61" s="771"/>
      <c r="G61" s="771"/>
      <c r="H61" s="771"/>
      <c r="I61" s="687"/>
    </row>
    <row r="62" spans="1:12" s="502" customFormat="1" ht="22.5" customHeight="1">
      <c r="A62" s="771"/>
      <c r="B62" s="771"/>
      <c r="C62" s="771"/>
      <c r="D62" s="771"/>
      <c r="E62" s="771"/>
      <c r="F62" s="771"/>
      <c r="G62" s="771"/>
      <c r="H62" s="771"/>
      <c r="I62" s="687"/>
    </row>
    <row r="63" spans="1:12" s="502" customFormat="1" ht="22.5" customHeight="1">
      <c r="A63" s="771"/>
      <c r="B63" s="771"/>
      <c r="C63" s="771"/>
      <c r="D63" s="771"/>
      <c r="E63" s="771"/>
      <c r="F63" s="771"/>
      <c r="G63" s="771"/>
      <c r="H63" s="771"/>
      <c r="I63" s="687"/>
    </row>
    <row r="64" spans="1:12" s="502" customFormat="1" ht="22.5" customHeight="1">
      <c r="A64" s="771"/>
      <c r="B64" s="771"/>
      <c r="C64" s="771"/>
      <c r="D64" s="771"/>
      <c r="E64" s="771"/>
      <c r="F64" s="771"/>
      <c r="G64" s="771"/>
      <c r="H64" s="771"/>
      <c r="I64" s="687"/>
    </row>
    <row r="65" spans="1:9" s="502" customFormat="1" ht="22.5" customHeight="1">
      <c r="A65" s="771"/>
      <c r="B65" s="771"/>
      <c r="C65" s="771"/>
      <c r="D65" s="771"/>
      <c r="E65" s="771"/>
      <c r="F65" s="771"/>
      <c r="G65" s="771"/>
      <c r="H65" s="771"/>
      <c r="I65" s="687"/>
    </row>
    <row r="66" spans="1:9" s="502" customFormat="1" ht="22.5" customHeight="1">
      <c r="A66" s="771"/>
      <c r="B66" s="771"/>
      <c r="C66" s="771"/>
      <c r="D66" s="771"/>
      <c r="E66" s="771"/>
      <c r="F66" s="771"/>
      <c r="G66" s="771"/>
      <c r="H66" s="771"/>
      <c r="I66" s="687"/>
    </row>
    <row r="67" spans="1:9" s="502" customFormat="1" ht="22.5" customHeight="1">
      <c r="A67" s="771"/>
      <c r="B67" s="771"/>
      <c r="C67" s="771"/>
      <c r="D67" s="771"/>
      <c r="E67" s="771"/>
      <c r="F67" s="771"/>
      <c r="G67" s="771"/>
      <c r="H67" s="771"/>
      <c r="I67" s="687"/>
    </row>
    <row r="68" spans="1:9" s="502" customFormat="1" ht="22.5" customHeight="1">
      <c r="A68" s="771"/>
      <c r="B68" s="771"/>
      <c r="C68" s="771"/>
      <c r="D68" s="771"/>
      <c r="E68" s="771"/>
      <c r="F68" s="771"/>
      <c r="G68" s="771"/>
      <c r="H68" s="771"/>
      <c r="I68" s="687"/>
    </row>
    <row r="69" spans="1:9" s="502" customFormat="1" ht="22.5" customHeight="1">
      <c r="A69" s="771"/>
      <c r="B69" s="771"/>
      <c r="C69" s="771"/>
      <c r="D69" s="771"/>
      <c r="E69" s="771"/>
      <c r="F69" s="771"/>
      <c r="G69" s="771"/>
      <c r="H69" s="771"/>
      <c r="I69" s="687"/>
    </row>
    <row r="70" spans="1:9" s="502" customFormat="1" ht="22.5" customHeight="1">
      <c r="A70" s="771"/>
      <c r="B70" s="771"/>
      <c r="C70" s="771"/>
      <c r="D70" s="771"/>
      <c r="E70" s="771"/>
      <c r="F70" s="771"/>
      <c r="G70" s="771"/>
      <c r="H70" s="771"/>
      <c r="I70" s="687"/>
    </row>
    <row r="71" spans="1:9" s="502" customFormat="1" ht="22.5" customHeight="1">
      <c r="A71" s="771"/>
      <c r="B71" s="771"/>
      <c r="C71" s="771"/>
      <c r="D71" s="771"/>
      <c r="E71" s="771"/>
      <c r="F71" s="771"/>
      <c r="G71" s="771"/>
      <c r="H71" s="771"/>
      <c r="I71" s="687"/>
    </row>
    <row r="72" spans="1:9" s="502" customFormat="1" ht="22.5" customHeight="1">
      <c r="A72" s="771"/>
      <c r="B72" s="771"/>
      <c r="C72" s="771"/>
      <c r="D72" s="771"/>
      <c r="E72" s="771"/>
      <c r="F72" s="771"/>
      <c r="G72" s="771"/>
      <c r="H72" s="771"/>
      <c r="I72" s="687"/>
    </row>
    <row r="73" spans="1:9" ht="22.5" customHeight="1"/>
    <row r="74" spans="1:9" ht="22.5" customHeight="1"/>
    <row r="75" spans="1:9" ht="22.5" customHeight="1"/>
    <row r="76" spans="1:9" ht="22.5" customHeight="1"/>
    <row r="77" spans="1:9" ht="22.5" customHeight="1"/>
    <row r="78" spans="1:9" ht="22.5" customHeight="1"/>
    <row r="79" spans="1:9" ht="22.5" customHeight="1"/>
    <row r="80" spans="1:9" ht="22.5" customHeight="1"/>
    <row r="81" ht="22.5" customHeight="1"/>
    <row r="82" ht="22.5" customHeight="1"/>
    <row r="83" ht="22.5" customHeight="1"/>
    <row r="84" ht="22.5" customHeight="1"/>
    <row r="85" ht="22.5" customHeight="1"/>
    <row r="86" ht="22.5" customHeight="1"/>
    <row r="87" ht="22.5" customHeight="1"/>
    <row r="88" ht="22.5" customHeight="1"/>
    <row r="89" ht="22.5" customHeight="1"/>
    <row r="90" ht="22.5" customHeight="1"/>
    <row r="91" ht="22.5" customHeight="1"/>
    <row r="92" ht="22.5" customHeight="1"/>
    <row r="93" ht="22.5" customHeight="1"/>
    <row r="94" ht="22.5" customHeight="1"/>
  </sheetData>
  <sheetProtection selectLockedCells="1" selectUnlockedCells="1"/>
  <mergeCells count="28">
    <mergeCell ref="I48:L50"/>
    <mergeCell ref="A48:B48"/>
    <mergeCell ref="C48:H48"/>
    <mergeCell ref="I51:L54"/>
    <mergeCell ref="I55:L55"/>
    <mergeCell ref="A7:B7"/>
    <mergeCell ref="A8:A23"/>
    <mergeCell ref="I46:L47"/>
    <mergeCell ref="I15:L28"/>
    <mergeCell ref="A25:A40"/>
    <mergeCell ref="I29:L40"/>
    <mergeCell ref="I44:L45"/>
    <mergeCell ref="E43:H43"/>
    <mergeCell ref="A41:B42"/>
    <mergeCell ref="C41:H41"/>
    <mergeCell ref="C42:H42"/>
    <mergeCell ref="A43:B47"/>
    <mergeCell ref="C43:D43"/>
    <mergeCell ref="C44:H47"/>
    <mergeCell ref="A6:H6"/>
    <mergeCell ref="A1:H1"/>
    <mergeCell ref="A3:B4"/>
    <mergeCell ref="C3:D4"/>
    <mergeCell ref="A5:B5"/>
    <mergeCell ref="C5:D5"/>
    <mergeCell ref="F5:G5"/>
    <mergeCell ref="F4:G4"/>
    <mergeCell ref="F3:G3"/>
  </mergeCells>
  <phoneticPr fontId="51" type="noConversion"/>
  <dataValidations count="2">
    <dataValidation allowBlank="1" showErrorMessage="1" sqref="F4">
      <formula1>0</formula1>
      <formula2>0</formula2>
    </dataValidation>
    <dataValidation allowBlank="1" showErrorMessage="1" promptTitle="存在调整事项时" prompt="_x000a_选择 “E”" sqref="E43:H43">
      <formula1>0</formula1>
      <formula2>0</formula2>
    </dataValidation>
  </dataValidations>
  <hyperlinks>
    <hyperlink ref="I5" location="纳税申报数据!A1" display="纳税申报数据"/>
    <hyperlink ref="I8" location="主营税金!A1" display="主营税金审核表"/>
    <hyperlink ref="I9" location="收入与申报核对表!A1" display="收入与申报核对表"/>
    <hyperlink ref="I10" location="收入明细表!A1" display="收入明细表"/>
    <hyperlink ref="I11" location="利润!A1" display="利润及利润分配表"/>
    <hyperlink ref="I12" location="企业各税审核汇总表!A1" display="企业各税审核汇总表"/>
    <hyperlink ref="I13" location="成本费用明细表!A1" display="成本费用明细表!A1"/>
  </hyperlinks>
  <pageMargins left="0.78740157480314998" right="0.35433070866141703" top="0.511811023622047" bottom="0.11811023622047198" header="0.511811023622047" footer="0.511811023622047"/>
  <pageSetup paperSize="9" scale="97" firstPageNumber="0" fitToHeight="0" orientation="portrait" blackAndWhite="1" r:id="rId1"/>
  <headerFooter alignWithMargins="0"/>
</worksheet>
</file>

<file path=xl/worksheets/sheet7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42"/>
  <dimension ref="A1:N28"/>
  <sheetViews>
    <sheetView workbookViewId="0">
      <selection activeCell="F17" sqref="F17"/>
    </sheetView>
  </sheetViews>
  <sheetFormatPr defaultColWidth="9" defaultRowHeight="12"/>
  <cols>
    <col min="1" max="1" width="3.09765625" style="502" customWidth="1"/>
    <col min="2" max="2" width="1.8984375" style="502" customWidth="1"/>
    <col min="3" max="3" width="25.5" style="502" customWidth="1"/>
    <col min="4" max="11" width="11.59765625" style="502" customWidth="1"/>
    <col min="12" max="12" width="27.19921875" style="502" customWidth="1"/>
    <col min="13" max="16384" width="9" style="502"/>
  </cols>
  <sheetData>
    <row r="1" spans="1:14" ht="33.75" customHeight="1">
      <c r="A1" s="2707" t="s">
        <v>300</v>
      </c>
      <c r="B1" s="2707"/>
      <c r="C1" s="2707"/>
      <c r="D1" s="2707"/>
      <c r="E1" s="2707"/>
      <c r="F1" s="2707"/>
      <c r="G1" s="2707"/>
      <c r="H1" s="2707"/>
      <c r="I1" s="2707"/>
      <c r="J1" s="2707"/>
      <c r="K1" s="2707"/>
      <c r="L1" s="3520"/>
      <c r="M1" s="144"/>
      <c r="N1" s="144"/>
    </row>
    <row r="2" spans="1:14" ht="15" customHeight="1">
      <c r="A2" s="3141" t="s">
        <v>237</v>
      </c>
      <c r="B2" s="3141"/>
      <c r="C2" s="2897">
        <f>主营收支!C3</f>
        <v>0</v>
      </c>
      <c r="D2" s="2897"/>
      <c r="E2" s="2897"/>
      <c r="F2" s="2897"/>
      <c r="G2" s="2897"/>
      <c r="H2" s="825"/>
      <c r="I2" s="136" t="s">
        <v>1283</v>
      </c>
      <c r="J2" s="136" t="s">
        <v>1054</v>
      </c>
      <c r="K2" s="485" t="s">
        <v>283</v>
      </c>
      <c r="L2" s="3520"/>
      <c r="M2" s="144"/>
      <c r="N2" s="144"/>
    </row>
    <row r="3" spans="1:14" ht="15" customHeight="1">
      <c r="A3" s="3141"/>
      <c r="B3" s="3141"/>
      <c r="C3" s="2897"/>
      <c r="D3" s="2897"/>
      <c r="E3" s="2897"/>
      <c r="F3" s="2897"/>
      <c r="G3" s="2897"/>
      <c r="H3" s="158" t="s">
        <v>451</v>
      </c>
      <c r="I3" s="510">
        <f>基本情况!B12</f>
        <v>0</v>
      </c>
      <c r="J3" s="559" t="str">
        <f>TEXT(基本情况!B21,"yyyy-mm-dd")</f>
        <v>2017-03-16</v>
      </c>
      <c r="K3" s="3521" t="str">
        <f>档案索引!D23</f>
        <v>3-2</v>
      </c>
      <c r="L3" s="3520"/>
      <c r="M3" s="144"/>
      <c r="N3" s="144"/>
    </row>
    <row r="4" spans="1:14" ht="15" customHeight="1">
      <c r="A4" s="3156" t="s">
        <v>238</v>
      </c>
      <c r="B4" s="3156"/>
      <c r="C4" s="2899" t="str">
        <f>主营收支!C5</f>
        <v>2016年01月01日至2016年12月31日</v>
      </c>
      <c r="D4" s="2899"/>
      <c r="E4" s="2899"/>
      <c r="F4" s="2899"/>
      <c r="G4" s="2899"/>
      <c r="H4" s="140" t="s">
        <v>453</v>
      </c>
      <c r="I4" s="513">
        <f>基本情况!B11</f>
        <v>0</v>
      </c>
      <c r="J4" s="513" t="str">
        <f>TEXT(基本情况!B22,"yyyy-mm-dd")</f>
        <v>2017-05-04</v>
      </c>
      <c r="K4" s="3521"/>
      <c r="L4" s="3520"/>
      <c r="M4" s="144"/>
      <c r="N4" s="144"/>
    </row>
    <row r="5" spans="1:14" ht="7.5" customHeight="1">
      <c r="A5" s="2894"/>
      <c r="B5" s="2894"/>
      <c r="C5" s="2894"/>
      <c r="D5" s="2894"/>
      <c r="E5" s="2894"/>
      <c r="F5" s="2894"/>
      <c r="G5" s="2894"/>
      <c r="H5" s="2894"/>
      <c r="I5" s="2894"/>
      <c r="J5" s="2894"/>
      <c r="K5" s="2894"/>
      <c r="L5" s="3520"/>
      <c r="M5" s="144"/>
      <c r="N5" s="144"/>
    </row>
    <row r="6" spans="1:14" ht="18" customHeight="1">
      <c r="A6" s="3021" t="s">
        <v>666</v>
      </c>
      <c r="B6" s="3021"/>
      <c r="C6" s="3022" t="s">
        <v>239</v>
      </c>
      <c r="D6" s="2898" t="s">
        <v>240</v>
      </c>
      <c r="E6" s="2898"/>
      <c r="F6" s="2898"/>
      <c r="G6" s="3022" t="s">
        <v>241</v>
      </c>
      <c r="H6" s="3023" t="s">
        <v>242</v>
      </c>
      <c r="I6" s="3023" t="s">
        <v>1492</v>
      </c>
      <c r="J6" s="3023" t="s">
        <v>243</v>
      </c>
      <c r="K6" s="2945" t="s">
        <v>244</v>
      </c>
      <c r="L6" s="90" t="s">
        <v>396</v>
      </c>
      <c r="M6" s="144"/>
      <c r="N6" s="144"/>
    </row>
    <row r="7" spans="1:14" ht="18" customHeight="1">
      <c r="A7" s="3021"/>
      <c r="B7" s="3021"/>
      <c r="C7" s="3022"/>
      <c r="D7" s="140" t="s">
        <v>245</v>
      </c>
      <c r="E7" s="826" t="s">
        <v>246</v>
      </c>
      <c r="F7" s="140" t="s">
        <v>247</v>
      </c>
      <c r="G7" s="3022"/>
      <c r="H7" s="3023"/>
      <c r="I7" s="3023"/>
      <c r="J7" s="3023"/>
      <c r="K7" s="2945"/>
      <c r="L7" s="232" t="s">
        <v>654</v>
      </c>
      <c r="M7" s="144"/>
      <c r="N7" s="144"/>
    </row>
    <row r="8" spans="1:14" ht="14.4" customHeight="1">
      <c r="A8" s="3128" t="s">
        <v>12</v>
      </c>
      <c r="B8" s="509">
        <v>1</v>
      </c>
      <c r="C8" s="509" t="s">
        <v>248</v>
      </c>
      <c r="D8" s="1165"/>
      <c r="E8" s="1165"/>
      <c r="F8" s="1166"/>
      <c r="G8" s="827">
        <f>纳税申报数据!D6</f>
        <v>0</v>
      </c>
      <c r="H8" s="827">
        <f>G8-D8-E8-F8</f>
        <v>0</v>
      </c>
      <c r="I8" s="1166"/>
      <c r="J8" s="827">
        <f t="shared" ref="J8:J23" si="0">D8+E8+F8+I8</f>
        <v>0</v>
      </c>
      <c r="K8" s="1701"/>
      <c r="L8" s="493" t="s">
        <v>249</v>
      </c>
      <c r="M8" s="144"/>
      <c r="N8" s="144"/>
    </row>
    <row r="9" spans="1:14" ht="14.4" customHeight="1">
      <c r="A9" s="3128"/>
      <c r="B9" s="828">
        <v>2</v>
      </c>
      <c r="C9" s="828" t="s">
        <v>6113</v>
      </c>
      <c r="D9" s="1121"/>
      <c r="E9" s="1121"/>
      <c r="F9" s="1121"/>
      <c r="G9" s="588">
        <f>纳税申报数据!F23</f>
        <v>0</v>
      </c>
      <c r="H9" s="588">
        <f>G9-D9-E9-F9</f>
        <v>0</v>
      </c>
      <c r="I9" s="1121"/>
      <c r="J9" s="588">
        <f t="shared" si="0"/>
        <v>0</v>
      </c>
      <c r="K9" s="694" t="s">
        <v>510</v>
      </c>
      <c r="L9" s="232" t="s">
        <v>674</v>
      </c>
      <c r="M9" s="144"/>
      <c r="N9" s="144"/>
    </row>
    <row r="10" spans="1:14" ht="14.4" customHeight="1">
      <c r="A10" s="3128"/>
      <c r="B10" s="828">
        <v>3</v>
      </c>
      <c r="C10" s="828" t="s">
        <v>250</v>
      </c>
      <c r="D10" s="1121"/>
      <c r="E10" s="829">
        <f>纳税申报数据!H18</f>
        <v>0</v>
      </c>
      <c r="F10" s="1121"/>
      <c r="G10" s="588">
        <f>纳税申报数据!H23</f>
        <v>0</v>
      </c>
      <c r="H10" s="588">
        <f>G10-D10-E10-F10</f>
        <v>0</v>
      </c>
      <c r="I10" s="1121"/>
      <c r="J10" s="588">
        <f t="shared" si="0"/>
        <v>0</v>
      </c>
      <c r="K10" s="1700"/>
      <c r="L10" s="493" t="s">
        <v>677</v>
      </c>
      <c r="M10" s="144"/>
      <c r="N10" s="144"/>
    </row>
    <row r="11" spans="1:14" ht="14.4" customHeight="1">
      <c r="A11" s="3128"/>
      <c r="B11" s="828">
        <v>4</v>
      </c>
      <c r="C11" s="828" t="s">
        <v>251</v>
      </c>
      <c r="D11" s="1121"/>
      <c r="E11" s="1121"/>
      <c r="F11" s="1121"/>
      <c r="G11" s="588">
        <f>纳税申报数据!D9+纳税申报数据!D8</f>
        <v>0</v>
      </c>
      <c r="H11" s="588">
        <f>G11-D11-E11-F11</f>
        <v>0</v>
      </c>
      <c r="I11" s="1121"/>
      <c r="J11" s="588">
        <f t="shared" si="0"/>
        <v>0</v>
      </c>
      <c r="K11" s="694" t="s">
        <v>510</v>
      </c>
      <c r="L11" s="232" t="s">
        <v>296</v>
      </c>
      <c r="M11" s="144"/>
      <c r="N11" s="144"/>
    </row>
    <row r="12" spans="1:14" ht="14.4" customHeight="1">
      <c r="A12" s="3128"/>
      <c r="B12" s="830">
        <v>5</v>
      </c>
      <c r="C12" s="830" t="s">
        <v>247</v>
      </c>
      <c r="D12" s="1123"/>
      <c r="E12" s="1123"/>
      <c r="F12" s="1123"/>
      <c r="G12" s="1167"/>
      <c r="H12" s="588">
        <f>G12-D12-E12-F12</f>
        <v>0</v>
      </c>
      <c r="I12" s="1123"/>
      <c r="J12" s="588">
        <f t="shared" si="0"/>
        <v>0</v>
      </c>
      <c r="K12" s="694" t="s">
        <v>510</v>
      </c>
      <c r="L12" s="232" t="s">
        <v>252</v>
      </c>
      <c r="M12" s="144"/>
      <c r="N12" s="144"/>
    </row>
    <row r="13" spans="1:14" ht="18" customHeight="1">
      <c r="A13" s="3128"/>
      <c r="B13" s="831"/>
      <c r="C13" s="140" t="s">
        <v>1281</v>
      </c>
      <c r="D13" s="823">
        <f t="shared" ref="D13:J13" si="1">SUM(D8:D12)</f>
        <v>0</v>
      </c>
      <c r="E13" s="823">
        <f t="shared" si="1"/>
        <v>0</v>
      </c>
      <c r="F13" s="823">
        <f t="shared" si="1"/>
        <v>0</v>
      </c>
      <c r="G13" s="823">
        <f t="shared" si="1"/>
        <v>0</v>
      </c>
      <c r="H13" s="823">
        <f t="shared" si="1"/>
        <v>0</v>
      </c>
      <c r="I13" s="823">
        <f t="shared" si="1"/>
        <v>0</v>
      </c>
      <c r="J13" s="823">
        <f t="shared" si="1"/>
        <v>0</v>
      </c>
      <c r="K13" s="694" t="s">
        <v>510</v>
      </c>
      <c r="L13" s="232" t="s">
        <v>680</v>
      </c>
      <c r="M13" s="144"/>
      <c r="N13" s="144"/>
    </row>
    <row r="14" spans="1:14" ht="14.4" customHeight="1">
      <c r="A14" s="3128" t="s">
        <v>1271</v>
      </c>
      <c r="B14" s="509">
        <v>1</v>
      </c>
      <c r="C14" s="832" t="s">
        <v>253</v>
      </c>
      <c r="D14" s="1166"/>
      <c r="E14" s="1166"/>
      <c r="F14" s="1166"/>
      <c r="G14" s="833">
        <f t="shared" ref="G14:G21" si="2">SUM(D14:F14)-K14</f>
        <v>0</v>
      </c>
      <c r="H14" s="833">
        <f t="shared" ref="H14:H23" si="3">G14-D14-E14-F14</f>
        <v>0</v>
      </c>
      <c r="I14" s="1168"/>
      <c r="J14" s="833">
        <f t="shared" si="0"/>
        <v>0</v>
      </c>
      <c r="K14" s="1169"/>
      <c r="L14" s="232" t="s">
        <v>643</v>
      </c>
      <c r="M14" s="144"/>
      <c r="N14" s="144"/>
    </row>
    <row r="15" spans="1:14" ht="14.4" customHeight="1">
      <c r="A15" s="3128"/>
      <c r="B15" s="834"/>
      <c r="C15" s="828" t="s">
        <v>254</v>
      </c>
      <c r="D15" s="1119"/>
      <c r="E15" s="1119"/>
      <c r="F15" s="1119"/>
      <c r="G15" s="588">
        <f t="shared" si="2"/>
        <v>0</v>
      </c>
      <c r="H15" s="588">
        <f t="shared" si="3"/>
        <v>0</v>
      </c>
      <c r="I15" s="1121"/>
      <c r="J15" s="588">
        <f t="shared" si="0"/>
        <v>0</v>
      </c>
      <c r="K15" s="1170"/>
      <c r="L15" s="232"/>
      <c r="M15" s="144"/>
      <c r="N15" s="144"/>
    </row>
    <row r="16" spans="1:14" ht="14.4" customHeight="1">
      <c r="A16" s="3128"/>
      <c r="B16" s="834">
        <v>2</v>
      </c>
      <c r="C16" s="828" t="s">
        <v>255</v>
      </c>
      <c r="D16" s="1119"/>
      <c r="E16" s="1119"/>
      <c r="F16" s="1119"/>
      <c r="G16" s="588">
        <f t="shared" si="2"/>
        <v>0</v>
      </c>
      <c r="H16" s="588">
        <f t="shared" si="3"/>
        <v>0</v>
      </c>
      <c r="I16" s="1121"/>
      <c r="J16" s="588">
        <f t="shared" si="0"/>
        <v>0</v>
      </c>
      <c r="K16" s="1170"/>
      <c r="L16" s="232"/>
      <c r="M16" s="144"/>
      <c r="N16" s="144"/>
    </row>
    <row r="17" spans="1:14" ht="14.4" customHeight="1">
      <c r="A17" s="3128"/>
      <c r="B17" s="828">
        <v>3</v>
      </c>
      <c r="C17" s="828" t="s">
        <v>256</v>
      </c>
      <c r="D17" s="1121"/>
      <c r="E17" s="1121"/>
      <c r="F17" s="1121"/>
      <c r="G17" s="588">
        <f t="shared" si="2"/>
        <v>0</v>
      </c>
      <c r="H17" s="588">
        <f t="shared" si="3"/>
        <v>0</v>
      </c>
      <c r="I17" s="1121"/>
      <c r="J17" s="588">
        <f t="shared" si="0"/>
        <v>0</v>
      </c>
      <c r="K17" s="1106"/>
      <c r="L17" s="232"/>
      <c r="M17" s="144"/>
      <c r="N17" s="144"/>
    </row>
    <row r="18" spans="1:14" ht="14.4" customHeight="1">
      <c r="A18" s="3128"/>
      <c r="B18" s="828"/>
      <c r="C18" s="158" t="s">
        <v>257</v>
      </c>
      <c r="D18" s="1121"/>
      <c r="E18" s="1121"/>
      <c r="F18" s="1121"/>
      <c r="G18" s="588">
        <f t="shared" si="2"/>
        <v>0</v>
      </c>
      <c r="H18" s="588">
        <f t="shared" si="3"/>
        <v>0</v>
      </c>
      <c r="I18" s="1121"/>
      <c r="J18" s="588">
        <f t="shared" si="0"/>
        <v>0</v>
      </c>
      <c r="K18" s="1106"/>
      <c r="L18" s="232"/>
      <c r="M18" s="144"/>
      <c r="N18" s="144"/>
    </row>
    <row r="19" spans="1:14" ht="14.4" customHeight="1">
      <c r="A19" s="3128"/>
      <c r="B19" s="828"/>
      <c r="C19" s="158" t="s">
        <v>5915</v>
      </c>
      <c r="D19" s="1121"/>
      <c r="E19" s="1121"/>
      <c r="F19" s="1121"/>
      <c r="G19" s="588">
        <f t="shared" si="2"/>
        <v>0</v>
      </c>
      <c r="H19" s="588">
        <f t="shared" si="3"/>
        <v>0</v>
      </c>
      <c r="I19" s="1121"/>
      <c r="J19" s="588">
        <f t="shared" si="0"/>
        <v>0</v>
      </c>
      <c r="K19" s="1106"/>
      <c r="L19" s="232"/>
      <c r="M19" s="144"/>
      <c r="N19" s="144"/>
    </row>
    <row r="20" spans="1:14" ht="14.4" customHeight="1">
      <c r="A20" s="3128"/>
      <c r="B20" s="828">
        <v>4</v>
      </c>
      <c r="C20" s="828" t="s">
        <v>258</v>
      </c>
      <c r="D20" s="1121"/>
      <c r="E20" s="1121"/>
      <c r="F20" s="1121"/>
      <c r="G20" s="588">
        <f t="shared" si="2"/>
        <v>0</v>
      </c>
      <c r="H20" s="588">
        <f t="shared" si="3"/>
        <v>0</v>
      </c>
      <c r="I20" s="1121"/>
      <c r="J20" s="588">
        <f t="shared" si="0"/>
        <v>0</v>
      </c>
      <c r="K20" s="1106"/>
      <c r="L20" s="144"/>
      <c r="M20" s="144"/>
      <c r="N20" s="144"/>
    </row>
    <row r="21" spans="1:14" ht="14.4" customHeight="1">
      <c r="A21" s="3128"/>
      <c r="B21" s="828">
        <v>5</v>
      </c>
      <c r="C21" s="828" t="s">
        <v>259</v>
      </c>
      <c r="D21" s="1121"/>
      <c r="E21" s="1121"/>
      <c r="F21" s="1121"/>
      <c r="G21" s="588">
        <f t="shared" si="2"/>
        <v>0</v>
      </c>
      <c r="H21" s="588">
        <f t="shared" si="3"/>
        <v>0</v>
      </c>
      <c r="I21" s="1121"/>
      <c r="J21" s="588">
        <f t="shared" si="0"/>
        <v>0</v>
      </c>
      <c r="K21" s="1107"/>
      <c r="L21" s="144" t="s">
        <v>457</v>
      </c>
      <c r="M21" s="144"/>
      <c r="N21" s="144"/>
    </row>
    <row r="22" spans="1:14" ht="14.4" customHeight="1">
      <c r="A22" s="3128"/>
      <c r="B22" s="828">
        <v>6</v>
      </c>
      <c r="C22" s="828" t="s">
        <v>251</v>
      </c>
      <c r="D22" s="1121"/>
      <c r="E22" s="1121"/>
      <c r="F22" s="1121"/>
      <c r="G22" s="588">
        <f>SUM(D22:F22)</f>
        <v>0</v>
      </c>
      <c r="H22" s="588">
        <f t="shared" si="3"/>
        <v>0</v>
      </c>
      <c r="I22" s="1121"/>
      <c r="J22" s="588">
        <f t="shared" si="0"/>
        <v>0</v>
      </c>
      <c r="K22" s="694" t="s">
        <v>510</v>
      </c>
      <c r="L22" s="835"/>
      <c r="M22" s="144"/>
      <c r="N22" s="144"/>
    </row>
    <row r="23" spans="1:14" ht="14.4" customHeight="1">
      <c r="A23" s="3128"/>
      <c r="B23" s="828">
        <v>7</v>
      </c>
      <c r="C23" s="830" t="s">
        <v>247</v>
      </c>
      <c r="D23" s="1123"/>
      <c r="E23" s="1123"/>
      <c r="F23" s="1123"/>
      <c r="G23" s="1167"/>
      <c r="H23" s="588">
        <f t="shared" si="3"/>
        <v>0</v>
      </c>
      <c r="I23" s="1123"/>
      <c r="J23" s="588">
        <f t="shared" si="0"/>
        <v>0</v>
      </c>
      <c r="K23" s="1171"/>
      <c r="L23" s="835"/>
      <c r="M23" s="144"/>
      <c r="N23" s="144"/>
    </row>
    <row r="24" spans="1:14" ht="19.5" customHeight="1">
      <c r="A24" s="3128"/>
      <c r="B24" s="2900" t="s">
        <v>1281</v>
      </c>
      <c r="C24" s="2900"/>
      <c r="D24" s="823">
        <f t="shared" ref="D24:J24" si="4">SUM(D14:D17)+SUM(D20:D23)</f>
        <v>0</v>
      </c>
      <c r="E24" s="823">
        <f t="shared" si="4"/>
        <v>0</v>
      </c>
      <c r="F24" s="823">
        <f t="shared" si="4"/>
        <v>0</v>
      </c>
      <c r="G24" s="823">
        <f t="shared" si="4"/>
        <v>0</v>
      </c>
      <c r="H24" s="823">
        <f t="shared" si="4"/>
        <v>0</v>
      </c>
      <c r="I24" s="823">
        <f t="shared" si="4"/>
        <v>0</v>
      </c>
      <c r="J24" s="823">
        <f t="shared" si="4"/>
        <v>0</v>
      </c>
      <c r="K24" s="596">
        <f>SUM(K14:K17)+SUM(K20:K21)+K23</f>
        <v>0</v>
      </c>
      <c r="L24" s="835"/>
      <c r="M24" s="144"/>
      <c r="N24" s="144"/>
    </row>
    <row r="25" spans="1:14" ht="18" customHeight="1">
      <c r="A25" s="3021" t="s">
        <v>703</v>
      </c>
      <c r="B25" s="3021"/>
      <c r="C25" s="3021"/>
      <c r="D25" s="590">
        <f t="shared" ref="D25:J25" si="5">D13+D24</f>
        <v>0</v>
      </c>
      <c r="E25" s="590">
        <f t="shared" si="5"/>
        <v>0</v>
      </c>
      <c r="F25" s="590">
        <f t="shared" si="5"/>
        <v>0</v>
      </c>
      <c r="G25" s="590">
        <f t="shared" si="5"/>
        <v>0</v>
      </c>
      <c r="H25" s="590">
        <f t="shared" si="5"/>
        <v>0</v>
      </c>
      <c r="I25" s="590">
        <f t="shared" si="5"/>
        <v>0</v>
      </c>
      <c r="J25" s="590">
        <f t="shared" si="5"/>
        <v>0</v>
      </c>
      <c r="K25" s="533">
        <f>K24</f>
        <v>0</v>
      </c>
      <c r="L25" s="836"/>
      <c r="M25" s="144"/>
      <c r="N25" s="144"/>
    </row>
    <row r="26" spans="1:14" ht="18" customHeight="1">
      <c r="A26" s="3153" t="s">
        <v>260</v>
      </c>
      <c r="B26" s="3153"/>
      <c r="C26" s="3153"/>
      <c r="D26" s="3524" t="str">
        <f>IF(AND(D13&lt;&gt;0,D25&lt;&gt;主营收支!H20),"主营业务收入申报数与账载数相差"&amp;DOLLAR(主营收支!H20-D13,2)&amp;"元！，请检查！","")</f>
        <v/>
      </c>
      <c r="E26" s="3524"/>
      <c r="F26" s="3524"/>
      <c r="G26" s="3524"/>
      <c r="H26" s="3525" t="str">
        <f>IF(AND(E13&lt;&gt;0,E25&lt;&gt;其他业务!C18),"其他业务收入申报数与账载数相差"&amp;DOLLAR(其他业务!C18-E13,2)&amp;"元！，请检查！","")</f>
        <v/>
      </c>
      <c r="I26" s="3525"/>
      <c r="J26" s="3525"/>
      <c r="K26" s="3525"/>
      <c r="L26" s="493"/>
      <c r="M26" s="144"/>
      <c r="N26" s="144"/>
    </row>
    <row r="27" spans="1:14" ht="18" customHeight="1">
      <c r="A27" s="3147" t="s">
        <v>261</v>
      </c>
      <c r="B27" s="3147"/>
      <c r="C27" s="3147"/>
      <c r="D27" s="3526" t="str">
        <f>IF(AND(D24&lt;&gt;0,D25&lt;&gt;主营收支!H20),"主营业务收入申报数与账载数相差"&amp;DOLLAR(主营收支!H20-D24,2)&amp;"元！，请检查！","")</f>
        <v/>
      </c>
      <c r="E27" s="3526"/>
      <c r="F27" s="3526"/>
      <c r="G27" s="3526"/>
      <c r="H27" s="3527" t="str">
        <f>IF(AND(E24&lt;&gt;0,E25&lt;&gt;其他业务!C18),"其他业务收入申报数与账载数相差"&amp;DOLLAR(其他业务!C18-E24,2)&amp;"元！，请检查！","")</f>
        <v/>
      </c>
      <c r="I27" s="3527"/>
      <c r="J27" s="3527"/>
      <c r="K27" s="3527"/>
      <c r="L27" s="493"/>
      <c r="M27" s="144"/>
      <c r="N27" s="144"/>
    </row>
    <row r="28" spans="1:14" ht="43.5" customHeight="1">
      <c r="A28" s="837" t="s">
        <v>1282</v>
      </c>
      <c r="B28" s="3522"/>
      <c r="C28" s="3523"/>
      <c r="D28" s="3523"/>
      <c r="E28" s="3523"/>
      <c r="F28" s="3523"/>
      <c r="G28" s="3523"/>
      <c r="H28" s="3523"/>
      <c r="I28" s="3523"/>
      <c r="J28" s="3523"/>
      <c r="K28" s="3523"/>
      <c r="L28" s="493"/>
      <c r="M28" s="144"/>
      <c r="N28" s="144"/>
    </row>
  </sheetData>
  <sheetProtection selectLockedCells="1" selectUnlockedCells="1"/>
  <mergeCells count="27">
    <mergeCell ref="B28:K28"/>
    <mergeCell ref="A26:C26"/>
    <mergeCell ref="D26:G26"/>
    <mergeCell ref="H26:K26"/>
    <mergeCell ref="A27:C27"/>
    <mergeCell ref="D27:G27"/>
    <mergeCell ref="H27:K27"/>
    <mergeCell ref="A25:C25"/>
    <mergeCell ref="A6:B7"/>
    <mergeCell ref="C6:C7"/>
    <mergeCell ref="D6:F6"/>
    <mergeCell ref="A8:A13"/>
    <mergeCell ref="A14:A24"/>
    <mergeCell ref="B24:C24"/>
    <mergeCell ref="L1:L5"/>
    <mergeCell ref="A2:B3"/>
    <mergeCell ref="C2:G3"/>
    <mergeCell ref="K3:K4"/>
    <mergeCell ref="A4:B4"/>
    <mergeCell ref="C4:G4"/>
    <mergeCell ref="A5:K5"/>
    <mergeCell ref="G6:G7"/>
    <mergeCell ref="J6:J7"/>
    <mergeCell ref="K6:K7"/>
    <mergeCell ref="A1:K1"/>
    <mergeCell ref="H6:H7"/>
    <mergeCell ref="I6:I7"/>
  </mergeCells>
  <phoneticPr fontId="51" type="noConversion"/>
  <dataValidations disablePrompts="1" count="1">
    <dataValidation allowBlank="1" showErrorMessage="1" sqref="I3">
      <formula1>0</formula1>
      <formula2>0</formula2>
    </dataValidation>
  </dataValidations>
  <hyperlinks>
    <hyperlink ref="L7" location="纳税申报数据!A1" display="纳税申报数据"/>
    <hyperlink ref="L8" location="地税申报数据!A1" display="地税申报数据"/>
    <hyperlink ref="L9" location="主营税金!A1" display="主营税金审核表"/>
    <hyperlink ref="L10" location="企业各税审核汇总表!A1" display="企业各税审核汇总表"/>
    <hyperlink ref="L11" location="主营收支!A1" display="主营业务收支审核表"/>
    <hyperlink ref="L12" location="税费缴纳测算!A1" display="税费缴纳测算"/>
    <hyperlink ref="L13" location="其他业务!A1" display="其他业务利润审核表"/>
    <hyperlink ref="L14" location="利润!A1" display="利润及利润分配表"/>
  </hyperlinks>
  <pageMargins left="0.78740157480314998" right="0.35433070866141703" top="0.511811023622047" bottom="0.11811023622047198" header="0.511811023622047" footer="0.511811023622047"/>
  <pageSetup paperSize="9" firstPageNumber="0" orientation="landscape" blackAndWhite="1" r:id="rId1"/>
  <headerFooter alignWithMargins="0"/>
</worksheet>
</file>

<file path=xl/worksheets/sheet7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43"/>
  <dimension ref="A1:AA168"/>
  <sheetViews>
    <sheetView workbookViewId="0">
      <selection activeCell="I21" sqref="I21"/>
    </sheetView>
  </sheetViews>
  <sheetFormatPr defaultRowHeight="15.6"/>
  <cols>
    <col min="1" max="1" width="4.59765625" customWidth="1"/>
    <col min="2" max="2" width="6.8984375" customWidth="1"/>
    <col min="3" max="6" width="13" customWidth="1"/>
    <col min="7" max="7" width="13.59765625" customWidth="1"/>
  </cols>
  <sheetData>
    <row r="1" spans="1:27" ht="22.2">
      <c r="A1" s="2707" t="s">
        <v>64</v>
      </c>
      <c r="B1" s="2707"/>
      <c r="C1" s="2707"/>
      <c r="D1" s="2707"/>
      <c r="E1" s="2707"/>
      <c r="F1" s="2707"/>
      <c r="G1" s="2707"/>
      <c r="H1" s="706"/>
      <c r="I1" s="706"/>
      <c r="J1" s="706"/>
      <c r="K1" s="706"/>
      <c r="L1" s="706"/>
      <c r="M1" s="706"/>
      <c r="N1" s="706"/>
      <c r="O1" s="705"/>
      <c r="P1" s="705"/>
      <c r="Q1" s="705"/>
      <c r="R1" s="705"/>
      <c r="S1" s="705"/>
      <c r="T1" s="705"/>
      <c r="U1" s="705"/>
      <c r="V1" s="705"/>
      <c r="W1" s="705"/>
      <c r="X1" s="705"/>
      <c r="Y1" s="705"/>
      <c r="Z1" s="705"/>
      <c r="AA1" s="705"/>
    </row>
    <row r="2" spans="1:27">
      <c r="A2" s="813"/>
      <c r="B2" s="813"/>
      <c r="C2" s="813"/>
      <c r="D2" s="813"/>
      <c r="E2" s="813"/>
      <c r="F2" s="133" t="s">
        <v>1053</v>
      </c>
      <c r="G2" s="838"/>
      <c r="H2" s="706"/>
      <c r="I2" s="706"/>
      <c r="J2" s="706"/>
      <c r="K2" s="706"/>
      <c r="L2" s="706"/>
      <c r="M2" s="706"/>
      <c r="N2" s="706"/>
      <c r="O2" s="705"/>
      <c r="P2" s="705"/>
      <c r="Q2" s="705"/>
      <c r="R2" s="705"/>
      <c r="S2" s="705"/>
      <c r="T2" s="705"/>
      <c r="U2" s="705"/>
      <c r="V2" s="705"/>
      <c r="W2" s="705"/>
      <c r="X2" s="705"/>
      <c r="Y2" s="705"/>
      <c r="Z2" s="705"/>
      <c r="AA2" s="705"/>
    </row>
    <row r="3" spans="1:27" ht="15.15" customHeight="1">
      <c r="A3" s="3141" t="s">
        <v>448</v>
      </c>
      <c r="B3" s="3141"/>
      <c r="C3" s="3506">
        <f>基本情况!B2</f>
        <v>0</v>
      </c>
      <c r="D3" s="3506"/>
      <c r="E3" s="136"/>
      <c r="F3" s="136" t="s">
        <v>1067</v>
      </c>
      <c r="G3" s="485" t="s">
        <v>450</v>
      </c>
      <c r="H3" s="706"/>
      <c r="I3" s="706"/>
      <c r="J3" s="706"/>
      <c r="K3" s="706"/>
      <c r="L3" s="706"/>
      <c r="M3" s="706"/>
      <c r="N3" s="706"/>
      <c r="O3" s="705"/>
      <c r="P3" s="705"/>
      <c r="Q3" s="705"/>
      <c r="R3" s="705"/>
      <c r="S3" s="705"/>
      <c r="T3" s="705"/>
      <c r="U3" s="705"/>
      <c r="V3" s="705"/>
      <c r="W3" s="705"/>
      <c r="X3" s="705"/>
      <c r="Y3" s="705"/>
      <c r="Z3" s="705"/>
      <c r="AA3" s="705"/>
    </row>
    <row r="4" spans="1:27">
      <c r="A4" s="3141"/>
      <c r="B4" s="3141"/>
      <c r="C4" s="3506"/>
      <c r="D4" s="3506"/>
      <c r="E4" s="158" t="s">
        <v>451</v>
      </c>
      <c r="F4" s="510">
        <f>基本情况!B12</f>
        <v>0</v>
      </c>
      <c r="G4" s="816" t="str">
        <f>TEXT(基本情况!B21,"yyyy-mm-dd")</f>
        <v>2017-03-16</v>
      </c>
      <c r="H4" s="706"/>
      <c r="I4" s="706"/>
      <c r="J4" s="706"/>
      <c r="K4" s="706"/>
      <c r="L4" s="706"/>
      <c r="M4" s="706"/>
      <c r="N4" s="706"/>
      <c r="O4" s="705"/>
      <c r="P4" s="705"/>
      <c r="Q4" s="705"/>
      <c r="R4" s="705"/>
      <c r="S4" s="705"/>
      <c r="T4" s="705"/>
      <c r="U4" s="705"/>
      <c r="V4" s="705"/>
      <c r="W4" s="705"/>
      <c r="X4" s="705"/>
      <c r="Y4" s="705"/>
      <c r="Z4" s="705"/>
      <c r="AA4" s="705"/>
    </row>
    <row r="5" spans="1:27" ht="17.25" customHeight="1">
      <c r="A5" s="3156" t="s">
        <v>452</v>
      </c>
      <c r="B5" s="3156"/>
      <c r="C5" s="2899" t="str">
        <f>基本情况!B7</f>
        <v>2016年01月01日至2016年12月31日</v>
      </c>
      <c r="D5" s="2899"/>
      <c r="E5" s="140" t="s">
        <v>453</v>
      </c>
      <c r="F5" s="513">
        <f>基本情况!B11</f>
        <v>0</v>
      </c>
      <c r="G5" s="816" t="str">
        <f>TEXT(基本情况!B22,"yyyy-mm-dd")</f>
        <v>2017-05-04</v>
      </c>
      <c r="H5" s="839"/>
      <c r="I5" s="706"/>
      <c r="J5" s="706"/>
      <c r="K5" s="706"/>
      <c r="L5" s="706"/>
      <c r="M5" s="706"/>
      <c r="N5" s="706"/>
      <c r="O5" s="705"/>
      <c r="P5" s="705"/>
      <c r="Q5" s="705"/>
      <c r="R5" s="705"/>
      <c r="S5" s="705"/>
      <c r="T5" s="705"/>
      <c r="U5" s="705"/>
      <c r="V5" s="705"/>
      <c r="W5" s="705"/>
      <c r="X5" s="705"/>
      <c r="Y5" s="705"/>
      <c r="Z5" s="705"/>
      <c r="AA5" s="705"/>
    </row>
    <row r="6" spans="1:27" ht="7.5" customHeight="1">
      <c r="A6" s="2959"/>
      <c r="B6" s="2959"/>
      <c r="C6" s="2959"/>
      <c r="D6" s="2959"/>
      <c r="E6" s="2959"/>
      <c r="F6" s="2959"/>
      <c r="G6" s="2959"/>
      <c r="H6" s="706"/>
      <c r="I6" s="706"/>
      <c r="J6" s="706"/>
      <c r="K6" s="706"/>
      <c r="L6" s="706"/>
      <c r="M6" s="706"/>
      <c r="N6" s="706"/>
      <c r="O6" s="705"/>
      <c r="P6" s="705"/>
      <c r="Q6" s="705"/>
      <c r="R6" s="705"/>
      <c r="S6" s="705"/>
      <c r="T6" s="705"/>
      <c r="U6" s="705"/>
      <c r="V6" s="705"/>
      <c r="W6" s="705"/>
      <c r="X6" s="705"/>
      <c r="Y6" s="705"/>
      <c r="Z6" s="705"/>
      <c r="AA6" s="705"/>
    </row>
    <row r="7" spans="1:27" ht="24" customHeight="1">
      <c r="A7" s="3021" t="s">
        <v>666</v>
      </c>
      <c r="B7" s="3021"/>
      <c r="C7" s="840" t="s">
        <v>94</v>
      </c>
      <c r="D7" s="841" t="s">
        <v>95</v>
      </c>
      <c r="E7" s="841" t="s">
        <v>96</v>
      </c>
      <c r="F7" s="841" t="s">
        <v>97</v>
      </c>
      <c r="G7" s="568" t="s">
        <v>456</v>
      </c>
      <c r="H7" s="839" t="s">
        <v>396</v>
      </c>
      <c r="I7" s="706"/>
      <c r="J7" s="706"/>
      <c r="K7" s="706"/>
      <c r="L7" s="706"/>
      <c r="M7" s="706"/>
      <c r="N7" s="706"/>
      <c r="O7" s="705"/>
      <c r="P7" s="705"/>
      <c r="Q7" s="705"/>
      <c r="R7" s="705"/>
      <c r="S7" s="705"/>
      <c r="T7" s="705"/>
      <c r="U7" s="705"/>
      <c r="V7" s="705"/>
      <c r="W7" s="705"/>
      <c r="X7" s="705"/>
      <c r="Y7" s="705"/>
      <c r="Z7" s="705"/>
      <c r="AA7" s="705"/>
    </row>
    <row r="8" spans="1:27" ht="17.25" customHeight="1">
      <c r="A8" s="3128" t="s">
        <v>1148</v>
      </c>
      <c r="B8" s="136" t="s">
        <v>668</v>
      </c>
      <c r="C8" s="1172" t="str">
        <f>IF(ISERROR(ROUND(1-主营收支!C25/主营收支!C8,4)),"",ROUND(1-主营收支!C25/主营收支!C8,4))</f>
        <v/>
      </c>
      <c r="D8" s="1172" t="str">
        <f>IF(ISERROR(ROUND(1-主营收支!D25/主营收支!D8,4)),"",ROUND(1-主营收支!D25/主营收支!D8,4))</f>
        <v/>
      </c>
      <c r="E8" s="1172" t="str">
        <f>IF(ISERROR(ROUND(1-主营收支!E25/主营收支!E8,4)),"",ROUND(1-主营收支!E25/主营收支!E8,4))</f>
        <v/>
      </c>
      <c r="F8" s="1172" t="str">
        <f>IF(ISERROR(ROUND(1-主营收支!F25/主营收支!F8,4)),"",ROUND(1-主营收支!F25/主营收支!F8,4))</f>
        <v/>
      </c>
      <c r="G8" s="842"/>
      <c r="H8" s="706"/>
      <c r="I8" s="706"/>
      <c r="J8" s="706"/>
      <c r="K8" s="706"/>
      <c r="L8" s="706"/>
      <c r="M8" s="706"/>
      <c r="N8" s="706"/>
      <c r="O8" s="705"/>
      <c r="P8" s="705"/>
      <c r="Q8" s="705"/>
      <c r="R8" s="705"/>
      <c r="S8" s="705"/>
      <c r="T8" s="705"/>
      <c r="U8" s="705"/>
      <c r="V8" s="705"/>
      <c r="W8" s="705"/>
      <c r="X8" s="705"/>
      <c r="Y8" s="705"/>
      <c r="Z8" s="705"/>
      <c r="AA8" s="705"/>
    </row>
    <row r="9" spans="1:27" ht="17.25" customHeight="1">
      <c r="A9" s="3128"/>
      <c r="B9" s="158" t="s">
        <v>672</v>
      </c>
      <c r="C9" s="1173" t="str">
        <f>IF(ISERROR(ROUND(1-主营收支!C26/主营收支!C9,4)),"",ROUND(1-主营收支!C26/主营收支!C9,4))</f>
        <v/>
      </c>
      <c r="D9" s="1173" t="str">
        <f>IF(ISERROR(ROUND(1-主营收支!D26/主营收支!D9,4)),"",ROUND(1-主营收支!D26/主营收支!D9,4))</f>
        <v/>
      </c>
      <c r="E9" s="1173" t="str">
        <f>IF(ISERROR(ROUND(1-主营收支!E26/主营收支!E9,4)),"",ROUND(1-主营收支!E26/主营收支!E9,4))</f>
        <v/>
      </c>
      <c r="F9" s="1173" t="str">
        <f>IF(ISERROR(ROUND(1-主营收支!F26/主营收支!F9,4)),"",ROUND(1-主营收支!F26/主营收支!F9,4))</f>
        <v/>
      </c>
      <c r="G9" s="530"/>
      <c r="H9" s="706"/>
      <c r="I9" s="706"/>
      <c r="J9" s="706"/>
      <c r="K9" s="706"/>
      <c r="L9" s="706"/>
      <c r="M9" s="706"/>
      <c r="N9" s="706"/>
      <c r="O9" s="705"/>
      <c r="P9" s="705"/>
      <c r="Q9" s="705"/>
      <c r="R9" s="705"/>
      <c r="S9" s="705"/>
      <c r="T9" s="705"/>
      <c r="U9" s="705"/>
      <c r="V9" s="705"/>
      <c r="W9" s="705"/>
      <c r="X9" s="705"/>
      <c r="Y9" s="705"/>
      <c r="Z9" s="705"/>
      <c r="AA9" s="705"/>
    </row>
    <row r="10" spans="1:27" ht="17.25" customHeight="1">
      <c r="A10" s="3128"/>
      <c r="B10" s="158" t="s">
        <v>676</v>
      </c>
      <c r="C10" s="1173" t="str">
        <f>IF(ISERROR(ROUND(1-主营收支!C27/主营收支!C10,4)),"",ROUND(1-主营收支!C27/主营收支!C10,4))</f>
        <v/>
      </c>
      <c r="D10" s="1173" t="str">
        <f>IF(ISERROR(ROUND(1-主营收支!D27/主营收支!D10,4)),"",ROUND(1-主营收支!D27/主营收支!D10,4))</f>
        <v/>
      </c>
      <c r="E10" s="1173" t="str">
        <f>IF(ISERROR(ROUND(1-主营收支!E27/主营收支!E10,4)),"",ROUND(1-主营收支!E27/主营收支!E10,4))</f>
        <v/>
      </c>
      <c r="F10" s="1173" t="str">
        <f>IF(ISERROR(ROUND(1-主营收支!F27/主营收支!F10,4)),"",ROUND(1-主营收支!F27/主营收支!F10,4))</f>
        <v/>
      </c>
      <c r="G10" s="530"/>
      <c r="H10" s="706"/>
      <c r="I10" s="706"/>
      <c r="J10" s="706"/>
      <c r="K10" s="706"/>
      <c r="L10" s="706"/>
      <c r="M10" s="706"/>
      <c r="N10" s="706"/>
      <c r="O10" s="705"/>
      <c r="P10" s="705"/>
      <c r="Q10" s="705"/>
      <c r="R10" s="705"/>
      <c r="S10" s="705"/>
      <c r="T10" s="705"/>
      <c r="U10" s="705"/>
      <c r="V10" s="705"/>
      <c r="W10" s="705"/>
      <c r="X10" s="705"/>
      <c r="Y10" s="705"/>
      <c r="Z10" s="705"/>
      <c r="AA10" s="705"/>
    </row>
    <row r="11" spans="1:27" ht="17.25" customHeight="1">
      <c r="A11" s="3128"/>
      <c r="B11" s="158" t="s">
        <v>679</v>
      </c>
      <c r="C11" s="1173" t="str">
        <f>IF(ISERROR(ROUND(1-主营收支!C28/主营收支!C11,4)),"",ROUND(1-主营收支!C28/主营收支!C11,4))</f>
        <v/>
      </c>
      <c r="D11" s="1173" t="str">
        <f>IF(ISERROR(ROUND(1-主营收支!D28/主营收支!D11,4)),"",ROUND(1-主营收支!D28/主营收支!D11,4))</f>
        <v/>
      </c>
      <c r="E11" s="1173" t="str">
        <f>IF(ISERROR(ROUND(1-主营收支!E28/主营收支!E11,4)),"",ROUND(1-主营收支!E28/主营收支!E11,4))</f>
        <v/>
      </c>
      <c r="F11" s="1173" t="str">
        <f>IF(ISERROR(ROUND(1-主营收支!F28/主营收支!F11,4)),"",ROUND(1-主营收支!F28/主营收支!F11,4))</f>
        <v/>
      </c>
      <c r="G11" s="530"/>
      <c r="H11" s="706"/>
      <c r="I11" s="706"/>
      <c r="J11" s="706"/>
      <c r="K11" s="706"/>
      <c r="L11" s="706"/>
      <c r="M11" s="706"/>
      <c r="N11" s="706"/>
      <c r="O11" s="705"/>
      <c r="P11" s="705"/>
      <c r="Q11" s="705"/>
      <c r="R11" s="705"/>
      <c r="S11" s="705"/>
      <c r="T11" s="705"/>
      <c r="U11" s="705"/>
      <c r="V11" s="705"/>
      <c r="W11" s="705"/>
      <c r="X11" s="705"/>
      <c r="Y11" s="705"/>
      <c r="Z11" s="705"/>
      <c r="AA11" s="705"/>
    </row>
    <row r="12" spans="1:27" ht="17.25" customHeight="1">
      <c r="A12" s="3128"/>
      <c r="B12" s="158" t="s">
        <v>682</v>
      </c>
      <c r="C12" s="1173" t="str">
        <f>IF(ISERROR(ROUND(1-主营收支!C29/主营收支!C12,4)),"",ROUND(1-主营收支!C29/主营收支!C12,4))</f>
        <v/>
      </c>
      <c r="D12" s="1173" t="str">
        <f>IF(ISERROR(ROUND(1-主营收支!D29/主营收支!D12,4)),"",ROUND(1-主营收支!D29/主营收支!D12,4))</f>
        <v/>
      </c>
      <c r="E12" s="1173" t="str">
        <f>IF(ISERROR(ROUND(1-主营收支!E29/主营收支!E12,4)),"",ROUND(1-主营收支!E29/主营收支!E12,4))</f>
        <v/>
      </c>
      <c r="F12" s="1173" t="str">
        <f>IF(ISERROR(ROUND(1-主营收支!F29/主营收支!F12,4)),"",ROUND(1-主营收支!F29/主营收支!F12,4))</f>
        <v/>
      </c>
      <c r="G12" s="530"/>
      <c r="H12" s="706"/>
      <c r="I12" s="706"/>
      <c r="J12" s="706"/>
      <c r="K12" s="706"/>
      <c r="L12" s="706"/>
      <c r="M12" s="706"/>
      <c r="N12" s="706"/>
      <c r="O12" s="705"/>
      <c r="P12" s="705"/>
      <c r="Q12" s="705"/>
      <c r="R12" s="705"/>
      <c r="S12" s="705"/>
      <c r="T12" s="705"/>
      <c r="U12" s="705"/>
      <c r="V12" s="705"/>
      <c r="W12" s="705"/>
      <c r="X12" s="705"/>
      <c r="Y12" s="705"/>
      <c r="Z12" s="705"/>
      <c r="AA12" s="705"/>
    </row>
    <row r="13" spans="1:27" ht="17.25" customHeight="1">
      <c r="A13" s="3128"/>
      <c r="B13" s="158" t="s">
        <v>686</v>
      </c>
      <c r="C13" s="1173" t="str">
        <f>IF(ISERROR(ROUND(1-主营收支!C30/主营收支!C13,4)),"",ROUND(1-主营收支!C30/主营收支!C13,4))</f>
        <v/>
      </c>
      <c r="D13" s="1173" t="str">
        <f>IF(ISERROR(ROUND(1-主营收支!D30/主营收支!D13,4)),"",ROUND(1-主营收支!D30/主营收支!D13,4))</f>
        <v/>
      </c>
      <c r="E13" s="1173" t="str">
        <f>IF(ISERROR(ROUND(1-主营收支!E30/主营收支!E13,4)),"",ROUND(1-主营收支!E30/主营收支!E13,4))</f>
        <v/>
      </c>
      <c r="F13" s="1173" t="str">
        <f>IF(ISERROR(ROUND(1-主营收支!F30/主营收支!F13,4)),"",ROUND(1-主营收支!F30/主营收支!F13,4))</f>
        <v/>
      </c>
      <c r="G13" s="530"/>
      <c r="H13" s="706"/>
      <c r="I13" s="706"/>
      <c r="J13" s="706"/>
      <c r="K13" s="706"/>
      <c r="L13" s="706"/>
      <c r="M13" s="706"/>
      <c r="N13" s="706"/>
      <c r="O13" s="705"/>
      <c r="P13" s="705"/>
      <c r="Q13" s="705"/>
      <c r="R13" s="705"/>
      <c r="S13" s="705"/>
      <c r="T13" s="705"/>
      <c r="U13" s="705"/>
      <c r="V13" s="705"/>
      <c r="W13" s="705"/>
      <c r="X13" s="705"/>
      <c r="Y13" s="705"/>
      <c r="Z13" s="705"/>
      <c r="AA13" s="705"/>
    </row>
    <row r="14" spans="1:27" ht="17.25" customHeight="1">
      <c r="A14" s="3128"/>
      <c r="B14" s="158" t="s">
        <v>688</v>
      </c>
      <c r="C14" s="1173" t="str">
        <f>IF(ISERROR(ROUND(1-主营收支!C31/主营收支!C14,4)),"",ROUND(1-主营收支!C31/主营收支!C14,4))</f>
        <v/>
      </c>
      <c r="D14" s="1173" t="str">
        <f>IF(ISERROR(ROUND(1-主营收支!D31/主营收支!D14,4)),"",ROUND(1-主营收支!D31/主营收支!D14,4))</f>
        <v/>
      </c>
      <c r="E14" s="1173" t="str">
        <f>IF(ISERROR(ROUND(1-主营收支!E31/主营收支!E14,4)),"",ROUND(1-主营收支!E31/主营收支!E14,4))</f>
        <v/>
      </c>
      <c r="F14" s="1173" t="str">
        <f>IF(ISERROR(ROUND(1-主营收支!F31/主营收支!F14,4)),"",ROUND(1-主营收支!F31/主营收支!F14,4))</f>
        <v/>
      </c>
      <c r="G14" s="530"/>
      <c r="H14" s="706"/>
      <c r="I14" s="706"/>
      <c r="J14" s="706"/>
      <c r="K14" s="706"/>
      <c r="L14" s="706"/>
      <c r="M14" s="706"/>
      <c r="N14" s="706"/>
      <c r="O14" s="705"/>
      <c r="P14" s="705"/>
      <c r="Q14" s="705"/>
      <c r="R14" s="705"/>
      <c r="S14" s="705"/>
      <c r="T14" s="705"/>
      <c r="U14" s="705"/>
      <c r="V14" s="705"/>
      <c r="W14" s="705"/>
      <c r="X14" s="705"/>
      <c r="Y14" s="705"/>
      <c r="Z14" s="705"/>
      <c r="AA14" s="705"/>
    </row>
    <row r="15" spans="1:27" ht="17.25" customHeight="1">
      <c r="A15" s="3128"/>
      <c r="B15" s="158" t="s">
        <v>691</v>
      </c>
      <c r="C15" s="1173" t="str">
        <f>IF(ISERROR(ROUND(1-主营收支!C32/主营收支!C15,4)),"",ROUND(1-主营收支!C32/主营收支!C15,4))</f>
        <v/>
      </c>
      <c r="D15" s="1173" t="str">
        <f>IF(ISERROR(ROUND(1-主营收支!D32/主营收支!D15,4)),"",ROUND(1-主营收支!D32/主营收支!D15,4))</f>
        <v/>
      </c>
      <c r="E15" s="1173" t="str">
        <f>IF(ISERROR(ROUND(1-主营收支!E32/主营收支!E15,4)),"",ROUND(1-主营收支!E32/主营收支!E15,4))</f>
        <v/>
      </c>
      <c r="F15" s="1173" t="str">
        <f>IF(ISERROR(ROUND(1-主营收支!F32/主营收支!F15,4)),"",ROUND(1-主营收支!F32/主营收支!F15,4))</f>
        <v/>
      </c>
      <c r="G15" s="530"/>
      <c r="H15" s="706"/>
      <c r="I15" s="706"/>
      <c r="J15" s="706"/>
      <c r="K15" s="706"/>
      <c r="L15" s="706"/>
      <c r="M15" s="706"/>
      <c r="N15" s="706"/>
      <c r="O15" s="705"/>
      <c r="P15" s="705"/>
      <c r="Q15" s="705"/>
      <c r="R15" s="705"/>
      <c r="S15" s="705"/>
      <c r="T15" s="705"/>
      <c r="U15" s="705"/>
      <c r="V15" s="705"/>
      <c r="W15" s="705"/>
      <c r="X15" s="705"/>
      <c r="Y15" s="705"/>
      <c r="Z15" s="705"/>
      <c r="AA15" s="705"/>
    </row>
    <row r="16" spans="1:27" ht="17.25" customHeight="1">
      <c r="A16" s="3128"/>
      <c r="B16" s="158" t="s">
        <v>694</v>
      </c>
      <c r="C16" s="1173" t="str">
        <f>IF(ISERROR(ROUND(1-主营收支!C33/主营收支!C16,4)),"",ROUND(1-主营收支!C33/主营收支!C16,4))</f>
        <v/>
      </c>
      <c r="D16" s="1173" t="str">
        <f>IF(ISERROR(ROUND(1-主营收支!D33/主营收支!D16,4)),"",ROUND(1-主营收支!D33/主营收支!D16,4))</f>
        <v/>
      </c>
      <c r="E16" s="1173" t="str">
        <f>IF(ISERROR(ROUND(1-主营收支!E33/主营收支!E16,4)),"",ROUND(1-主营收支!E33/主营收支!E16,4))</f>
        <v/>
      </c>
      <c r="F16" s="1173" t="str">
        <f>IF(ISERROR(ROUND(1-主营收支!F33/主营收支!F16,4)),"",ROUND(1-主营收支!F33/主营收支!F16,4))</f>
        <v/>
      </c>
      <c r="G16" s="530"/>
      <c r="H16" s="706"/>
      <c r="I16" s="706"/>
      <c r="J16" s="706"/>
      <c r="K16" s="706"/>
      <c r="L16" s="706"/>
      <c r="M16" s="706"/>
      <c r="N16" s="706"/>
      <c r="O16" s="705"/>
      <c r="P16" s="705"/>
      <c r="Q16" s="705"/>
      <c r="R16" s="705"/>
      <c r="S16" s="705"/>
      <c r="T16" s="705"/>
      <c r="U16" s="705"/>
      <c r="V16" s="705"/>
      <c r="W16" s="705"/>
      <c r="X16" s="705"/>
      <c r="Y16" s="705"/>
      <c r="Z16" s="705"/>
      <c r="AA16" s="705"/>
    </row>
    <row r="17" spans="1:27" ht="17.25" customHeight="1">
      <c r="A17" s="3128"/>
      <c r="B17" s="821" t="s">
        <v>977</v>
      </c>
      <c r="C17" s="1173" t="str">
        <f>IF(ISERROR(ROUND(1-主营收支!C34/主营收支!C17,4)),"",ROUND(1-主营收支!C34/主营收支!C17,4))</f>
        <v/>
      </c>
      <c r="D17" s="1173" t="str">
        <f>IF(ISERROR(ROUND(1-主营收支!D34/主营收支!D17,4)),"",ROUND(1-主营收支!D34/主营收支!D17,4))</f>
        <v/>
      </c>
      <c r="E17" s="1173" t="str">
        <f>IF(ISERROR(ROUND(1-主营收支!E34/主营收支!E17,4)),"",ROUND(1-主营收支!E34/主营收支!E17,4))</f>
        <v/>
      </c>
      <c r="F17" s="1173" t="str">
        <f>IF(ISERROR(ROUND(1-主营收支!F34/主营收支!F17,4)),"",ROUND(1-主营收支!F34/主营收支!F17,4))</f>
        <v/>
      </c>
      <c r="G17" s="530"/>
      <c r="H17" s="706"/>
      <c r="I17" s="706"/>
      <c r="J17" s="706"/>
      <c r="K17" s="706"/>
      <c r="L17" s="706"/>
      <c r="M17" s="706"/>
      <c r="N17" s="706"/>
      <c r="O17" s="705"/>
      <c r="P17" s="705"/>
      <c r="Q17" s="705"/>
      <c r="R17" s="705"/>
      <c r="S17" s="705"/>
      <c r="T17" s="705"/>
      <c r="U17" s="705"/>
      <c r="V17" s="705"/>
      <c r="W17" s="705"/>
      <c r="X17" s="705"/>
      <c r="Y17" s="705"/>
      <c r="Z17" s="705"/>
      <c r="AA17" s="705"/>
    </row>
    <row r="18" spans="1:27" ht="17.25" customHeight="1">
      <c r="A18" s="3128"/>
      <c r="B18" s="822" t="s">
        <v>978</v>
      </c>
      <c r="C18" s="1173" t="str">
        <f>IF(ISERROR(ROUND(1-主营收支!C35/主营收支!C18,4)),"",ROUND(1-主营收支!C35/主营收支!C18,4))</f>
        <v/>
      </c>
      <c r="D18" s="1173" t="str">
        <f>IF(ISERROR(ROUND(1-主营收支!D35/主营收支!D18,4)),"",ROUND(1-主营收支!D35/主营收支!D18,4))</f>
        <v/>
      </c>
      <c r="E18" s="1173" t="str">
        <f>IF(ISERROR(ROUND(1-主营收支!E35/主营收支!E18,4)),"",ROUND(1-主营收支!E35/主营收支!E18,4))</f>
        <v/>
      </c>
      <c r="F18" s="1173" t="str">
        <f>IF(ISERROR(ROUND(1-主营收支!F35/主营收支!F18,4)),"",ROUND(1-主营收支!F35/主营收支!F18,4))</f>
        <v/>
      </c>
      <c r="G18" s="530"/>
      <c r="H18" s="706"/>
      <c r="I18" s="706"/>
      <c r="J18" s="706"/>
      <c r="K18" s="706"/>
      <c r="L18" s="706"/>
      <c r="M18" s="706"/>
      <c r="N18" s="706"/>
      <c r="O18" s="705"/>
      <c r="P18" s="705"/>
      <c r="Q18" s="705"/>
      <c r="R18" s="705"/>
      <c r="S18" s="705"/>
      <c r="T18" s="705"/>
      <c r="U18" s="705"/>
      <c r="V18" s="705"/>
      <c r="W18" s="705"/>
      <c r="X18" s="705"/>
      <c r="Y18" s="705"/>
      <c r="Z18" s="705"/>
      <c r="AA18" s="705"/>
    </row>
    <row r="19" spans="1:27" ht="17.25" customHeight="1">
      <c r="A19" s="3128"/>
      <c r="B19" s="822" t="s">
        <v>979</v>
      </c>
      <c r="C19" s="1173" t="str">
        <f>IF(ISERROR(ROUND(1-主营收支!C36/主营收支!C19,4)),"",ROUND(1-主营收支!C36/主营收支!C19,4))</f>
        <v/>
      </c>
      <c r="D19" s="1173" t="str">
        <f>IF(ISERROR(ROUND(1-主营收支!D36/主营收支!D19,4)),"",ROUND(1-主营收支!D36/主营收支!D19,4))</f>
        <v/>
      </c>
      <c r="E19" s="1173" t="str">
        <f>IF(ISERROR(ROUND(1-主营收支!E36/主营收支!E19,4)),"",ROUND(1-主营收支!E36/主营收支!E19,4))</f>
        <v/>
      </c>
      <c r="F19" s="1173" t="str">
        <f>IF(ISERROR(ROUND(1-主营收支!F36/主营收支!F19,4)),"",ROUND(1-主营收支!F36/主营收支!F19,4))</f>
        <v/>
      </c>
      <c r="G19" s="530"/>
      <c r="H19" s="706"/>
      <c r="I19" s="706"/>
      <c r="J19" s="706"/>
      <c r="K19" s="706"/>
      <c r="L19" s="706"/>
      <c r="M19" s="706"/>
      <c r="N19" s="706"/>
      <c r="O19" s="705"/>
      <c r="P19" s="705"/>
      <c r="Q19" s="705"/>
      <c r="R19" s="705"/>
      <c r="S19" s="705"/>
      <c r="T19" s="705"/>
      <c r="U19" s="705"/>
      <c r="V19" s="705"/>
      <c r="W19" s="705"/>
      <c r="X19" s="705"/>
      <c r="Y19" s="705"/>
      <c r="Z19" s="705"/>
      <c r="AA19" s="705"/>
    </row>
    <row r="20" spans="1:27" ht="17.25" customHeight="1">
      <c r="A20" s="3128"/>
      <c r="B20" s="158" t="s">
        <v>1149</v>
      </c>
      <c r="C20" s="1174" t="str">
        <f>IF(ISERROR(ROUND(1-主营收支!C37/主营收支!C20,4)),"",ROUND(1-主营收支!C37/主营收支!C20,4))</f>
        <v/>
      </c>
      <c r="D20" s="1174" t="str">
        <f>IF(ISERROR(ROUND(1-主营收支!D37/主营收支!D20,4)),"",ROUND(1-主营收支!D37/主营收支!D20,4))</f>
        <v/>
      </c>
      <c r="E20" s="1174" t="str">
        <f>IF(ISERROR(ROUND(1-主营收支!E37/主营收支!E20,4)),"",ROUND(1-主营收支!E37/主营收支!E20,4))</f>
        <v/>
      </c>
      <c r="F20" s="1174" t="str">
        <f>IF(ISERROR(ROUND(1-主营收支!F37/主营收支!F20,4)),"",ROUND(1-主营收支!F37/主营收支!F20,4))</f>
        <v/>
      </c>
      <c r="G20" s="776"/>
      <c r="H20" s="706"/>
      <c r="I20" s="706"/>
      <c r="J20" s="706"/>
      <c r="K20" s="706"/>
      <c r="L20" s="706"/>
      <c r="M20" s="706"/>
      <c r="N20" s="706"/>
      <c r="O20" s="705"/>
      <c r="P20" s="705"/>
      <c r="Q20" s="705"/>
      <c r="R20" s="705"/>
      <c r="S20" s="705"/>
      <c r="T20" s="705"/>
      <c r="U20" s="705"/>
      <c r="V20" s="705"/>
      <c r="W20" s="705"/>
      <c r="X20" s="705"/>
      <c r="Y20" s="705"/>
      <c r="Z20" s="705"/>
      <c r="AA20" s="705"/>
    </row>
    <row r="21" spans="1:27" ht="24" customHeight="1">
      <c r="A21" s="3128" t="s">
        <v>666</v>
      </c>
      <c r="B21" s="3128"/>
      <c r="C21" s="742" t="s">
        <v>1150</v>
      </c>
      <c r="D21" s="742"/>
      <c r="E21" s="742"/>
      <c r="F21" s="742"/>
      <c r="G21" s="772" t="s">
        <v>456</v>
      </c>
      <c r="H21" s="706"/>
      <c r="I21" s="706"/>
      <c r="J21" s="706"/>
      <c r="K21" s="706"/>
      <c r="L21" s="706"/>
      <c r="M21" s="706"/>
      <c r="N21" s="706"/>
      <c r="O21" s="705"/>
      <c r="P21" s="705"/>
      <c r="Q21" s="705"/>
      <c r="R21" s="705"/>
      <c r="S21" s="705"/>
      <c r="T21" s="705"/>
      <c r="U21" s="705"/>
      <c r="V21" s="705"/>
      <c r="W21" s="705"/>
      <c r="X21" s="705"/>
      <c r="Y21" s="705"/>
      <c r="Z21" s="705"/>
      <c r="AA21" s="705"/>
    </row>
    <row r="22" spans="1:27" ht="17.25" customHeight="1">
      <c r="A22" s="3128" t="s">
        <v>1151</v>
      </c>
      <c r="B22" s="136" t="s">
        <v>1152</v>
      </c>
      <c r="C22" s="1175"/>
      <c r="D22" s="1175"/>
      <c r="E22" s="1175"/>
      <c r="F22" s="1175"/>
      <c r="G22" s="843"/>
      <c r="H22" s="706"/>
      <c r="I22" s="706"/>
      <c r="J22" s="706"/>
      <c r="K22" s="706"/>
      <c r="L22" s="706"/>
      <c r="M22" s="706"/>
      <c r="N22" s="706"/>
      <c r="O22" s="705"/>
      <c r="P22" s="705"/>
      <c r="Q22" s="705"/>
      <c r="R22" s="705"/>
      <c r="S22" s="705"/>
      <c r="T22" s="705"/>
      <c r="U22" s="705"/>
      <c r="V22" s="705"/>
      <c r="W22" s="705"/>
      <c r="X22" s="705"/>
      <c r="Y22" s="705"/>
      <c r="Z22" s="705"/>
      <c r="AA22" s="705"/>
    </row>
    <row r="23" spans="1:27" ht="17.25" customHeight="1">
      <c r="A23" s="3128"/>
      <c r="B23" s="822"/>
      <c r="C23" s="1110"/>
      <c r="D23" s="1110"/>
      <c r="E23" s="1110"/>
      <c r="F23" s="1110"/>
      <c r="G23" s="530"/>
      <c r="H23" s="706"/>
      <c r="I23" s="706"/>
      <c r="J23" s="706"/>
      <c r="K23" s="706"/>
      <c r="L23" s="706"/>
      <c r="M23" s="706"/>
      <c r="N23" s="706"/>
      <c r="O23" s="705"/>
      <c r="P23" s="705"/>
      <c r="Q23" s="705"/>
      <c r="R23" s="705"/>
      <c r="S23" s="705"/>
      <c r="T23" s="705"/>
      <c r="U23" s="705"/>
      <c r="V23" s="705"/>
      <c r="W23" s="705"/>
      <c r="X23" s="705"/>
      <c r="Y23" s="705"/>
      <c r="Z23" s="705"/>
      <c r="AA23" s="705"/>
    </row>
    <row r="24" spans="1:27" ht="17.25" customHeight="1">
      <c r="A24" s="3128"/>
      <c r="B24" s="822"/>
      <c r="C24" s="1110"/>
      <c r="D24" s="1110"/>
      <c r="E24" s="1110"/>
      <c r="F24" s="1110"/>
      <c r="G24" s="530"/>
      <c r="H24" s="706"/>
      <c r="I24" s="706"/>
      <c r="J24" s="706"/>
      <c r="K24" s="706"/>
      <c r="L24" s="706"/>
      <c r="M24" s="706"/>
      <c r="N24" s="706"/>
      <c r="O24" s="705"/>
      <c r="P24" s="705"/>
      <c r="Q24" s="705"/>
      <c r="R24" s="705"/>
      <c r="S24" s="705"/>
      <c r="T24" s="705"/>
      <c r="U24" s="705"/>
      <c r="V24" s="705"/>
      <c r="W24" s="705"/>
      <c r="X24" s="705"/>
      <c r="Y24" s="705"/>
      <c r="Z24" s="705"/>
      <c r="AA24" s="705"/>
    </row>
    <row r="25" spans="1:27" ht="17.25" customHeight="1">
      <c r="A25" s="3128"/>
      <c r="B25" s="822"/>
      <c r="C25" s="1110"/>
      <c r="D25" s="1110"/>
      <c r="E25" s="1110"/>
      <c r="F25" s="1110"/>
      <c r="G25" s="530"/>
      <c r="H25" s="706"/>
      <c r="I25" s="706"/>
      <c r="J25" s="706"/>
      <c r="K25" s="706"/>
      <c r="L25" s="706"/>
      <c r="M25" s="706"/>
      <c r="N25" s="706"/>
      <c r="O25" s="705"/>
      <c r="P25" s="705"/>
      <c r="Q25" s="705"/>
      <c r="R25" s="705"/>
      <c r="S25" s="705"/>
      <c r="T25" s="705"/>
      <c r="U25" s="705"/>
      <c r="V25" s="705"/>
      <c r="W25" s="705"/>
      <c r="X25" s="705"/>
      <c r="Y25" s="705"/>
      <c r="Z25" s="705"/>
      <c r="AA25" s="705"/>
    </row>
    <row r="26" spans="1:27" ht="17.25" customHeight="1">
      <c r="A26" s="3128"/>
      <c r="B26" s="822"/>
      <c r="C26" s="1110"/>
      <c r="D26" s="1110"/>
      <c r="E26" s="1110"/>
      <c r="F26" s="1110"/>
      <c r="G26" s="530"/>
      <c r="H26" s="706"/>
      <c r="I26" s="706"/>
      <c r="J26" s="706"/>
      <c r="K26" s="706"/>
      <c r="L26" s="706"/>
      <c r="M26" s="706"/>
      <c r="N26" s="706"/>
      <c r="O26" s="705"/>
      <c r="P26" s="705"/>
      <c r="Q26" s="705"/>
      <c r="R26" s="705"/>
      <c r="S26" s="705"/>
      <c r="T26" s="705"/>
      <c r="U26" s="705"/>
      <c r="V26" s="705"/>
      <c r="W26" s="705"/>
      <c r="X26" s="705"/>
      <c r="Y26" s="705"/>
      <c r="Z26" s="705"/>
      <c r="AA26" s="705"/>
    </row>
    <row r="27" spans="1:27" ht="17.25" customHeight="1">
      <c r="A27" s="3128"/>
      <c r="B27" s="822"/>
      <c r="C27" s="1110"/>
      <c r="D27" s="1110"/>
      <c r="E27" s="1110"/>
      <c r="F27" s="1110"/>
      <c r="G27" s="530"/>
      <c r="H27" s="706"/>
      <c r="I27" s="706"/>
      <c r="J27" s="706"/>
      <c r="K27" s="706"/>
      <c r="L27" s="706"/>
      <c r="M27" s="706"/>
      <c r="N27" s="706"/>
      <c r="O27" s="705"/>
      <c r="P27" s="705"/>
      <c r="Q27" s="705"/>
      <c r="R27" s="705"/>
      <c r="S27" s="705"/>
      <c r="T27" s="705"/>
      <c r="U27" s="705"/>
      <c r="V27" s="705"/>
      <c r="W27" s="705"/>
      <c r="X27" s="705"/>
      <c r="Y27" s="705"/>
      <c r="Z27" s="705"/>
      <c r="AA27" s="705"/>
    </row>
    <row r="28" spans="1:27" ht="17.25" customHeight="1">
      <c r="A28" s="3128"/>
      <c r="B28" s="822"/>
      <c r="C28" s="1110"/>
      <c r="D28" s="1110"/>
      <c r="E28" s="1110"/>
      <c r="F28" s="1110"/>
      <c r="G28" s="530"/>
      <c r="H28" s="706"/>
      <c r="I28" s="706"/>
      <c r="J28" s="706"/>
      <c r="K28" s="706"/>
      <c r="L28" s="706"/>
      <c r="M28" s="706"/>
      <c r="N28" s="706"/>
      <c r="O28" s="705"/>
      <c r="P28" s="705"/>
      <c r="Q28" s="705"/>
      <c r="R28" s="705"/>
      <c r="S28" s="705"/>
      <c r="T28" s="705"/>
      <c r="U28" s="705"/>
      <c r="V28" s="705"/>
      <c r="W28" s="705"/>
      <c r="X28" s="705"/>
      <c r="Y28" s="705"/>
      <c r="Z28" s="705"/>
      <c r="AA28" s="705"/>
    </row>
    <row r="29" spans="1:27" ht="17.25" customHeight="1">
      <c r="A29" s="3128"/>
      <c r="B29" s="822"/>
      <c r="C29" s="1110"/>
      <c r="D29" s="1110"/>
      <c r="E29" s="1110"/>
      <c r="F29" s="1110"/>
      <c r="G29" s="530"/>
      <c r="H29" s="706"/>
      <c r="I29" s="706"/>
      <c r="J29" s="706"/>
      <c r="K29" s="706"/>
      <c r="L29" s="706"/>
      <c r="M29" s="706"/>
      <c r="N29" s="706"/>
      <c r="O29" s="705"/>
      <c r="P29" s="705"/>
      <c r="Q29" s="705"/>
      <c r="R29" s="705"/>
      <c r="S29" s="705"/>
      <c r="T29" s="705"/>
      <c r="U29" s="705"/>
      <c r="V29" s="705"/>
      <c r="W29" s="705"/>
      <c r="X29" s="705"/>
      <c r="Y29" s="705"/>
      <c r="Z29" s="705"/>
      <c r="AA29" s="705"/>
    </row>
    <row r="30" spans="1:27" ht="17.25" customHeight="1">
      <c r="A30" s="3128"/>
      <c r="B30" s="822"/>
      <c r="C30" s="1110"/>
      <c r="D30" s="1110"/>
      <c r="E30" s="1110"/>
      <c r="F30" s="1110"/>
      <c r="G30" s="530"/>
      <c r="H30" s="706"/>
      <c r="I30" s="706"/>
      <c r="J30" s="706"/>
      <c r="K30" s="706"/>
      <c r="L30" s="706"/>
      <c r="M30" s="706"/>
      <c r="N30" s="706"/>
      <c r="O30" s="705"/>
      <c r="P30" s="705"/>
      <c r="Q30" s="705"/>
      <c r="R30" s="705"/>
      <c r="S30" s="705"/>
      <c r="T30" s="705"/>
      <c r="U30" s="705"/>
      <c r="V30" s="705"/>
      <c r="W30" s="705"/>
      <c r="X30" s="705"/>
      <c r="Y30" s="705"/>
      <c r="Z30" s="705"/>
      <c r="AA30" s="705"/>
    </row>
    <row r="31" spans="1:27" ht="17.25" customHeight="1">
      <c r="A31" s="3128"/>
      <c r="B31" s="821"/>
      <c r="C31" s="1110"/>
      <c r="D31" s="1110"/>
      <c r="E31" s="1110"/>
      <c r="F31" s="1110"/>
      <c r="G31" s="530"/>
      <c r="H31" s="706"/>
      <c r="I31" s="706"/>
      <c r="J31" s="706"/>
      <c r="K31" s="706"/>
      <c r="L31" s="706"/>
      <c r="M31" s="706"/>
      <c r="N31" s="706"/>
      <c r="O31" s="705"/>
      <c r="P31" s="705"/>
      <c r="Q31" s="705"/>
      <c r="R31" s="705"/>
      <c r="S31" s="705"/>
      <c r="T31" s="705"/>
      <c r="U31" s="705"/>
      <c r="V31" s="705"/>
      <c r="W31" s="705"/>
      <c r="X31" s="705"/>
      <c r="Y31" s="705"/>
      <c r="Z31" s="705"/>
      <c r="AA31" s="705"/>
    </row>
    <row r="32" spans="1:27" ht="17.25" customHeight="1">
      <c r="A32" s="3128"/>
      <c r="B32" s="822"/>
      <c r="C32" s="1110"/>
      <c r="D32" s="1110"/>
      <c r="E32" s="1110"/>
      <c r="F32" s="1110"/>
      <c r="G32" s="530"/>
      <c r="H32" s="706"/>
      <c r="I32" s="706"/>
      <c r="J32" s="706"/>
      <c r="K32" s="706"/>
      <c r="L32" s="706"/>
      <c r="M32" s="706"/>
      <c r="N32" s="706"/>
      <c r="O32" s="705"/>
      <c r="P32" s="705"/>
      <c r="Q32" s="705"/>
      <c r="R32" s="705"/>
      <c r="S32" s="705"/>
      <c r="T32" s="705"/>
      <c r="U32" s="705"/>
      <c r="V32" s="705"/>
      <c r="W32" s="705"/>
      <c r="X32" s="705"/>
      <c r="Y32" s="705"/>
      <c r="Z32" s="705"/>
      <c r="AA32" s="705"/>
    </row>
    <row r="33" spans="1:27" ht="17.25" customHeight="1">
      <c r="A33" s="3128"/>
      <c r="B33" s="822"/>
      <c r="C33" s="1110"/>
      <c r="D33" s="1110"/>
      <c r="E33" s="1110"/>
      <c r="F33" s="1110"/>
      <c r="G33" s="530"/>
      <c r="H33" s="706"/>
      <c r="I33" s="706"/>
      <c r="J33" s="706"/>
      <c r="K33" s="706"/>
      <c r="L33" s="706"/>
      <c r="M33" s="706"/>
      <c r="N33" s="706"/>
      <c r="O33" s="705"/>
      <c r="P33" s="705"/>
      <c r="Q33" s="705"/>
      <c r="R33" s="705"/>
      <c r="S33" s="705"/>
      <c r="T33" s="705"/>
      <c r="U33" s="705"/>
      <c r="V33" s="705"/>
      <c r="W33" s="705"/>
      <c r="X33" s="705"/>
      <c r="Y33" s="705"/>
      <c r="Z33" s="705"/>
      <c r="AA33" s="705"/>
    </row>
    <row r="34" spans="1:27" ht="24" customHeight="1">
      <c r="A34" s="3128"/>
      <c r="B34" s="158" t="s">
        <v>1281</v>
      </c>
      <c r="C34" s="525">
        <f>SUM(C22:C33)</f>
        <v>0</v>
      </c>
      <c r="D34" s="525">
        <f>SUM(D22:D33)</f>
        <v>0</v>
      </c>
      <c r="E34" s="525">
        <f>SUM(E22:E33)</f>
        <v>0</v>
      </c>
      <c r="F34" s="525">
        <f>SUM(F22:F33)</f>
        <v>0</v>
      </c>
      <c r="G34" s="844"/>
      <c r="H34" s="706"/>
      <c r="I34" s="706"/>
      <c r="J34" s="706"/>
      <c r="K34" s="706"/>
      <c r="L34" s="706"/>
      <c r="M34" s="706"/>
      <c r="N34" s="706"/>
      <c r="O34" s="705"/>
      <c r="P34" s="705"/>
      <c r="Q34" s="705"/>
      <c r="R34" s="705"/>
      <c r="S34" s="705"/>
      <c r="T34" s="705"/>
      <c r="U34" s="705"/>
      <c r="V34" s="705"/>
      <c r="W34" s="705"/>
      <c r="X34" s="705"/>
      <c r="Y34" s="705"/>
      <c r="Z34" s="705"/>
      <c r="AA34" s="705"/>
    </row>
    <row r="35" spans="1:27" ht="14.25" customHeight="1">
      <c r="A35" s="3128" t="s">
        <v>1153</v>
      </c>
      <c r="B35" s="3128"/>
      <c r="C35" s="3529"/>
      <c r="D35" s="3529"/>
      <c r="E35" s="3529"/>
      <c r="F35" s="3529"/>
      <c r="G35" s="3529"/>
      <c r="H35" s="706"/>
      <c r="I35" s="706"/>
      <c r="J35" s="706"/>
      <c r="K35" s="706"/>
      <c r="L35" s="706"/>
      <c r="M35" s="706"/>
      <c r="N35" s="706"/>
      <c r="O35" s="705"/>
      <c r="P35" s="705"/>
      <c r="Q35" s="705"/>
      <c r="R35" s="705"/>
      <c r="S35" s="705"/>
      <c r="T35" s="705"/>
      <c r="U35" s="705"/>
      <c r="V35" s="705"/>
      <c r="W35" s="705"/>
      <c r="X35" s="705"/>
      <c r="Y35" s="705"/>
      <c r="Z35" s="705"/>
      <c r="AA35" s="705"/>
    </row>
    <row r="36" spans="1:27">
      <c r="A36" s="3128"/>
      <c r="B36" s="3128"/>
      <c r="C36" s="3530"/>
      <c r="D36" s="3530"/>
      <c r="E36" s="3530"/>
      <c r="F36" s="3530"/>
      <c r="G36" s="3530"/>
      <c r="H36" s="706"/>
      <c r="I36" s="706"/>
      <c r="J36" s="706"/>
      <c r="K36" s="706"/>
      <c r="L36" s="706"/>
      <c r="M36" s="706"/>
      <c r="N36" s="706"/>
      <c r="O36" s="705"/>
      <c r="P36" s="705"/>
      <c r="Q36" s="705"/>
      <c r="R36" s="705"/>
      <c r="S36" s="705"/>
      <c r="T36" s="705"/>
      <c r="U36" s="705"/>
      <c r="V36" s="705"/>
      <c r="W36" s="705"/>
      <c r="X36" s="705"/>
      <c r="Y36" s="705"/>
      <c r="Z36" s="705"/>
      <c r="AA36" s="705"/>
    </row>
    <row r="37" spans="1:27">
      <c r="A37" s="3128"/>
      <c r="B37" s="3128"/>
      <c r="C37" s="3531"/>
      <c r="D37" s="3531"/>
      <c r="E37" s="3531"/>
      <c r="F37" s="3531"/>
      <c r="G37" s="3531"/>
      <c r="H37" s="706"/>
      <c r="I37" s="706"/>
      <c r="J37" s="706"/>
      <c r="K37" s="706"/>
      <c r="L37" s="706"/>
      <c r="M37" s="706"/>
      <c r="N37" s="706"/>
      <c r="O37" s="705"/>
      <c r="P37" s="705"/>
      <c r="Q37" s="705"/>
      <c r="R37" s="705"/>
      <c r="S37" s="705"/>
      <c r="T37" s="705"/>
      <c r="U37" s="705"/>
      <c r="V37" s="705"/>
      <c r="W37" s="705"/>
      <c r="X37" s="705"/>
      <c r="Y37" s="705"/>
      <c r="Z37" s="705"/>
      <c r="AA37" s="705"/>
    </row>
    <row r="38" spans="1:27">
      <c r="A38" s="3128"/>
      <c r="B38" s="3128"/>
      <c r="C38" s="3530"/>
      <c r="D38" s="3530"/>
      <c r="E38" s="3530"/>
      <c r="F38" s="3530"/>
      <c r="G38" s="3530"/>
      <c r="H38" s="706"/>
      <c r="I38" s="706"/>
      <c r="J38" s="706"/>
      <c r="K38" s="706"/>
      <c r="L38" s="706"/>
      <c r="M38" s="706"/>
      <c r="N38" s="706"/>
      <c r="O38" s="705"/>
      <c r="P38" s="705"/>
      <c r="Q38" s="705"/>
      <c r="R38" s="705"/>
      <c r="S38" s="705"/>
      <c r="T38" s="705"/>
      <c r="U38" s="705"/>
      <c r="V38" s="705"/>
      <c r="W38" s="705"/>
      <c r="X38" s="705"/>
      <c r="Y38" s="705"/>
      <c r="Z38" s="705"/>
      <c r="AA38" s="705"/>
    </row>
    <row r="39" spans="1:27">
      <c r="A39" s="3128"/>
      <c r="B39" s="3128"/>
      <c r="C39" s="3530"/>
      <c r="D39" s="3530"/>
      <c r="E39" s="3530"/>
      <c r="F39" s="3530"/>
      <c r="G39" s="3530"/>
      <c r="H39" s="706"/>
      <c r="I39" s="706"/>
      <c r="J39" s="706"/>
      <c r="K39" s="706"/>
      <c r="L39" s="706"/>
      <c r="M39" s="706"/>
      <c r="N39" s="706"/>
      <c r="O39" s="705"/>
      <c r="P39" s="705"/>
      <c r="Q39" s="705"/>
      <c r="R39" s="705"/>
      <c r="S39" s="705"/>
      <c r="T39" s="705"/>
      <c r="U39" s="705"/>
      <c r="V39" s="705"/>
      <c r="W39" s="705"/>
      <c r="X39" s="705"/>
      <c r="Y39" s="705"/>
      <c r="Z39" s="705"/>
      <c r="AA39" s="705"/>
    </row>
    <row r="40" spans="1:27">
      <c r="A40" s="3128"/>
      <c r="B40" s="3128"/>
      <c r="C40" s="3528"/>
      <c r="D40" s="3528"/>
      <c r="E40" s="3528"/>
      <c r="F40" s="3528"/>
      <c r="G40" s="3528"/>
      <c r="H40" s="706"/>
      <c r="I40" s="706"/>
      <c r="J40" s="706"/>
      <c r="K40" s="706"/>
      <c r="L40" s="706"/>
      <c r="M40" s="706"/>
      <c r="N40" s="706"/>
      <c r="O40" s="705"/>
      <c r="P40" s="705"/>
      <c r="Q40" s="705"/>
      <c r="R40" s="705"/>
      <c r="S40" s="705"/>
      <c r="T40" s="705"/>
      <c r="U40" s="705"/>
      <c r="V40" s="705"/>
      <c r="W40" s="705"/>
      <c r="X40" s="705"/>
      <c r="Y40" s="705"/>
      <c r="Z40" s="705"/>
      <c r="AA40" s="705"/>
    </row>
    <row r="41" spans="1:27">
      <c r="A41" s="706"/>
      <c r="B41" s="706"/>
      <c r="C41" s="706"/>
      <c r="D41" s="706"/>
      <c r="E41" s="706"/>
      <c r="F41" s="706"/>
      <c r="G41" s="706"/>
      <c r="H41" s="706"/>
      <c r="I41" s="706"/>
      <c r="J41" s="706"/>
      <c r="K41" s="706"/>
      <c r="L41" s="706"/>
      <c r="M41" s="706"/>
      <c r="N41" s="706"/>
      <c r="O41" s="705"/>
      <c r="P41" s="705"/>
      <c r="Q41" s="705"/>
      <c r="R41" s="705"/>
      <c r="S41" s="705"/>
      <c r="T41" s="705"/>
      <c r="U41" s="705"/>
      <c r="V41" s="705"/>
      <c r="W41" s="705"/>
      <c r="X41" s="705"/>
      <c r="Y41" s="705"/>
      <c r="Z41" s="705"/>
      <c r="AA41" s="705"/>
    </row>
    <row r="42" spans="1:27">
      <c r="A42" s="706"/>
      <c r="B42" s="706"/>
      <c r="C42" s="706"/>
      <c r="D42" s="706"/>
      <c r="E42" s="706"/>
      <c r="F42" s="706"/>
      <c r="G42" s="706"/>
      <c r="H42" s="706"/>
      <c r="I42" s="706"/>
      <c r="J42" s="706"/>
      <c r="K42" s="706"/>
      <c r="L42" s="706"/>
      <c r="M42" s="706"/>
      <c r="N42" s="706"/>
      <c r="O42" s="705"/>
      <c r="P42" s="705"/>
      <c r="Q42" s="705"/>
      <c r="R42" s="705"/>
      <c r="S42" s="705"/>
      <c r="T42" s="705"/>
      <c r="U42" s="705"/>
      <c r="V42" s="705"/>
      <c r="W42" s="705"/>
      <c r="X42" s="705"/>
      <c r="Y42" s="705"/>
      <c r="Z42" s="705"/>
      <c r="AA42" s="705"/>
    </row>
    <row r="43" spans="1:27">
      <c r="A43" s="706"/>
      <c r="B43" s="706"/>
      <c r="C43" s="706"/>
      <c r="D43" s="706"/>
      <c r="E43" s="706"/>
      <c r="F43" s="706"/>
      <c r="G43" s="706"/>
      <c r="H43" s="706"/>
      <c r="I43" s="706"/>
      <c r="J43" s="706"/>
      <c r="K43" s="706"/>
      <c r="L43" s="706"/>
      <c r="M43" s="706"/>
      <c r="N43" s="706"/>
      <c r="O43" s="705"/>
      <c r="P43" s="705"/>
      <c r="Q43" s="705"/>
      <c r="R43" s="705"/>
      <c r="S43" s="705"/>
      <c r="T43" s="705"/>
      <c r="U43" s="705"/>
      <c r="V43" s="705"/>
      <c r="W43" s="705"/>
      <c r="X43" s="705"/>
      <c r="Y43" s="705"/>
      <c r="Z43" s="705"/>
      <c r="AA43" s="705"/>
    </row>
    <row r="44" spans="1:27">
      <c r="A44" s="706"/>
      <c r="B44" s="706"/>
      <c r="C44" s="706"/>
      <c r="D44" s="706"/>
      <c r="E44" s="706"/>
      <c r="F44" s="706"/>
      <c r="G44" s="706"/>
      <c r="H44" s="706"/>
      <c r="I44" s="706"/>
      <c r="J44" s="706"/>
      <c r="K44" s="706"/>
      <c r="L44" s="706"/>
      <c r="M44" s="706"/>
      <c r="N44" s="706"/>
      <c r="O44" s="705"/>
      <c r="P44" s="705"/>
      <c r="Q44" s="705"/>
      <c r="R44" s="705"/>
      <c r="S44" s="705"/>
      <c r="T44" s="705"/>
      <c r="U44" s="705"/>
      <c r="V44" s="705"/>
      <c r="W44" s="705"/>
      <c r="X44" s="705"/>
      <c r="Y44" s="705"/>
      <c r="Z44" s="705"/>
      <c r="AA44" s="705"/>
    </row>
    <row r="45" spans="1:27">
      <c r="A45" s="706"/>
      <c r="B45" s="706"/>
      <c r="C45" s="706"/>
      <c r="D45" s="706"/>
      <c r="E45" s="706"/>
      <c r="F45" s="706"/>
      <c r="G45" s="706"/>
      <c r="H45" s="706"/>
      <c r="I45" s="706"/>
      <c r="J45" s="706"/>
      <c r="K45" s="706"/>
      <c r="L45" s="706"/>
      <c r="M45" s="706"/>
      <c r="N45" s="706"/>
      <c r="O45" s="705"/>
      <c r="P45" s="705"/>
      <c r="Q45" s="705"/>
      <c r="R45" s="705"/>
      <c r="S45" s="705"/>
      <c r="T45" s="705"/>
      <c r="U45" s="705"/>
      <c r="V45" s="705"/>
      <c r="W45" s="705"/>
      <c r="X45" s="705"/>
      <c r="Y45" s="705"/>
      <c r="Z45" s="705"/>
      <c r="AA45" s="705"/>
    </row>
    <row r="46" spans="1:27">
      <c r="A46" s="706"/>
      <c r="B46" s="706"/>
      <c r="C46" s="706"/>
      <c r="D46" s="706"/>
      <c r="E46" s="706"/>
      <c r="F46" s="706"/>
      <c r="G46" s="706"/>
      <c r="H46" s="706"/>
      <c r="I46" s="706"/>
      <c r="J46" s="706"/>
      <c r="K46" s="706"/>
      <c r="L46" s="706"/>
      <c r="M46" s="706"/>
      <c r="N46" s="706"/>
      <c r="O46" s="705"/>
      <c r="P46" s="705"/>
      <c r="Q46" s="705"/>
      <c r="R46" s="705"/>
      <c r="S46" s="705"/>
      <c r="T46" s="705"/>
      <c r="U46" s="705"/>
      <c r="V46" s="705"/>
      <c r="W46" s="705"/>
      <c r="X46" s="705"/>
      <c r="Y46" s="705"/>
      <c r="Z46" s="705"/>
      <c r="AA46" s="705"/>
    </row>
    <row r="47" spans="1:27">
      <c r="A47" s="706"/>
      <c r="B47" s="706"/>
      <c r="C47" s="706"/>
      <c r="D47" s="706"/>
      <c r="E47" s="706"/>
      <c r="F47" s="706"/>
      <c r="G47" s="706"/>
      <c r="H47" s="706"/>
      <c r="I47" s="706"/>
      <c r="J47" s="706"/>
      <c r="K47" s="706"/>
      <c r="L47" s="706"/>
      <c r="M47" s="706"/>
      <c r="N47" s="706"/>
      <c r="O47" s="705"/>
      <c r="P47" s="705"/>
      <c r="Q47" s="705"/>
      <c r="R47" s="705"/>
      <c r="S47" s="705"/>
      <c r="T47" s="705"/>
      <c r="U47" s="705"/>
      <c r="V47" s="705"/>
      <c r="W47" s="705"/>
      <c r="X47" s="705"/>
      <c r="Y47" s="705"/>
      <c r="Z47" s="705"/>
      <c r="AA47" s="705"/>
    </row>
    <row r="48" spans="1:27">
      <c r="A48" s="706"/>
      <c r="B48" s="706"/>
      <c r="C48" s="706"/>
      <c r="D48" s="706"/>
      <c r="E48" s="706"/>
      <c r="F48" s="706"/>
      <c r="G48" s="706"/>
      <c r="H48" s="706"/>
      <c r="I48" s="706"/>
      <c r="J48" s="706"/>
      <c r="K48" s="706"/>
      <c r="L48" s="706"/>
      <c r="M48" s="706"/>
      <c r="N48" s="706"/>
      <c r="O48" s="705"/>
      <c r="P48" s="705"/>
      <c r="Q48" s="705"/>
      <c r="R48" s="705"/>
      <c r="S48" s="705"/>
      <c r="T48" s="705"/>
      <c r="U48" s="705"/>
      <c r="V48" s="705"/>
      <c r="W48" s="705"/>
      <c r="X48" s="705"/>
      <c r="Y48" s="705"/>
      <c r="Z48" s="705"/>
      <c r="AA48" s="705"/>
    </row>
    <row r="49" spans="1:27">
      <c r="A49" s="706"/>
      <c r="B49" s="706"/>
      <c r="C49" s="706"/>
      <c r="D49" s="706"/>
      <c r="E49" s="706"/>
      <c r="F49" s="706"/>
      <c r="G49" s="706"/>
      <c r="H49" s="706"/>
      <c r="I49" s="706"/>
      <c r="J49" s="706"/>
      <c r="K49" s="706"/>
      <c r="L49" s="706"/>
      <c r="M49" s="706"/>
      <c r="N49" s="706"/>
      <c r="O49" s="705"/>
      <c r="P49" s="705"/>
      <c r="Q49" s="705"/>
      <c r="R49" s="705"/>
      <c r="S49" s="705"/>
      <c r="T49" s="705"/>
      <c r="U49" s="705"/>
      <c r="V49" s="705"/>
      <c r="W49" s="705"/>
      <c r="X49" s="705"/>
      <c r="Y49" s="705"/>
      <c r="Z49" s="705"/>
      <c r="AA49" s="705"/>
    </row>
    <row r="50" spans="1:27">
      <c r="A50" s="706"/>
      <c r="B50" s="706"/>
      <c r="C50" s="706"/>
      <c r="D50" s="706"/>
      <c r="E50" s="706"/>
      <c r="F50" s="706"/>
      <c r="G50" s="706"/>
      <c r="H50" s="706"/>
      <c r="I50" s="706"/>
      <c r="J50" s="706"/>
      <c r="K50" s="706"/>
      <c r="L50" s="706"/>
      <c r="M50" s="706"/>
      <c r="N50" s="706"/>
      <c r="O50" s="705"/>
      <c r="P50" s="705"/>
      <c r="Q50" s="705"/>
      <c r="R50" s="705"/>
      <c r="S50" s="705"/>
      <c r="T50" s="705"/>
      <c r="U50" s="705"/>
      <c r="V50" s="705"/>
      <c r="W50" s="705"/>
      <c r="X50" s="705"/>
      <c r="Y50" s="705"/>
      <c r="Z50" s="705"/>
      <c r="AA50" s="705"/>
    </row>
    <row r="51" spans="1:27">
      <c r="A51" s="706"/>
      <c r="B51" s="706"/>
      <c r="C51" s="706"/>
      <c r="D51" s="706"/>
      <c r="E51" s="706"/>
      <c r="F51" s="706"/>
      <c r="G51" s="706"/>
      <c r="H51" s="706"/>
      <c r="I51" s="706"/>
      <c r="J51" s="706"/>
      <c r="K51" s="706"/>
      <c r="L51" s="706"/>
      <c r="M51" s="706"/>
      <c r="N51" s="706"/>
      <c r="O51" s="705"/>
      <c r="P51" s="705"/>
      <c r="Q51" s="705"/>
      <c r="R51" s="705"/>
      <c r="S51" s="705"/>
      <c r="T51" s="705"/>
      <c r="U51" s="705"/>
      <c r="V51" s="705"/>
      <c r="W51" s="705"/>
      <c r="X51" s="705"/>
      <c r="Y51" s="705"/>
      <c r="Z51" s="705"/>
      <c r="AA51" s="705"/>
    </row>
    <row r="52" spans="1:27">
      <c r="A52" s="706"/>
      <c r="B52" s="706"/>
      <c r="C52" s="706"/>
      <c r="D52" s="706"/>
      <c r="E52" s="706"/>
      <c r="F52" s="706"/>
      <c r="G52" s="706"/>
      <c r="H52" s="706"/>
      <c r="I52" s="706"/>
      <c r="J52" s="706"/>
      <c r="K52" s="706"/>
      <c r="L52" s="706"/>
      <c r="M52" s="706"/>
      <c r="N52" s="706"/>
      <c r="O52" s="705"/>
      <c r="P52" s="705"/>
      <c r="Q52" s="705"/>
      <c r="R52" s="705"/>
      <c r="S52" s="705"/>
      <c r="T52" s="705"/>
      <c r="U52" s="705"/>
      <c r="V52" s="705"/>
      <c r="W52" s="705"/>
      <c r="X52" s="705"/>
      <c r="Y52" s="705"/>
      <c r="Z52" s="705"/>
      <c r="AA52" s="705"/>
    </row>
    <row r="53" spans="1:27">
      <c r="A53" s="706"/>
      <c r="B53" s="706"/>
      <c r="C53" s="706"/>
      <c r="D53" s="706"/>
      <c r="E53" s="706"/>
      <c r="F53" s="706"/>
      <c r="G53" s="706"/>
      <c r="H53" s="706"/>
      <c r="I53" s="706"/>
      <c r="J53" s="706"/>
      <c r="K53" s="706"/>
      <c r="L53" s="706"/>
      <c r="M53" s="706"/>
      <c r="N53" s="706"/>
      <c r="O53" s="705"/>
      <c r="P53" s="705"/>
      <c r="Q53" s="705"/>
      <c r="R53" s="705"/>
      <c r="S53" s="705"/>
      <c r="T53" s="705"/>
      <c r="U53" s="705"/>
      <c r="V53" s="705"/>
      <c r="W53" s="705"/>
      <c r="X53" s="705"/>
      <c r="Y53" s="705"/>
      <c r="Z53" s="705"/>
      <c r="AA53" s="705"/>
    </row>
    <row r="54" spans="1:27">
      <c r="A54" s="706"/>
      <c r="B54" s="706"/>
      <c r="C54" s="706"/>
      <c r="D54" s="706"/>
      <c r="E54" s="706"/>
      <c r="F54" s="706"/>
      <c r="G54" s="706"/>
      <c r="H54" s="706"/>
      <c r="I54" s="706"/>
      <c r="J54" s="706"/>
      <c r="K54" s="706"/>
      <c r="L54" s="706"/>
      <c r="M54" s="706"/>
      <c r="N54" s="706"/>
      <c r="O54" s="705"/>
      <c r="P54" s="705"/>
      <c r="Q54" s="705"/>
      <c r="R54" s="705"/>
      <c r="S54" s="705"/>
      <c r="T54" s="705"/>
      <c r="U54" s="705"/>
      <c r="V54" s="705"/>
      <c r="W54" s="705"/>
      <c r="X54" s="705"/>
      <c r="Y54" s="705"/>
      <c r="Z54" s="705"/>
      <c r="AA54" s="705"/>
    </row>
    <row r="55" spans="1:27">
      <c r="A55" s="706"/>
      <c r="B55" s="706"/>
      <c r="C55" s="706"/>
      <c r="D55" s="706"/>
      <c r="E55" s="706"/>
      <c r="F55" s="706"/>
      <c r="G55" s="706"/>
      <c r="H55" s="706"/>
      <c r="I55" s="706"/>
      <c r="J55" s="706"/>
      <c r="K55" s="706"/>
      <c r="L55" s="706"/>
      <c r="M55" s="706"/>
      <c r="N55" s="706"/>
      <c r="O55" s="705"/>
      <c r="P55" s="705"/>
      <c r="Q55" s="705"/>
      <c r="R55" s="705"/>
      <c r="S55" s="705"/>
      <c r="T55" s="705"/>
      <c r="U55" s="705"/>
      <c r="V55" s="705"/>
      <c r="W55" s="705"/>
      <c r="X55" s="705"/>
      <c r="Y55" s="705"/>
      <c r="Z55" s="705"/>
      <c r="AA55" s="705"/>
    </row>
    <row r="56" spans="1:27">
      <c r="A56" s="706"/>
      <c r="B56" s="706"/>
      <c r="C56" s="706"/>
      <c r="D56" s="706"/>
      <c r="E56" s="706"/>
      <c r="F56" s="706"/>
      <c r="G56" s="706"/>
      <c r="H56" s="706"/>
      <c r="I56" s="706"/>
      <c r="J56" s="706"/>
      <c r="K56" s="706"/>
      <c r="L56" s="706"/>
      <c r="M56" s="706"/>
      <c r="N56" s="706"/>
      <c r="O56" s="705"/>
      <c r="P56" s="705"/>
      <c r="Q56" s="705"/>
      <c r="R56" s="705"/>
      <c r="S56" s="705"/>
      <c r="T56" s="705"/>
      <c r="U56" s="705"/>
      <c r="V56" s="705"/>
      <c r="W56" s="705"/>
      <c r="X56" s="705"/>
      <c r="Y56" s="705"/>
      <c r="Z56" s="705"/>
      <c r="AA56" s="705"/>
    </row>
    <row r="57" spans="1:27">
      <c r="A57" s="706"/>
      <c r="B57" s="706"/>
      <c r="C57" s="706"/>
      <c r="D57" s="706"/>
      <c r="E57" s="706"/>
      <c r="F57" s="706"/>
      <c r="G57" s="706"/>
      <c r="H57" s="706"/>
      <c r="I57" s="706"/>
      <c r="J57" s="706"/>
      <c r="K57" s="706"/>
      <c r="L57" s="706"/>
      <c r="M57" s="706"/>
      <c r="N57" s="706"/>
      <c r="O57" s="705"/>
      <c r="P57" s="705"/>
      <c r="Q57" s="705"/>
      <c r="R57" s="705"/>
      <c r="S57" s="705"/>
      <c r="T57" s="705"/>
      <c r="U57" s="705"/>
      <c r="V57" s="705"/>
      <c r="W57" s="705"/>
      <c r="X57" s="705"/>
      <c r="Y57" s="705"/>
      <c r="Z57" s="705"/>
      <c r="AA57" s="705"/>
    </row>
    <row r="58" spans="1:27">
      <c r="A58" s="706"/>
      <c r="B58" s="706"/>
      <c r="C58" s="706"/>
      <c r="D58" s="706"/>
      <c r="E58" s="706"/>
      <c r="F58" s="706"/>
      <c r="G58" s="706"/>
      <c r="H58" s="706"/>
      <c r="I58" s="706"/>
      <c r="J58" s="706"/>
      <c r="K58" s="706"/>
      <c r="L58" s="706"/>
      <c r="M58" s="706"/>
      <c r="N58" s="706"/>
      <c r="O58" s="705"/>
      <c r="P58" s="705"/>
      <c r="Q58" s="705"/>
      <c r="R58" s="705"/>
      <c r="S58" s="705"/>
      <c r="T58" s="705"/>
      <c r="U58" s="705"/>
      <c r="V58" s="705"/>
      <c r="W58" s="705"/>
      <c r="X58" s="705"/>
      <c r="Y58" s="705"/>
      <c r="Z58" s="705"/>
      <c r="AA58" s="705"/>
    </row>
    <row r="59" spans="1:27">
      <c r="A59" s="706"/>
      <c r="B59" s="706"/>
      <c r="C59" s="706"/>
      <c r="D59" s="706"/>
      <c r="E59" s="706"/>
      <c r="F59" s="706"/>
      <c r="G59" s="706"/>
      <c r="H59" s="706"/>
      <c r="I59" s="706"/>
      <c r="J59" s="706"/>
      <c r="K59" s="706"/>
      <c r="L59" s="706"/>
      <c r="M59" s="706"/>
      <c r="N59" s="706"/>
      <c r="O59" s="705"/>
      <c r="P59" s="705"/>
      <c r="Q59" s="705"/>
      <c r="R59" s="705"/>
      <c r="S59" s="705"/>
      <c r="T59" s="705"/>
      <c r="U59" s="705"/>
      <c r="V59" s="705"/>
      <c r="W59" s="705"/>
      <c r="X59" s="705"/>
      <c r="Y59" s="705"/>
      <c r="Z59" s="705"/>
      <c r="AA59" s="705"/>
    </row>
    <row r="60" spans="1:27">
      <c r="A60" s="705"/>
      <c r="B60" s="705"/>
      <c r="C60" s="705"/>
      <c r="D60" s="705"/>
      <c r="E60" s="705"/>
      <c r="F60" s="705"/>
      <c r="G60" s="705"/>
      <c r="H60" s="705"/>
      <c r="I60" s="705"/>
      <c r="J60" s="705"/>
      <c r="K60" s="705"/>
      <c r="L60" s="705"/>
      <c r="M60" s="705"/>
      <c r="N60" s="705"/>
      <c r="O60" s="705"/>
      <c r="P60" s="705"/>
      <c r="Q60" s="705"/>
      <c r="R60" s="705"/>
      <c r="S60" s="705"/>
      <c r="T60" s="705"/>
      <c r="U60" s="705"/>
      <c r="V60" s="705"/>
      <c r="W60" s="705"/>
      <c r="X60" s="705"/>
      <c r="Y60" s="705"/>
      <c r="Z60" s="705"/>
      <c r="AA60" s="705"/>
    </row>
    <row r="61" spans="1:27">
      <c r="A61" s="705"/>
      <c r="B61" s="705"/>
      <c r="C61" s="705"/>
      <c r="D61" s="705"/>
      <c r="E61" s="705"/>
      <c r="F61" s="705"/>
      <c r="G61" s="705"/>
      <c r="H61" s="705"/>
      <c r="I61" s="705"/>
      <c r="J61" s="705"/>
      <c r="K61" s="705"/>
      <c r="L61" s="705"/>
      <c r="M61" s="705"/>
      <c r="N61" s="705"/>
      <c r="O61" s="705"/>
      <c r="P61" s="705"/>
      <c r="Q61" s="705"/>
      <c r="R61" s="705"/>
      <c r="S61" s="705"/>
      <c r="T61" s="705"/>
      <c r="U61" s="705"/>
      <c r="V61" s="705"/>
      <c r="W61" s="705"/>
      <c r="X61" s="705"/>
      <c r="Y61" s="705"/>
      <c r="Z61" s="705"/>
      <c r="AA61" s="705"/>
    </row>
    <row r="62" spans="1:27">
      <c r="A62" s="705"/>
      <c r="B62" s="705"/>
      <c r="C62" s="705"/>
      <c r="D62" s="705"/>
      <c r="E62" s="705"/>
      <c r="F62" s="705"/>
      <c r="G62" s="705"/>
      <c r="H62" s="705"/>
      <c r="I62" s="705"/>
      <c r="J62" s="705"/>
      <c r="K62" s="705"/>
      <c r="L62" s="705"/>
      <c r="M62" s="705"/>
      <c r="N62" s="705"/>
      <c r="O62" s="705"/>
      <c r="P62" s="705"/>
      <c r="Q62" s="705"/>
      <c r="R62" s="705"/>
      <c r="S62" s="705"/>
      <c r="T62" s="705"/>
      <c r="U62" s="705"/>
      <c r="V62" s="705"/>
      <c r="W62" s="705"/>
      <c r="X62" s="705"/>
      <c r="Y62" s="705"/>
      <c r="Z62" s="705"/>
      <c r="AA62" s="705"/>
    </row>
    <row r="63" spans="1:27">
      <c r="A63" s="705"/>
      <c r="B63" s="705"/>
      <c r="C63" s="705"/>
      <c r="D63" s="705"/>
      <c r="E63" s="705"/>
      <c r="F63" s="705"/>
      <c r="G63" s="705"/>
      <c r="H63" s="705"/>
      <c r="I63" s="705"/>
      <c r="J63" s="705"/>
      <c r="K63" s="705"/>
      <c r="L63" s="705"/>
      <c r="M63" s="705"/>
      <c r="N63" s="705"/>
      <c r="O63" s="705"/>
      <c r="P63" s="705"/>
      <c r="Q63" s="705"/>
      <c r="R63" s="705"/>
      <c r="S63" s="705"/>
      <c r="T63" s="705"/>
      <c r="U63" s="705"/>
      <c r="V63" s="705"/>
      <c r="W63" s="705"/>
      <c r="X63" s="705"/>
      <c r="Y63" s="705"/>
      <c r="Z63" s="705"/>
      <c r="AA63" s="705"/>
    </row>
    <row r="64" spans="1:27">
      <c r="A64" s="705"/>
      <c r="B64" s="705"/>
      <c r="C64" s="705"/>
      <c r="D64" s="705"/>
      <c r="E64" s="705"/>
      <c r="F64" s="705"/>
      <c r="G64" s="705"/>
      <c r="H64" s="705"/>
      <c r="I64" s="705"/>
      <c r="J64" s="705"/>
      <c r="K64" s="705"/>
      <c r="L64" s="705"/>
      <c r="M64" s="705"/>
      <c r="N64" s="705"/>
      <c r="O64" s="705"/>
      <c r="P64" s="705"/>
      <c r="Q64" s="705"/>
      <c r="R64" s="705"/>
      <c r="S64" s="705"/>
      <c r="T64" s="705"/>
      <c r="U64" s="705"/>
      <c r="V64" s="705"/>
      <c r="W64" s="705"/>
      <c r="X64" s="705"/>
      <c r="Y64" s="705"/>
      <c r="Z64" s="705"/>
      <c r="AA64" s="705"/>
    </row>
    <row r="65" spans="1:27">
      <c r="A65" s="705"/>
      <c r="B65" s="705"/>
      <c r="C65" s="705"/>
      <c r="D65" s="705"/>
      <c r="E65" s="705"/>
      <c r="F65" s="705"/>
      <c r="G65" s="705"/>
      <c r="H65" s="705"/>
      <c r="I65" s="705"/>
      <c r="J65" s="705"/>
      <c r="K65" s="705"/>
      <c r="L65" s="705"/>
      <c r="M65" s="705"/>
      <c r="N65" s="705"/>
      <c r="O65" s="705"/>
      <c r="P65" s="705"/>
      <c r="Q65" s="705"/>
      <c r="R65" s="705"/>
      <c r="S65" s="705"/>
      <c r="T65" s="705"/>
      <c r="U65" s="705"/>
      <c r="V65" s="705"/>
      <c r="W65" s="705"/>
      <c r="X65" s="705"/>
      <c r="Y65" s="705"/>
      <c r="Z65" s="705"/>
      <c r="AA65" s="705"/>
    </row>
    <row r="66" spans="1:27">
      <c r="A66" s="705"/>
      <c r="B66" s="705"/>
      <c r="C66" s="705"/>
      <c r="D66" s="705"/>
      <c r="E66" s="705"/>
      <c r="F66" s="705"/>
      <c r="G66" s="705"/>
      <c r="H66" s="705"/>
      <c r="I66" s="705"/>
      <c r="J66" s="705"/>
      <c r="K66" s="705"/>
      <c r="L66" s="705"/>
      <c r="M66" s="705"/>
      <c r="N66" s="705"/>
      <c r="O66" s="705"/>
      <c r="P66" s="705"/>
      <c r="Q66" s="705"/>
      <c r="R66" s="705"/>
      <c r="S66" s="705"/>
      <c r="T66" s="705"/>
      <c r="U66" s="705"/>
      <c r="V66" s="705"/>
      <c r="W66" s="705"/>
      <c r="X66" s="705"/>
      <c r="Y66" s="705"/>
      <c r="Z66" s="705"/>
      <c r="AA66" s="705"/>
    </row>
    <row r="67" spans="1:27">
      <c r="A67" s="705"/>
      <c r="B67" s="705"/>
      <c r="C67" s="705"/>
      <c r="D67" s="705"/>
      <c r="E67" s="705"/>
      <c r="F67" s="705"/>
      <c r="G67" s="705"/>
      <c r="H67" s="705"/>
      <c r="I67" s="705"/>
      <c r="J67" s="705"/>
      <c r="K67" s="705"/>
      <c r="L67" s="705"/>
      <c r="M67" s="705"/>
      <c r="N67" s="705"/>
      <c r="O67" s="705"/>
      <c r="P67" s="705"/>
      <c r="Q67" s="705"/>
      <c r="R67" s="705"/>
      <c r="S67" s="705"/>
      <c r="T67" s="705"/>
      <c r="U67" s="705"/>
      <c r="V67" s="705"/>
      <c r="W67" s="705"/>
      <c r="X67" s="705"/>
      <c r="Y67" s="705"/>
      <c r="Z67" s="705"/>
      <c r="AA67" s="705"/>
    </row>
    <row r="68" spans="1:27">
      <c r="A68" s="705"/>
      <c r="B68" s="705"/>
      <c r="C68" s="705"/>
      <c r="D68" s="705"/>
      <c r="E68" s="705"/>
      <c r="F68" s="705"/>
      <c r="G68" s="705"/>
      <c r="H68" s="705"/>
      <c r="I68" s="705"/>
      <c r="J68" s="705"/>
      <c r="K68" s="705"/>
      <c r="L68" s="705"/>
      <c r="M68" s="705"/>
      <c r="N68" s="705"/>
      <c r="O68" s="705"/>
      <c r="P68" s="705"/>
      <c r="Q68" s="705"/>
      <c r="R68" s="705"/>
      <c r="S68" s="705"/>
      <c r="T68" s="705"/>
      <c r="U68" s="705"/>
      <c r="V68" s="705"/>
      <c r="W68" s="705"/>
      <c r="X68" s="705"/>
      <c r="Y68" s="705"/>
      <c r="Z68" s="705"/>
      <c r="AA68" s="705"/>
    </row>
    <row r="69" spans="1:27">
      <c r="A69" s="705"/>
      <c r="B69" s="705"/>
      <c r="C69" s="705"/>
      <c r="D69" s="705"/>
      <c r="E69" s="705"/>
      <c r="F69" s="705"/>
      <c r="G69" s="705"/>
      <c r="H69" s="705"/>
      <c r="I69" s="705"/>
      <c r="J69" s="705"/>
      <c r="K69" s="705"/>
      <c r="L69" s="705"/>
      <c r="M69" s="705"/>
      <c r="N69" s="705"/>
      <c r="O69" s="705"/>
      <c r="P69" s="705"/>
      <c r="Q69" s="705"/>
      <c r="R69" s="705"/>
      <c r="S69" s="705"/>
      <c r="T69" s="705"/>
      <c r="U69" s="705"/>
      <c r="V69" s="705"/>
      <c r="W69" s="705"/>
      <c r="X69" s="705"/>
      <c r="Y69" s="705"/>
      <c r="Z69" s="705"/>
      <c r="AA69" s="705"/>
    </row>
    <row r="70" spans="1:27">
      <c r="A70" s="705"/>
      <c r="B70" s="705"/>
      <c r="C70" s="705"/>
      <c r="D70" s="705"/>
      <c r="E70" s="705"/>
      <c r="F70" s="705"/>
      <c r="G70" s="705"/>
      <c r="H70" s="705"/>
      <c r="I70" s="705"/>
      <c r="J70" s="705"/>
      <c r="K70" s="705"/>
      <c r="L70" s="705"/>
      <c r="M70" s="705"/>
      <c r="N70" s="705"/>
      <c r="O70" s="705"/>
      <c r="P70" s="705"/>
      <c r="Q70" s="705"/>
      <c r="R70" s="705"/>
      <c r="S70" s="705"/>
      <c r="T70" s="705"/>
      <c r="U70" s="705"/>
      <c r="V70" s="705"/>
      <c r="W70" s="705"/>
      <c r="X70" s="705"/>
      <c r="Y70" s="705"/>
      <c r="Z70" s="705"/>
      <c r="AA70" s="705"/>
    </row>
    <row r="71" spans="1:27">
      <c r="A71" s="705"/>
      <c r="B71" s="705"/>
      <c r="C71" s="705"/>
      <c r="D71" s="705"/>
      <c r="E71" s="705"/>
      <c r="F71" s="705"/>
      <c r="G71" s="705"/>
      <c r="H71" s="705"/>
      <c r="I71" s="705"/>
      <c r="J71" s="705"/>
      <c r="K71" s="705"/>
      <c r="L71" s="705"/>
      <c r="M71" s="705"/>
      <c r="N71" s="705"/>
      <c r="O71" s="705"/>
      <c r="P71" s="705"/>
      <c r="Q71" s="705"/>
      <c r="R71" s="705"/>
      <c r="S71" s="705"/>
      <c r="T71" s="705"/>
      <c r="U71" s="705"/>
      <c r="V71" s="705"/>
      <c r="W71" s="705"/>
      <c r="X71" s="705"/>
      <c r="Y71" s="705"/>
      <c r="Z71" s="705"/>
      <c r="AA71" s="705"/>
    </row>
    <row r="72" spans="1:27">
      <c r="A72" s="705"/>
      <c r="B72" s="705"/>
      <c r="C72" s="705"/>
      <c r="D72" s="705"/>
      <c r="E72" s="705"/>
      <c r="F72" s="705"/>
      <c r="G72" s="705"/>
      <c r="H72" s="705"/>
      <c r="I72" s="705"/>
      <c r="J72" s="705"/>
      <c r="K72" s="705"/>
      <c r="L72" s="705"/>
      <c r="M72" s="705"/>
      <c r="N72" s="705"/>
      <c r="O72" s="705"/>
      <c r="P72" s="705"/>
      <c r="Q72" s="705"/>
      <c r="R72" s="705"/>
      <c r="S72" s="705"/>
      <c r="T72" s="705"/>
      <c r="U72" s="705"/>
      <c r="V72" s="705"/>
      <c r="W72" s="705"/>
      <c r="X72" s="705"/>
      <c r="Y72" s="705"/>
      <c r="Z72" s="705"/>
      <c r="AA72" s="705"/>
    </row>
    <row r="73" spans="1:27">
      <c r="A73" s="705"/>
      <c r="B73" s="705"/>
      <c r="C73" s="705"/>
      <c r="D73" s="705"/>
      <c r="E73" s="705"/>
      <c r="F73" s="705"/>
      <c r="G73" s="705"/>
      <c r="H73" s="705"/>
      <c r="I73" s="705"/>
      <c r="J73" s="705"/>
      <c r="K73" s="705"/>
      <c r="L73" s="705"/>
      <c r="M73" s="705"/>
      <c r="N73" s="705"/>
      <c r="O73" s="705"/>
      <c r="P73" s="705"/>
      <c r="Q73" s="705"/>
      <c r="R73" s="705"/>
      <c r="S73" s="705"/>
      <c r="T73" s="705"/>
      <c r="U73" s="705"/>
      <c r="V73" s="705"/>
      <c r="W73" s="705"/>
      <c r="X73" s="705"/>
      <c r="Y73" s="705"/>
      <c r="Z73" s="705"/>
      <c r="AA73" s="705"/>
    </row>
    <row r="74" spans="1:27">
      <c r="A74" s="705"/>
      <c r="B74" s="705"/>
      <c r="C74" s="705"/>
      <c r="D74" s="705"/>
      <c r="E74" s="705"/>
      <c r="F74" s="705"/>
      <c r="G74" s="705"/>
      <c r="H74" s="705"/>
      <c r="I74" s="705"/>
      <c r="J74" s="705"/>
      <c r="K74" s="705"/>
      <c r="L74" s="705"/>
      <c r="M74" s="705"/>
      <c r="N74" s="705"/>
      <c r="O74" s="705"/>
      <c r="P74" s="705"/>
      <c r="Q74" s="705"/>
      <c r="R74" s="705"/>
      <c r="S74" s="705"/>
      <c r="T74" s="705"/>
      <c r="U74" s="705"/>
      <c r="V74" s="705"/>
      <c r="W74" s="705"/>
      <c r="X74" s="705"/>
      <c r="Y74" s="705"/>
      <c r="Z74" s="705"/>
      <c r="AA74" s="705"/>
    </row>
    <row r="75" spans="1:27">
      <c r="A75" s="705"/>
      <c r="B75" s="705"/>
      <c r="C75" s="705"/>
      <c r="D75" s="705"/>
      <c r="E75" s="705"/>
      <c r="F75" s="705"/>
      <c r="G75" s="705"/>
      <c r="H75" s="705"/>
      <c r="I75" s="705"/>
      <c r="J75" s="705"/>
      <c r="K75" s="705"/>
      <c r="L75" s="705"/>
      <c r="M75" s="705"/>
      <c r="N75" s="705"/>
      <c r="O75" s="705"/>
      <c r="P75" s="705"/>
      <c r="Q75" s="705"/>
      <c r="R75" s="705"/>
      <c r="S75" s="705"/>
      <c r="T75" s="705"/>
      <c r="U75" s="705"/>
      <c r="V75" s="705"/>
      <c r="W75" s="705"/>
      <c r="X75" s="705"/>
      <c r="Y75" s="705"/>
      <c r="Z75" s="705"/>
      <c r="AA75" s="705"/>
    </row>
    <row r="76" spans="1:27">
      <c r="A76" s="705"/>
      <c r="B76" s="705"/>
      <c r="C76" s="705"/>
      <c r="D76" s="705"/>
      <c r="E76" s="705"/>
      <c r="F76" s="705"/>
      <c r="G76" s="705"/>
      <c r="H76" s="705"/>
      <c r="I76" s="705"/>
      <c r="J76" s="705"/>
      <c r="K76" s="705"/>
      <c r="L76" s="705"/>
      <c r="M76" s="705"/>
      <c r="N76" s="705"/>
      <c r="O76" s="705"/>
      <c r="P76" s="705"/>
      <c r="Q76" s="705"/>
      <c r="R76" s="705"/>
      <c r="S76" s="705"/>
      <c r="T76" s="705"/>
      <c r="U76" s="705"/>
      <c r="V76" s="705"/>
      <c r="W76" s="705"/>
      <c r="X76" s="705"/>
      <c r="Y76" s="705"/>
      <c r="Z76" s="705"/>
      <c r="AA76" s="705"/>
    </row>
    <row r="77" spans="1:27">
      <c r="A77" s="705"/>
      <c r="B77" s="705"/>
      <c r="C77" s="705"/>
      <c r="D77" s="705"/>
      <c r="E77" s="705"/>
      <c r="F77" s="705"/>
      <c r="G77" s="705"/>
      <c r="H77" s="705"/>
      <c r="I77" s="705"/>
      <c r="J77" s="705"/>
      <c r="K77" s="705"/>
      <c r="L77" s="705"/>
      <c r="M77" s="705"/>
      <c r="N77" s="705"/>
      <c r="O77" s="705"/>
      <c r="P77" s="705"/>
      <c r="Q77" s="705"/>
      <c r="R77" s="705"/>
      <c r="S77" s="705"/>
      <c r="T77" s="705"/>
      <c r="U77" s="705"/>
      <c r="V77" s="705"/>
      <c r="W77" s="705"/>
      <c r="X77" s="705"/>
      <c r="Y77" s="705"/>
      <c r="Z77" s="705"/>
      <c r="AA77" s="705"/>
    </row>
    <row r="78" spans="1:27">
      <c r="A78" s="705"/>
      <c r="B78" s="705"/>
      <c r="C78" s="705"/>
      <c r="D78" s="705"/>
      <c r="E78" s="705"/>
      <c r="F78" s="705"/>
      <c r="G78" s="705"/>
      <c r="H78" s="705"/>
      <c r="I78" s="705"/>
      <c r="J78" s="705"/>
      <c r="K78" s="705"/>
      <c r="L78" s="705"/>
      <c r="M78" s="705"/>
      <c r="N78" s="705"/>
      <c r="O78" s="705"/>
      <c r="P78" s="705"/>
      <c r="Q78" s="705"/>
      <c r="R78" s="705"/>
      <c r="S78" s="705"/>
      <c r="T78" s="705"/>
      <c r="U78" s="705"/>
      <c r="V78" s="705"/>
      <c r="W78" s="705"/>
      <c r="X78" s="705"/>
      <c r="Y78" s="705"/>
      <c r="Z78" s="705"/>
      <c r="AA78" s="705"/>
    </row>
    <row r="79" spans="1:27">
      <c r="A79" s="705"/>
      <c r="B79" s="705"/>
      <c r="C79" s="705"/>
      <c r="D79" s="705"/>
      <c r="E79" s="705"/>
      <c r="F79" s="705"/>
      <c r="G79" s="705"/>
      <c r="H79" s="705"/>
      <c r="I79" s="705"/>
      <c r="J79" s="705"/>
      <c r="K79" s="705"/>
      <c r="L79" s="705"/>
      <c r="M79" s="705"/>
      <c r="N79" s="705"/>
      <c r="O79" s="705"/>
      <c r="P79" s="705"/>
      <c r="Q79" s="705"/>
      <c r="R79" s="705"/>
      <c r="S79" s="705"/>
      <c r="T79" s="705"/>
      <c r="U79" s="705"/>
      <c r="V79" s="705"/>
      <c r="W79" s="705"/>
      <c r="X79" s="705"/>
      <c r="Y79" s="705"/>
      <c r="Z79" s="705"/>
      <c r="AA79" s="705"/>
    </row>
    <row r="80" spans="1:27">
      <c r="A80" s="705"/>
      <c r="B80" s="705"/>
      <c r="C80" s="705"/>
      <c r="D80" s="705"/>
      <c r="E80" s="705"/>
      <c r="F80" s="705"/>
      <c r="G80" s="705"/>
      <c r="H80" s="705"/>
      <c r="I80" s="705"/>
      <c r="J80" s="705"/>
      <c r="K80" s="705"/>
      <c r="L80" s="705"/>
      <c r="M80" s="705"/>
      <c r="N80" s="705"/>
      <c r="O80" s="705"/>
      <c r="P80" s="705"/>
      <c r="Q80" s="705"/>
      <c r="R80" s="705"/>
      <c r="S80" s="705"/>
      <c r="T80" s="705"/>
      <c r="U80" s="705"/>
      <c r="V80" s="705"/>
      <c r="W80" s="705"/>
      <c r="X80" s="705"/>
      <c r="Y80" s="705"/>
      <c r="Z80" s="705"/>
      <c r="AA80" s="705"/>
    </row>
    <row r="81" spans="1:27">
      <c r="A81" s="705"/>
      <c r="B81" s="705"/>
      <c r="C81" s="705"/>
      <c r="D81" s="705"/>
      <c r="E81" s="705"/>
      <c r="F81" s="705"/>
      <c r="G81" s="705"/>
      <c r="H81" s="705"/>
      <c r="I81" s="705"/>
      <c r="J81" s="705"/>
      <c r="K81" s="705"/>
      <c r="L81" s="705"/>
      <c r="M81" s="705"/>
      <c r="N81" s="705"/>
      <c r="O81" s="705"/>
      <c r="P81" s="705"/>
      <c r="Q81" s="705"/>
      <c r="R81" s="705"/>
      <c r="S81" s="705"/>
      <c r="T81" s="705"/>
      <c r="U81" s="705"/>
      <c r="V81" s="705"/>
      <c r="W81" s="705"/>
      <c r="X81" s="705"/>
      <c r="Y81" s="705"/>
      <c r="Z81" s="705"/>
      <c r="AA81" s="705"/>
    </row>
    <row r="82" spans="1:27">
      <c r="A82" s="705"/>
      <c r="B82" s="705"/>
      <c r="C82" s="705"/>
      <c r="D82" s="705"/>
      <c r="E82" s="705"/>
      <c r="F82" s="705"/>
      <c r="G82" s="705"/>
      <c r="H82" s="705"/>
      <c r="I82" s="705"/>
      <c r="J82" s="705"/>
      <c r="K82" s="705"/>
      <c r="L82" s="705"/>
      <c r="M82" s="705"/>
      <c r="N82" s="705"/>
      <c r="O82" s="705"/>
      <c r="P82" s="705"/>
      <c r="Q82" s="705"/>
      <c r="R82" s="705"/>
      <c r="S82" s="705"/>
      <c r="T82" s="705"/>
      <c r="U82" s="705"/>
      <c r="V82" s="705"/>
      <c r="W82" s="705"/>
      <c r="X82" s="705"/>
      <c r="Y82" s="705"/>
      <c r="Z82" s="705"/>
      <c r="AA82" s="705"/>
    </row>
    <row r="83" spans="1:27">
      <c r="A83" s="705"/>
      <c r="B83" s="705"/>
      <c r="C83" s="705"/>
      <c r="D83" s="705"/>
      <c r="E83" s="705"/>
      <c r="F83" s="705"/>
      <c r="G83" s="705"/>
      <c r="H83" s="705"/>
      <c r="I83" s="705"/>
      <c r="J83" s="705"/>
      <c r="K83" s="705"/>
      <c r="L83" s="705"/>
      <c r="M83" s="705"/>
      <c r="N83" s="705"/>
      <c r="O83" s="705"/>
      <c r="P83" s="705"/>
      <c r="Q83" s="705"/>
      <c r="R83" s="705"/>
      <c r="S83" s="705"/>
      <c r="T83" s="705"/>
      <c r="U83" s="705"/>
      <c r="V83" s="705"/>
      <c r="W83" s="705"/>
      <c r="X83" s="705"/>
      <c r="Y83" s="705"/>
      <c r="Z83" s="705"/>
      <c r="AA83" s="705"/>
    </row>
    <row r="84" spans="1:27">
      <c r="A84" s="705"/>
      <c r="B84" s="705"/>
      <c r="C84" s="705"/>
      <c r="D84" s="705"/>
      <c r="E84" s="705"/>
      <c r="F84" s="705"/>
      <c r="G84" s="705"/>
      <c r="H84" s="705"/>
      <c r="I84" s="705"/>
      <c r="J84" s="705"/>
      <c r="K84" s="705"/>
      <c r="L84" s="705"/>
      <c r="M84" s="705"/>
      <c r="N84" s="705"/>
      <c r="O84" s="705"/>
      <c r="P84" s="705"/>
      <c r="Q84" s="705"/>
      <c r="R84" s="705"/>
      <c r="S84" s="705"/>
      <c r="T84" s="705"/>
      <c r="U84" s="705"/>
      <c r="V84" s="705"/>
      <c r="W84" s="705"/>
      <c r="X84" s="705"/>
      <c r="Y84" s="705"/>
      <c r="Z84" s="705"/>
      <c r="AA84" s="705"/>
    </row>
    <row r="85" spans="1:27">
      <c r="A85" s="705"/>
      <c r="B85" s="705"/>
      <c r="C85" s="705"/>
      <c r="D85" s="705"/>
      <c r="E85" s="705"/>
      <c r="F85" s="705"/>
      <c r="G85" s="705"/>
      <c r="H85" s="705"/>
      <c r="I85" s="705"/>
      <c r="J85" s="705"/>
      <c r="K85" s="705"/>
      <c r="L85" s="705"/>
      <c r="M85" s="705"/>
      <c r="N85" s="705"/>
      <c r="O85" s="705"/>
      <c r="P85" s="705"/>
      <c r="Q85" s="705"/>
      <c r="R85" s="705"/>
      <c r="S85" s="705"/>
      <c r="T85" s="705"/>
      <c r="U85" s="705"/>
      <c r="V85" s="705"/>
      <c r="W85" s="705"/>
      <c r="X85" s="705"/>
      <c r="Y85" s="705"/>
      <c r="Z85" s="705"/>
      <c r="AA85" s="705"/>
    </row>
    <row r="86" spans="1:27">
      <c r="A86" s="705"/>
      <c r="B86" s="705"/>
      <c r="C86" s="705"/>
      <c r="D86" s="705"/>
      <c r="E86" s="705"/>
      <c r="F86" s="705"/>
      <c r="G86" s="705"/>
      <c r="H86" s="705"/>
      <c r="I86" s="705"/>
      <c r="J86" s="705"/>
      <c r="K86" s="705"/>
      <c r="L86" s="705"/>
      <c r="M86" s="705"/>
      <c r="N86" s="705"/>
      <c r="O86" s="705"/>
      <c r="P86" s="705"/>
      <c r="Q86" s="705"/>
      <c r="R86" s="705"/>
      <c r="S86" s="705"/>
      <c r="T86" s="705"/>
      <c r="U86" s="705"/>
      <c r="V86" s="705"/>
      <c r="W86" s="705"/>
      <c r="X86" s="705"/>
      <c r="Y86" s="705"/>
      <c r="Z86" s="705"/>
      <c r="AA86" s="705"/>
    </row>
    <row r="87" spans="1:27">
      <c r="A87" s="705"/>
      <c r="B87" s="705"/>
      <c r="C87" s="705"/>
      <c r="D87" s="705"/>
      <c r="E87" s="705"/>
      <c r="F87" s="705"/>
      <c r="G87" s="705"/>
      <c r="H87" s="705"/>
      <c r="I87" s="705"/>
      <c r="J87" s="705"/>
      <c r="K87" s="705"/>
      <c r="L87" s="705"/>
      <c r="M87" s="705"/>
      <c r="N87" s="705"/>
      <c r="O87" s="705"/>
      <c r="P87" s="705"/>
      <c r="Q87" s="705"/>
      <c r="R87" s="705"/>
      <c r="S87" s="705"/>
      <c r="T87" s="705"/>
      <c r="U87" s="705"/>
      <c r="V87" s="705"/>
      <c r="W87" s="705"/>
      <c r="X87" s="705"/>
      <c r="Y87" s="705"/>
      <c r="Z87" s="705"/>
      <c r="AA87" s="705"/>
    </row>
    <row r="88" spans="1:27">
      <c r="A88" s="705"/>
      <c r="B88" s="705"/>
      <c r="C88" s="705"/>
      <c r="D88" s="705"/>
      <c r="E88" s="705"/>
      <c r="F88" s="705"/>
      <c r="G88" s="705"/>
      <c r="H88" s="705"/>
      <c r="I88" s="705"/>
      <c r="J88" s="705"/>
      <c r="K88" s="705"/>
      <c r="L88" s="705"/>
      <c r="M88" s="705"/>
      <c r="N88" s="705"/>
      <c r="O88" s="705"/>
      <c r="P88" s="705"/>
      <c r="Q88" s="705"/>
      <c r="R88" s="705"/>
      <c r="S88" s="705"/>
      <c r="T88" s="705"/>
      <c r="U88" s="705"/>
      <c r="V88" s="705"/>
      <c r="W88" s="705"/>
      <c r="X88" s="705"/>
      <c r="Y88" s="705"/>
      <c r="Z88" s="705"/>
      <c r="AA88" s="705"/>
    </row>
    <row r="89" spans="1:27">
      <c r="A89" s="705"/>
      <c r="B89" s="705"/>
      <c r="C89" s="705"/>
      <c r="D89" s="705"/>
      <c r="E89" s="705"/>
      <c r="F89" s="705"/>
      <c r="G89" s="705"/>
      <c r="H89" s="705"/>
      <c r="I89" s="705"/>
      <c r="J89" s="705"/>
      <c r="K89" s="705"/>
      <c r="L89" s="705"/>
      <c r="M89" s="705"/>
      <c r="N89" s="705"/>
      <c r="O89" s="705"/>
      <c r="P89" s="705"/>
      <c r="Q89" s="705"/>
      <c r="R89" s="705"/>
      <c r="S89" s="705"/>
      <c r="T89" s="705"/>
      <c r="U89" s="705"/>
      <c r="V89" s="705"/>
      <c r="W89" s="705"/>
      <c r="X89" s="705"/>
      <c r="Y89" s="705"/>
      <c r="Z89" s="705"/>
      <c r="AA89" s="705"/>
    </row>
    <row r="90" spans="1:27">
      <c r="A90" s="705"/>
      <c r="B90" s="705"/>
      <c r="C90" s="705"/>
      <c r="D90" s="705"/>
      <c r="E90" s="705"/>
      <c r="F90" s="705"/>
      <c r="G90" s="705"/>
      <c r="H90" s="705"/>
      <c r="I90" s="705"/>
      <c r="J90" s="705"/>
      <c r="K90" s="705"/>
      <c r="L90" s="705"/>
      <c r="M90" s="705"/>
      <c r="N90" s="705"/>
      <c r="O90" s="705"/>
      <c r="P90" s="705"/>
      <c r="Q90" s="705"/>
      <c r="R90" s="705"/>
      <c r="S90" s="705"/>
      <c r="T90" s="705"/>
      <c r="U90" s="705"/>
      <c r="V90" s="705"/>
      <c r="W90" s="705"/>
      <c r="X90" s="705"/>
      <c r="Y90" s="705"/>
      <c r="Z90" s="705"/>
      <c r="AA90" s="705"/>
    </row>
    <row r="91" spans="1:27">
      <c r="A91" s="705"/>
      <c r="B91" s="705"/>
      <c r="C91" s="705"/>
      <c r="D91" s="705"/>
      <c r="E91" s="705"/>
      <c r="F91" s="705"/>
      <c r="G91" s="705"/>
      <c r="H91" s="705"/>
      <c r="I91" s="705"/>
      <c r="J91" s="705"/>
      <c r="K91" s="705"/>
      <c r="L91" s="705"/>
      <c r="M91" s="705"/>
      <c r="N91" s="705"/>
      <c r="O91" s="705"/>
      <c r="P91" s="705"/>
      <c r="Q91" s="705"/>
      <c r="R91" s="705"/>
      <c r="S91" s="705"/>
      <c r="T91" s="705"/>
      <c r="U91" s="705"/>
      <c r="V91" s="705"/>
      <c r="W91" s="705"/>
      <c r="X91" s="705"/>
      <c r="Y91" s="705"/>
      <c r="Z91" s="705"/>
      <c r="AA91" s="705"/>
    </row>
    <row r="92" spans="1:27">
      <c r="A92" s="705"/>
      <c r="B92" s="705"/>
      <c r="C92" s="705"/>
      <c r="D92" s="705"/>
      <c r="E92" s="705"/>
      <c r="F92" s="705"/>
      <c r="G92" s="705"/>
      <c r="H92" s="705"/>
      <c r="I92" s="705"/>
      <c r="J92" s="705"/>
      <c r="K92" s="705"/>
      <c r="L92" s="705"/>
      <c r="M92" s="705"/>
      <c r="N92" s="705"/>
      <c r="O92" s="705"/>
      <c r="P92" s="705"/>
      <c r="Q92" s="705"/>
      <c r="R92" s="705"/>
      <c r="S92" s="705"/>
      <c r="T92" s="705"/>
      <c r="U92" s="705"/>
      <c r="V92" s="705"/>
      <c r="W92" s="705"/>
      <c r="X92" s="705"/>
      <c r="Y92" s="705"/>
      <c r="Z92" s="705"/>
      <c r="AA92" s="705"/>
    </row>
    <row r="93" spans="1:27">
      <c r="A93" s="705"/>
      <c r="B93" s="705"/>
      <c r="C93" s="705"/>
      <c r="D93" s="705"/>
      <c r="E93" s="705"/>
      <c r="F93" s="705"/>
      <c r="G93" s="705"/>
      <c r="H93" s="705"/>
      <c r="I93" s="705"/>
      <c r="J93" s="705"/>
      <c r="K93" s="705"/>
      <c r="L93" s="705"/>
      <c r="M93" s="705"/>
      <c r="N93" s="705"/>
      <c r="O93" s="705"/>
      <c r="P93" s="705"/>
      <c r="Q93" s="705"/>
      <c r="R93" s="705"/>
      <c r="S93" s="705"/>
      <c r="T93" s="705"/>
      <c r="U93" s="705"/>
      <c r="V93" s="705"/>
      <c r="W93" s="705"/>
      <c r="X93" s="705"/>
      <c r="Y93" s="705"/>
      <c r="Z93" s="705"/>
      <c r="AA93" s="705"/>
    </row>
    <row r="94" spans="1:27">
      <c r="A94" s="705"/>
      <c r="B94" s="705"/>
      <c r="C94" s="705"/>
      <c r="D94" s="705"/>
      <c r="E94" s="705"/>
      <c r="F94" s="705"/>
      <c r="G94" s="705"/>
      <c r="H94" s="705"/>
      <c r="I94" s="705"/>
      <c r="J94" s="705"/>
      <c r="K94" s="705"/>
      <c r="L94" s="705"/>
      <c r="M94" s="705"/>
      <c r="N94" s="705"/>
      <c r="O94" s="705"/>
      <c r="P94" s="705"/>
      <c r="Q94" s="705"/>
      <c r="R94" s="705"/>
      <c r="S94" s="705"/>
      <c r="T94" s="705"/>
      <c r="U94" s="705"/>
      <c r="V94" s="705"/>
      <c r="W94" s="705"/>
      <c r="X94" s="705"/>
      <c r="Y94" s="705"/>
      <c r="Z94" s="705"/>
      <c r="AA94" s="705"/>
    </row>
    <row r="95" spans="1:27">
      <c r="A95" s="705"/>
      <c r="B95" s="705"/>
      <c r="C95" s="705"/>
      <c r="D95" s="705"/>
      <c r="E95" s="705"/>
      <c r="F95" s="705"/>
      <c r="G95" s="705"/>
      <c r="H95" s="705"/>
      <c r="I95" s="705"/>
      <c r="J95" s="705"/>
      <c r="K95" s="705"/>
      <c r="L95" s="705"/>
      <c r="M95" s="705"/>
      <c r="N95" s="705"/>
      <c r="O95" s="705"/>
      <c r="P95" s="705"/>
      <c r="Q95" s="705"/>
      <c r="R95" s="705"/>
      <c r="S95" s="705"/>
      <c r="T95" s="705"/>
      <c r="U95" s="705"/>
      <c r="V95" s="705"/>
      <c r="W95" s="705"/>
      <c r="X95" s="705"/>
      <c r="Y95" s="705"/>
      <c r="Z95" s="705"/>
      <c r="AA95" s="705"/>
    </row>
    <row r="96" spans="1:27">
      <c r="A96" s="705"/>
      <c r="B96" s="705"/>
      <c r="C96" s="705"/>
      <c r="D96" s="705"/>
      <c r="E96" s="705"/>
      <c r="F96" s="705"/>
      <c r="G96" s="705"/>
      <c r="H96" s="705"/>
      <c r="I96" s="705"/>
      <c r="J96" s="705"/>
      <c r="K96" s="705"/>
      <c r="L96" s="705"/>
      <c r="M96" s="705"/>
      <c r="N96" s="705"/>
      <c r="O96" s="705"/>
      <c r="P96" s="705"/>
      <c r="Q96" s="705"/>
      <c r="R96" s="705"/>
      <c r="S96" s="705"/>
      <c r="T96" s="705"/>
      <c r="U96" s="705"/>
      <c r="V96" s="705"/>
      <c r="W96" s="705"/>
      <c r="X96" s="705"/>
      <c r="Y96" s="705"/>
      <c r="Z96" s="705"/>
      <c r="AA96" s="705"/>
    </row>
    <row r="97" spans="1:27">
      <c r="A97" s="705"/>
      <c r="B97" s="705"/>
      <c r="C97" s="705"/>
      <c r="D97" s="705"/>
      <c r="E97" s="705"/>
      <c r="F97" s="705"/>
      <c r="G97" s="705"/>
      <c r="H97" s="705"/>
      <c r="I97" s="705"/>
      <c r="J97" s="705"/>
      <c r="K97" s="705"/>
      <c r="L97" s="705"/>
      <c r="M97" s="705"/>
      <c r="N97" s="705"/>
      <c r="O97" s="705"/>
      <c r="P97" s="705"/>
      <c r="Q97" s="705"/>
      <c r="R97" s="705"/>
      <c r="S97" s="705"/>
      <c r="T97" s="705"/>
      <c r="U97" s="705"/>
      <c r="V97" s="705"/>
      <c r="W97" s="705"/>
      <c r="X97" s="705"/>
      <c r="Y97" s="705"/>
      <c r="Z97" s="705"/>
      <c r="AA97" s="705"/>
    </row>
    <row r="98" spans="1:27">
      <c r="A98" s="705"/>
      <c r="B98" s="705"/>
      <c r="C98" s="705"/>
      <c r="D98" s="705"/>
      <c r="E98" s="705"/>
      <c r="F98" s="705"/>
      <c r="G98" s="705"/>
      <c r="H98" s="705"/>
      <c r="I98" s="705"/>
      <c r="J98" s="705"/>
      <c r="K98" s="705"/>
      <c r="L98" s="705"/>
      <c r="M98" s="705"/>
      <c r="N98" s="705"/>
      <c r="O98" s="705"/>
      <c r="P98" s="705"/>
      <c r="Q98" s="705"/>
      <c r="R98" s="705"/>
      <c r="S98" s="705"/>
      <c r="T98" s="705"/>
      <c r="U98" s="705"/>
      <c r="V98" s="705"/>
      <c r="W98" s="705"/>
      <c r="X98" s="705"/>
      <c r="Y98" s="705"/>
      <c r="Z98" s="705"/>
      <c r="AA98" s="705"/>
    </row>
    <row r="99" spans="1:27">
      <c r="A99" s="705"/>
      <c r="B99" s="705"/>
      <c r="C99" s="705"/>
      <c r="D99" s="705"/>
      <c r="E99" s="705"/>
      <c r="F99" s="705"/>
      <c r="G99" s="705"/>
      <c r="H99" s="705"/>
      <c r="I99" s="705"/>
      <c r="J99" s="705"/>
      <c r="K99" s="705"/>
      <c r="L99" s="705"/>
      <c r="M99" s="705"/>
      <c r="N99" s="705"/>
      <c r="O99" s="705"/>
      <c r="P99" s="705"/>
      <c r="Q99" s="705"/>
      <c r="R99" s="705"/>
      <c r="S99" s="705"/>
      <c r="T99" s="705"/>
      <c r="U99" s="705"/>
      <c r="V99" s="705"/>
      <c r="W99" s="705"/>
      <c r="X99" s="705"/>
      <c r="Y99" s="705"/>
      <c r="Z99" s="705"/>
      <c r="AA99" s="705"/>
    </row>
    <row r="100" spans="1:27">
      <c r="A100" s="705"/>
      <c r="B100" s="705"/>
      <c r="C100" s="705"/>
      <c r="D100" s="705"/>
      <c r="E100" s="705"/>
      <c r="F100" s="705"/>
      <c r="G100" s="705"/>
      <c r="H100" s="705"/>
      <c r="I100" s="705"/>
      <c r="J100" s="705"/>
      <c r="K100" s="705"/>
      <c r="L100" s="705"/>
      <c r="M100" s="705"/>
      <c r="N100" s="705"/>
      <c r="O100" s="705"/>
      <c r="P100" s="705"/>
      <c r="Q100" s="705"/>
      <c r="R100" s="705"/>
      <c r="S100" s="705"/>
      <c r="T100" s="705"/>
      <c r="U100" s="705"/>
      <c r="V100" s="705"/>
      <c r="W100" s="705"/>
      <c r="X100" s="705"/>
      <c r="Y100" s="705"/>
      <c r="Z100" s="705"/>
      <c r="AA100" s="705"/>
    </row>
    <row r="101" spans="1:27">
      <c r="A101" s="705"/>
      <c r="B101" s="705"/>
      <c r="C101" s="705"/>
      <c r="D101" s="705"/>
      <c r="E101" s="705"/>
      <c r="F101" s="705"/>
      <c r="G101" s="705"/>
      <c r="H101" s="705"/>
      <c r="I101" s="705"/>
      <c r="J101" s="705"/>
      <c r="K101" s="705"/>
      <c r="L101" s="705"/>
      <c r="M101" s="705"/>
      <c r="N101" s="705"/>
      <c r="O101" s="705"/>
      <c r="P101" s="705"/>
      <c r="Q101" s="705"/>
      <c r="R101" s="705"/>
      <c r="S101" s="705"/>
      <c r="T101" s="705"/>
      <c r="U101" s="705"/>
      <c r="V101" s="705"/>
      <c r="W101" s="705"/>
      <c r="X101" s="705"/>
      <c r="Y101" s="705"/>
      <c r="Z101" s="705"/>
      <c r="AA101" s="705"/>
    </row>
    <row r="102" spans="1:27">
      <c r="A102" s="705"/>
      <c r="B102" s="705"/>
      <c r="C102" s="705"/>
      <c r="D102" s="705"/>
      <c r="E102" s="705"/>
      <c r="F102" s="705"/>
      <c r="G102" s="705"/>
      <c r="H102" s="705"/>
      <c r="I102" s="705"/>
      <c r="J102" s="705"/>
      <c r="K102" s="705"/>
      <c r="L102" s="705"/>
      <c r="M102" s="705"/>
      <c r="N102" s="705"/>
      <c r="O102" s="705"/>
      <c r="P102" s="705"/>
      <c r="Q102" s="705"/>
      <c r="R102" s="705"/>
      <c r="S102" s="705"/>
      <c r="T102" s="705"/>
      <c r="U102" s="705"/>
      <c r="V102" s="705"/>
      <c r="W102" s="705"/>
      <c r="X102" s="705"/>
      <c r="Y102" s="705"/>
      <c r="Z102" s="705"/>
      <c r="AA102" s="705"/>
    </row>
    <row r="103" spans="1:27">
      <c r="A103" s="705"/>
      <c r="B103" s="705"/>
      <c r="C103" s="705"/>
      <c r="D103" s="705"/>
      <c r="E103" s="705"/>
      <c r="F103" s="705"/>
      <c r="G103" s="705"/>
      <c r="H103" s="705"/>
      <c r="I103" s="705"/>
      <c r="J103" s="705"/>
      <c r="K103" s="705"/>
      <c r="L103" s="705"/>
      <c r="M103" s="705"/>
      <c r="N103" s="705"/>
      <c r="O103" s="705"/>
      <c r="P103" s="705"/>
      <c r="Q103" s="705"/>
      <c r="R103" s="705"/>
      <c r="S103" s="705"/>
      <c r="T103" s="705"/>
      <c r="U103" s="705"/>
      <c r="V103" s="705"/>
      <c r="W103" s="705"/>
      <c r="X103" s="705"/>
      <c r="Y103" s="705"/>
      <c r="Z103" s="705"/>
      <c r="AA103" s="705"/>
    </row>
    <row r="104" spans="1:27">
      <c r="A104" s="705"/>
      <c r="B104" s="705"/>
      <c r="C104" s="705"/>
      <c r="D104" s="705"/>
      <c r="E104" s="705"/>
      <c r="F104" s="705"/>
      <c r="G104" s="705"/>
      <c r="H104" s="705"/>
      <c r="I104" s="705"/>
      <c r="J104" s="705"/>
      <c r="K104" s="705"/>
      <c r="L104" s="705"/>
      <c r="M104" s="705"/>
      <c r="N104" s="705"/>
      <c r="O104" s="705"/>
      <c r="P104" s="705"/>
      <c r="Q104" s="705"/>
      <c r="R104" s="705"/>
      <c r="S104" s="705"/>
      <c r="T104" s="705"/>
      <c r="U104" s="705"/>
      <c r="V104" s="705"/>
      <c r="W104" s="705"/>
      <c r="X104" s="705"/>
      <c r="Y104" s="705"/>
      <c r="Z104" s="705"/>
      <c r="AA104" s="705"/>
    </row>
    <row r="105" spans="1:27">
      <c r="A105" s="705"/>
      <c r="B105" s="705"/>
      <c r="C105" s="705"/>
      <c r="D105" s="705"/>
      <c r="E105" s="705"/>
      <c r="F105" s="705"/>
      <c r="G105" s="705"/>
      <c r="H105" s="705"/>
      <c r="I105" s="705"/>
      <c r="J105" s="705"/>
      <c r="K105" s="705"/>
      <c r="L105" s="705"/>
      <c r="M105" s="705"/>
      <c r="N105" s="705"/>
      <c r="O105" s="705"/>
      <c r="P105" s="705"/>
      <c r="Q105" s="705"/>
      <c r="R105" s="705"/>
      <c r="S105" s="705"/>
      <c r="T105" s="705"/>
      <c r="U105" s="705"/>
      <c r="V105" s="705"/>
      <c r="W105" s="705"/>
      <c r="X105" s="705"/>
      <c r="Y105" s="705"/>
      <c r="Z105" s="705"/>
      <c r="AA105" s="705"/>
    </row>
    <row r="106" spans="1:27">
      <c r="A106" s="705"/>
      <c r="B106" s="705"/>
      <c r="C106" s="705"/>
      <c r="D106" s="705"/>
      <c r="E106" s="705"/>
      <c r="F106" s="705"/>
      <c r="G106" s="705"/>
      <c r="H106" s="705"/>
      <c r="I106" s="705"/>
      <c r="J106" s="705"/>
      <c r="K106" s="705"/>
      <c r="L106" s="705"/>
      <c r="M106" s="705"/>
      <c r="N106" s="705"/>
      <c r="O106" s="705"/>
      <c r="P106" s="705"/>
      <c r="Q106" s="705"/>
      <c r="R106" s="705"/>
      <c r="S106" s="705"/>
      <c r="T106" s="705"/>
      <c r="U106" s="705"/>
      <c r="V106" s="705"/>
      <c r="W106" s="705"/>
      <c r="X106" s="705"/>
      <c r="Y106" s="705"/>
      <c r="Z106" s="705"/>
      <c r="AA106" s="705"/>
    </row>
    <row r="107" spans="1:27">
      <c r="A107" s="705"/>
      <c r="B107" s="705"/>
      <c r="C107" s="705"/>
      <c r="D107" s="705"/>
      <c r="E107" s="705"/>
      <c r="F107" s="705"/>
      <c r="G107" s="705"/>
      <c r="H107" s="705"/>
      <c r="I107" s="705"/>
      <c r="J107" s="705"/>
      <c r="K107" s="705"/>
      <c r="L107" s="705"/>
      <c r="M107" s="705"/>
      <c r="N107" s="705"/>
      <c r="O107" s="705"/>
      <c r="P107" s="705"/>
      <c r="Q107" s="705"/>
      <c r="R107" s="705"/>
      <c r="S107" s="705"/>
      <c r="T107" s="705"/>
      <c r="U107" s="705"/>
      <c r="V107" s="705"/>
      <c r="W107" s="705"/>
      <c r="X107" s="705"/>
      <c r="Y107" s="705"/>
      <c r="Z107" s="705"/>
      <c r="AA107" s="705"/>
    </row>
    <row r="108" spans="1:27">
      <c r="A108" s="705"/>
      <c r="B108" s="705"/>
      <c r="C108" s="705"/>
      <c r="D108" s="705"/>
      <c r="E108" s="705"/>
      <c r="F108" s="705"/>
      <c r="G108" s="705"/>
      <c r="H108" s="705"/>
      <c r="I108" s="705"/>
      <c r="J108" s="705"/>
      <c r="K108" s="705"/>
      <c r="L108" s="705"/>
      <c r="M108" s="705"/>
      <c r="N108" s="705"/>
      <c r="O108" s="705"/>
      <c r="P108" s="705"/>
      <c r="Q108" s="705"/>
      <c r="R108" s="705"/>
      <c r="S108" s="705"/>
      <c r="T108" s="705"/>
      <c r="U108" s="705"/>
      <c r="V108" s="705"/>
      <c r="W108" s="705"/>
      <c r="X108" s="705"/>
      <c r="Y108" s="705"/>
      <c r="Z108" s="705"/>
      <c r="AA108" s="705"/>
    </row>
    <row r="109" spans="1:27">
      <c r="A109" s="705"/>
      <c r="B109" s="705"/>
      <c r="C109" s="705"/>
      <c r="D109" s="705"/>
      <c r="E109" s="705"/>
      <c r="F109" s="705"/>
      <c r="G109" s="705"/>
      <c r="H109" s="705"/>
      <c r="I109" s="705"/>
      <c r="J109" s="705"/>
      <c r="K109" s="705"/>
      <c r="L109" s="705"/>
      <c r="M109" s="705"/>
      <c r="N109" s="705"/>
      <c r="O109" s="705"/>
      <c r="P109" s="705"/>
      <c r="Q109" s="705"/>
      <c r="R109" s="705"/>
      <c r="S109" s="705"/>
      <c r="T109" s="705"/>
      <c r="U109" s="705"/>
      <c r="V109" s="705"/>
      <c r="W109" s="705"/>
      <c r="X109" s="705"/>
      <c r="Y109" s="705"/>
      <c r="Z109" s="705"/>
      <c r="AA109" s="705"/>
    </row>
    <row r="110" spans="1:27">
      <c r="A110" s="705"/>
      <c r="B110" s="705"/>
      <c r="C110" s="705"/>
      <c r="D110" s="705"/>
      <c r="E110" s="705"/>
      <c r="F110" s="705"/>
      <c r="G110" s="705"/>
      <c r="H110" s="705"/>
      <c r="I110" s="705"/>
      <c r="J110" s="705"/>
      <c r="K110" s="705"/>
      <c r="L110" s="705"/>
      <c r="M110" s="705"/>
      <c r="N110" s="705"/>
      <c r="O110" s="705"/>
      <c r="P110" s="705"/>
      <c r="Q110" s="705"/>
      <c r="R110" s="705"/>
      <c r="S110" s="705"/>
      <c r="T110" s="705"/>
      <c r="U110" s="705"/>
      <c r="V110" s="705"/>
      <c r="W110" s="705"/>
      <c r="X110" s="705"/>
      <c r="Y110" s="705"/>
      <c r="Z110" s="705"/>
      <c r="AA110" s="705"/>
    </row>
    <row r="111" spans="1:27">
      <c r="A111" s="705"/>
      <c r="B111" s="705"/>
      <c r="C111" s="705"/>
      <c r="D111" s="705"/>
      <c r="E111" s="705"/>
      <c r="F111" s="705"/>
      <c r="G111" s="705"/>
      <c r="H111" s="705"/>
      <c r="I111" s="705"/>
      <c r="J111" s="705"/>
      <c r="K111" s="705"/>
      <c r="L111" s="705"/>
      <c r="M111" s="705"/>
      <c r="N111" s="705"/>
      <c r="O111" s="705"/>
      <c r="P111" s="705"/>
      <c r="Q111" s="705"/>
      <c r="R111" s="705"/>
      <c r="S111" s="705"/>
      <c r="T111" s="705"/>
      <c r="U111" s="705"/>
      <c r="V111" s="705"/>
      <c r="W111" s="705"/>
      <c r="X111" s="705"/>
      <c r="Y111" s="705"/>
      <c r="Z111" s="705"/>
      <c r="AA111" s="705"/>
    </row>
    <row r="112" spans="1:27">
      <c r="A112" s="705"/>
      <c r="B112" s="705"/>
      <c r="C112" s="705"/>
      <c r="D112" s="705"/>
      <c r="E112" s="705"/>
      <c r="F112" s="705"/>
      <c r="G112" s="705"/>
      <c r="H112" s="705"/>
      <c r="I112" s="705"/>
      <c r="J112" s="705"/>
      <c r="K112" s="705"/>
      <c r="L112" s="705"/>
      <c r="M112" s="705"/>
      <c r="N112" s="705"/>
      <c r="O112" s="705"/>
      <c r="P112" s="705"/>
      <c r="Q112" s="705"/>
      <c r="R112" s="705"/>
      <c r="S112" s="705"/>
      <c r="T112" s="705"/>
      <c r="U112" s="705"/>
      <c r="V112" s="705"/>
      <c r="W112" s="705"/>
      <c r="X112" s="705"/>
      <c r="Y112" s="705"/>
      <c r="Z112" s="705"/>
      <c r="AA112" s="705"/>
    </row>
    <row r="113" spans="1:27">
      <c r="A113" s="705"/>
      <c r="B113" s="705"/>
      <c r="C113" s="705"/>
      <c r="D113" s="705"/>
      <c r="E113" s="705"/>
      <c r="F113" s="705"/>
      <c r="G113" s="705"/>
      <c r="H113" s="705"/>
      <c r="I113" s="705"/>
      <c r="J113" s="705"/>
      <c r="K113" s="705"/>
      <c r="L113" s="705"/>
      <c r="M113" s="705"/>
      <c r="N113" s="705"/>
      <c r="O113" s="705"/>
      <c r="P113" s="705"/>
      <c r="Q113" s="705"/>
      <c r="R113" s="705"/>
      <c r="S113" s="705"/>
      <c r="T113" s="705"/>
      <c r="U113" s="705"/>
      <c r="V113" s="705"/>
      <c r="W113" s="705"/>
      <c r="X113" s="705"/>
      <c r="Y113" s="705"/>
      <c r="Z113" s="705"/>
      <c r="AA113" s="705"/>
    </row>
    <row r="114" spans="1:27">
      <c r="A114" s="705"/>
      <c r="B114" s="705"/>
      <c r="C114" s="705"/>
      <c r="D114" s="705"/>
      <c r="E114" s="705"/>
      <c r="F114" s="705"/>
      <c r="G114" s="705"/>
      <c r="H114" s="705"/>
      <c r="I114" s="705"/>
      <c r="J114" s="705"/>
      <c r="K114" s="705"/>
      <c r="L114" s="705"/>
      <c r="M114" s="705"/>
      <c r="N114" s="705"/>
      <c r="O114" s="705"/>
      <c r="P114" s="705"/>
      <c r="Q114" s="705"/>
      <c r="R114" s="705"/>
      <c r="S114" s="705"/>
      <c r="T114" s="705"/>
      <c r="U114" s="705"/>
      <c r="V114" s="705"/>
      <c r="W114" s="705"/>
      <c r="X114" s="705"/>
      <c r="Y114" s="705"/>
      <c r="Z114" s="705"/>
      <c r="AA114" s="705"/>
    </row>
    <row r="115" spans="1:27">
      <c r="A115" s="705"/>
      <c r="B115" s="705"/>
      <c r="C115" s="705"/>
      <c r="D115" s="705"/>
      <c r="E115" s="705"/>
      <c r="F115" s="705"/>
      <c r="G115" s="705"/>
      <c r="H115" s="705"/>
      <c r="I115" s="705"/>
      <c r="J115" s="705"/>
      <c r="K115" s="705"/>
      <c r="L115" s="705"/>
      <c r="M115" s="705"/>
      <c r="N115" s="705"/>
      <c r="O115" s="705"/>
      <c r="P115" s="705"/>
      <c r="Q115" s="705"/>
      <c r="R115" s="705"/>
      <c r="S115" s="705"/>
      <c r="T115" s="705"/>
      <c r="U115" s="705"/>
      <c r="V115" s="705"/>
      <c r="W115" s="705"/>
      <c r="X115" s="705"/>
      <c r="Y115" s="705"/>
      <c r="Z115" s="705"/>
      <c r="AA115" s="705"/>
    </row>
    <row r="116" spans="1:27">
      <c r="A116" s="705"/>
      <c r="B116" s="705"/>
      <c r="C116" s="705"/>
      <c r="D116" s="705"/>
      <c r="E116" s="705"/>
      <c r="F116" s="705"/>
      <c r="G116" s="705"/>
      <c r="H116" s="705"/>
      <c r="I116" s="705"/>
      <c r="J116" s="705"/>
      <c r="K116" s="705"/>
      <c r="L116" s="705"/>
      <c r="M116" s="705"/>
      <c r="N116" s="705"/>
      <c r="O116" s="705"/>
      <c r="P116" s="705"/>
      <c r="Q116" s="705"/>
      <c r="R116" s="705"/>
      <c r="S116" s="705"/>
      <c r="T116" s="705"/>
      <c r="U116" s="705"/>
      <c r="V116" s="705"/>
      <c r="W116" s="705"/>
      <c r="X116" s="705"/>
      <c r="Y116" s="705"/>
      <c r="Z116" s="705"/>
      <c r="AA116" s="705"/>
    </row>
    <row r="117" spans="1:27">
      <c r="A117" s="705"/>
      <c r="B117" s="705"/>
      <c r="C117" s="705"/>
      <c r="D117" s="705"/>
      <c r="E117" s="705"/>
      <c r="F117" s="705"/>
      <c r="G117" s="705"/>
      <c r="H117" s="705"/>
      <c r="I117" s="705"/>
      <c r="J117" s="705"/>
      <c r="K117" s="705"/>
      <c r="L117" s="705"/>
      <c r="M117" s="705"/>
      <c r="N117" s="705"/>
      <c r="O117" s="705"/>
      <c r="P117" s="705"/>
      <c r="Q117" s="705"/>
      <c r="R117" s="705"/>
      <c r="S117" s="705"/>
      <c r="T117" s="705"/>
      <c r="U117" s="705"/>
      <c r="V117" s="705"/>
      <c r="W117" s="705"/>
      <c r="X117" s="705"/>
      <c r="Y117" s="705"/>
      <c r="Z117" s="705"/>
      <c r="AA117" s="705"/>
    </row>
    <row r="118" spans="1:27">
      <c r="A118" s="705"/>
      <c r="B118" s="705"/>
      <c r="C118" s="705"/>
      <c r="D118" s="705"/>
      <c r="E118" s="705"/>
      <c r="F118" s="705"/>
      <c r="G118" s="705"/>
      <c r="H118" s="705"/>
      <c r="I118" s="705"/>
      <c r="J118" s="705"/>
      <c r="K118" s="705"/>
      <c r="L118" s="705"/>
      <c r="M118" s="705"/>
      <c r="N118" s="705"/>
      <c r="O118" s="705"/>
      <c r="P118" s="705"/>
      <c r="Q118" s="705"/>
      <c r="R118" s="705"/>
      <c r="S118" s="705"/>
      <c r="T118" s="705"/>
      <c r="U118" s="705"/>
      <c r="V118" s="705"/>
      <c r="W118" s="705"/>
      <c r="X118" s="705"/>
      <c r="Y118" s="705"/>
      <c r="Z118" s="705"/>
      <c r="AA118" s="705"/>
    </row>
    <row r="119" spans="1:27">
      <c r="A119" s="705"/>
      <c r="B119" s="705"/>
      <c r="C119" s="705"/>
      <c r="D119" s="705"/>
      <c r="E119" s="705"/>
      <c r="F119" s="705"/>
      <c r="G119" s="705"/>
      <c r="H119" s="705"/>
      <c r="I119" s="705"/>
      <c r="J119" s="705"/>
      <c r="K119" s="705"/>
      <c r="L119" s="705"/>
      <c r="M119" s="705"/>
      <c r="N119" s="705"/>
      <c r="O119" s="705"/>
      <c r="P119" s="705"/>
      <c r="Q119" s="705"/>
      <c r="R119" s="705"/>
      <c r="S119" s="705"/>
      <c r="T119" s="705"/>
      <c r="U119" s="705"/>
      <c r="V119" s="705"/>
      <c r="W119" s="705"/>
      <c r="X119" s="705"/>
      <c r="Y119" s="705"/>
      <c r="Z119" s="705"/>
      <c r="AA119" s="705"/>
    </row>
    <row r="120" spans="1:27">
      <c r="A120" s="705"/>
      <c r="B120" s="705"/>
      <c r="C120" s="705"/>
      <c r="D120" s="705"/>
      <c r="E120" s="705"/>
      <c r="F120" s="705"/>
      <c r="G120" s="705"/>
      <c r="H120" s="705"/>
      <c r="I120" s="705"/>
      <c r="J120" s="705"/>
      <c r="K120" s="705"/>
      <c r="L120" s="705"/>
      <c r="M120" s="705"/>
      <c r="N120" s="705"/>
      <c r="O120" s="705"/>
      <c r="P120" s="705"/>
      <c r="Q120" s="705"/>
      <c r="R120" s="705"/>
      <c r="S120" s="705"/>
      <c r="T120" s="705"/>
      <c r="U120" s="705"/>
      <c r="V120" s="705"/>
      <c r="W120" s="705"/>
      <c r="X120" s="705"/>
      <c r="Y120" s="705"/>
      <c r="Z120" s="705"/>
      <c r="AA120" s="705"/>
    </row>
    <row r="121" spans="1:27">
      <c r="A121" s="705"/>
      <c r="B121" s="705"/>
      <c r="C121" s="705"/>
      <c r="D121" s="705"/>
      <c r="E121" s="705"/>
      <c r="F121" s="705"/>
      <c r="G121" s="705"/>
      <c r="H121" s="705"/>
      <c r="I121" s="705"/>
      <c r="J121" s="705"/>
      <c r="K121" s="705"/>
      <c r="L121" s="705"/>
      <c r="M121" s="705"/>
      <c r="N121" s="705"/>
      <c r="O121" s="705"/>
      <c r="P121" s="705"/>
      <c r="Q121" s="705"/>
      <c r="R121" s="705"/>
      <c r="S121" s="705"/>
      <c r="T121" s="705"/>
      <c r="U121" s="705"/>
      <c r="V121" s="705"/>
      <c r="W121" s="705"/>
      <c r="X121" s="705"/>
      <c r="Y121" s="705"/>
      <c r="Z121" s="705"/>
      <c r="AA121" s="705"/>
    </row>
    <row r="122" spans="1:27">
      <c r="A122" s="705"/>
      <c r="B122" s="705"/>
      <c r="C122" s="705"/>
      <c r="D122" s="705"/>
      <c r="E122" s="705"/>
      <c r="F122" s="705"/>
      <c r="G122" s="705"/>
      <c r="H122" s="705"/>
      <c r="I122" s="705"/>
      <c r="J122" s="705"/>
      <c r="K122" s="705"/>
      <c r="L122" s="705"/>
      <c r="M122" s="705"/>
      <c r="N122" s="705"/>
      <c r="O122" s="705"/>
      <c r="P122" s="705"/>
      <c r="Q122" s="705"/>
      <c r="R122" s="705"/>
      <c r="S122" s="705"/>
      <c r="T122" s="705"/>
      <c r="U122" s="705"/>
      <c r="V122" s="705"/>
      <c r="W122" s="705"/>
      <c r="X122" s="705"/>
      <c r="Y122" s="705"/>
      <c r="Z122" s="705"/>
      <c r="AA122" s="705"/>
    </row>
    <row r="123" spans="1:27">
      <c r="A123" s="705"/>
      <c r="B123" s="705"/>
      <c r="C123" s="705"/>
      <c r="D123" s="705"/>
      <c r="E123" s="705"/>
      <c r="F123" s="705"/>
      <c r="G123" s="705"/>
      <c r="H123" s="705"/>
      <c r="I123" s="705"/>
      <c r="J123" s="705"/>
      <c r="K123" s="705"/>
      <c r="L123" s="705"/>
      <c r="M123" s="705"/>
      <c r="N123" s="705"/>
      <c r="O123" s="705"/>
      <c r="P123" s="705"/>
      <c r="Q123" s="705"/>
      <c r="R123" s="705"/>
      <c r="S123" s="705"/>
      <c r="T123" s="705"/>
      <c r="U123" s="705"/>
      <c r="V123" s="705"/>
      <c r="W123" s="705"/>
      <c r="X123" s="705"/>
      <c r="Y123" s="705"/>
      <c r="Z123" s="705"/>
      <c r="AA123" s="705"/>
    </row>
    <row r="124" spans="1:27">
      <c r="A124" s="705"/>
      <c r="B124" s="705"/>
      <c r="C124" s="705"/>
      <c r="D124" s="705"/>
      <c r="E124" s="705"/>
      <c r="F124" s="705"/>
      <c r="G124" s="705"/>
      <c r="H124" s="705"/>
      <c r="I124" s="705"/>
      <c r="J124" s="705"/>
      <c r="K124" s="705"/>
      <c r="L124" s="705"/>
      <c r="M124" s="705"/>
      <c r="N124" s="705"/>
      <c r="O124" s="705"/>
      <c r="P124" s="705"/>
      <c r="Q124" s="705"/>
      <c r="R124" s="705"/>
      <c r="S124" s="705"/>
      <c r="T124" s="705"/>
      <c r="U124" s="705"/>
      <c r="V124" s="705"/>
      <c r="W124" s="705"/>
      <c r="X124" s="705"/>
      <c r="Y124" s="705"/>
      <c r="Z124" s="705"/>
      <c r="AA124" s="705"/>
    </row>
    <row r="125" spans="1:27">
      <c r="A125" s="705"/>
      <c r="B125" s="705"/>
      <c r="C125" s="705"/>
      <c r="D125" s="705"/>
      <c r="E125" s="705"/>
      <c r="F125" s="705"/>
      <c r="G125" s="705"/>
      <c r="H125" s="705"/>
      <c r="I125" s="705"/>
      <c r="J125" s="705"/>
      <c r="K125" s="705"/>
      <c r="L125" s="705"/>
      <c r="M125" s="705"/>
      <c r="N125" s="705"/>
      <c r="O125" s="705"/>
      <c r="P125" s="705"/>
      <c r="Q125" s="705"/>
      <c r="R125" s="705"/>
      <c r="S125" s="705"/>
      <c r="T125" s="705"/>
      <c r="U125" s="705"/>
      <c r="V125" s="705"/>
      <c r="W125" s="705"/>
      <c r="X125" s="705"/>
      <c r="Y125" s="705"/>
      <c r="Z125" s="705"/>
      <c r="AA125" s="705"/>
    </row>
    <row r="126" spans="1:27">
      <c r="A126" s="705"/>
      <c r="B126" s="705"/>
      <c r="C126" s="705"/>
      <c r="D126" s="705"/>
      <c r="E126" s="705"/>
      <c r="F126" s="705"/>
      <c r="G126" s="705"/>
      <c r="H126" s="705"/>
      <c r="I126" s="705"/>
      <c r="J126" s="705"/>
      <c r="K126" s="705"/>
      <c r="L126" s="705"/>
      <c r="M126" s="705"/>
      <c r="N126" s="705"/>
      <c r="O126" s="705"/>
      <c r="P126" s="705"/>
      <c r="Q126" s="705"/>
      <c r="R126" s="705"/>
      <c r="S126" s="705"/>
      <c r="T126" s="705"/>
      <c r="U126" s="705"/>
      <c r="V126" s="705"/>
      <c r="W126" s="705"/>
      <c r="X126" s="705"/>
      <c r="Y126" s="705"/>
      <c r="Z126" s="705"/>
      <c r="AA126" s="705"/>
    </row>
    <row r="127" spans="1:27">
      <c r="A127" s="705"/>
      <c r="B127" s="705"/>
      <c r="C127" s="705"/>
      <c r="D127" s="705"/>
      <c r="E127" s="705"/>
      <c r="F127" s="705"/>
      <c r="G127" s="705"/>
      <c r="H127" s="705"/>
      <c r="I127" s="705"/>
      <c r="J127" s="705"/>
      <c r="K127" s="705"/>
      <c r="L127" s="705"/>
      <c r="M127" s="705"/>
      <c r="N127" s="705"/>
      <c r="O127" s="705"/>
      <c r="P127" s="705"/>
      <c r="Q127" s="705"/>
      <c r="R127" s="705"/>
      <c r="S127" s="705"/>
      <c r="T127" s="705"/>
      <c r="U127" s="705"/>
      <c r="V127" s="705"/>
      <c r="W127" s="705"/>
      <c r="X127" s="705"/>
      <c r="Y127" s="705"/>
      <c r="Z127" s="705"/>
      <c r="AA127" s="705"/>
    </row>
    <row r="128" spans="1:27">
      <c r="A128" s="705"/>
      <c r="B128" s="705"/>
      <c r="C128" s="705"/>
      <c r="D128" s="705"/>
      <c r="E128" s="705"/>
      <c r="F128" s="705"/>
      <c r="G128" s="705"/>
      <c r="H128" s="705"/>
      <c r="I128" s="705"/>
      <c r="J128" s="705"/>
      <c r="K128" s="705"/>
      <c r="L128" s="705"/>
      <c r="M128" s="705"/>
      <c r="N128" s="705"/>
      <c r="O128" s="705"/>
      <c r="P128" s="705"/>
      <c r="Q128" s="705"/>
      <c r="R128" s="705"/>
      <c r="S128" s="705"/>
      <c r="T128" s="705"/>
      <c r="U128" s="705"/>
      <c r="V128" s="705"/>
      <c r="W128" s="705"/>
      <c r="X128" s="705"/>
      <c r="Y128" s="705"/>
      <c r="Z128" s="705"/>
      <c r="AA128" s="705"/>
    </row>
    <row r="129" spans="1:27">
      <c r="A129" s="705"/>
      <c r="B129" s="705"/>
      <c r="C129" s="705"/>
      <c r="D129" s="705"/>
      <c r="E129" s="705"/>
      <c r="F129" s="705"/>
      <c r="G129" s="705"/>
      <c r="H129" s="705"/>
      <c r="I129" s="705"/>
      <c r="J129" s="705"/>
      <c r="K129" s="705"/>
      <c r="L129" s="705"/>
      <c r="M129" s="705"/>
      <c r="N129" s="705"/>
      <c r="O129" s="705"/>
      <c r="P129" s="705"/>
      <c r="Q129" s="705"/>
      <c r="R129" s="705"/>
      <c r="S129" s="705"/>
      <c r="T129" s="705"/>
      <c r="U129" s="705"/>
      <c r="V129" s="705"/>
      <c r="W129" s="705"/>
      <c r="X129" s="705"/>
      <c r="Y129" s="705"/>
      <c r="Z129" s="705"/>
      <c r="AA129" s="705"/>
    </row>
    <row r="130" spans="1:27">
      <c r="A130" s="705"/>
      <c r="B130" s="705"/>
      <c r="C130" s="705"/>
      <c r="D130" s="705"/>
      <c r="E130" s="705"/>
      <c r="F130" s="705"/>
      <c r="G130" s="705"/>
      <c r="H130" s="705"/>
      <c r="I130" s="705"/>
      <c r="J130" s="705"/>
      <c r="K130" s="705"/>
      <c r="L130" s="705"/>
      <c r="M130" s="705"/>
      <c r="N130" s="705"/>
      <c r="O130" s="705"/>
      <c r="P130" s="705"/>
      <c r="Q130" s="705"/>
      <c r="R130" s="705"/>
      <c r="S130" s="705"/>
      <c r="T130" s="705"/>
      <c r="U130" s="705"/>
      <c r="V130" s="705"/>
      <c r="W130" s="705"/>
      <c r="X130" s="705"/>
      <c r="Y130" s="705"/>
      <c r="Z130" s="705"/>
      <c r="AA130" s="705"/>
    </row>
    <row r="131" spans="1:27">
      <c r="A131" s="705"/>
      <c r="B131" s="705"/>
      <c r="C131" s="705"/>
      <c r="D131" s="705"/>
      <c r="E131" s="705"/>
      <c r="F131" s="705"/>
      <c r="G131" s="705"/>
      <c r="H131" s="705"/>
      <c r="I131" s="705"/>
      <c r="J131" s="705"/>
      <c r="K131" s="705"/>
      <c r="L131" s="705"/>
      <c r="M131" s="705"/>
      <c r="N131" s="705"/>
      <c r="O131" s="705"/>
      <c r="P131" s="705"/>
      <c r="Q131" s="705"/>
      <c r="R131" s="705"/>
      <c r="S131" s="705"/>
      <c r="T131" s="705"/>
      <c r="U131" s="705"/>
      <c r="V131" s="705"/>
      <c r="W131" s="705"/>
      <c r="X131" s="705"/>
      <c r="Y131" s="705"/>
      <c r="Z131" s="705"/>
      <c r="AA131" s="705"/>
    </row>
    <row r="132" spans="1:27">
      <c r="A132" s="705"/>
      <c r="B132" s="705"/>
      <c r="C132" s="705"/>
      <c r="D132" s="705"/>
      <c r="E132" s="705"/>
      <c r="F132" s="705"/>
      <c r="G132" s="705"/>
      <c r="H132" s="705"/>
      <c r="I132" s="705"/>
      <c r="J132" s="705"/>
      <c r="K132" s="705"/>
      <c r="L132" s="705"/>
      <c r="M132" s="705"/>
      <c r="N132" s="705"/>
      <c r="O132" s="705"/>
      <c r="P132" s="705"/>
      <c r="Q132" s="705"/>
      <c r="R132" s="705"/>
      <c r="S132" s="705"/>
      <c r="T132" s="705"/>
      <c r="U132" s="705"/>
      <c r="V132" s="705"/>
      <c r="W132" s="705"/>
      <c r="X132" s="705"/>
      <c r="Y132" s="705"/>
      <c r="Z132" s="705"/>
      <c r="AA132" s="705"/>
    </row>
    <row r="133" spans="1:27">
      <c r="A133" s="705"/>
      <c r="B133" s="705"/>
      <c r="C133" s="705"/>
      <c r="D133" s="705"/>
      <c r="E133" s="705"/>
      <c r="F133" s="705"/>
      <c r="G133" s="705"/>
      <c r="H133" s="705"/>
      <c r="I133" s="705"/>
      <c r="J133" s="705"/>
      <c r="K133" s="705"/>
      <c r="L133" s="705"/>
      <c r="M133" s="705"/>
      <c r="N133" s="705"/>
      <c r="O133" s="705"/>
      <c r="P133" s="705"/>
      <c r="Q133" s="705"/>
      <c r="R133" s="705"/>
      <c r="S133" s="705"/>
      <c r="T133" s="705"/>
      <c r="U133" s="705"/>
      <c r="V133" s="705"/>
      <c r="W133" s="705"/>
      <c r="X133" s="705"/>
      <c r="Y133" s="705"/>
      <c r="Z133" s="705"/>
      <c r="AA133" s="705"/>
    </row>
    <row r="134" spans="1:27">
      <c r="A134" s="705"/>
      <c r="B134" s="705"/>
      <c r="C134" s="705"/>
      <c r="D134" s="705"/>
      <c r="E134" s="705"/>
      <c r="F134" s="705"/>
      <c r="G134" s="705"/>
      <c r="H134" s="705"/>
      <c r="I134" s="705"/>
      <c r="J134" s="705"/>
      <c r="K134" s="705"/>
      <c r="L134" s="705"/>
      <c r="M134" s="705"/>
      <c r="N134" s="705"/>
      <c r="O134" s="705"/>
      <c r="P134" s="705"/>
      <c r="Q134" s="705"/>
      <c r="R134" s="705"/>
      <c r="S134" s="705"/>
      <c r="T134" s="705"/>
      <c r="U134" s="705"/>
      <c r="V134" s="705"/>
      <c r="W134" s="705"/>
      <c r="X134" s="705"/>
      <c r="Y134" s="705"/>
      <c r="Z134" s="705"/>
      <c r="AA134" s="705"/>
    </row>
    <row r="135" spans="1:27">
      <c r="A135" s="705"/>
      <c r="B135" s="705"/>
      <c r="C135" s="705"/>
      <c r="D135" s="705"/>
      <c r="E135" s="705"/>
      <c r="F135" s="705"/>
      <c r="G135" s="705"/>
      <c r="H135" s="705"/>
      <c r="I135" s="705"/>
      <c r="J135" s="705"/>
      <c r="K135" s="705"/>
      <c r="L135" s="705"/>
      <c r="M135" s="705"/>
      <c r="N135" s="705"/>
      <c r="O135" s="705"/>
      <c r="P135" s="705"/>
      <c r="Q135" s="705"/>
      <c r="R135" s="705"/>
      <c r="S135" s="705"/>
      <c r="T135" s="705"/>
      <c r="U135" s="705"/>
      <c r="V135" s="705"/>
      <c r="W135" s="705"/>
      <c r="X135" s="705"/>
      <c r="Y135" s="705"/>
      <c r="Z135" s="705"/>
      <c r="AA135" s="705"/>
    </row>
    <row r="136" spans="1:27">
      <c r="A136" s="705"/>
      <c r="B136" s="705"/>
      <c r="C136" s="705"/>
      <c r="D136" s="705"/>
      <c r="E136" s="705"/>
      <c r="F136" s="705"/>
      <c r="G136" s="705"/>
      <c r="H136" s="705"/>
      <c r="I136" s="705"/>
      <c r="J136" s="705"/>
      <c r="K136" s="705"/>
      <c r="L136" s="705"/>
      <c r="M136" s="705"/>
      <c r="N136" s="705"/>
      <c r="O136" s="705"/>
      <c r="P136" s="705"/>
      <c r="Q136" s="705"/>
      <c r="R136" s="705"/>
      <c r="S136" s="705"/>
      <c r="T136" s="705"/>
      <c r="U136" s="705"/>
      <c r="V136" s="705"/>
      <c r="W136" s="705"/>
      <c r="X136" s="705"/>
      <c r="Y136" s="705"/>
      <c r="Z136" s="705"/>
      <c r="AA136" s="705"/>
    </row>
    <row r="137" spans="1:27">
      <c r="A137" s="705"/>
      <c r="B137" s="705"/>
      <c r="C137" s="705"/>
      <c r="D137" s="705"/>
      <c r="E137" s="705"/>
      <c r="F137" s="705"/>
      <c r="G137" s="705"/>
      <c r="H137" s="705"/>
      <c r="I137" s="705"/>
      <c r="J137" s="705"/>
      <c r="K137" s="705"/>
      <c r="L137" s="705"/>
      <c r="M137" s="705"/>
      <c r="N137" s="705"/>
      <c r="O137" s="705"/>
      <c r="P137" s="705"/>
      <c r="Q137" s="705"/>
      <c r="R137" s="705"/>
      <c r="S137" s="705"/>
      <c r="T137" s="705"/>
      <c r="U137" s="705"/>
      <c r="V137" s="705"/>
      <c r="W137" s="705"/>
      <c r="X137" s="705"/>
      <c r="Y137" s="705"/>
      <c r="Z137" s="705"/>
      <c r="AA137" s="705"/>
    </row>
    <row r="138" spans="1:27">
      <c r="A138" s="705"/>
      <c r="B138" s="705"/>
      <c r="C138" s="705"/>
      <c r="D138" s="705"/>
      <c r="E138" s="705"/>
      <c r="F138" s="705"/>
      <c r="G138" s="705"/>
      <c r="H138" s="705"/>
      <c r="I138" s="705"/>
      <c r="J138" s="705"/>
      <c r="K138" s="705"/>
      <c r="L138" s="705"/>
      <c r="M138" s="705"/>
      <c r="N138" s="705"/>
      <c r="O138" s="705"/>
      <c r="P138" s="705"/>
      <c r="Q138" s="705"/>
      <c r="R138" s="705"/>
      <c r="S138" s="705"/>
      <c r="T138" s="705"/>
      <c r="U138" s="705"/>
      <c r="V138" s="705"/>
      <c r="W138" s="705"/>
      <c r="X138" s="705"/>
      <c r="Y138" s="705"/>
      <c r="Z138" s="705"/>
      <c r="AA138" s="705"/>
    </row>
    <row r="139" spans="1:27">
      <c r="A139" s="705"/>
      <c r="B139" s="705"/>
      <c r="C139" s="705"/>
      <c r="D139" s="705"/>
      <c r="E139" s="705"/>
      <c r="F139" s="705"/>
      <c r="G139" s="705"/>
      <c r="H139" s="705"/>
      <c r="I139" s="705"/>
      <c r="J139" s="705"/>
      <c r="K139" s="705"/>
      <c r="L139" s="705"/>
      <c r="M139" s="705"/>
      <c r="N139" s="705"/>
      <c r="O139" s="705"/>
      <c r="P139" s="705"/>
      <c r="Q139" s="705"/>
      <c r="R139" s="705"/>
      <c r="S139" s="705"/>
      <c r="T139" s="705"/>
      <c r="U139" s="705"/>
      <c r="V139" s="705"/>
      <c r="W139" s="705"/>
      <c r="X139" s="705"/>
      <c r="Y139" s="705"/>
      <c r="Z139" s="705"/>
      <c r="AA139" s="705"/>
    </row>
    <row r="140" spans="1:27">
      <c r="A140" s="705"/>
      <c r="B140" s="705"/>
      <c r="C140" s="705"/>
      <c r="D140" s="705"/>
      <c r="E140" s="705"/>
      <c r="F140" s="705"/>
      <c r="G140" s="705"/>
      <c r="H140" s="705"/>
      <c r="I140" s="705"/>
      <c r="J140" s="705"/>
      <c r="K140" s="705"/>
      <c r="L140" s="705"/>
      <c r="M140" s="705"/>
      <c r="N140" s="705"/>
      <c r="O140" s="705"/>
      <c r="P140" s="705"/>
      <c r="Q140" s="705"/>
      <c r="R140" s="705"/>
      <c r="S140" s="705"/>
      <c r="T140" s="705"/>
      <c r="U140" s="705"/>
      <c r="V140" s="705"/>
      <c r="W140" s="705"/>
      <c r="X140" s="705"/>
      <c r="Y140" s="705"/>
      <c r="Z140" s="705"/>
      <c r="AA140" s="705"/>
    </row>
    <row r="141" spans="1:27">
      <c r="A141" s="705"/>
      <c r="B141" s="705"/>
      <c r="C141" s="705"/>
      <c r="D141" s="705"/>
      <c r="E141" s="705"/>
      <c r="F141" s="705"/>
      <c r="G141" s="705"/>
      <c r="H141" s="705"/>
      <c r="I141" s="705"/>
      <c r="J141" s="705"/>
      <c r="K141" s="705"/>
      <c r="L141" s="705"/>
      <c r="M141" s="705"/>
      <c r="N141" s="705"/>
      <c r="O141" s="705"/>
      <c r="P141" s="705"/>
      <c r="Q141" s="705"/>
      <c r="R141" s="705"/>
      <c r="S141" s="705"/>
      <c r="T141" s="705"/>
      <c r="U141" s="705"/>
      <c r="V141" s="705"/>
      <c r="W141" s="705"/>
      <c r="X141" s="705"/>
      <c r="Y141" s="705"/>
      <c r="Z141" s="705"/>
      <c r="AA141" s="705"/>
    </row>
    <row r="142" spans="1:27">
      <c r="A142" s="705"/>
      <c r="B142" s="705"/>
      <c r="C142" s="705"/>
      <c r="D142" s="705"/>
      <c r="E142" s="705"/>
      <c r="F142" s="705"/>
      <c r="G142" s="705"/>
      <c r="H142" s="705"/>
      <c r="I142" s="705"/>
      <c r="J142" s="705"/>
      <c r="K142" s="705"/>
      <c r="L142" s="705"/>
      <c r="M142" s="705"/>
      <c r="N142" s="705"/>
      <c r="O142" s="705"/>
      <c r="P142" s="705"/>
      <c r="Q142" s="705"/>
      <c r="R142" s="705"/>
      <c r="S142" s="705"/>
      <c r="T142" s="705"/>
      <c r="U142" s="705"/>
      <c r="V142" s="705"/>
      <c r="W142" s="705"/>
      <c r="X142" s="705"/>
      <c r="Y142" s="705"/>
      <c r="Z142" s="705"/>
      <c r="AA142" s="705"/>
    </row>
    <row r="143" spans="1:27">
      <c r="A143" s="705"/>
      <c r="B143" s="705"/>
      <c r="C143" s="705"/>
      <c r="D143" s="705"/>
      <c r="E143" s="705"/>
      <c r="F143" s="705"/>
      <c r="G143" s="705"/>
      <c r="H143" s="705"/>
      <c r="I143" s="705"/>
      <c r="J143" s="705"/>
      <c r="K143" s="705"/>
      <c r="L143" s="705"/>
      <c r="M143" s="705"/>
      <c r="N143" s="705"/>
      <c r="O143" s="705"/>
      <c r="P143" s="705"/>
      <c r="Q143" s="705"/>
      <c r="R143" s="705"/>
      <c r="S143" s="705"/>
      <c r="T143" s="705"/>
      <c r="U143" s="705"/>
      <c r="V143" s="705"/>
      <c r="W143" s="705"/>
      <c r="X143" s="705"/>
      <c r="Y143" s="705"/>
      <c r="Z143" s="705"/>
      <c r="AA143" s="705"/>
    </row>
    <row r="144" spans="1:27">
      <c r="A144" s="705"/>
      <c r="B144" s="705"/>
      <c r="C144" s="705"/>
      <c r="D144" s="705"/>
      <c r="E144" s="705"/>
      <c r="F144" s="705"/>
      <c r="G144" s="705"/>
      <c r="H144" s="705"/>
      <c r="I144" s="705"/>
      <c r="J144" s="705"/>
      <c r="K144" s="705"/>
      <c r="L144" s="705"/>
      <c r="M144" s="705"/>
      <c r="N144" s="705"/>
      <c r="O144" s="705"/>
      <c r="P144" s="705"/>
      <c r="Q144" s="705"/>
      <c r="R144" s="705"/>
      <c r="S144" s="705"/>
      <c r="T144" s="705"/>
      <c r="U144" s="705"/>
      <c r="V144" s="705"/>
      <c r="W144" s="705"/>
      <c r="X144" s="705"/>
      <c r="Y144" s="705"/>
      <c r="Z144" s="705"/>
      <c r="AA144" s="705"/>
    </row>
    <row r="145" spans="1:27">
      <c r="A145" s="705"/>
      <c r="B145" s="705"/>
      <c r="C145" s="705"/>
      <c r="D145" s="705"/>
      <c r="E145" s="705"/>
      <c r="F145" s="705"/>
      <c r="G145" s="705"/>
      <c r="H145" s="705"/>
      <c r="I145" s="705"/>
      <c r="J145" s="705"/>
      <c r="K145" s="705"/>
      <c r="L145" s="705"/>
      <c r="M145" s="705"/>
      <c r="N145" s="705"/>
      <c r="O145" s="705"/>
      <c r="P145" s="705"/>
      <c r="Q145" s="705"/>
      <c r="R145" s="705"/>
      <c r="S145" s="705"/>
      <c r="T145" s="705"/>
      <c r="U145" s="705"/>
      <c r="V145" s="705"/>
      <c r="W145" s="705"/>
      <c r="X145" s="705"/>
      <c r="Y145" s="705"/>
      <c r="Z145" s="705"/>
      <c r="AA145" s="705"/>
    </row>
    <row r="146" spans="1:27">
      <c r="A146" s="705"/>
      <c r="B146" s="705"/>
      <c r="C146" s="705"/>
      <c r="D146" s="705"/>
      <c r="E146" s="705"/>
      <c r="F146" s="705"/>
      <c r="G146" s="705"/>
      <c r="H146" s="705"/>
      <c r="I146" s="705"/>
      <c r="J146" s="705"/>
      <c r="K146" s="705"/>
      <c r="L146" s="705"/>
      <c r="M146" s="705"/>
      <c r="N146" s="705"/>
      <c r="O146" s="705"/>
      <c r="P146" s="705"/>
      <c r="Q146" s="705"/>
      <c r="R146" s="705"/>
      <c r="S146" s="705"/>
      <c r="T146" s="705"/>
      <c r="U146" s="705"/>
      <c r="V146" s="705"/>
      <c r="W146" s="705"/>
      <c r="X146" s="705"/>
      <c r="Y146" s="705"/>
      <c r="Z146" s="705"/>
      <c r="AA146" s="705"/>
    </row>
    <row r="147" spans="1:27">
      <c r="A147" s="705"/>
      <c r="B147" s="705"/>
      <c r="C147" s="705"/>
      <c r="D147" s="705"/>
      <c r="E147" s="705"/>
      <c r="F147" s="705"/>
      <c r="G147" s="705"/>
      <c r="H147" s="705"/>
      <c r="I147" s="705"/>
      <c r="J147" s="705"/>
      <c r="K147" s="705"/>
      <c r="L147" s="705"/>
      <c r="M147" s="705"/>
      <c r="N147" s="705"/>
      <c r="O147" s="705"/>
      <c r="P147" s="705"/>
      <c r="Q147" s="705"/>
      <c r="R147" s="705"/>
      <c r="S147" s="705"/>
      <c r="T147" s="705"/>
      <c r="U147" s="705"/>
      <c r="V147" s="705"/>
      <c r="W147" s="705"/>
      <c r="X147" s="705"/>
      <c r="Y147" s="705"/>
      <c r="Z147" s="705"/>
      <c r="AA147" s="705"/>
    </row>
    <row r="148" spans="1:27">
      <c r="A148" s="705"/>
      <c r="B148" s="705"/>
      <c r="C148" s="705"/>
      <c r="D148" s="705"/>
      <c r="E148" s="705"/>
      <c r="F148" s="705"/>
      <c r="G148" s="705"/>
      <c r="H148" s="705"/>
      <c r="I148" s="705"/>
      <c r="J148" s="705"/>
      <c r="K148" s="705"/>
      <c r="L148" s="705"/>
      <c r="M148" s="705"/>
      <c r="N148" s="705"/>
      <c r="O148" s="705"/>
      <c r="P148" s="705"/>
      <c r="Q148" s="705"/>
      <c r="R148" s="705"/>
      <c r="S148" s="705"/>
      <c r="T148" s="705"/>
      <c r="U148" s="705"/>
      <c r="V148" s="705"/>
      <c r="W148" s="705"/>
      <c r="X148" s="705"/>
      <c r="Y148" s="705"/>
      <c r="Z148" s="705"/>
      <c r="AA148" s="705"/>
    </row>
    <row r="149" spans="1:27">
      <c r="A149" s="705"/>
      <c r="B149" s="705"/>
      <c r="C149" s="705"/>
      <c r="D149" s="705"/>
      <c r="E149" s="705"/>
      <c r="F149" s="705"/>
      <c r="G149" s="705"/>
      <c r="H149" s="705"/>
      <c r="I149" s="705"/>
      <c r="J149" s="705"/>
      <c r="K149" s="705"/>
      <c r="L149" s="705"/>
      <c r="M149" s="705"/>
      <c r="N149" s="705"/>
      <c r="O149" s="705"/>
      <c r="P149" s="705"/>
      <c r="Q149" s="705"/>
      <c r="R149" s="705"/>
      <c r="S149" s="705"/>
      <c r="T149" s="705"/>
      <c r="U149" s="705"/>
      <c r="V149" s="705"/>
      <c r="W149" s="705"/>
      <c r="X149" s="705"/>
      <c r="Y149" s="705"/>
      <c r="Z149" s="705"/>
      <c r="AA149" s="705"/>
    </row>
    <row r="150" spans="1:27">
      <c r="A150" s="705"/>
      <c r="B150" s="705"/>
      <c r="C150" s="705"/>
      <c r="D150" s="705"/>
      <c r="E150" s="705"/>
      <c r="F150" s="705"/>
      <c r="G150" s="705"/>
      <c r="H150" s="705"/>
      <c r="I150" s="705"/>
      <c r="J150" s="705"/>
      <c r="K150" s="705"/>
      <c r="L150" s="705"/>
      <c r="M150" s="705"/>
      <c r="N150" s="705"/>
      <c r="O150" s="705"/>
      <c r="P150" s="705"/>
      <c r="Q150" s="705"/>
      <c r="R150" s="705"/>
      <c r="S150" s="705"/>
      <c r="T150" s="705"/>
      <c r="U150" s="705"/>
      <c r="V150" s="705"/>
      <c r="W150" s="705"/>
      <c r="X150" s="705"/>
      <c r="Y150" s="705"/>
      <c r="Z150" s="705"/>
      <c r="AA150" s="705"/>
    </row>
    <row r="151" spans="1:27">
      <c r="A151" s="705"/>
      <c r="B151" s="705"/>
      <c r="C151" s="705"/>
      <c r="D151" s="705"/>
      <c r="E151" s="705"/>
      <c r="F151" s="705"/>
      <c r="G151" s="705"/>
      <c r="H151" s="705"/>
      <c r="I151" s="705"/>
      <c r="J151" s="705"/>
      <c r="K151" s="705"/>
      <c r="L151" s="705"/>
      <c r="M151" s="705"/>
      <c r="N151" s="705"/>
      <c r="O151" s="705"/>
      <c r="P151" s="705"/>
      <c r="Q151" s="705"/>
      <c r="R151" s="705"/>
      <c r="S151" s="705"/>
      <c r="T151" s="705"/>
      <c r="U151" s="705"/>
      <c r="V151" s="705"/>
      <c r="W151" s="705"/>
      <c r="X151" s="705"/>
      <c r="Y151" s="705"/>
      <c r="Z151" s="705"/>
      <c r="AA151" s="705"/>
    </row>
    <row r="152" spans="1:27">
      <c r="A152" s="705"/>
      <c r="B152" s="705"/>
      <c r="C152" s="705"/>
      <c r="D152" s="705"/>
      <c r="E152" s="705"/>
      <c r="F152" s="705"/>
      <c r="G152" s="705"/>
      <c r="H152" s="705"/>
      <c r="I152" s="705"/>
      <c r="J152" s="705"/>
      <c r="K152" s="705"/>
      <c r="L152" s="705"/>
      <c r="M152" s="705"/>
      <c r="N152" s="705"/>
      <c r="O152" s="705"/>
      <c r="P152" s="705"/>
      <c r="Q152" s="705"/>
      <c r="R152" s="705"/>
      <c r="S152" s="705"/>
      <c r="T152" s="705"/>
      <c r="U152" s="705"/>
      <c r="V152" s="705"/>
      <c r="W152" s="705"/>
      <c r="X152" s="705"/>
      <c r="Y152" s="705"/>
      <c r="Z152" s="705"/>
      <c r="AA152" s="705"/>
    </row>
    <row r="153" spans="1:27">
      <c r="A153" s="705"/>
      <c r="B153" s="705"/>
      <c r="C153" s="705"/>
      <c r="D153" s="705"/>
      <c r="E153" s="705"/>
      <c r="F153" s="705"/>
      <c r="G153" s="705"/>
      <c r="H153" s="705"/>
      <c r="I153" s="705"/>
      <c r="J153" s="705"/>
      <c r="K153" s="705"/>
      <c r="L153" s="705"/>
      <c r="M153" s="705"/>
      <c r="N153" s="705"/>
      <c r="O153" s="705"/>
      <c r="P153" s="705"/>
      <c r="Q153" s="705"/>
      <c r="R153" s="705"/>
      <c r="S153" s="705"/>
      <c r="T153" s="705"/>
      <c r="U153" s="705"/>
      <c r="V153" s="705"/>
      <c r="W153" s="705"/>
      <c r="X153" s="705"/>
      <c r="Y153" s="705"/>
      <c r="Z153" s="705"/>
      <c r="AA153" s="705"/>
    </row>
    <row r="154" spans="1:27">
      <c r="A154" s="705"/>
      <c r="B154" s="705"/>
      <c r="C154" s="705"/>
      <c r="D154" s="705"/>
      <c r="E154" s="705"/>
      <c r="F154" s="705"/>
      <c r="G154" s="705"/>
      <c r="H154" s="705"/>
      <c r="I154" s="705"/>
      <c r="J154" s="705"/>
      <c r="K154" s="705"/>
      <c r="L154" s="705"/>
      <c r="M154" s="705"/>
      <c r="N154" s="705"/>
      <c r="O154" s="705"/>
      <c r="P154" s="705"/>
      <c r="Q154" s="705"/>
      <c r="R154" s="705"/>
      <c r="S154" s="705"/>
      <c r="T154" s="705"/>
      <c r="U154" s="705"/>
      <c r="V154" s="705"/>
      <c r="W154" s="705"/>
      <c r="X154" s="705"/>
      <c r="Y154" s="705"/>
      <c r="Z154" s="705"/>
      <c r="AA154" s="705"/>
    </row>
    <row r="155" spans="1:27">
      <c r="A155" s="705"/>
      <c r="B155" s="705"/>
      <c r="C155" s="705"/>
      <c r="D155" s="705"/>
      <c r="E155" s="705"/>
      <c r="F155" s="705"/>
      <c r="G155" s="705"/>
      <c r="H155" s="705"/>
      <c r="I155" s="705"/>
      <c r="J155" s="705"/>
      <c r="K155" s="705"/>
      <c r="L155" s="705"/>
      <c r="M155" s="705"/>
      <c r="N155" s="705"/>
      <c r="O155" s="705"/>
      <c r="P155" s="705"/>
      <c r="Q155" s="705"/>
      <c r="R155" s="705"/>
      <c r="S155" s="705"/>
      <c r="T155" s="705"/>
      <c r="U155" s="705"/>
      <c r="V155" s="705"/>
      <c r="W155" s="705"/>
      <c r="X155" s="705"/>
      <c r="Y155" s="705"/>
      <c r="Z155" s="705"/>
      <c r="AA155" s="705"/>
    </row>
    <row r="156" spans="1:27">
      <c r="A156" s="705"/>
      <c r="B156" s="705"/>
      <c r="C156" s="705"/>
      <c r="D156" s="705"/>
      <c r="E156" s="705"/>
      <c r="F156" s="705"/>
      <c r="G156" s="705"/>
      <c r="H156" s="705"/>
      <c r="I156" s="705"/>
      <c r="J156" s="705"/>
      <c r="K156" s="705"/>
      <c r="L156" s="705"/>
      <c r="M156" s="705"/>
      <c r="N156" s="705"/>
      <c r="O156" s="705"/>
      <c r="P156" s="705"/>
      <c r="Q156" s="705"/>
      <c r="R156" s="705"/>
      <c r="S156" s="705"/>
      <c r="T156" s="705"/>
      <c r="U156" s="705"/>
      <c r="V156" s="705"/>
      <c r="W156" s="705"/>
      <c r="X156" s="705"/>
      <c r="Y156" s="705"/>
      <c r="Z156" s="705"/>
      <c r="AA156" s="705"/>
    </row>
    <row r="157" spans="1:27">
      <c r="A157" s="705"/>
      <c r="B157" s="705"/>
      <c r="C157" s="705"/>
      <c r="D157" s="705"/>
      <c r="E157" s="705"/>
      <c r="F157" s="705"/>
      <c r="G157" s="705"/>
      <c r="H157" s="705"/>
      <c r="I157" s="705"/>
      <c r="J157" s="705"/>
      <c r="K157" s="705"/>
      <c r="L157" s="705"/>
      <c r="M157" s="705"/>
      <c r="N157" s="705"/>
      <c r="O157" s="705"/>
      <c r="P157" s="705"/>
      <c r="Q157" s="705"/>
      <c r="R157" s="705"/>
      <c r="S157" s="705"/>
      <c r="T157" s="705"/>
      <c r="U157" s="705"/>
      <c r="V157" s="705"/>
      <c r="W157" s="705"/>
      <c r="X157" s="705"/>
      <c r="Y157" s="705"/>
      <c r="Z157" s="705"/>
      <c r="AA157" s="705"/>
    </row>
    <row r="158" spans="1:27">
      <c r="A158" s="705"/>
      <c r="B158" s="705"/>
      <c r="C158" s="705"/>
      <c r="D158" s="705"/>
      <c r="E158" s="705"/>
      <c r="F158" s="705"/>
      <c r="G158" s="705"/>
      <c r="H158" s="705"/>
      <c r="I158" s="705"/>
      <c r="J158" s="705"/>
      <c r="K158" s="705"/>
      <c r="L158" s="705"/>
      <c r="M158" s="705"/>
      <c r="N158" s="705"/>
      <c r="O158" s="705"/>
      <c r="P158" s="705"/>
      <c r="Q158" s="705"/>
      <c r="R158" s="705"/>
      <c r="S158" s="705"/>
      <c r="T158" s="705"/>
      <c r="U158" s="705"/>
      <c r="V158" s="705"/>
      <c r="W158" s="705"/>
      <c r="X158" s="705"/>
      <c r="Y158" s="705"/>
      <c r="Z158" s="705"/>
      <c r="AA158" s="705"/>
    </row>
    <row r="159" spans="1:27">
      <c r="A159" s="705"/>
      <c r="B159" s="705"/>
      <c r="C159" s="705"/>
      <c r="D159" s="705"/>
      <c r="E159" s="705"/>
      <c r="F159" s="705"/>
      <c r="G159" s="705"/>
      <c r="H159" s="705"/>
      <c r="I159" s="705"/>
      <c r="J159" s="705"/>
      <c r="K159" s="705"/>
      <c r="L159" s="705"/>
      <c r="M159" s="705"/>
      <c r="N159" s="705"/>
      <c r="O159" s="705"/>
      <c r="P159" s="705"/>
      <c r="Q159" s="705"/>
      <c r="R159" s="705"/>
      <c r="S159" s="705"/>
      <c r="T159" s="705"/>
      <c r="U159" s="705"/>
      <c r="V159" s="705"/>
      <c r="W159" s="705"/>
      <c r="X159" s="705"/>
      <c r="Y159" s="705"/>
      <c r="Z159" s="705"/>
      <c r="AA159" s="705"/>
    </row>
    <row r="160" spans="1:27">
      <c r="A160" s="705"/>
      <c r="B160" s="705"/>
      <c r="C160" s="705"/>
      <c r="D160" s="705"/>
      <c r="E160" s="705"/>
      <c r="F160" s="705"/>
      <c r="G160" s="705"/>
      <c r="H160" s="705"/>
      <c r="I160" s="705"/>
      <c r="J160" s="705"/>
      <c r="K160" s="705"/>
      <c r="L160" s="705"/>
      <c r="M160" s="705"/>
      <c r="N160" s="705"/>
      <c r="O160" s="705"/>
      <c r="P160" s="705"/>
      <c r="Q160" s="705"/>
      <c r="R160" s="705"/>
      <c r="S160" s="705"/>
      <c r="T160" s="705"/>
      <c r="U160" s="705"/>
      <c r="V160" s="705"/>
      <c r="W160" s="705"/>
      <c r="X160" s="705"/>
      <c r="Y160" s="705"/>
      <c r="Z160" s="705"/>
      <c r="AA160" s="705"/>
    </row>
    <row r="161" spans="1:27">
      <c r="A161" s="705"/>
      <c r="B161" s="705"/>
      <c r="C161" s="705"/>
      <c r="D161" s="705"/>
      <c r="E161" s="705"/>
      <c r="F161" s="705"/>
      <c r="G161" s="705"/>
      <c r="H161" s="705"/>
      <c r="I161" s="705"/>
      <c r="J161" s="705"/>
      <c r="K161" s="705"/>
      <c r="L161" s="705"/>
      <c r="M161" s="705"/>
      <c r="N161" s="705"/>
      <c r="O161" s="705"/>
      <c r="P161" s="705"/>
      <c r="Q161" s="705"/>
      <c r="R161" s="705"/>
      <c r="S161" s="705"/>
      <c r="T161" s="705"/>
      <c r="U161" s="705"/>
      <c r="V161" s="705"/>
      <c r="W161" s="705"/>
      <c r="X161" s="705"/>
      <c r="Y161" s="705"/>
      <c r="Z161" s="705"/>
      <c r="AA161" s="705"/>
    </row>
    <row r="162" spans="1:27">
      <c r="A162" s="705"/>
      <c r="B162" s="705"/>
      <c r="C162" s="705"/>
      <c r="D162" s="705"/>
      <c r="E162" s="705"/>
      <c r="F162" s="705"/>
      <c r="G162" s="705"/>
      <c r="H162" s="705"/>
      <c r="I162" s="705"/>
      <c r="J162" s="705"/>
      <c r="K162" s="705"/>
      <c r="L162" s="705"/>
      <c r="M162" s="705"/>
      <c r="N162" s="705"/>
      <c r="O162" s="705"/>
      <c r="P162" s="705"/>
      <c r="Q162" s="705"/>
      <c r="R162" s="705"/>
      <c r="S162" s="705"/>
      <c r="T162" s="705"/>
      <c r="U162" s="705"/>
      <c r="V162" s="705"/>
      <c r="W162" s="705"/>
      <c r="X162" s="705"/>
      <c r="Y162" s="705"/>
      <c r="Z162" s="705"/>
      <c r="AA162" s="705"/>
    </row>
    <row r="163" spans="1:27">
      <c r="A163" s="705"/>
      <c r="B163" s="705"/>
      <c r="C163" s="705"/>
      <c r="D163" s="705"/>
      <c r="E163" s="705"/>
      <c r="F163" s="705"/>
      <c r="G163" s="705"/>
      <c r="H163" s="705"/>
      <c r="I163" s="705"/>
      <c r="J163" s="705"/>
      <c r="K163" s="705"/>
      <c r="L163" s="705"/>
      <c r="M163" s="705"/>
      <c r="N163" s="705"/>
      <c r="O163" s="705"/>
      <c r="P163" s="705"/>
      <c r="Q163" s="705"/>
      <c r="R163" s="705"/>
      <c r="S163" s="705"/>
      <c r="T163" s="705"/>
      <c r="U163" s="705"/>
      <c r="V163" s="705"/>
      <c r="W163" s="705"/>
      <c r="X163" s="705"/>
      <c r="Y163" s="705"/>
      <c r="Z163" s="705"/>
      <c r="AA163" s="705"/>
    </row>
    <row r="164" spans="1:27">
      <c r="A164" s="705"/>
      <c r="B164" s="705"/>
      <c r="C164" s="705"/>
      <c r="D164" s="705"/>
      <c r="E164" s="705"/>
      <c r="F164" s="705"/>
      <c r="G164" s="705"/>
      <c r="H164" s="705"/>
      <c r="I164" s="705"/>
      <c r="J164" s="705"/>
      <c r="K164" s="705"/>
      <c r="L164" s="705"/>
      <c r="M164" s="705"/>
      <c r="N164" s="705"/>
      <c r="O164" s="705"/>
      <c r="P164" s="705"/>
      <c r="Q164" s="705"/>
      <c r="R164" s="705"/>
      <c r="S164" s="705"/>
      <c r="T164" s="705"/>
      <c r="U164" s="705"/>
      <c r="V164" s="705"/>
      <c r="W164" s="705"/>
      <c r="X164" s="705"/>
      <c r="Y164" s="705"/>
      <c r="Z164" s="705"/>
      <c r="AA164" s="705"/>
    </row>
    <row r="165" spans="1:27">
      <c r="A165" s="705"/>
      <c r="B165" s="705"/>
      <c r="C165" s="705"/>
      <c r="D165" s="705"/>
      <c r="E165" s="705"/>
      <c r="F165" s="705"/>
      <c r="G165" s="705"/>
      <c r="H165" s="705"/>
      <c r="I165" s="705"/>
      <c r="J165" s="705"/>
      <c r="K165" s="705"/>
      <c r="L165" s="705"/>
      <c r="M165" s="705"/>
      <c r="N165" s="705"/>
      <c r="O165" s="705"/>
      <c r="P165" s="705"/>
      <c r="Q165" s="705"/>
      <c r="R165" s="705"/>
      <c r="S165" s="705"/>
      <c r="T165" s="705"/>
      <c r="U165" s="705"/>
      <c r="V165" s="705"/>
      <c r="W165" s="705"/>
      <c r="X165" s="705"/>
      <c r="Y165" s="705"/>
      <c r="Z165" s="705"/>
      <c r="AA165" s="705"/>
    </row>
    <row r="166" spans="1:27">
      <c r="A166" s="705"/>
      <c r="B166" s="705"/>
      <c r="C166" s="705"/>
      <c r="D166" s="705"/>
      <c r="E166" s="705"/>
      <c r="F166" s="705"/>
      <c r="G166" s="705"/>
      <c r="H166" s="705"/>
      <c r="I166" s="705"/>
      <c r="J166" s="705"/>
      <c r="K166" s="705"/>
      <c r="L166" s="705"/>
      <c r="M166" s="705"/>
      <c r="N166" s="705"/>
      <c r="O166" s="705"/>
      <c r="P166" s="705"/>
      <c r="Q166" s="705"/>
      <c r="R166" s="705"/>
      <c r="S166" s="705"/>
      <c r="T166" s="705"/>
      <c r="U166" s="705"/>
      <c r="V166" s="705"/>
      <c r="W166" s="705"/>
      <c r="X166" s="705"/>
      <c r="Y166" s="705"/>
      <c r="Z166" s="705"/>
      <c r="AA166" s="705"/>
    </row>
    <row r="167" spans="1:27">
      <c r="A167" s="705"/>
      <c r="B167" s="705"/>
      <c r="C167" s="705"/>
      <c r="D167" s="705"/>
      <c r="E167" s="705"/>
      <c r="F167" s="705"/>
      <c r="G167" s="705"/>
      <c r="H167" s="705"/>
      <c r="I167" s="705"/>
      <c r="J167" s="705"/>
      <c r="K167" s="705"/>
      <c r="L167" s="705"/>
      <c r="M167" s="705"/>
      <c r="N167" s="705"/>
      <c r="O167" s="705"/>
      <c r="P167" s="705"/>
      <c r="Q167" s="705"/>
      <c r="R167" s="705"/>
      <c r="S167" s="705"/>
      <c r="T167" s="705"/>
      <c r="U167" s="705"/>
      <c r="V167" s="705"/>
      <c r="W167" s="705"/>
      <c r="X167" s="705"/>
      <c r="Y167" s="705"/>
      <c r="Z167" s="705"/>
      <c r="AA167" s="705"/>
    </row>
    <row r="168" spans="1:27">
      <c r="A168" s="705"/>
      <c r="B168" s="705"/>
      <c r="C168" s="705"/>
      <c r="D168" s="705"/>
      <c r="E168" s="705"/>
      <c r="F168" s="705"/>
      <c r="G168" s="705"/>
      <c r="H168" s="705"/>
      <c r="I168" s="705"/>
      <c r="J168" s="705"/>
      <c r="K168" s="705"/>
      <c r="L168" s="705"/>
      <c r="M168" s="705"/>
      <c r="N168" s="705"/>
      <c r="O168" s="705"/>
      <c r="P168" s="705"/>
      <c r="Q168" s="705"/>
      <c r="R168" s="705"/>
      <c r="S168" s="705"/>
      <c r="T168" s="705"/>
      <c r="U168" s="705"/>
      <c r="V168" s="705"/>
      <c r="W168" s="705"/>
      <c r="X168" s="705"/>
      <c r="Y168" s="705"/>
      <c r="Z168" s="705"/>
      <c r="AA168" s="705"/>
    </row>
  </sheetData>
  <sheetProtection selectLockedCells="1" selectUnlockedCells="1"/>
  <mergeCells count="17">
    <mergeCell ref="C40:G40"/>
    <mergeCell ref="A7:B7"/>
    <mergeCell ref="A8:A20"/>
    <mergeCell ref="A21:B21"/>
    <mergeCell ref="A22:A34"/>
    <mergeCell ref="A35:B40"/>
    <mergeCell ref="C35:G35"/>
    <mergeCell ref="C36:G36"/>
    <mergeCell ref="C37:G37"/>
    <mergeCell ref="C38:G38"/>
    <mergeCell ref="C39:G39"/>
    <mergeCell ref="A6:G6"/>
    <mergeCell ref="A1:G1"/>
    <mergeCell ref="A3:B4"/>
    <mergeCell ref="C3:D4"/>
    <mergeCell ref="A5:B5"/>
    <mergeCell ref="C5:D5"/>
  </mergeCells>
  <phoneticPr fontId="51" type="noConversion"/>
  <dataValidations count="1">
    <dataValidation allowBlank="1" showErrorMessage="1" sqref="F4">
      <formula1>0</formula1>
      <formula2>0</formula2>
    </dataValidation>
  </dataValidations>
  <pageMargins left="0.78740157480314998" right="0.35433070866141703" top="0.511811023622047" bottom="0.11811023622047198" header="0.511811023622047" footer="0.511811023622047"/>
  <pageSetup paperSize="9" firstPageNumber="0" orientation="portrait" blackAndWhite="1" r:id="rId1"/>
  <headerFooter alignWithMargins="0"/>
</worksheet>
</file>

<file path=xl/worksheets/sheet7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44"/>
  <dimension ref="A1:BC95"/>
  <sheetViews>
    <sheetView workbookViewId="0">
      <selection activeCell="F39" sqref="F39"/>
    </sheetView>
  </sheetViews>
  <sheetFormatPr defaultRowHeight="15.6"/>
  <cols>
    <col min="1" max="1" width="11.19921875" customWidth="1"/>
    <col min="2" max="2" width="10.8984375" customWidth="1"/>
    <col min="3" max="4" width="13.69921875" customWidth="1"/>
    <col min="5" max="5" width="10.8984375" customWidth="1"/>
    <col min="6" max="6" width="10.59765625" customWidth="1"/>
    <col min="7" max="7" width="13.69921875" customWidth="1"/>
  </cols>
  <sheetData>
    <row r="1" spans="1:55" ht="22.2">
      <c r="A1" s="2707" t="s">
        <v>1297</v>
      </c>
      <c r="B1" s="2707"/>
      <c r="C1" s="2707"/>
      <c r="D1" s="2707"/>
      <c r="E1" s="2707"/>
      <c r="F1" s="2707"/>
      <c r="G1" s="2707"/>
      <c r="H1" s="706"/>
      <c r="I1" s="706"/>
      <c r="J1" s="706"/>
      <c r="K1" s="706"/>
      <c r="L1" s="706"/>
      <c r="M1" s="706"/>
      <c r="N1" s="705"/>
      <c r="O1" s="705"/>
      <c r="P1" s="705"/>
      <c r="Q1" s="705"/>
      <c r="R1" s="705"/>
      <c r="S1" s="705"/>
      <c r="T1" s="705"/>
      <c r="U1" s="705"/>
      <c r="V1" s="705"/>
      <c r="W1" s="705"/>
      <c r="X1" s="705"/>
      <c r="Y1" s="705"/>
      <c r="Z1" s="705"/>
      <c r="AA1" s="705"/>
      <c r="AB1" s="705"/>
      <c r="AC1" s="705"/>
      <c r="AD1" s="705"/>
      <c r="AE1" s="705"/>
      <c r="AF1" s="705"/>
      <c r="AG1" s="705"/>
      <c r="AH1" s="705"/>
      <c r="AI1" s="705"/>
      <c r="AJ1" s="705"/>
      <c r="AK1" s="705"/>
      <c r="AL1" s="705"/>
      <c r="AM1" s="705"/>
      <c r="AN1" s="705"/>
      <c r="AO1" s="705"/>
      <c r="AP1" s="705"/>
      <c r="AQ1" s="705"/>
      <c r="AR1" s="705"/>
      <c r="AS1" s="705"/>
      <c r="AT1" s="705"/>
      <c r="AU1" s="705"/>
      <c r="AV1" s="705"/>
      <c r="AW1" s="705"/>
      <c r="AX1" s="705"/>
      <c r="AY1" s="705"/>
      <c r="AZ1" s="705"/>
      <c r="BA1" s="705"/>
      <c r="BB1" s="705"/>
      <c r="BC1" s="705"/>
    </row>
    <row r="2" spans="1:55">
      <c r="A2" s="483"/>
      <c r="B2" s="483"/>
      <c r="C2" s="483"/>
      <c r="D2" s="483"/>
      <c r="E2" s="483"/>
      <c r="F2" s="845" t="s">
        <v>1552</v>
      </c>
      <c r="G2" s="846" t="str">
        <f>档案索引!D24</f>
        <v>3-3</v>
      </c>
      <c r="H2" s="706"/>
      <c r="I2" s="706"/>
      <c r="J2" s="706"/>
      <c r="K2" s="706"/>
      <c r="L2" s="706"/>
      <c r="M2" s="706"/>
      <c r="N2" s="705"/>
      <c r="O2" s="705"/>
      <c r="P2" s="705"/>
      <c r="Q2" s="705"/>
      <c r="R2" s="705"/>
      <c r="S2" s="705"/>
      <c r="T2" s="705"/>
      <c r="U2" s="705"/>
      <c r="V2" s="705"/>
      <c r="W2" s="705"/>
      <c r="X2" s="705"/>
      <c r="Y2" s="705"/>
      <c r="Z2" s="705"/>
      <c r="AA2" s="705"/>
      <c r="AB2" s="705"/>
      <c r="AC2" s="705"/>
      <c r="AD2" s="705"/>
      <c r="AE2" s="705"/>
      <c r="AF2" s="705"/>
      <c r="AG2" s="705"/>
      <c r="AH2" s="705"/>
      <c r="AI2" s="705"/>
      <c r="AJ2" s="705"/>
      <c r="AK2" s="705"/>
      <c r="AL2" s="705"/>
      <c r="AM2" s="705"/>
      <c r="AN2" s="705"/>
      <c r="AO2" s="705"/>
      <c r="AP2" s="705"/>
      <c r="AQ2" s="705"/>
      <c r="AR2" s="705"/>
      <c r="AS2" s="705"/>
      <c r="AT2" s="705"/>
      <c r="AU2" s="705"/>
      <c r="AV2" s="705"/>
      <c r="AW2" s="705"/>
      <c r="AX2" s="705"/>
      <c r="AY2" s="705"/>
      <c r="AZ2" s="705"/>
      <c r="BA2" s="705"/>
      <c r="BB2" s="705"/>
      <c r="BC2" s="705"/>
    </row>
    <row r="3" spans="1:55" ht="15.15" customHeight="1">
      <c r="A3" s="3141" t="s">
        <v>448</v>
      </c>
      <c r="B3" s="3506">
        <f>基本情况!B2</f>
        <v>0</v>
      </c>
      <c r="C3" s="3506"/>
      <c r="D3" s="3506"/>
      <c r="E3" s="136"/>
      <c r="F3" s="136" t="s">
        <v>1067</v>
      </c>
      <c r="G3" s="485" t="s">
        <v>450</v>
      </c>
      <c r="H3" s="706"/>
      <c r="I3" s="706"/>
      <c r="J3" s="706"/>
      <c r="K3" s="706"/>
      <c r="L3" s="706"/>
      <c r="M3" s="706"/>
      <c r="N3" s="705"/>
      <c r="O3" s="705"/>
      <c r="P3" s="705"/>
      <c r="Q3" s="705"/>
      <c r="R3" s="705"/>
      <c r="S3" s="705"/>
      <c r="T3" s="705"/>
      <c r="U3" s="705"/>
      <c r="V3" s="705"/>
      <c r="W3" s="705"/>
      <c r="X3" s="705"/>
      <c r="Y3" s="705"/>
      <c r="Z3" s="705"/>
      <c r="AA3" s="705"/>
      <c r="AB3" s="705"/>
      <c r="AC3" s="705"/>
      <c r="AD3" s="705"/>
      <c r="AE3" s="705"/>
      <c r="AF3" s="705"/>
      <c r="AG3" s="705"/>
      <c r="AH3" s="705"/>
      <c r="AI3" s="705"/>
      <c r="AJ3" s="705"/>
      <c r="AK3" s="705"/>
      <c r="AL3" s="705"/>
      <c r="AM3" s="705"/>
      <c r="AN3" s="705"/>
      <c r="AO3" s="705"/>
      <c r="AP3" s="705"/>
      <c r="AQ3" s="705"/>
      <c r="AR3" s="705"/>
      <c r="AS3" s="705"/>
      <c r="AT3" s="705"/>
      <c r="AU3" s="705"/>
      <c r="AV3" s="705"/>
      <c r="AW3" s="705"/>
      <c r="AX3" s="705"/>
      <c r="AY3" s="705"/>
      <c r="AZ3" s="705"/>
      <c r="BA3" s="705"/>
      <c r="BB3" s="705"/>
      <c r="BC3" s="705"/>
    </row>
    <row r="4" spans="1:55" ht="14.25" customHeight="1">
      <c r="A4" s="3141"/>
      <c r="B4" s="3506"/>
      <c r="C4" s="3506"/>
      <c r="D4" s="3506"/>
      <c r="E4" s="158" t="s">
        <v>451</v>
      </c>
      <c r="F4" s="510">
        <f>基本情况!B12</f>
        <v>0</v>
      </c>
      <c r="G4" s="816" t="str">
        <f>TEXT(基本情况!B21,"yyyy-mm-dd")</f>
        <v>2017-03-16</v>
      </c>
      <c r="H4" s="706"/>
      <c r="I4" s="706"/>
      <c r="J4" s="706"/>
      <c r="K4" s="706"/>
      <c r="L4" s="706"/>
      <c r="M4" s="706"/>
      <c r="N4" s="705"/>
      <c r="O4" s="705"/>
      <c r="P4" s="705"/>
      <c r="Q4" s="705"/>
      <c r="R4" s="705"/>
      <c r="S4" s="705"/>
      <c r="T4" s="705"/>
      <c r="U4" s="705"/>
      <c r="V4" s="705"/>
      <c r="W4" s="705"/>
      <c r="X4" s="705"/>
      <c r="Y4" s="705"/>
      <c r="Z4" s="705"/>
      <c r="AA4" s="705"/>
      <c r="AB4" s="705"/>
      <c r="AC4" s="705"/>
      <c r="AD4" s="705"/>
      <c r="AE4" s="705"/>
      <c r="AF4" s="705"/>
      <c r="AG4" s="705"/>
      <c r="AH4" s="705"/>
      <c r="AI4" s="705"/>
      <c r="AJ4" s="705"/>
      <c r="AK4" s="705"/>
      <c r="AL4" s="705"/>
      <c r="AM4" s="705"/>
      <c r="AN4" s="705"/>
      <c r="AO4" s="705"/>
      <c r="AP4" s="705"/>
      <c r="AQ4" s="705"/>
      <c r="AR4" s="705"/>
      <c r="AS4" s="705"/>
      <c r="AT4" s="705"/>
      <c r="AU4" s="705"/>
      <c r="AV4" s="705"/>
      <c r="AW4" s="705"/>
      <c r="AX4" s="705"/>
      <c r="AY4" s="705"/>
      <c r="AZ4" s="705"/>
      <c r="BA4" s="705"/>
      <c r="BB4" s="705"/>
      <c r="BC4" s="705"/>
    </row>
    <row r="5" spans="1:55" ht="14.25" customHeight="1">
      <c r="A5" s="528" t="s">
        <v>452</v>
      </c>
      <c r="B5" s="3532" t="str">
        <f>基本情况!B7</f>
        <v>2016年01月01日至2016年12月31日</v>
      </c>
      <c r="C5" s="3532"/>
      <c r="D5" s="3532"/>
      <c r="E5" s="140" t="s">
        <v>453</v>
      </c>
      <c r="F5" s="513">
        <f>基本情况!B11</f>
        <v>0</v>
      </c>
      <c r="G5" s="847" t="str">
        <f>TEXT(基本情况!B22,"yyyy-mm-dd")</f>
        <v>2017-05-04</v>
      </c>
      <c r="H5" s="839"/>
      <c r="I5" s="706"/>
      <c r="J5" s="706"/>
      <c r="K5" s="706"/>
      <c r="L5" s="706"/>
      <c r="M5" s="706"/>
      <c r="N5" s="705"/>
      <c r="O5" s="705"/>
      <c r="P5" s="705"/>
      <c r="Q5" s="705"/>
      <c r="R5" s="705"/>
      <c r="S5" s="705"/>
      <c r="T5" s="705"/>
      <c r="U5" s="705"/>
      <c r="V5" s="705"/>
      <c r="W5" s="705"/>
      <c r="X5" s="705"/>
      <c r="Y5" s="705"/>
      <c r="Z5" s="705"/>
      <c r="AA5" s="705"/>
      <c r="AB5" s="705"/>
      <c r="AC5" s="705"/>
      <c r="AD5" s="705"/>
      <c r="AE5" s="705"/>
      <c r="AF5" s="705"/>
      <c r="AG5" s="705"/>
      <c r="AH5" s="705"/>
      <c r="AI5" s="705"/>
      <c r="AJ5" s="705"/>
      <c r="AK5" s="705"/>
      <c r="AL5" s="705"/>
      <c r="AM5" s="705"/>
      <c r="AN5" s="705"/>
      <c r="AO5" s="705"/>
      <c r="AP5" s="705"/>
      <c r="AQ5" s="705"/>
      <c r="AR5" s="705"/>
      <c r="AS5" s="705"/>
      <c r="AT5" s="705"/>
      <c r="AU5" s="705"/>
      <c r="AV5" s="705"/>
      <c r="AW5" s="839" t="s">
        <v>396</v>
      </c>
      <c r="AX5" s="705"/>
      <c r="AY5" s="705"/>
      <c r="AZ5" s="705"/>
      <c r="BA5" s="705"/>
      <c r="BB5" s="705"/>
      <c r="BC5" s="705"/>
    </row>
    <row r="6" spans="1:55" ht="7.5" customHeight="1">
      <c r="A6" s="2959"/>
      <c r="B6" s="2959"/>
      <c r="C6" s="2959"/>
      <c r="D6" s="2959"/>
      <c r="E6" s="2959"/>
      <c r="F6" s="2959"/>
      <c r="G6" s="2959"/>
      <c r="H6" s="706"/>
      <c r="I6" s="706"/>
      <c r="J6" s="706"/>
      <c r="K6" s="706"/>
      <c r="L6" s="706"/>
      <c r="M6" s="706"/>
      <c r="N6" s="705"/>
      <c r="O6" s="705"/>
      <c r="P6" s="705"/>
      <c r="Q6" s="705"/>
      <c r="R6" s="705"/>
      <c r="S6" s="705"/>
      <c r="T6" s="705"/>
      <c r="U6" s="705"/>
      <c r="V6" s="705"/>
      <c r="W6" s="705"/>
      <c r="X6" s="705"/>
      <c r="Y6" s="705"/>
      <c r="Z6" s="705"/>
      <c r="AA6" s="705"/>
      <c r="AB6" s="705"/>
      <c r="AC6" s="705"/>
      <c r="AD6" s="705"/>
      <c r="AE6" s="705"/>
      <c r="AF6" s="705"/>
      <c r="AG6" s="705"/>
      <c r="AH6" s="705"/>
      <c r="AI6" s="705"/>
      <c r="AJ6" s="705"/>
      <c r="AK6" s="705"/>
      <c r="AL6" s="705"/>
      <c r="AM6" s="705"/>
      <c r="AN6" s="705"/>
      <c r="AO6" s="705"/>
      <c r="AP6" s="705"/>
      <c r="AQ6" s="705"/>
      <c r="AR6" s="705"/>
      <c r="AS6" s="705"/>
      <c r="AT6" s="705"/>
      <c r="AU6" s="705"/>
      <c r="AV6" s="705"/>
      <c r="AW6" s="705"/>
      <c r="AX6" s="705"/>
      <c r="AY6" s="705"/>
      <c r="AZ6" s="705"/>
      <c r="BA6" s="705"/>
      <c r="BB6" s="705"/>
      <c r="BC6" s="705"/>
    </row>
    <row r="7" spans="1:55">
      <c r="A7" s="532" t="s">
        <v>666</v>
      </c>
      <c r="B7" s="582" t="s">
        <v>1252</v>
      </c>
      <c r="C7" s="819" t="s">
        <v>10</v>
      </c>
      <c r="D7" s="819" t="s">
        <v>11</v>
      </c>
      <c r="E7" s="819" t="s">
        <v>1255</v>
      </c>
      <c r="F7" s="819" t="s">
        <v>981</v>
      </c>
      <c r="G7" s="772" t="s">
        <v>503</v>
      </c>
      <c r="H7" s="839" t="s">
        <v>396</v>
      </c>
      <c r="I7" s="706"/>
      <c r="J7" s="706"/>
      <c r="K7" s="706"/>
      <c r="L7" s="706"/>
      <c r="M7" s="706"/>
      <c r="N7" s="705"/>
      <c r="O7" s="705"/>
      <c r="P7" s="705"/>
      <c r="Q7" s="705"/>
      <c r="R7" s="705"/>
      <c r="S7" s="705"/>
      <c r="T7" s="705"/>
      <c r="U7" s="705"/>
      <c r="V7" s="705"/>
      <c r="W7" s="705"/>
      <c r="X7" s="705"/>
      <c r="Y7" s="705"/>
      <c r="Z7" s="705"/>
      <c r="AA7" s="705"/>
      <c r="AB7" s="705"/>
      <c r="AC7" s="705"/>
      <c r="AD7" s="705"/>
      <c r="AE7" s="705"/>
      <c r="AF7" s="705"/>
      <c r="AG7" s="705"/>
      <c r="AH7" s="705"/>
      <c r="AI7" s="705"/>
      <c r="AJ7" s="705"/>
      <c r="AK7" s="705"/>
      <c r="AL7" s="705"/>
      <c r="AM7" s="705"/>
      <c r="AN7" s="705"/>
      <c r="AO7" s="705"/>
      <c r="AP7" s="705"/>
      <c r="AQ7" s="705"/>
      <c r="AR7" s="705"/>
      <c r="AS7" s="705"/>
      <c r="AT7" s="705"/>
      <c r="AU7" s="705"/>
      <c r="AV7" s="705"/>
      <c r="AW7" s="705"/>
      <c r="AX7" s="705"/>
      <c r="AY7" s="705"/>
      <c r="AZ7" s="705"/>
      <c r="BA7" s="705"/>
      <c r="BB7" s="705"/>
      <c r="BC7" s="705"/>
    </row>
    <row r="8" spans="1:55" ht="14.25" customHeight="1">
      <c r="A8" s="503" t="s">
        <v>1288</v>
      </c>
      <c r="B8" s="773">
        <f>B9+B13</f>
        <v>0</v>
      </c>
      <c r="C8" s="773">
        <f>C9+C13</f>
        <v>0</v>
      </c>
      <c r="D8" s="773">
        <f>D9+D13</f>
        <v>0</v>
      </c>
      <c r="E8" s="773">
        <f>B8+C8-D8</f>
        <v>0</v>
      </c>
      <c r="F8" s="773">
        <f>F9+F13</f>
        <v>0</v>
      </c>
      <c r="G8" s="774">
        <f>E8+F8</f>
        <v>0</v>
      </c>
      <c r="H8" s="706"/>
      <c r="I8" s="706"/>
      <c r="J8" s="706"/>
      <c r="K8" s="706"/>
      <c r="L8" s="706"/>
      <c r="M8" s="706"/>
      <c r="N8" s="705"/>
      <c r="O8" s="705"/>
      <c r="P8" s="705"/>
      <c r="Q8" s="705"/>
      <c r="R8" s="705"/>
      <c r="S8" s="705"/>
      <c r="T8" s="705"/>
      <c r="U8" s="705"/>
      <c r="V8" s="705"/>
      <c r="W8" s="705"/>
      <c r="X8" s="705"/>
      <c r="Y8" s="705"/>
      <c r="Z8" s="705"/>
      <c r="AA8" s="705"/>
      <c r="AB8" s="705"/>
      <c r="AC8" s="705"/>
      <c r="AD8" s="705"/>
      <c r="AE8" s="705"/>
      <c r="AF8" s="705"/>
      <c r="AG8" s="705"/>
      <c r="AH8" s="705"/>
      <c r="AI8" s="705"/>
      <c r="AJ8" s="705"/>
      <c r="AK8" s="705"/>
      <c r="AL8" s="705"/>
      <c r="AM8" s="705"/>
      <c r="AN8" s="705"/>
      <c r="AO8" s="705"/>
      <c r="AP8" s="705"/>
      <c r="AQ8" s="705"/>
      <c r="AR8" s="705"/>
      <c r="AS8" s="705"/>
      <c r="AT8" s="705"/>
      <c r="AU8" s="705"/>
      <c r="AV8" s="705"/>
      <c r="AW8" s="705"/>
      <c r="AX8" s="705"/>
      <c r="AY8" s="705"/>
      <c r="AZ8" s="705"/>
      <c r="BA8" s="705"/>
      <c r="BB8" s="705"/>
      <c r="BC8" s="705"/>
    </row>
    <row r="9" spans="1:55" ht="24">
      <c r="A9" s="848" t="s">
        <v>1154</v>
      </c>
      <c r="B9" s="525">
        <f>SUM(B10:B12)</f>
        <v>0</v>
      </c>
      <c r="C9" s="525">
        <f>SUM(C10:C12)</f>
        <v>0</v>
      </c>
      <c r="D9" s="525">
        <f>SUM(D10:D12)</f>
        <v>0</v>
      </c>
      <c r="E9" s="525">
        <f t="shared" ref="E9:E40" si="0">B9+C9-D9</f>
        <v>0</v>
      </c>
      <c r="F9" s="525">
        <f>SUM(F10:F12)</f>
        <v>0</v>
      </c>
      <c r="G9" s="699">
        <f>E9+F9</f>
        <v>0</v>
      </c>
      <c r="H9" s="706"/>
      <c r="I9" s="706"/>
      <c r="J9" s="849"/>
      <c r="K9" s="706"/>
      <c r="L9" s="706"/>
      <c r="M9" s="706"/>
      <c r="N9" s="705"/>
      <c r="O9" s="705"/>
      <c r="P9" s="705"/>
      <c r="Q9" s="705"/>
      <c r="R9" s="705"/>
      <c r="S9" s="705"/>
      <c r="T9" s="705"/>
      <c r="U9" s="705"/>
      <c r="V9" s="705"/>
      <c r="W9" s="705"/>
      <c r="X9" s="705"/>
      <c r="Y9" s="705"/>
      <c r="Z9" s="705"/>
      <c r="AA9" s="705"/>
      <c r="AB9" s="705"/>
      <c r="AC9" s="705"/>
      <c r="AD9" s="705"/>
      <c r="AE9" s="705"/>
      <c r="AF9" s="705"/>
      <c r="AG9" s="705"/>
      <c r="AH9" s="705"/>
      <c r="AI9" s="705"/>
      <c r="AJ9" s="705"/>
      <c r="AK9" s="705"/>
      <c r="AL9" s="705"/>
      <c r="AM9" s="705"/>
      <c r="AN9" s="705"/>
      <c r="AO9" s="705"/>
      <c r="AP9" s="705"/>
      <c r="AQ9" s="705"/>
      <c r="AR9" s="705"/>
      <c r="AS9" s="705"/>
      <c r="AT9" s="705"/>
      <c r="AU9" s="705"/>
      <c r="AV9" s="705"/>
      <c r="AW9" s="705"/>
      <c r="AX9" s="705"/>
      <c r="AY9" s="705"/>
      <c r="AZ9" s="705"/>
      <c r="BA9" s="705"/>
      <c r="BB9" s="705"/>
      <c r="BC9" s="705"/>
    </row>
    <row r="10" spans="1:55">
      <c r="A10" s="848" t="s">
        <v>1155</v>
      </c>
      <c r="B10" s="1108"/>
      <c r="C10" s="1120"/>
      <c r="D10" s="1120"/>
      <c r="E10" s="525">
        <f t="shared" si="0"/>
        <v>0</v>
      </c>
      <c r="F10" s="1120"/>
      <c r="G10" s="699">
        <f t="shared" ref="G10:G40" si="1">E10+F10</f>
        <v>0</v>
      </c>
      <c r="H10" s="60" t="s">
        <v>1156</v>
      </c>
      <c r="I10" s="706"/>
      <c r="J10" s="706"/>
      <c r="K10" s="706"/>
      <c r="L10" s="706"/>
      <c r="M10" s="706"/>
      <c r="N10" s="705"/>
      <c r="O10" s="705"/>
      <c r="P10" s="705"/>
      <c r="Q10" s="705"/>
      <c r="R10" s="705"/>
      <c r="S10" s="705"/>
      <c r="T10" s="705"/>
      <c r="U10" s="705"/>
      <c r="V10" s="705"/>
      <c r="W10" s="705"/>
      <c r="X10" s="705"/>
      <c r="Y10" s="705"/>
      <c r="Z10" s="705"/>
      <c r="AA10" s="705"/>
      <c r="AB10" s="705"/>
      <c r="AC10" s="705"/>
      <c r="AD10" s="705"/>
      <c r="AE10" s="705"/>
      <c r="AF10" s="705"/>
      <c r="AG10" s="705"/>
      <c r="AH10" s="705"/>
      <c r="AI10" s="705"/>
      <c r="AJ10" s="705"/>
      <c r="AK10" s="705"/>
      <c r="AL10" s="705"/>
      <c r="AM10" s="705"/>
      <c r="AN10" s="705"/>
      <c r="AO10" s="705"/>
      <c r="AP10" s="705"/>
      <c r="AQ10" s="705"/>
      <c r="AR10" s="705"/>
      <c r="AS10" s="705"/>
      <c r="AT10" s="705"/>
      <c r="AU10" s="705"/>
      <c r="AV10" s="705"/>
      <c r="AW10" s="705"/>
      <c r="AX10" s="705"/>
      <c r="AY10" s="705"/>
      <c r="AZ10" s="705"/>
      <c r="BA10" s="705"/>
      <c r="BB10" s="705"/>
      <c r="BC10" s="705"/>
    </row>
    <row r="11" spans="1:55">
      <c r="A11" s="848" t="s">
        <v>1157</v>
      </c>
      <c r="B11" s="1108"/>
      <c r="C11" s="1120"/>
      <c r="D11" s="1120"/>
      <c r="E11" s="525">
        <f t="shared" si="0"/>
        <v>0</v>
      </c>
      <c r="F11" s="1120"/>
      <c r="G11" s="699">
        <f t="shared" si="1"/>
        <v>0</v>
      </c>
      <c r="H11" s="706"/>
      <c r="I11" s="706"/>
      <c r="J11" s="706"/>
      <c r="K11" s="706"/>
      <c r="L11" s="706"/>
      <c r="M11" s="706"/>
      <c r="N11" s="705"/>
      <c r="O11" s="705"/>
      <c r="P11" s="705"/>
      <c r="Q11" s="705"/>
      <c r="R11" s="705"/>
      <c r="S11" s="705"/>
      <c r="T11" s="705"/>
      <c r="U11" s="705"/>
      <c r="V11" s="705"/>
      <c r="W11" s="705"/>
      <c r="X11" s="705"/>
      <c r="Y11" s="705"/>
      <c r="Z11" s="705"/>
      <c r="AA11" s="705"/>
      <c r="AB11" s="705"/>
      <c r="AC11" s="705"/>
      <c r="AD11" s="705"/>
      <c r="AE11" s="705"/>
      <c r="AF11" s="705"/>
      <c r="AG11" s="705"/>
      <c r="AH11" s="705"/>
      <c r="AI11" s="705"/>
      <c r="AJ11" s="705"/>
      <c r="AK11" s="705"/>
      <c r="AL11" s="705"/>
      <c r="AM11" s="705"/>
      <c r="AN11" s="705"/>
      <c r="AO11" s="705"/>
      <c r="AP11" s="705"/>
      <c r="AQ11" s="705"/>
      <c r="AR11" s="705"/>
      <c r="AS11" s="705"/>
      <c r="AT11" s="705"/>
      <c r="AU11" s="705"/>
      <c r="AV11" s="705"/>
      <c r="AW11" s="705"/>
      <c r="AX11" s="705"/>
      <c r="AY11" s="705"/>
      <c r="AZ11" s="705"/>
      <c r="BA11" s="705"/>
      <c r="BB11" s="705"/>
      <c r="BC11" s="705"/>
    </row>
    <row r="12" spans="1:55">
      <c r="A12" s="663" t="s">
        <v>1158</v>
      </c>
      <c r="B12" s="1108"/>
      <c r="C12" s="1120"/>
      <c r="D12" s="1120"/>
      <c r="E12" s="525">
        <f t="shared" si="0"/>
        <v>0</v>
      </c>
      <c r="F12" s="1120"/>
      <c r="G12" s="699">
        <f t="shared" si="1"/>
        <v>0</v>
      </c>
      <c r="H12" s="60" t="s">
        <v>1330</v>
      </c>
      <c r="I12" s="706"/>
      <c r="J12" s="706"/>
      <c r="K12" s="706"/>
      <c r="L12" s="706"/>
      <c r="M12" s="706"/>
      <c r="N12" s="705"/>
      <c r="O12" s="705"/>
      <c r="P12" s="705"/>
      <c r="Q12" s="705"/>
      <c r="R12" s="705"/>
      <c r="S12" s="705"/>
      <c r="T12" s="705"/>
      <c r="U12" s="705"/>
      <c r="V12" s="705"/>
      <c r="W12" s="705"/>
      <c r="X12" s="705"/>
      <c r="Y12" s="705"/>
      <c r="Z12" s="705"/>
      <c r="AA12" s="705"/>
      <c r="AB12" s="705"/>
      <c r="AC12" s="705"/>
      <c r="AD12" s="705"/>
      <c r="AE12" s="705"/>
      <c r="AF12" s="705"/>
      <c r="AG12" s="705"/>
      <c r="AH12" s="705"/>
      <c r="AI12" s="705"/>
      <c r="AJ12" s="705"/>
      <c r="AK12" s="705"/>
      <c r="AL12" s="705"/>
      <c r="AM12" s="705"/>
      <c r="AN12" s="705"/>
      <c r="AO12" s="705"/>
      <c r="AP12" s="705"/>
      <c r="AQ12" s="705"/>
      <c r="AR12" s="705"/>
      <c r="AS12" s="705"/>
      <c r="AT12" s="705"/>
      <c r="AU12" s="705"/>
      <c r="AV12" s="705"/>
      <c r="AW12" s="705"/>
      <c r="AX12" s="705"/>
      <c r="AY12" s="705"/>
      <c r="AZ12" s="705"/>
      <c r="BA12" s="705"/>
      <c r="BB12" s="705"/>
      <c r="BC12" s="705"/>
    </row>
    <row r="13" spans="1:55" ht="24">
      <c r="A13" s="848" t="s">
        <v>1159</v>
      </c>
      <c r="B13" s="525">
        <f>SUM(B14:B16)</f>
        <v>0</v>
      </c>
      <c r="C13" s="525">
        <f>SUM(C14:C16)</f>
        <v>0</v>
      </c>
      <c r="D13" s="525">
        <f>SUM(D14:D16)</f>
        <v>0</v>
      </c>
      <c r="E13" s="525">
        <f t="shared" si="0"/>
        <v>0</v>
      </c>
      <c r="F13" s="525">
        <f>SUM(F14:F16)</f>
        <v>0</v>
      </c>
      <c r="G13" s="699">
        <f t="shared" si="1"/>
        <v>0</v>
      </c>
      <c r="H13" s="706"/>
      <c r="I13" s="706"/>
      <c r="J13" s="706"/>
      <c r="K13" s="706"/>
      <c r="L13" s="706"/>
      <c r="M13" s="706"/>
      <c r="N13" s="705"/>
      <c r="O13" s="705"/>
      <c r="P13" s="705"/>
      <c r="Q13" s="705"/>
      <c r="R13" s="705"/>
      <c r="S13" s="705"/>
      <c r="T13" s="705"/>
      <c r="U13" s="705"/>
      <c r="V13" s="705"/>
      <c r="W13" s="705"/>
      <c r="X13" s="705"/>
      <c r="Y13" s="705"/>
      <c r="Z13" s="705"/>
      <c r="AA13" s="705"/>
      <c r="AB13" s="705"/>
      <c r="AC13" s="705"/>
      <c r="AD13" s="705"/>
      <c r="AE13" s="705"/>
      <c r="AF13" s="705"/>
      <c r="AG13" s="705"/>
      <c r="AH13" s="705"/>
      <c r="AI13" s="705"/>
      <c r="AJ13" s="705"/>
      <c r="AK13" s="705"/>
      <c r="AL13" s="705"/>
      <c r="AM13" s="705"/>
      <c r="AN13" s="705"/>
      <c r="AO13" s="705"/>
      <c r="AP13" s="705"/>
      <c r="AQ13" s="705"/>
      <c r="AR13" s="705"/>
      <c r="AS13" s="705"/>
      <c r="AT13" s="705"/>
      <c r="AU13" s="705"/>
      <c r="AV13" s="705"/>
      <c r="AW13" s="705"/>
      <c r="AX13" s="705"/>
      <c r="AY13" s="705"/>
      <c r="AZ13" s="705"/>
      <c r="BA13" s="705"/>
      <c r="BB13" s="705"/>
      <c r="BC13" s="705"/>
    </row>
    <row r="14" spans="1:55">
      <c r="A14" s="848" t="s">
        <v>1160</v>
      </c>
      <c r="B14" s="1108"/>
      <c r="C14" s="1120"/>
      <c r="D14" s="1120"/>
      <c r="E14" s="525">
        <f t="shared" si="0"/>
        <v>0</v>
      </c>
      <c r="F14" s="1120"/>
      <c r="G14" s="699">
        <f t="shared" si="1"/>
        <v>0</v>
      </c>
      <c r="H14" s="60" t="s">
        <v>1161</v>
      </c>
      <c r="I14" s="706"/>
      <c r="J14" s="706"/>
      <c r="K14" s="706"/>
      <c r="L14" s="706"/>
      <c r="M14" s="706"/>
      <c r="N14" s="705"/>
      <c r="O14" s="705"/>
      <c r="P14" s="705"/>
      <c r="Q14" s="705"/>
      <c r="R14" s="705"/>
      <c r="S14" s="705"/>
      <c r="T14" s="705"/>
      <c r="U14" s="705"/>
      <c r="V14" s="705"/>
      <c r="W14" s="705"/>
      <c r="X14" s="705"/>
      <c r="Y14" s="705"/>
      <c r="Z14" s="705"/>
      <c r="AA14" s="705"/>
      <c r="AB14" s="705"/>
      <c r="AC14" s="705"/>
      <c r="AD14" s="705"/>
      <c r="AE14" s="705"/>
      <c r="AF14" s="705"/>
      <c r="AG14" s="705"/>
      <c r="AH14" s="705"/>
      <c r="AI14" s="705"/>
      <c r="AJ14" s="705"/>
      <c r="AK14" s="705"/>
      <c r="AL14" s="705"/>
      <c r="AM14" s="705"/>
      <c r="AN14" s="705"/>
      <c r="AO14" s="705"/>
      <c r="AP14" s="705"/>
      <c r="AQ14" s="705"/>
      <c r="AR14" s="705"/>
      <c r="AS14" s="705"/>
      <c r="AT14" s="705"/>
      <c r="AU14" s="705"/>
      <c r="AV14" s="705"/>
      <c r="AW14" s="705"/>
      <c r="AX14" s="705"/>
      <c r="AY14" s="705"/>
      <c r="AZ14" s="705"/>
      <c r="BA14" s="705"/>
      <c r="BB14" s="705"/>
      <c r="BC14" s="705"/>
    </row>
    <row r="15" spans="1:55">
      <c r="A15" s="848" t="s">
        <v>1162</v>
      </c>
      <c r="B15" s="1108"/>
      <c r="C15" s="1120"/>
      <c r="D15" s="1120"/>
      <c r="E15" s="525">
        <f t="shared" si="0"/>
        <v>0</v>
      </c>
      <c r="F15" s="1120"/>
      <c r="G15" s="699">
        <f t="shared" si="1"/>
        <v>0</v>
      </c>
      <c r="H15" s="706"/>
      <c r="I15" s="706"/>
      <c r="J15" s="706"/>
      <c r="K15" s="706"/>
      <c r="L15" s="706"/>
      <c r="M15" s="706"/>
      <c r="N15" s="705"/>
      <c r="O15" s="705"/>
      <c r="P15" s="705"/>
      <c r="Q15" s="705"/>
      <c r="R15" s="705"/>
      <c r="S15" s="705"/>
      <c r="T15" s="705"/>
      <c r="U15" s="705"/>
      <c r="V15" s="705"/>
      <c r="W15" s="705"/>
      <c r="X15" s="705"/>
      <c r="Y15" s="705"/>
      <c r="Z15" s="705"/>
      <c r="AA15" s="705"/>
      <c r="AB15" s="705"/>
      <c r="AC15" s="705"/>
      <c r="AD15" s="705"/>
      <c r="AE15" s="705"/>
      <c r="AF15" s="705"/>
      <c r="AG15" s="705"/>
      <c r="AH15" s="705"/>
      <c r="AI15" s="705"/>
      <c r="AJ15" s="705"/>
      <c r="AK15" s="705"/>
      <c r="AL15" s="705"/>
      <c r="AM15" s="705"/>
      <c r="AN15" s="705"/>
      <c r="AO15" s="705"/>
      <c r="AP15" s="705"/>
      <c r="AQ15" s="705"/>
      <c r="AR15" s="705"/>
      <c r="AS15" s="705"/>
      <c r="AT15" s="705"/>
      <c r="AU15" s="705"/>
      <c r="AV15" s="705"/>
      <c r="AW15" s="705"/>
      <c r="AX15" s="705"/>
      <c r="AY15" s="705"/>
      <c r="AZ15" s="705"/>
      <c r="BA15" s="705"/>
      <c r="BB15" s="705"/>
      <c r="BC15" s="705"/>
    </row>
    <row r="16" spans="1:55">
      <c r="A16" s="663" t="s">
        <v>1158</v>
      </c>
      <c r="B16" s="1108"/>
      <c r="C16" s="1120"/>
      <c r="D16" s="1120"/>
      <c r="E16" s="525">
        <f t="shared" si="0"/>
        <v>0</v>
      </c>
      <c r="F16" s="1120"/>
      <c r="G16" s="699">
        <f t="shared" si="1"/>
        <v>0</v>
      </c>
      <c r="H16" s="60" t="s">
        <v>296</v>
      </c>
      <c r="I16" s="706"/>
      <c r="J16" s="706"/>
      <c r="K16" s="706"/>
      <c r="L16" s="706"/>
      <c r="M16" s="706"/>
      <c r="N16" s="705"/>
      <c r="O16" s="705"/>
      <c r="P16" s="705"/>
      <c r="Q16" s="705"/>
      <c r="R16" s="705"/>
      <c r="S16" s="705"/>
      <c r="T16" s="705"/>
      <c r="U16" s="705"/>
      <c r="V16" s="705"/>
      <c r="W16" s="705"/>
      <c r="X16" s="705"/>
      <c r="Y16" s="705"/>
      <c r="Z16" s="705"/>
      <c r="AA16" s="705"/>
      <c r="AB16" s="705"/>
      <c r="AC16" s="705"/>
      <c r="AD16" s="705"/>
      <c r="AE16" s="705"/>
      <c r="AF16" s="705"/>
      <c r="AG16" s="705"/>
      <c r="AH16" s="705"/>
      <c r="AI16" s="705"/>
      <c r="AJ16" s="705"/>
      <c r="AK16" s="705"/>
      <c r="AL16" s="705"/>
      <c r="AM16" s="705"/>
      <c r="AN16" s="705"/>
      <c r="AO16" s="705"/>
      <c r="AP16" s="705"/>
      <c r="AQ16" s="705"/>
      <c r="AR16" s="705"/>
      <c r="AS16" s="705"/>
      <c r="AT16" s="705"/>
      <c r="AU16" s="705"/>
      <c r="AV16" s="705"/>
      <c r="AW16" s="705"/>
      <c r="AX16" s="705"/>
      <c r="AY16" s="705"/>
      <c r="AZ16" s="705"/>
      <c r="BA16" s="705"/>
      <c r="BB16" s="705"/>
      <c r="BC16" s="705"/>
    </row>
    <row r="17" spans="1:55">
      <c r="A17" s="775"/>
      <c r="B17" s="1108"/>
      <c r="C17" s="1120"/>
      <c r="D17" s="1120"/>
      <c r="E17" s="525">
        <f t="shared" si="0"/>
        <v>0</v>
      </c>
      <c r="F17" s="1120"/>
      <c r="G17" s="699">
        <f t="shared" si="1"/>
        <v>0</v>
      </c>
      <c r="H17" s="706"/>
      <c r="I17" s="706"/>
      <c r="J17" s="706"/>
      <c r="K17" s="706"/>
      <c r="L17" s="706"/>
      <c r="M17" s="706"/>
      <c r="N17" s="705"/>
      <c r="O17" s="705"/>
      <c r="P17" s="705"/>
      <c r="Q17" s="705"/>
      <c r="R17" s="705"/>
      <c r="S17" s="705"/>
      <c r="T17" s="705"/>
      <c r="U17" s="705"/>
      <c r="V17" s="705"/>
      <c r="W17" s="705"/>
      <c r="X17" s="705"/>
      <c r="Y17" s="705"/>
      <c r="Z17" s="705"/>
      <c r="AA17" s="705"/>
      <c r="AB17" s="705"/>
      <c r="AC17" s="705"/>
      <c r="AD17" s="705"/>
      <c r="AE17" s="705"/>
      <c r="AF17" s="705"/>
      <c r="AG17" s="705"/>
      <c r="AH17" s="705"/>
      <c r="AI17" s="705"/>
      <c r="AJ17" s="705"/>
      <c r="AK17" s="705"/>
      <c r="AL17" s="705"/>
      <c r="AM17" s="705"/>
      <c r="AN17" s="705"/>
      <c r="AO17" s="705"/>
      <c r="AP17" s="705"/>
      <c r="AQ17" s="705"/>
      <c r="AR17" s="705"/>
      <c r="AS17" s="705"/>
      <c r="AT17" s="705"/>
      <c r="AU17" s="705"/>
      <c r="AV17" s="705"/>
      <c r="AW17" s="705"/>
      <c r="AX17" s="705"/>
      <c r="AY17" s="705"/>
      <c r="AZ17" s="705"/>
      <c r="BA17" s="705"/>
      <c r="BB17" s="705"/>
      <c r="BC17" s="705"/>
    </row>
    <row r="18" spans="1:55">
      <c r="A18" s="775"/>
      <c r="B18" s="1108"/>
      <c r="C18" s="1120"/>
      <c r="D18" s="1120"/>
      <c r="E18" s="525">
        <f t="shared" si="0"/>
        <v>0</v>
      </c>
      <c r="F18" s="1120"/>
      <c r="G18" s="699">
        <f t="shared" si="1"/>
        <v>0</v>
      </c>
      <c r="H18" s="706"/>
      <c r="I18" s="706"/>
      <c r="J18" s="706"/>
      <c r="K18" s="706"/>
      <c r="L18" s="706"/>
      <c r="M18" s="706"/>
      <c r="N18" s="705"/>
      <c r="O18" s="705"/>
      <c r="P18" s="705"/>
      <c r="Q18" s="705"/>
      <c r="R18" s="705"/>
      <c r="S18" s="705"/>
      <c r="T18" s="705"/>
      <c r="U18" s="705"/>
      <c r="V18" s="705"/>
      <c r="W18" s="705"/>
      <c r="X18" s="705"/>
      <c r="Y18" s="705"/>
      <c r="Z18" s="705"/>
      <c r="AA18" s="705"/>
      <c r="AB18" s="705"/>
      <c r="AC18" s="705"/>
      <c r="AD18" s="705"/>
      <c r="AE18" s="705"/>
      <c r="AF18" s="705"/>
      <c r="AG18" s="705"/>
      <c r="AH18" s="705"/>
      <c r="AI18" s="705"/>
      <c r="AJ18" s="705"/>
      <c r="AK18" s="705"/>
      <c r="AL18" s="705"/>
      <c r="AM18" s="705"/>
      <c r="AN18" s="705"/>
      <c r="AO18" s="705"/>
      <c r="AP18" s="705"/>
      <c r="AQ18" s="705"/>
      <c r="AR18" s="705"/>
      <c r="AS18" s="705"/>
      <c r="AT18" s="705"/>
      <c r="AU18" s="705"/>
      <c r="AV18" s="705"/>
      <c r="AW18" s="705"/>
      <c r="AX18" s="705"/>
      <c r="AY18" s="705"/>
      <c r="AZ18" s="705"/>
      <c r="BA18" s="705"/>
      <c r="BB18" s="705"/>
      <c r="BC18" s="705"/>
    </row>
    <row r="19" spans="1:55">
      <c r="A19" s="775"/>
      <c r="B19" s="1108"/>
      <c r="C19" s="1120"/>
      <c r="D19" s="1120"/>
      <c r="E19" s="525">
        <f t="shared" si="0"/>
        <v>0</v>
      </c>
      <c r="F19" s="1120"/>
      <c r="G19" s="699">
        <f t="shared" si="1"/>
        <v>0</v>
      </c>
      <c r="H19" s="706"/>
      <c r="I19" s="706"/>
      <c r="J19" s="706"/>
      <c r="K19" s="706"/>
      <c r="L19" s="706"/>
      <c r="M19" s="706"/>
      <c r="N19" s="705"/>
      <c r="O19" s="705"/>
      <c r="P19" s="705"/>
      <c r="Q19" s="705"/>
      <c r="R19" s="705"/>
      <c r="S19" s="705"/>
      <c r="T19" s="705"/>
      <c r="U19" s="705"/>
      <c r="V19" s="705"/>
      <c r="W19" s="705"/>
      <c r="X19" s="705"/>
      <c r="Y19" s="705"/>
      <c r="Z19" s="705"/>
      <c r="AA19" s="705"/>
      <c r="AB19" s="705"/>
      <c r="AC19" s="705"/>
      <c r="AD19" s="705"/>
      <c r="AE19" s="705"/>
      <c r="AF19" s="705"/>
      <c r="AG19" s="705"/>
      <c r="AH19" s="705"/>
      <c r="AI19" s="705"/>
      <c r="AJ19" s="705"/>
      <c r="AK19" s="705"/>
      <c r="AL19" s="705"/>
      <c r="AM19" s="705"/>
      <c r="AN19" s="705"/>
      <c r="AO19" s="705"/>
      <c r="AP19" s="705"/>
      <c r="AQ19" s="705"/>
      <c r="AR19" s="705"/>
      <c r="AS19" s="705"/>
      <c r="AT19" s="705"/>
      <c r="AU19" s="705"/>
      <c r="AV19" s="705"/>
      <c r="AW19" s="705"/>
      <c r="AX19" s="705"/>
      <c r="AY19" s="705"/>
      <c r="AZ19" s="705"/>
      <c r="BA19" s="705"/>
      <c r="BB19" s="705"/>
      <c r="BC19" s="705"/>
    </row>
    <row r="20" spans="1:55">
      <c r="A20" s="850"/>
      <c r="B20" s="1176"/>
      <c r="C20" s="1124"/>
      <c r="D20" s="1124"/>
      <c r="E20" s="823">
        <f t="shared" si="0"/>
        <v>0</v>
      </c>
      <c r="F20" s="1124"/>
      <c r="G20" s="596">
        <f t="shared" si="1"/>
        <v>0</v>
      </c>
      <c r="H20" s="706"/>
      <c r="I20" s="706"/>
      <c r="J20" s="851"/>
      <c r="K20" s="706"/>
      <c r="L20" s="706"/>
      <c r="M20" s="706"/>
      <c r="N20" s="705"/>
      <c r="O20" s="705"/>
      <c r="P20" s="705"/>
      <c r="Q20" s="705"/>
      <c r="R20" s="705"/>
      <c r="S20" s="705"/>
      <c r="T20" s="705"/>
      <c r="U20" s="705"/>
      <c r="V20" s="705"/>
      <c r="W20" s="705"/>
      <c r="X20" s="705"/>
      <c r="Y20" s="705"/>
      <c r="Z20" s="705"/>
      <c r="AA20" s="705"/>
      <c r="AB20" s="705"/>
      <c r="AC20" s="705"/>
      <c r="AD20" s="705"/>
      <c r="AE20" s="705"/>
      <c r="AF20" s="705"/>
      <c r="AG20" s="705"/>
      <c r="AH20" s="705"/>
      <c r="AI20" s="705"/>
      <c r="AJ20" s="705"/>
      <c r="AK20" s="705"/>
      <c r="AL20" s="705"/>
      <c r="AM20" s="705"/>
      <c r="AN20" s="705"/>
      <c r="AO20" s="705"/>
      <c r="AP20" s="705"/>
      <c r="AQ20" s="705"/>
      <c r="AR20" s="705"/>
      <c r="AS20" s="705"/>
      <c r="AT20" s="705"/>
      <c r="AU20" s="705"/>
      <c r="AV20" s="705"/>
      <c r="AW20" s="705"/>
      <c r="AX20" s="705"/>
      <c r="AY20" s="705"/>
      <c r="AZ20" s="705"/>
      <c r="BA20" s="705"/>
      <c r="BB20" s="705"/>
      <c r="BC20" s="705"/>
    </row>
    <row r="21" spans="1:55" ht="14.25" customHeight="1">
      <c r="A21" s="503" t="s">
        <v>1290</v>
      </c>
      <c r="B21" s="773">
        <f>SUM(B22:B40)</f>
        <v>0</v>
      </c>
      <c r="C21" s="773">
        <f>SUM(C22:C40)</f>
        <v>0</v>
      </c>
      <c r="D21" s="773">
        <f>SUM(D22:D40)</f>
        <v>0</v>
      </c>
      <c r="E21" s="773">
        <f>B21+C21-D21</f>
        <v>0</v>
      </c>
      <c r="F21" s="773">
        <f>SUM(F22:F40)</f>
        <v>0</v>
      </c>
      <c r="G21" s="774">
        <f>E21+F21</f>
        <v>0</v>
      </c>
      <c r="H21" s="706"/>
      <c r="I21" s="706"/>
      <c r="J21" s="851"/>
      <c r="K21" s="706"/>
      <c r="L21" s="706"/>
      <c r="M21" s="706"/>
      <c r="N21" s="705"/>
      <c r="O21" s="705"/>
      <c r="P21" s="705"/>
      <c r="Q21" s="705"/>
      <c r="R21" s="705"/>
      <c r="S21" s="705"/>
      <c r="T21" s="705"/>
      <c r="U21" s="705"/>
      <c r="V21" s="705"/>
      <c r="W21" s="705"/>
      <c r="X21" s="705"/>
      <c r="Y21" s="705"/>
      <c r="Z21" s="705"/>
      <c r="AA21" s="705"/>
      <c r="AB21" s="705"/>
      <c r="AC21" s="705"/>
      <c r="AD21" s="705"/>
      <c r="AE21" s="705"/>
      <c r="AF21" s="705"/>
      <c r="AG21" s="705"/>
      <c r="AH21" s="705"/>
      <c r="AI21" s="705"/>
      <c r="AJ21" s="705"/>
      <c r="AK21" s="705"/>
      <c r="AL21" s="705"/>
      <c r="AM21" s="705"/>
      <c r="AN21" s="705"/>
      <c r="AO21" s="705"/>
      <c r="AP21" s="705"/>
      <c r="AQ21" s="705"/>
      <c r="AR21" s="705"/>
      <c r="AS21" s="705"/>
      <c r="AT21" s="705"/>
      <c r="AU21" s="705"/>
      <c r="AV21" s="705"/>
      <c r="AW21" s="705"/>
      <c r="AX21" s="705"/>
      <c r="AY21" s="705"/>
      <c r="AZ21" s="705"/>
      <c r="BA21" s="705"/>
      <c r="BB21" s="705"/>
      <c r="BC21" s="705"/>
    </row>
    <row r="22" spans="1:55">
      <c r="A22" s="852" t="s">
        <v>1163</v>
      </c>
      <c r="B22" s="1108"/>
      <c r="C22" s="1120"/>
      <c r="D22" s="1120"/>
      <c r="E22" s="525">
        <f t="shared" si="0"/>
        <v>0</v>
      </c>
      <c r="F22" s="1120"/>
      <c r="G22" s="699">
        <f t="shared" si="1"/>
        <v>0</v>
      </c>
      <c r="H22" s="706"/>
      <c r="I22" s="706"/>
      <c r="J22" s="851"/>
      <c r="K22" s="706"/>
      <c r="L22" s="706"/>
      <c r="M22" s="706"/>
      <c r="N22" s="705"/>
      <c r="O22" s="705"/>
      <c r="P22" s="705"/>
      <c r="Q22" s="705"/>
      <c r="R22" s="705"/>
      <c r="S22" s="705"/>
      <c r="T22" s="705"/>
      <c r="U22" s="705"/>
      <c r="V22" s="705"/>
      <c r="W22" s="705"/>
      <c r="X22" s="705"/>
      <c r="Y22" s="705"/>
      <c r="Z22" s="705"/>
      <c r="AA22" s="705"/>
      <c r="AB22" s="705"/>
      <c r="AC22" s="705"/>
      <c r="AD22" s="705"/>
      <c r="AE22" s="705"/>
      <c r="AF22" s="705"/>
      <c r="AG22" s="705"/>
      <c r="AH22" s="705"/>
      <c r="AI22" s="705"/>
      <c r="AJ22" s="705"/>
      <c r="AK22" s="705"/>
      <c r="AL22" s="705"/>
      <c r="AM22" s="705"/>
      <c r="AN22" s="705"/>
      <c r="AO22" s="705"/>
      <c r="AP22" s="705"/>
      <c r="AQ22" s="705"/>
      <c r="AR22" s="705"/>
      <c r="AS22" s="705"/>
      <c r="AT22" s="705"/>
      <c r="AU22" s="705"/>
      <c r="AV22" s="705"/>
      <c r="AW22" s="705"/>
      <c r="AX22" s="705"/>
      <c r="AY22" s="705"/>
      <c r="AZ22" s="705"/>
      <c r="BA22" s="705"/>
      <c r="BB22" s="705"/>
      <c r="BC22" s="705"/>
    </row>
    <row r="23" spans="1:55">
      <c r="A23" s="852" t="s">
        <v>1164</v>
      </c>
      <c r="B23" s="1108"/>
      <c r="C23" s="1120"/>
      <c r="D23" s="1120"/>
      <c r="E23" s="525">
        <f t="shared" si="0"/>
        <v>0</v>
      </c>
      <c r="F23" s="1120">
        <f>-SUMIFS(凭证检查!G6:G205,凭证检查!E6:E205,"制造费用",凭证检查!F6:F205,"福利费",凭证检查!M6:M205,"&lt;&gt;")</f>
        <v>0</v>
      </c>
      <c r="G23" s="699">
        <f t="shared" si="1"/>
        <v>0</v>
      </c>
      <c r="H23" s="706"/>
      <c r="I23" s="706"/>
      <c r="J23" s="851"/>
      <c r="K23" s="706"/>
      <c r="L23" s="706"/>
      <c r="M23" s="706"/>
      <c r="N23" s="705"/>
      <c r="O23" s="705"/>
      <c r="P23" s="705"/>
      <c r="Q23" s="705"/>
      <c r="R23" s="705"/>
      <c r="S23" s="705"/>
      <c r="T23" s="705"/>
      <c r="U23" s="705"/>
      <c r="V23" s="705"/>
      <c r="W23" s="705"/>
      <c r="X23" s="705"/>
      <c r="Y23" s="705"/>
      <c r="Z23" s="705"/>
      <c r="AA23" s="705"/>
      <c r="AB23" s="705"/>
      <c r="AC23" s="705"/>
      <c r="AD23" s="705"/>
      <c r="AE23" s="705"/>
      <c r="AF23" s="705"/>
      <c r="AG23" s="705"/>
      <c r="AH23" s="705"/>
      <c r="AI23" s="705"/>
      <c r="AJ23" s="705"/>
      <c r="AK23" s="705"/>
      <c r="AL23" s="705"/>
      <c r="AM23" s="705"/>
      <c r="AN23" s="705"/>
      <c r="AO23" s="705"/>
      <c r="AP23" s="705"/>
      <c r="AQ23" s="705"/>
      <c r="AR23" s="705"/>
      <c r="AS23" s="705"/>
      <c r="AT23" s="705"/>
      <c r="AU23" s="705"/>
      <c r="AV23" s="705"/>
      <c r="AW23" s="705"/>
      <c r="AX23" s="705"/>
      <c r="AY23" s="705"/>
      <c r="AZ23" s="705"/>
      <c r="BA23" s="705"/>
      <c r="BB23" s="705"/>
      <c r="BC23" s="705"/>
    </row>
    <row r="24" spans="1:55">
      <c r="A24" s="852" t="s">
        <v>1165</v>
      </c>
      <c r="B24" s="1108"/>
      <c r="C24" s="1120"/>
      <c r="D24" s="1120"/>
      <c r="E24" s="525">
        <f t="shared" si="0"/>
        <v>0</v>
      </c>
      <c r="F24" s="1120">
        <f>-SUMIFS(凭证检查!G6:G205,凭证检查!E6:E205,"制造费用",凭证检查!F6:F205,"职工教育经费",凭证检查!M6:M205,"&lt;&gt;")</f>
        <v>0</v>
      </c>
      <c r="G24" s="699">
        <f t="shared" si="1"/>
        <v>0</v>
      </c>
      <c r="H24" s="706"/>
      <c r="I24" s="706"/>
      <c r="J24" s="851"/>
      <c r="K24" s="706"/>
      <c r="L24" s="706"/>
      <c r="M24" s="706"/>
      <c r="N24" s="705"/>
      <c r="O24" s="705"/>
      <c r="P24" s="705"/>
      <c r="Q24" s="705"/>
      <c r="R24" s="705"/>
      <c r="S24" s="705"/>
      <c r="T24" s="705"/>
      <c r="U24" s="705"/>
      <c r="V24" s="705"/>
      <c r="W24" s="705"/>
      <c r="X24" s="705"/>
      <c r="Y24" s="705"/>
      <c r="Z24" s="705"/>
      <c r="AA24" s="705"/>
      <c r="AB24" s="705"/>
      <c r="AC24" s="705"/>
      <c r="AD24" s="705"/>
      <c r="AE24" s="705"/>
      <c r="AF24" s="705"/>
      <c r="AG24" s="705"/>
      <c r="AH24" s="705"/>
      <c r="AI24" s="705"/>
      <c r="AJ24" s="705"/>
      <c r="AK24" s="705"/>
      <c r="AL24" s="705"/>
      <c r="AM24" s="705"/>
      <c r="AN24" s="705"/>
      <c r="AO24" s="705"/>
      <c r="AP24" s="705"/>
      <c r="AQ24" s="705"/>
      <c r="AR24" s="705"/>
      <c r="AS24" s="705"/>
      <c r="AT24" s="705"/>
      <c r="AU24" s="705"/>
      <c r="AV24" s="705"/>
      <c r="AW24" s="705"/>
      <c r="AX24" s="705"/>
      <c r="AY24" s="705"/>
      <c r="AZ24" s="705"/>
      <c r="BA24" s="705"/>
      <c r="BB24" s="705"/>
      <c r="BC24" s="705"/>
    </row>
    <row r="25" spans="1:55">
      <c r="A25" s="853" t="s">
        <v>1166</v>
      </c>
      <c r="B25" s="1108"/>
      <c r="C25" s="1120"/>
      <c r="D25" s="1120"/>
      <c r="E25" s="525">
        <f t="shared" si="0"/>
        <v>0</v>
      </c>
      <c r="F25" s="1120">
        <f>-SUMIFS(凭证检查!G6:G205,凭证检查!E6:E205,"制造费用",凭证检查!F6:F205,"业务招待费",凭证检查!M6:M205,"&lt;&gt;")</f>
        <v>0</v>
      </c>
      <c r="G25" s="699">
        <f t="shared" si="1"/>
        <v>0</v>
      </c>
      <c r="H25" s="706"/>
      <c r="I25" s="706"/>
      <c r="J25" s="851"/>
      <c r="K25" s="854"/>
      <c r="L25" s="706"/>
      <c r="M25" s="706"/>
      <c r="N25" s="705"/>
      <c r="O25" s="705"/>
      <c r="P25" s="705"/>
      <c r="Q25" s="705"/>
      <c r="R25" s="705"/>
      <c r="S25" s="705"/>
      <c r="T25" s="705"/>
      <c r="U25" s="705"/>
      <c r="V25" s="705"/>
      <c r="W25" s="705"/>
      <c r="X25" s="705"/>
      <c r="Y25" s="705"/>
      <c r="Z25" s="705"/>
      <c r="AA25" s="705"/>
      <c r="AB25" s="705"/>
      <c r="AC25" s="705"/>
      <c r="AD25" s="705"/>
      <c r="AE25" s="705"/>
      <c r="AF25" s="705"/>
      <c r="AG25" s="705"/>
      <c r="AH25" s="705"/>
      <c r="AI25" s="705"/>
      <c r="AJ25" s="705"/>
      <c r="AK25" s="705"/>
      <c r="AL25" s="705"/>
      <c r="AM25" s="705"/>
      <c r="AN25" s="705"/>
      <c r="AO25" s="705"/>
      <c r="AP25" s="705"/>
      <c r="AQ25" s="705"/>
      <c r="AR25" s="705"/>
      <c r="AS25" s="705"/>
      <c r="AT25" s="705"/>
      <c r="AU25" s="705"/>
      <c r="AV25" s="705"/>
      <c r="AW25" s="705"/>
      <c r="AX25" s="705"/>
      <c r="AY25" s="705"/>
      <c r="AZ25" s="705"/>
      <c r="BA25" s="705"/>
      <c r="BB25" s="705"/>
      <c r="BC25" s="705"/>
    </row>
    <row r="26" spans="1:55">
      <c r="A26" s="576" t="s">
        <v>1167</v>
      </c>
      <c r="B26" s="1108"/>
      <c r="C26" s="1120"/>
      <c r="D26" s="1120"/>
      <c r="E26" s="525">
        <f t="shared" si="0"/>
        <v>0</v>
      </c>
      <c r="F26" s="1120"/>
      <c r="G26" s="699">
        <f t="shared" si="1"/>
        <v>0</v>
      </c>
      <c r="H26" s="706"/>
      <c r="I26" s="706"/>
      <c r="J26" s="851"/>
      <c r="K26" s="855"/>
      <c r="L26" s="706"/>
      <c r="M26" s="706"/>
      <c r="N26" s="705"/>
      <c r="O26" s="705"/>
      <c r="P26" s="705"/>
      <c r="Q26" s="705"/>
      <c r="R26" s="705"/>
      <c r="S26" s="705"/>
      <c r="T26" s="705"/>
      <c r="U26" s="705"/>
      <c r="V26" s="705"/>
      <c r="W26" s="705"/>
      <c r="X26" s="705"/>
      <c r="Y26" s="705"/>
      <c r="Z26" s="705"/>
      <c r="AA26" s="705"/>
      <c r="AB26" s="705"/>
      <c r="AC26" s="705"/>
      <c r="AD26" s="705"/>
      <c r="AE26" s="705"/>
      <c r="AF26" s="705"/>
      <c r="AG26" s="705"/>
      <c r="AH26" s="705"/>
      <c r="AI26" s="705"/>
      <c r="AJ26" s="705"/>
      <c r="AK26" s="705"/>
      <c r="AL26" s="705"/>
      <c r="AM26" s="705"/>
      <c r="AN26" s="705"/>
      <c r="AO26" s="705"/>
      <c r="AP26" s="705"/>
      <c r="AQ26" s="705"/>
      <c r="AR26" s="705"/>
      <c r="AS26" s="705"/>
      <c r="AT26" s="705"/>
      <c r="AU26" s="705"/>
      <c r="AV26" s="705"/>
      <c r="AW26" s="705"/>
      <c r="AX26" s="705"/>
      <c r="AY26" s="705"/>
      <c r="AZ26" s="705"/>
      <c r="BA26" s="705"/>
      <c r="BB26" s="705"/>
      <c r="BC26" s="705"/>
    </row>
    <row r="27" spans="1:55">
      <c r="A27" s="576" t="s">
        <v>1168</v>
      </c>
      <c r="B27" s="1108"/>
      <c r="C27" s="1120"/>
      <c r="D27" s="1120"/>
      <c r="E27" s="525">
        <f t="shared" si="0"/>
        <v>0</v>
      </c>
      <c r="F27" s="1120"/>
      <c r="G27" s="699">
        <f t="shared" si="1"/>
        <v>0</v>
      </c>
      <c r="H27" s="706"/>
      <c r="I27" s="706"/>
      <c r="J27" s="851"/>
      <c r="K27" s="854"/>
      <c r="L27" s="706"/>
      <c r="M27" s="706"/>
      <c r="N27" s="705"/>
      <c r="O27" s="705"/>
      <c r="P27" s="705"/>
      <c r="Q27" s="705"/>
      <c r="R27" s="705"/>
      <c r="S27" s="705"/>
      <c r="T27" s="705"/>
      <c r="U27" s="705"/>
      <c r="V27" s="705"/>
      <c r="W27" s="705"/>
      <c r="X27" s="705"/>
      <c r="Y27" s="705"/>
      <c r="Z27" s="705"/>
      <c r="AA27" s="705"/>
      <c r="AB27" s="705"/>
      <c r="AC27" s="705"/>
      <c r="AD27" s="705"/>
      <c r="AE27" s="705"/>
      <c r="AF27" s="705"/>
      <c r="AG27" s="705"/>
      <c r="AH27" s="705"/>
      <c r="AI27" s="705"/>
      <c r="AJ27" s="705"/>
      <c r="AK27" s="705"/>
      <c r="AL27" s="705"/>
      <c r="AM27" s="705"/>
      <c r="AN27" s="705"/>
      <c r="AO27" s="705"/>
      <c r="AP27" s="705"/>
      <c r="AQ27" s="705"/>
      <c r="AR27" s="705"/>
      <c r="AS27" s="705"/>
      <c r="AT27" s="705"/>
      <c r="AU27" s="705"/>
      <c r="AV27" s="705"/>
      <c r="AW27" s="705"/>
      <c r="AX27" s="705"/>
      <c r="AY27" s="705"/>
      <c r="AZ27" s="705"/>
      <c r="BA27" s="705"/>
      <c r="BB27" s="705"/>
      <c r="BC27" s="705"/>
    </row>
    <row r="28" spans="1:55">
      <c r="A28" s="576" t="s">
        <v>1169</v>
      </c>
      <c r="B28" s="1108"/>
      <c r="C28" s="1120"/>
      <c r="D28" s="1120"/>
      <c r="E28" s="525">
        <f t="shared" si="0"/>
        <v>0</v>
      </c>
      <c r="F28" s="1120"/>
      <c r="G28" s="699">
        <f t="shared" si="1"/>
        <v>0</v>
      </c>
      <c r="H28" s="706"/>
      <c r="I28" s="706"/>
      <c r="J28" s="851"/>
      <c r="K28" s="706"/>
      <c r="L28" s="706"/>
      <c r="M28" s="706"/>
      <c r="N28" s="705"/>
      <c r="O28" s="705"/>
      <c r="P28" s="705"/>
      <c r="Q28" s="705"/>
      <c r="R28" s="705"/>
      <c r="S28" s="705"/>
      <c r="T28" s="705"/>
      <c r="U28" s="705"/>
      <c r="V28" s="705"/>
      <c r="W28" s="705"/>
      <c r="X28" s="705"/>
      <c r="Y28" s="705"/>
      <c r="Z28" s="705"/>
      <c r="AA28" s="705"/>
      <c r="AB28" s="705"/>
      <c r="AC28" s="705"/>
      <c r="AD28" s="705"/>
      <c r="AE28" s="705"/>
      <c r="AF28" s="705"/>
      <c r="AG28" s="705"/>
      <c r="AH28" s="705"/>
      <c r="AI28" s="705"/>
      <c r="AJ28" s="705"/>
      <c r="AK28" s="705"/>
      <c r="AL28" s="705"/>
      <c r="AM28" s="705"/>
      <c r="AN28" s="705"/>
      <c r="AO28" s="705"/>
      <c r="AP28" s="705"/>
      <c r="AQ28" s="705"/>
      <c r="AR28" s="705"/>
      <c r="AS28" s="705"/>
      <c r="AT28" s="705"/>
      <c r="AU28" s="705"/>
      <c r="AV28" s="705"/>
      <c r="AW28" s="705"/>
      <c r="AX28" s="705"/>
      <c r="AY28" s="705"/>
      <c r="AZ28" s="705"/>
      <c r="BA28" s="705"/>
      <c r="BB28" s="705"/>
      <c r="BC28" s="705"/>
    </row>
    <row r="29" spans="1:55">
      <c r="A29" s="576" t="s">
        <v>1170</v>
      </c>
      <c r="B29" s="1108"/>
      <c r="C29" s="1120"/>
      <c r="D29" s="1120"/>
      <c r="E29" s="525">
        <f t="shared" si="0"/>
        <v>0</v>
      </c>
      <c r="F29" s="1120"/>
      <c r="G29" s="699">
        <f t="shared" si="1"/>
        <v>0</v>
      </c>
      <c r="H29" s="706"/>
      <c r="I29" s="706"/>
      <c r="J29" s="851"/>
      <c r="K29" s="706"/>
      <c r="L29" s="706"/>
      <c r="M29" s="706"/>
      <c r="N29" s="705"/>
      <c r="O29" s="705"/>
      <c r="P29" s="705"/>
      <c r="Q29" s="705"/>
      <c r="R29" s="705"/>
      <c r="S29" s="705"/>
      <c r="T29" s="705"/>
      <c r="U29" s="705"/>
      <c r="V29" s="705"/>
      <c r="W29" s="705"/>
      <c r="X29" s="705"/>
      <c r="Y29" s="705"/>
      <c r="Z29" s="705"/>
      <c r="AA29" s="705"/>
      <c r="AB29" s="705"/>
      <c r="AC29" s="705"/>
      <c r="AD29" s="705"/>
      <c r="AE29" s="705"/>
      <c r="AF29" s="705"/>
      <c r="AG29" s="705"/>
      <c r="AH29" s="705"/>
      <c r="AI29" s="705"/>
      <c r="AJ29" s="705"/>
      <c r="AK29" s="705"/>
      <c r="AL29" s="705"/>
      <c r="AM29" s="705"/>
      <c r="AN29" s="705"/>
      <c r="AO29" s="705"/>
      <c r="AP29" s="705"/>
      <c r="AQ29" s="705"/>
      <c r="AR29" s="705"/>
      <c r="AS29" s="705"/>
      <c r="AT29" s="705"/>
      <c r="AU29" s="705"/>
      <c r="AV29" s="705"/>
      <c r="AW29" s="705"/>
      <c r="AX29" s="705"/>
      <c r="AY29" s="705"/>
      <c r="AZ29" s="705"/>
      <c r="BA29" s="705"/>
      <c r="BB29" s="705"/>
      <c r="BC29" s="705"/>
    </row>
    <row r="30" spans="1:55">
      <c r="A30" s="576" t="s">
        <v>1171</v>
      </c>
      <c r="B30" s="1108"/>
      <c r="C30" s="1120"/>
      <c r="D30" s="1120"/>
      <c r="E30" s="525">
        <f t="shared" si="0"/>
        <v>0</v>
      </c>
      <c r="F30" s="1120"/>
      <c r="G30" s="699">
        <f t="shared" si="1"/>
        <v>0</v>
      </c>
      <c r="H30" s="706"/>
      <c r="I30" s="706"/>
      <c r="J30" s="851"/>
      <c r="K30" s="706"/>
      <c r="L30" s="706"/>
      <c r="M30" s="706"/>
      <c r="N30" s="705"/>
      <c r="O30" s="705"/>
      <c r="P30" s="705"/>
      <c r="Q30" s="705"/>
      <c r="R30" s="705"/>
      <c r="S30" s="705"/>
      <c r="T30" s="705"/>
      <c r="U30" s="705"/>
      <c r="V30" s="705"/>
      <c r="W30" s="705"/>
      <c r="X30" s="705"/>
      <c r="Y30" s="705"/>
      <c r="Z30" s="705"/>
      <c r="AA30" s="705"/>
      <c r="AB30" s="705"/>
      <c r="AC30" s="705"/>
      <c r="AD30" s="705"/>
      <c r="AE30" s="705"/>
      <c r="AF30" s="705"/>
      <c r="AG30" s="705"/>
      <c r="AH30" s="705"/>
      <c r="AI30" s="705"/>
      <c r="AJ30" s="705"/>
      <c r="AK30" s="705"/>
      <c r="AL30" s="705"/>
      <c r="AM30" s="705"/>
      <c r="AN30" s="705"/>
      <c r="AO30" s="705"/>
      <c r="AP30" s="705"/>
      <c r="AQ30" s="705"/>
      <c r="AR30" s="705"/>
      <c r="AS30" s="705"/>
      <c r="AT30" s="705"/>
      <c r="AU30" s="705"/>
      <c r="AV30" s="705"/>
      <c r="AW30" s="705"/>
      <c r="AX30" s="705"/>
      <c r="AY30" s="705"/>
      <c r="AZ30" s="705"/>
      <c r="BA30" s="705"/>
      <c r="BB30" s="705"/>
      <c r="BC30" s="705"/>
    </row>
    <row r="31" spans="1:55">
      <c r="A31" s="576" t="s">
        <v>1172</v>
      </c>
      <c r="B31" s="1108"/>
      <c r="C31" s="1120"/>
      <c r="D31" s="1120"/>
      <c r="E31" s="525">
        <f t="shared" si="0"/>
        <v>0</v>
      </c>
      <c r="F31" s="1120"/>
      <c r="G31" s="699">
        <f t="shared" si="1"/>
        <v>0</v>
      </c>
      <c r="H31" s="706"/>
      <c r="I31" s="706"/>
      <c r="J31" s="851"/>
      <c r="K31" s="706"/>
      <c r="L31" s="706"/>
      <c r="M31" s="706"/>
      <c r="N31" s="705"/>
      <c r="O31" s="705"/>
      <c r="P31" s="705"/>
      <c r="Q31" s="705"/>
      <c r="R31" s="705"/>
      <c r="S31" s="705"/>
      <c r="T31" s="705"/>
      <c r="U31" s="705"/>
      <c r="V31" s="705"/>
      <c r="W31" s="705"/>
      <c r="X31" s="705"/>
      <c r="Y31" s="705"/>
      <c r="Z31" s="705"/>
      <c r="AA31" s="705"/>
      <c r="AB31" s="705"/>
      <c r="AC31" s="705"/>
      <c r="AD31" s="705"/>
      <c r="AE31" s="705"/>
      <c r="AF31" s="705"/>
      <c r="AG31" s="705"/>
      <c r="AH31" s="705"/>
      <c r="AI31" s="705"/>
      <c r="AJ31" s="705"/>
      <c r="AK31" s="705"/>
      <c r="AL31" s="705"/>
      <c r="AM31" s="705"/>
      <c r="AN31" s="705"/>
      <c r="AO31" s="705"/>
      <c r="AP31" s="705"/>
      <c r="AQ31" s="705"/>
      <c r="AR31" s="705"/>
      <c r="AS31" s="705"/>
      <c r="AT31" s="705"/>
      <c r="AU31" s="705"/>
      <c r="AV31" s="705"/>
      <c r="AW31" s="705"/>
      <c r="AX31" s="705"/>
      <c r="AY31" s="705"/>
      <c r="AZ31" s="705"/>
      <c r="BA31" s="705"/>
      <c r="BB31" s="705"/>
      <c r="BC31" s="705"/>
    </row>
    <row r="32" spans="1:55">
      <c r="A32" s="576" t="s">
        <v>1173</v>
      </c>
      <c r="B32" s="1108"/>
      <c r="C32" s="1120"/>
      <c r="D32" s="1120"/>
      <c r="E32" s="525">
        <f t="shared" si="0"/>
        <v>0</v>
      </c>
      <c r="F32" s="1120"/>
      <c r="G32" s="699">
        <f t="shared" si="1"/>
        <v>0</v>
      </c>
      <c r="H32" s="706"/>
      <c r="I32" s="706"/>
      <c r="J32" s="851"/>
      <c r="K32" s="706"/>
      <c r="L32" s="706"/>
      <c r="M32" s="706"/>
      <c r="N32" s="705"/>
      <c r="O32" s="705"/>
      <c r="P32" s="705"/>
      <c r="Q32" s="705"/>
      <c r="R32" s="705"/>
      <c r="S32" s="705"/>
      <c r="T32" s="705"/>
      <c r="U32" s="705"/>
      <c r="V32" s="705"/>
      <c r="W32" s="705"/>
      <c r="X32" s="705"/>
      <c r="Y32" s="705"/>
      <c r="Z32" s="705"/>
      <c r="AA32" s="705"/>
      <c r="AB32" s="705"/>
      <c r="AC32" s="705"/>
      <c r="AD32" s="705"/>
      <c r="AE32" s="705"/>
      <c r="AF32" s="705"/>
      <c r="AG32" s="705"/>
      <c r="AH32" s="705"/>
      <c r="AI32" s="705"/>
      <c r="AJ32" s="705"/>
      <c r="AK32" s="705"/>
      <c r="AL32" s="705"/>
      <c r="AM32" s="705"/>
      <c r="AN32" s="705"/>
      <c r="AO32" s="705"/>
      <c r="AP32" s="705"/>
      <c r="AQ32" s="705"/>
      <c r="AR32" s="705"/>
      <c r="AS32" s="705"/>
      <c r="AT32" s="705"/>
      <c r="AU32" s="705"/>
      <c r="AV32" s="705"/>
      <c r="AW32" s="705"/>
      <c r="AX32" s="705"/>
      <c r="AY32" s="705"/>
      <c r="AZ32" s="705"/>
      <c r="BA32" s="705"/>
      <c r="BB32" s="705"/>
      <c r="BC32" s="705"/>
    </row>
    <row r="33" spans="1:55">
      <c r="A33" s="576" t="s">
        <v>1174</v>
      </c>
      <c r="B33" s="1108"/>
      <c r="C33" s="1120"/>
      <c r="D33" s="1120"/>
      <c r="E33" s="525">
        <f t="shared" si="0"/>
        <v>0</v>
      </c>
      <c r="F33" s="1120"/>
      <c r="G33" s="699">
        <f t="shared" si="1"/>
        <v>0</v>
      </c>
      <c r="H33" s="706"/>
      <c r="I33" s="706"/>
      <c r="J33" s="851"/>
      <c r="K33" s="706"/>
      <c r="L33" s="706"/>
      <c r="M33" s="706"/>
      <c r="N33" s="705"/>
      <c r="O33" s="705"/>
      <c r="P33" s="705"/>
      <c r="Q33" s="705"/>
      <c r="R33" s="705"/>
      <c r="S33" s="705"/>
      <c r="T33" s="705"/>
      <c r="U33" s="705"/>
      <c r="V33" s="705"/>
      <c r="W33" s="705"/>
      <c r="X33" s="705"/>
      <c r="Y33" s="705"/>
      <c r="Z33" s="705"/>
      <c r="AA33" s="705"/>
      <c r="AB33" s="705"/>
      <c r="AC33" s="705"/>
      <c r="AD33" s="705"/>
      <c r="AE33" s="705"/>
      <c r="AF33" s="705"/>
      <c r="AG33" s="705"/>
      <c r="AH33" s="705"/>
      <c r="AI33" s="705"/>
      <c r="AJ33" s="705"/>
      <c r="AK33" s="705"/>
      <c r="AL33" s="705"/>
      <c r="AM33" s="705"/>
      <c r="AN33" s="705"/>
      <c r="AO33" s="705"/>
      <c r="AP33" s="705"/>
      <c r="AQ33" s="705"/>
      <c r="AR33" s="705"/>
      <c r="AS33" s="705"/>
      <c r="AT33" s="705"/>
      <c r="AU33" s="705"/>
      <c r="AV33" s="705"/>
      <c r="AW33" s="705"/>
      <c r="AX33" s="705"/>
      <c r="AY33" s="705"/>
      <c r="AZ33" s="705"/>
      <c r="BA33" s="705"/>
      <c r="BB33" s="705"/>
      <c r="BC33" s="705"/>
    </row>
    <row r="34" spans="1:55">
      <c r="A34" s="576" t="s">
        <v>1175</v>
      </c>
      <c r="B34" s="1108"/>
      <c r="C34" s="1120"/>
      <c r="D34" s="1120"/>
      <c r="E34" s="525">
        <f t="shared" si="0"/>
        <v>0</v>
      </c>
      <c r="F34" s="1120"/>
      <c r="G34" s="699">
        <f t="shared" si="1"/>
        <v>0</v>
      </c>
      <c r="H34" s="706"/>
      <c r="I34" s="706"/>
      <c r="J34" s="706"/>
      <c r="K34" s="706"/>
      <c r="L34" s="706"/>
      <c r="M34" s="706"/>
      <c r="N34" s="705"/>
      <c r="O34" s="705"/>
      <c r="P34" s="705"/>
      <c r="Q34" s="705"/>
      <c r="R34" s="705"/>
      <c r="S34" s="705"/>
      <c r="T34" s="705"/>
      <c r="U34" s="705"/>
      <c r="V34" s="705"/>
      <c r="W34" s="705"/>
      <c r="X34" s="705"/>
      <c r="Y34" s="705"/>
      <c r="Z34" s="705"/>
      <c r="AA34" s="705"/>
      <c r="AB34" s="705"/>
      <c r="AC34" s="705"/>
      <c r="AD34" s="705"/>
      <c r="AE34" s="705"/>
      <c r="AF34" s="705"/>
      <c r="AG34" s="705"/>
      <c r="AH34" s="705"/>
      <c r="AI34" s="705"/>
      <c r="AJ34" s="705"/>
      <c r="AK34" s="705"/>
      <c r="AL34" s="705"/>
      <c r="AM34" s="705"/>
      <c r="AN34" s="705"/>
      <c r="AO34" s="705"/>
      <c r="AP34" s="705"/>
      <c r="AQ34" s="705"/>
      <c r="AR34" s="705"/>
      <c r="AS34" s="705"/>
      <c r="AT34" s="705"/>
      <c r="AU34" s="705"/>
      <c r="AV34" s="705"/>
      <c r="AW34" s="705"/>
      <c r="AX34" s="705"/>
      <c r="AY34" s="705"/>
      <c r="AZ34" s="705"/>
      <c r="BA34" s="705"/>
      <c r="BB34" s="705"/>
      <c r="BC34" s="705"/>
    </row>
    <row r="35" spans="1:55">
      <c r="A35" s="576" t="s">
        <v>1176</v>
      </c>
      <c r="B35" s="1108"/>
      <c r="C35" s="1120"/>
      <c r="D35" s="1120"/>
      <c r="E35" s="525">
        <f t="shared" si="0"/>
        <v>0</v>
      </c>
      <c r="F35" s="1120"/>
      <c r="G35" s="699">
        <f t="shared" si="1"/>
        <v>0</v>
      </c>
      <c r="H35" s="706"/>
      <c r="I35" s="706"/>
      <c r="J35" s="706"/>
      <c r="K35" s="706"/>
      <c r="L35" s="706"/>
      <c r="M35" s="706"/>
      <c r="N35" s="705"/>
      <c r="O35" s="705"/>
      <c r="P35" s="705"/>
      <c r="Q35" s="705"/>
      <c r="R35" s="705"/>
      <c r="S35" s="705"/>
      <c r="T35" s="705"/>
      <c r="U35" s="705"/>
      <c r="V35" s="705"/>
      <c r="W35" s="705"/>
      <c r="X35" s="705"/>
      <c r="Y35" s="705"/>
      <c r="Z35" s="705"/>
      <c r="AA35" s="705"/>
      <c r="AB35" s="705"/>
      <c r="AC35" s="705"/>
      <c r="AD35" s="705"/>
      <c r="AE35" s="705"/>
      <c r="AF35" s="705"/>
      <c r="AG35" s="705"/>
      <c r="AH35" s="705"/>
      <c r="AI35" s="705"/>
      <c r="AJ35" s="705"/>
      <c r="AK35" s="705"/>
      <c r="AL35" s="705"/>
      <c r="AM35" s="705"/>
      <c r="AN35" s="705"/>
      <c r="AO35" s="705"/>
      <c r="AP35" s="705"/>
      <c r="AQ35" s="705"/>
      <c r="AR35" s="705"/>
      <c r="AS35" s="705"/>
      <c r="AT35" s="705"/>
      <c r="AU35" s="705"/>
      <c r="AV35" s="705"/>
      <c r="AW35" s="705"/>
      <c r="AX35" s="705"/>
      <c r="AY35" s="705"/>
      <c r="AZ35" s="705"/>
      <c r="BA35" s="705"/>
      <c r="BB35" s="705"/>
      <c r="BC35" s="705"/>
    </row>
    <row r="36" spans="1:55">
      <c r="A36" s="856" t="s">
        <v>1177</v>
      </c>
      <c r="B36" s="1108"/>
      <c r="C36" s="1120"/>
      <c r="D36" s="1120"/>
      <c r="E36" s="525">
        <f t="shared" si="0"/>
        <v>0</v>
      </c>
      <c r="F36" s="1120"/>
      <c r="G36" s="699">
        <f t="shared" si="1"/>
        <v>0</v>
      </c>
      <c r="H36" s="706"/>
      <c r="I36" s="706"/>
      <c r="J36" s="706"/>
      <c r="K36" s="706"/>
      <c r="L36" s="706"/>
      <c r="M36" s="706"/>
      <c r="N36" s="705"/>
      <c r="O36" s="705"/>
      <c r="P36" s="705"/>
      <c r="Q36" s="705"/>
      <c r="R36" s="705"/>
      <c r="S36" s="705"/>
      <c r="T36" s="705"/>
      <c r="U36" s="705"/>
      <c r="V36" s="705"/>
      <c r="W36" s="705"/>
      <c r="X36" s="705"/>
      <c r="Y36" s="705"/>
      <c r="Z36" s="705"/>
      <c r="AA36" s="705"/>
      <c r="AB36" s="705"/>
      <c r="AC36" s="705"/>
      <c r="AD36" s="705"/>
      <c r="AE36" s="705"/>
      <c r="AF36" s="705"/>
      <c r="AG36" s="705"/>
      <c r="AH36" s="705"/>
      <c r="AI36" s="705"/>
      <c r="AJ36" s="705"/>
      <c r="AK36" s="705"/>
      <c r="AL36" s="705"/>
      <c r="AM36" s="705"/>
      <c r="AN36" s="705"/>
      <c r="AO36" s="705"/>
      <c r="AP36" s="705"/>
      <c r="AQ36" s="705"/>
      <c r="AR36" s="705"/>
      <c r="AS36" s="705"/>
      <c r="AT36" s="705"/>
      <c r="AU36" s="705"/>
      <c r="AV36" s="705"/>
      <c r="AW36" s="705"/>
      <c r="AX36" s="705"/>
      <c r="AY36" s="705"/>
      <c r="AZ36" s="705"/>
      <c r="BA36" s="705"/>
      <c r="BB36" s="705"/>
      <c r="BC36" s="705"/>
    </row>
    <row r="37" spans="1:55">
      <c r="A37" s="576" t="s">
        <v>1178</v>
      </c>
      <c r="B37" s="1108"/>
      <c r="C37" s="1120"/>
      <c r="D37" s="1120"/>
      <c r="E37" s="525">
        <f t="shared" si="0"/>
        <v>0</v>
      </c>
      <c r="F37" s="1120"/>
      <c r="G37" s="699">
        <f t="shared" si="1"/>
        <v>0</v>
      </c>
      <c r="H37" s="706"/>
      <c r="I37" s="706"/>
      <c r="J37" s="706"/>
      <c r="K37" s="706"/>
      <c r="L37" s="706"/>
      <c r="M37" s="706"/>
      <c r="N37" s="705"/>
      <c r="O37" s="705"/>
      <c r="P37" s="705"/>
      <c r="Q37" s="705"/>
      <c r="R37" s="705"/>
      <c r="S37" s="705"/>
      <c r="T37" s="705"/>
      <c r="U37" s="705"/>
      <c r="V37" s="705"/>
      <c r="W37" s="705"/>
      <c r="X37" s="705"/>
      <c r="Y37" s="705"/>
      <c r="Z37" s="705"/>
      <c r="AA37" s="705"/>
      <c r="AB37" s="705"/>
      <c r="AC37" s="705"/>
      <c r="AD37" s="705"/>
      <c r="AE37" s="705"/>
      <c r="AF37" s="705"/>
      <c r="AG37" s="705"/>
      <c r="AH37" s="705"/>
      <c r="AI37" s="705"/>
      <c r="AJ37" s="705"/>
      <c r="AK37" s="705"/>
      <c r="AL37" s="705"/>
      <c r="AM37" s="705"/>
      <c r="AN37" s="705"/>
      <c r="AO37" s="705"/>
      <c r="AP37" s="705"/>
      <c r="AQ37" s="705"/>
      <c r="AR37" s="705"/>
      <c r="AS37" s="705"/>
      <c r="AT37" s="705"/>
      <c r="AU37" s="705"/>
      <c r="AV37" s="705"/>
      <c r="AW37" s="705"/>
      <c r="AX37" s="705"/>
      <c r="AY37" s="705"/>
      <c r="AZ37" s="705"/>
      <c r="BA37" s="705"/>
      <c r="BB37" s="705"/>
      <c r="BC37" s="705"/>
    </row>
    <row r="38" spans="1:55">
      <c r="A38" s="576" t="s">
        <v>1179</v>
      </c>
      <c r="B38" s="1108"/>
      <c r="C38" s="1110"/>
      <c r="D38" s="1110"/>
      <c r="E38" s="525">
        <f t="shared" si="0"/>
        <v>0</v>
      </c>
      <c r="F38" s="1110">
        <f>-F23-F24-F25</f>
        <v>0</v>
      </c>
      <c r="G38" s="699">
        <f t="shared" si="1"/>
        <v>0</v>
      </c>
      <c r="H38" s="706"/>
      <c r="I38" s="706"/>
      <c r="J38" s="706"/>
      <c r="K38" s="706"/>
      <c r="L38" s="706"/>
      <c r="M38" s="706"/>
      <c r="N38" s="705"/>
      <c r="O38" s="705"/>
      <c r="P38" s="705"/>
      <c r="Q38" s="705"/>
      <c r="R38" s="705"/>
      <c r="S38" s="705"/>
      <c r="T38" s="705"/>
      <c r="U38" s="705"/>
      <c r="V38" s="705"/>
      <c r="W38" s="705"/>
      <c r="X38" s="705"/>
      <c r="Y38" s="705"/>
      <c r="Z38" s="705"/>
      <c r="AA38" s="705"/>
      <c r="AB38" s="705"/>
      <c r="AC38" s="705"/>
      <c r="AD38" s="705"/>
      <c r="AE38" s="705"/>
      <c r="AF38" s="705"/>
      <c r="AG38" s="705"/>
      <c r="AH38" s="705"/>
      <c r="AI38" s="705"/>
      <c r="AJ38" s="705"/>
      <c r="AK38" s="705"/>
      <c r="AL38" s="705"/>
      <c r="AM38" s="705"/>
      <c r="AN38" s="705"/>
      <c r="AO38" s="705"/>
      <c r="AP38" s="705"/>
      <c r="AQ38" s="705"/>
      <c r="AR38" s="705"/>
      <c r="AS38" s="705"/>
      <c r="AT38" s="705"/>
      <c r="AU38" s="705"/>
      <c r="AV38" s="705"/>
      <c r="AW38" s="705"/>
      <c r="AX38" s="705"/>
      <c r="AY38" s="705"/>
      <c r="AZ38" s="705"/>
      <c r="BA38" s="705"/>
      <c r="BB38" s="705"/>
      <c r="BC38" s="705"/>
    </row>
    <row r="39" spans="1:55">
      <c r="A39" s="775"/>
      <c r="B39" s="1108"/>
      <c r="C39" s="1110"/>
      <c r="D39" s="1110"/>
      <c r="E39" s="525">
        <f t="shared" si="0"/>
        <v>0</v>
      </c>
      <c r="F39" s="1110"/>
      <c r="G39" s="699">
        <f t="shared" si="1"/>
        <v>0</v>
      </c>
      <c r="H39" s="706"/>
      <c r="I39" s="706"/>
      <c r="J39" s="706"/>
      <c r="K39" s="706"/>
      <c r="L39" s="706"/>
      <c r="M39" s="706"/>
      <c r="N39" s="705"/>
      <c r="O39" s="705"/>
      <c r="P39" s="705"/>
      <c r="Q39" s="705"/>
      <c r="R39" s="705"/>
      <c r="S39" s="705"/>
      <c r="T39" s="705"/>
      <c r="U39" s="705"/>
      <c r="V39" s="705"/>
      <c r="W39" s="705"/>
      <c r="X39" s="705"/>
      <c r="Y39" s="705"/>
      <c r="Z39" s="705"/>
      <c r="AA39" s="705"/>
      <c r="AB39" s="705"/>
      <c r="AC39" s="705"/>
      <c r="AD39" s="705"/>
      <c r="AE39" s="705"/>
      <c r="AF39" s="705"/>
      <c r="AG39" s="705"/>
      <c r="AH39" s="705"/>
      <c r="AI39" s="705"/>
      <c r="AJ39" s="705"/>
      <c r="AK39" s="705"/>
      <c r="AL39" s="705"/>
      <c r="AM39" s="705"/>
      <c r="AN39" s="705"/>
      <c r="AO39" s="705"/>
      <c r="AP39" s="705"/>
      <c r="AQ39" s="705"/>
      <c r="AR39" s="705"/>
      <c r="AS39" s="705"/>
      <c r="AT39" s="705"/>
      <c r="AU39" s="705"/>
      <c r="AV39" s="705"/>
      <c r="AW39" s="705"/>
      <c r="AX39" s="705"/>
      <c r="AY39" s="705"/>
      <c r="AZ39" s="705"/>
      <c r="BA39" s="705"/>
      <c r="BB39" s="705"/>
      <c r="BC39" s="705"/>
    </row>
    <row r="40" spans="1:55">
      <c r="A40" s="857"/>
      <c r="B40" s="1176"/>
      <c r="C40" s="1124"/>
      <c r="D40" s="1124"/>
      <c r="E40" s="823">
        <f t="shared" si="0"/>
        <v>0</v>
      </c>
      <c r="F40" s="1124"/>
      <c r="G40" s="596">
        <f t="shared" si="1"/>
        <v>0</v>
      </c>
      <c r="H40" s="706"/>
      <c r="I40" s="706"/>
      <c r="J40" s="706"/>
      <c r="K40" s="706"/>
      <c r="L40" s="706"/>
      <c r="M40" s="706"/>
      <c r="N40" s="705"/>
      <c r="O40" s="705"/>
      <c r="P40" s="705"/>
      <c r="Q40" s="705"/>
      <c r="R40" s="705"/>
      <c r="S40" s="705"/>
      <c r="T40" s="705"/>
      <c r="U40" s="705"/>
      <c r="V40" s="705"/>
      <c r="W40" s="705"/>
      <c r="X40" s="705"/>
      <c r="Y40" s="705"/>
      <c r="Z40" s="705"/>
      <c r="AA40" s="705"/>
      <c r="AB40" s="705"/>
      <c r="AC40" s="705"/>
      <c r="AD40" s="705"/>
      <c r="AE40" s="705"/>
      <c r="AF40" s="705"/>
      <c r="AG40" s="705"/>
      <c r="AH40" s="705"/>
      <c r="AI40" s="705"/>
      <c r="AJ40" s="705"/>
      <c r="AK40" s="705"/>
      <c r="AL40" s="705"/>
      <c r="AM40" s="705"/>
      <c r="AN40" s="705"/>
      <c r="AO40" s="705"/>
      <c r="AP40" s="705"/>
      <c r="AQ40" s="705"/>
      <c r="AR40" s="705"/>
      <c r="AS40" s="705"/>
      <c r="AT40" s="705"/>
      <c r="AU40" s="705"/>
      <c r="AV40" s="705"/>
      <c r="AW40" s="705"/>
      <c r="AX40" s="705"/>
      <c r="AY40" s="705"/>
      <c r="AZ40" s="705"/>
      <c r="BA40" s="705"/>
      <c r="BB40" s="705"/>
      <c r="BC40" s="705"/>
    </row>
    <row r="41" spans="1:55" ht="9" customHeight="1">
      <c r="A41" s="3128" t="s">
        <v>642</v>
      </c>
      <c r="B41" s="3128"/>
      <c r="C41" s="3250" t="str">
        <f>IF(D21&lt;&gt;C12+C16,"生产成本借方发生额与制造费用贷方发生额相差"&amp;DOLLAR(D21-C12-C16,2)&amp;"元！","生产成本借方发生额与制造费用贷方发生额相符！")</f>
        <v>生产成本借方发生额与制造费用贷方发生额相符！</v>
      </c>
      <c r="D41" s="3250"/>
      <c r="E41" s="3250"/>
      <c r="F41" s="3250"/>
      <c r="G41" s="3250"/>
      <c r="H41" s="706"/>
      <c r="I41" s="706"/>
      <c r="J41" s="706"/>
      <c r="K41" s="706"/>
      <c r="L41" s="706"/>
      <c r="M41" s="706"/>
      <c r="N41" s="705"/>
      <c r="O41" s="705"/>
      <c r="P41" s="705"/>
      <c r="Q41" s="705"/>
      <c r="R41" s="705"/>
      <c r="S41" s="705"/>
      <c r="T41" s="705"/>
      <c r="U41" s="705"/>
      <c r="V41" s="705"/>
      <c r="W41" s="705"/>
      <c r="X41" s="705"/>
      <c r="Y41" s="705"/>
      <c r="Z41" s="705"/>
      <c r="AA41" s="705"/>
      <c r="AB41" s="705"/>
      <c r="AC41" s="705"/>
      <c r="AD41" s="705"/>
      <c r="AE41" s="705"/>
      <c r="AF41" s="705"/>
      <c r="AG41" s="705"/>
      <c r="AH41" s="705"/>
      <c r="AI41" s="705"/>
      <c r="AJ41" s="705"/>
      <c r="AK41" s="705"/>
      <c r="AL41" s="705"/>
      <c r="AM41" s="705"/>
      <c r="AN41" s="705"/>
      <c r="AO41" s="705"/>
      <c r="AP41" s="705"/>
      <c r="AQ41" s="705"/>
      <c r="AR41" s="705"/>
      <c r="AS41" s="705"/>
      <c r="AT41" s="705"/>
      <c r="AU41" s="705"/>
      <c r="AV41" s="705"/>
      <c r="AW41" s="705"/>
      <c r="AX41" s="705"/>
      <c r="AY41" s="705"/>
      <c r="AZ41" s="705"/>
      <c r="BA41" s="705"/>
      <c r="BB41" s="705"/>
      <c r="BC41" s="705"/>
    </row>
    <row r="42" spans="1:55" ht="9" customHeight="1">
      <c r="A42" s="3128"/>
      <c r="B42" s="3128"/>
      <c r="C42" s="3250"/>
      <c r="D42" s="3250"/>
      <c r="E42" s="3250"/>
      <c r="F42" s="3250"/>
      <c r="G42" s="3250"/>
      <c r="H42" s="706"/>
      <c r="I42" s="706"/>
      <c r="J42" s="706"/>
      <c r="K42" s="706"/>
      <c r="L42" s="706"/>
      <c r="M42" s="706"/>
      <c r="N42" s="705"/>
      <c r="O42" s="705"/>
      <c r="P42" s="705"/>
      <c r="Q42" s="705"/>
      <c r="R42" s="705"/>
      <c r="S42" s="705"/>
      <c r="T42" s="705"/>
      <c r="U42" s="705"/>
      <c r="V42" s="705"/>
      <c r="W42" s="705"/>
      <c r="X42" s="705"/>
      <c r="Y42" s="705"/>
      <c r="Z42" s="705"/>
      <c r="AA42" s="705"/>
      <c r="AB42" s="705"/>
      <c r="AC42" s="705"/>
      <c r="AD42" s="705"/>
      <c r="AE42" s="705"/>
      <c r="AF42" s="705"/>
      <c r="AG42" s="705"/>
      <c r="AH42" s="705"/>
      <c r="AI42" s="705"/>
      <c r="AJ42" s="705"/>
      <c r="AK42" s="705"/>
      <c r="AL42" s="705"/>
      <c r="AM42" s="705"/>
      <c r="AN42" s="705"/>
      <c r="AO42" s="705"/>
      <c r="AP42" s="705"/>
      <c r="AQ42" s="705"/>
      <c r="AR42" s="705"/>
      <c r="AS42" s="705"/>
      <c r="AT42" s="705"/>
      <c r="AU42" s="705"/>
      <c r="AV42" s="705"/>
      <c r="AW42" s="705"/>
      <c r="AX42" s="705"/>
      <c r="AY42" s="705"/>
      <c r="AZ42" s="705"/>
      <c r="BA42" s="705"/>
      <c r="BB42" s="705"/>
      <c r="BC42" s="705"/>
    </row>
    <row r="43" spans="1:55" ht="15.15" customHeight="1">
      <c r="A43" s="3141" t="s">
        <v>1324</v>
      </c>
      <c r="B43" s="3141"/>
      <c r="C43" s="3517" t="s">
        <v>1180</v>
      </c>
      <c r="D43" s="3517"/>
      <c r="E43" s="3514" t="str">
        <f>IF(OR(F8&lt;&gt;0,F21&lt;&gt;0),"、E","")</f>
        <v/>
      </c>
      <c r="F43" s="3514"/>
      <c r="G43" s="3514"/>
      <c r="H43" s="706"/>
      <c r="I43" s="706"/>
      <c r="J43" s="706"/>
      <c r="K43" s="706"/>
      <c r="L43" s="706"/>
      <c r="M43" s="706"/>
      <c r="N43" s="705"/>
      <c r="O43" s="705"/>
      <c r="P43" s="705"/>
      <c r="Q43" s="705"/>
      <c r="R43" s="705"/>
      <c r="S43" s="705"/>
      <c r="T43" s="705"/>
      <c r="U43" s="705"/>
      <c r="V43" s="705"/>
      <c r="W43" s="705"/>
      <c r="X43" s="705"/>
      <c r="Y43" s="705"/>
      <c r="Z43" s="705"/>
      <c r="AA43" s="705"/>
      <c r="AB43" s="705"/>
      <c r="AC43" s="705"/>
      <c r="AD43" s="705"/>
      <c r="AE43" s="705"/>
      <c r="AF43" s="705"/>
      <c r="AG43" s="705"/>
      <c r="AH43" s="705"/>
      <c r="AI43" s="705"/>
      <c r="AJ43" s="705"/>
      <c r="AK43" s="705"/>
      <c r="AL43" s="705"/>
      <c r="AM43" s="705"/>
      <c r="AN43" s="705"/>
      <c r="AO43" s="705"/>
      <c r="AP43" s="705"/>
      <c r="AQ43" s="705"/>
      <c r="AR43" s="705"/>
      <c r="AS43" s="705"/>
      <c r="AT43" s="705"/>
      <c r="AU43" s="705"/>
      <c r="AV43" s="705"/>
      <c r="AW43" s="705"/>
      <c r="AX43" s="705"/>
      <c r="AY43" s="705"/>
      <c r="AZ43" s="705"/>
      <c r="BA43" s="705"/>
      <c r="BB43" s="705"/>
      <c r="BC43" s="705"/>
    </row>
    <row r="44" spans="1:55">
      <c r="A44" s="3141"/>
      <c r="B44" s="3141"/>
      <c r="C44" s="3159"/>
      <c r="D44" s="3159"/>
      <c r="E44" s="3159"/>
      <c r="F44" s="3159"/>
      <c r="G44" s="3159"/>
      <c r="H44" s="706"/>
      <c r="I44" s="706"/>
      <c r="J44" s="706"/>
      <c r="K44" s="706"/>
      <c r="L44" s="706"/>
      <c r="M44" s="706"/>
      <c r="N44" s="705"/>
      <c r="O44" s="705"/>
      <c r="P44" s="705"/>
      <c r="Q44" s="705"/>
      <c r="R44" s="705"/>
      <c r="S44" s="705"/>
      <c r="T44" s="705"/>
      <c r="U44" s="705"/>
      <c r="V44" s="705"/>
      <c r="W44" s="705"/>
      <c r="X44" s="705"/>
      <c r="Y44" s="705"/>
      <c r="Z44" s="705"/>
      <c r="AA44" s="705"/>
      <c r="AB44" s="705"/>
      <c r="AC44" s="705"/>
      <c r="AD44" s="705"/>
      <c r="AE44" s="705"/>
      <c r="AF44" s="705"/>
      <c r="AG44" s="705"/>
      <c r="AH44" s="705"/>
      <c r="AI44" s="705"/>
      <c r="AJ44" s="705"/>
      <c r="AK44" s="705"/>
      <c r="AL44" s="705"/>
      <c r="AM44" s="705"/>
      <c r="AN44" s="705"/>
      <c r="AO44" s="705"/>
      <c r="AP44" s="705"/>
      <c r="AQ44" s="705"/>
      <c r="AR44" s="705"/>
      <c r="AS44" s="705"/>
      <c r="AT44" s="705"/>
      <c r="AU44" s="705"/>
      <c r="AV44" s="705"/>
      <c r="AW44" s="705"/>
      <c r="AX44" s="705"/>
      <c r="AY44" s="705"/>
      <c r="AZ44" s="705"/>
      <c r="BA44" s="705"/>
      <c r="BB44" s="705"/>
      <c r="BC44" s="705"/>
    </row>
    <row r="45" spans="1:55">
      <c r="A45" s="3141"/>
      <c r="B45" s="3141"/>
      <c r="C45" s="3159"/>
      <c r="D45" s="3159"/>
      <c r="E45" s="3159"/>
      <c r="F45" s="3159"/>
      <c r="G45" s="3159"/>
      <c r="H45" s="706"/>
      <c r="I45" s="706"/>
      <c r="J45" s="706"/>
      <c r="K45" s="706"/>
      <c r="L45" s="706"/>
      <c r="M45" s="706"/>
      <c r="N45" s="705"/>
      <c r="O45" s="705"/>
      <c r="P45" s="705"/>
      <c r="Q45" s="705"/>
      <c r="R45" s="705"/>
      <c r="S45" s="705"/>
      <c r="T45" s="705"/>
      <c r="U45" s="705"/>
      <c r="V45" s="705"/>
      <c r="W45" s="705"/>
      <c r="X45" s="705"/>
      <c r="Y45" s="705"/>
      <c r="Z45" s="705"/>
      <c r="AA45" s="705"/>
      <c r="AB45" s="705"/>
      <c r="AC45" s="705"/>
      <c r="AD45" s="705"/>
      <c r="AE45" s="705"/>
      <c r="AF45" s="705"/>
      <c r="AG45" s="705"/>
      <c r="AH45" s="705"/>
      <c r="AI45" s="705"/>
      <c r="AJ45" s="705"/>
      <c r="AK45" s="705"/>
      <c r="AL45" s="705"/>
      <c r="AM45" s="705"/>
      <c r="AN45" s="705"/>
      <c r="AO45" s="705"/>
      <c r="AP45" s="705"/>
      <c r="AQ45" s="705"/>
      <c r="AR45" s="705"/>
      <c r="AS45" s="705"/>
      <c r="AT45" s="705"/>
      <c r="AU45" s="705"/>
      <c r="AV45" s="705"/>
      <c r="AW45" s="705"/>
      <c r="AX45" s="705"/>
      <c r="AY45" s="705"/>
      <c r="AZ45" s="705"/>
      <c r="BA45" s="705"/>
      <c r="BB45" s="705"/>
      <c r="BC45" s="705"/>
    </row>
    <row r="46" spans="1:55">
      <c r="A46" s="3141"/>
      <c r="B46" s="3141"/>
      <c r="C46" s="3159"/>
      <c r="D46" s="3159"/>
      <c r="E46" s="3159"/>
      <c r="F46" s="3159"/>
      <c r="G46" s="3159"/>
      <c r="H46" s="706"/>
      <c r="I46" s="706"/>
      <c r="J46" s="706"/>
      <c r="K46" s="706"/>
      <c r="L46" s="706"/>
      <c r="M46" s="706"/>
      <c r="N46" s="705"/>
      <c r="O46" s="705"/>
      <c r="P46" s="705"/>
      <c r="Q46" s="705"/>
      <c r="R46" s="705"/>
      <c r="S46" s="705"/>
      <c r="T46" s="705"/>
      <c r="U46" s="705"/>
      <c r="V46" s="705"/>
      <c r="W46" s="705"/>
      <c r="X46" s="705"/>
      <c r="Y46" s="705"/>
      <c r="Z46" s="705"/>
      <c r="AA46" s="705"/>
      <c r="AB46" s="705"/>
      <c r="AC46" s="705"/>
      <c r="AD46" s="705"/>
      <c r="AE46" s="705"/>
      <c r="AF46" s="705"/>
      <c r="AG46" s="705"/>
      <c r="AH46" s="705"/>
      <c r="AI46" s="705"/>
      <c r="AJ46" s="705"/>
      <c r="AK46" s="705"/>
      <c r="AL46" s="705"/>
      <c r="AM46" s="705"/>
      <c r="AN46" s="705"/>
      <c r="AO46" s="705"/>
      <c r="AP46" s="705"/>
      <c r="AQ46" s="705"/>
      <c r="AR46" s="705"/>
      <c r="AS46" s="705"/>
      <c r="AT46" s="705"/>
      <c r="AU46" s="705"/>
      <c r="AV46" s="705"/>
      <c r="AW46" s="705"/>
      <c r="AX46" s="705"/>
      <c r="AY46" s="705"/>
      <c r="AZ46" s="705"/>
      <c r="BA46" s="705"/>
      <c r="BB46" s="705"/>
      <c r="BC46" s="705"/>
    </row>
    <row r="47" spans="1:55">
      <c r="A47" s="3141"/>
      <c r="B47" s="3141"/>
      <c r="C47" s="3159"/>
      <c r="D47" s="3159"/>
      <c r="E47" s="3159"/>
      <c r="F47" s="3159"/>
      <c r="G47" s="3159"/>
      <c r="H47" s="706"/>
      <c r="I47" s="706"/>
      <c r="J47" s="706"/>
      <c r="K47" s="706"/>
      <c r="L47" s="706"/>
      <c r="M47" s="706"/>
      <c r="N47" s="705"/>
      <c r="O47" s="705"/>
      <c r="P47" s="705"/>
      <c r="Q47" s="705"/>
      <c r="R47" s="705"/>
      <c r="S47" s="705"/>
      <c r="T47" s="705"/>
      <c r="U47" s="705"/>
      <c r="V47" s="705"/>
      <c r="W47" s="705"/>
      <c r="X47" s="705"/>
      <c r="Y47" s="705"/>
      <c r="Z47" s="705"/>
      <c r="AA47" s="705"/>
      <c r="AB47" s="705"/>
      <c r="AC47" s="705"/>
      <c r="AD47" s="705"/>
      <c r="AE47" s="705"/>
      <c r="AF47" s="705"/>
      <c r="AG47" s="705"/>
      <c r="AH47" s="705"/>
      <c r="AI47" s="705"/>
      <c r="AJ47" s="705"/>
      <c r="AK47" s="705"/>
      <c r="AL47" s="705"/>
      <c r="AM47" s="705"/>
      <c r="AN47" s="705"/>
      <c r="AO47" s="705"/>
      <c r="AP47" s="705"/>
      <c r="AQ47" s="705"/>
      <c r="AR47" s="705"/>
      <c r="AS47" s="705"/>
      <c r="AT47" s="705"/>
      <c r="AU47" s="705"/>
      <c r="AV47" s="705"/>
      <c r="AW47" s="705"/>
      <c r="AX47" s="705"/>
      <c r="AY47" s="705"/>
      <c r="AZ47" s="705"/>
      <c r="BA47" s="705"/>
      <c r="BB47" s="705"/>
      <c r="BC47" s="705"/>
    </row>
    <row r="48" spans="1:55">
      <c r="A48" s="2936" t="s">
        <v>575</v>
      </c>
      <c r="B48" s="2936"/>
      <c r="C48" s="3516" t="str">
        <f>IF(AND(F8=0,F21=0),"不存在调整事项,认可！","调整后认可！")</f>
        <v>不存在调整事项,认可！</v>
      </c>
      <c r="D48" s="3516"/>
      <c r="E48" s="3516"/>
      <c r="F48" s="3516"/>
      <c r="G48" s="3516"/>
      <c r="H48" s="706"/>
      <c r="I48" s="706"/>
      <c r="J48" s="706"/>
      <c r="K48" s="706"/>
      <c r="L48" s="706"/>
      <c r="M48" s="706"/>
      <c r="N48" s="705"/>
      <c r="O48" s="705"/>
      <c r="P48" s="705"/>
      <c r="Q48" s="705"/>
      <c r="R48" s="705"/>
      <c r="S48" s="705"/>
      <c r="T48" s="705"/>
      <c r="U48" s="705"/>
      <c r="V48" s="705"/>
      <c r="W48" s="705"/>
      <c r="X48" s="705"/>
      <c r="Y48" s="705"/>
      <c r="Z48" s="705"/>
      <c r="AA48" s="705"/>
      <c r="AB48" s="705"/>
      <c r="AC48" s="705"/>
      <c r="AD48" s="705"/>
      <c r="AE48" s="705"/>
      <c r="AF48" s="705"/>
      <c r="AG48" s="705"/>
      <c r="AH48" s="705"/>
      <c r="AI48" s="705"/>
      <c r="AJ48" s="705"/>
      <c r="AK48" s="705"/>
      <c r="AL48" s="705"/>
      <c r="AM48" s="705"/>
      <c r="AN48" s="705"/>
      <c r="AO48" s="705"/>
      <c r="AP48" s="705"/>
      <c r="AQ48" s="705"/>
      <c r="AR48" s="705"/>
      <c r="AS48" s="705"/>
      <c r="AT48" s="705"/>
      <c r="AU48" s="705"/>
      <c r="AV48" s="705"/>
      <c r="AW48" s="705"/>
      <c r="AX48" s="705"/>
      <c r="AY48" s="705"/>
      <c r="AZ48" s="705"/>
      <c r="BA48" s="705"/>
      <c r="BB48" s="705"/>
      <c r="BC48" s="705"/>
    </row>
    <row r="49" spans="1:55">
      <c r="A49" s="706"/>
      <c r="B49" s="706"/>
      <c r="C49" s="706"/>
      <c r="D49" s="706"/>
      <c r="E49" s="706"/>
      <c r="F49" s="706"/>
      <c r="G49" s="706"/>
      <c r="H49" s="706"/>
      <c r="I49" s="706"/>
      <c r="J49" s="706"/>
      <c r="K49" s="706"/>
      <c r="L49" s="706"/>
      <c r="M49" s="706"/>
      <c r="N49" s="705"/>
      <c r="O49" s="705"/>
      <c r="P49" s="705"/>
      <c r="Q49" s="705"/>
      <c r="R49" s="705"/>
      <c r="S49" s="705"/>
      <c r="T49" s="705"/>
      <c r="U49" s="705"/>
      <c r="V49" s="705"/>
      <c r="W49" s="705"/>
      <c r="X49" s="705"/>
      <c r="Y49" s="705"/>
      <c r="Z49" s="705"/>
      <c r="AA49" s="705"/>
      <c r="AB49" s="705"/>
      <c r="AC49" s="705"/>
      <c r="AD49" s="705"/>
      <c r="AE49" s="705"/>
      <c r="AF49" s="705"/>
      <c r="AG49" s="705"/>
      <c r="AH49" s="705"/>
      <c r="AI49" s="705"/>
      <c r="AJ49" s="705"/>
      <c r="AK49" s="705"/>
      <c r="AL49" s="705"/>
      <c r="AM49" s="705"/>
      <c r="AN49" s="705"/>
      <c r="AO49" s="705"/>
      <c r="AP49" s="705"/>
      <c r="AQ49" s="705"/>
      <c r="AR49" s="705"/>
      <c r="AS49" s="705"/>
      <c r="AT49" s="705"/>
      <c r="AU49" s="705"/>
      <c r="AV49" s="705"/>
      <c r="AW49" s="705"/>
      <c r="AX49" s="705"/>
      <c r="AY49" s="705"/>
      <c r="AZ49" s="705"/>
      <c r="BA49" s="705"/>
      <c r="BB49" s="705"/>
      <c r="BC49" s="705"/>
    </row>
    <row r="50" spans="1:55">
      <c r="A50" s="706"/>
      <c r="B50" s="706"/>
      <c r="C50" s="706"/>
      <c r="D50" s="706"/>
      <c r="E50" s="706"/>
      <c r="F50" s="706"/>
      <c r="G50" s="706"/>
      <c r="H50" s="706"/>
      <c r="I50" s="706"/>
      <c r="J50" s="706"/>
      <c r="K50" s="706"/>
      <c r="L50" s="706"/>
      <c r="M50" s="706"/>
      <c r="N50" s="705"/>
      <c r="O50" s="705"/>
      <c r="P50" s="705"/>
      <c r="Q50" s="705"/>
      <c r="R50" s="705"/>
      <c r="S50" s="705"/>
      <c r="T50" s="705"/>
      <c r="U50" s="705"/>
      <c r="V50" s="705"/>
      <c r="W50" s="705"/>
      <c r="X50" s="705"/>
      <c r="Y50" s="705"/>
      <c r="Z50" s="705"/>
      <c r="AA50" s="705"/>
      <c r="AB50" s="705"/>
      <c r="AC50" s="705"/>
      <c r="AD50" s="705"/>
      <c r="AE50" s="705"/>
      <c r="AF50" s="705"/>
      <c r="AG50" s="705"/>
      <c r="AH50" s="705"/>
      <c r="AI50" s="705"/>
      <c r="AJ50" s="705"/>
      <c r="AK50" s="705"/>
      <c r="AL50" s="705"/>
      <c r="AM50" s="705"/>
      <c r="AN50" s="705"/>
      <c r="AO50" s="705"/>
      <c r="AP50" s="705"/>
      <c r="AQ50" s="705"/>
      <c r="AR50" s="705"/>
      <c r="AS50" s="705"/>
      <c r="AT50" s="705"/>
      <c r="AU50" s="705"/>
      <c r="AV50" s="705"/>
      <c r="AW50" s="705"/>
      <c r="AX50" s="705"/>
      <c r="AY50" s="705"/>
      <c r="AZ50" s="705"/>
      <c r="BA50" s="705"/>
      <c r="BB50" s="705"/>
      <c r="BC50" s="705"/>
    </row>
    <row r="51" spans="1:55">
      <c r="A51" s="706"/>
      <c r="B51" s="706"/>
      <c r="C51" s="706"/>
      <c r="D51" s="706"/>
      <c r="E51" s="706"/>
      <c r="F51" s="706"/>
      <c r="G51" s="706"/>
      <c r="H51" s="706"/>
      <c r="I51" s="706"/>
      <c r="J51" s="706"/>
      <c r="K51" s="706"/>
      <c r="L51" s="706"/>
      <c r="M51" s="706"/>
      <c r="N51" s="705"/>
      <c r="O51" s="705"/>
      <c r="P51" s="705"/>
      <c r="Q51" s="705"/>
      <c r="R51" s="705"/>
      <c r="S51" s="705"/>
      <c r="T51" s="705"/>
      <c r="U51" s="705"/>
      <c r="V51" s="705"/>
      <c r="W51" s="705"/>
      <c r="X51" s="705"/>
      <c r="Y51" s="705"/>
      <c r="Z51" s="705"/>
      <c r="AA51" s="705"/>
      <c r="AB51" s="705"/>
      <c r="AC51" s="705"/>
      <c r="AD51" s="705"/>
      <c r="AE51" s="705"/>
      <c r="AF51" s="705"/>
      <c r="AG51" s="705"/>
      <c r="AH51" s="705"/>
      <c r="AI51" s="705"/>
      <c r="AJ51" s="705"/>
      <c r="AK51" s="705"/>
      <c r="AL51" s="705"/>
      <c r="AM51" s="705"/>
      <c r="AN51" s="705"/>
      <c r="AO51" s="705"/>
      <c r="AP51" s="705"/>
      <c r="AQ51" s="705"/>
      <c r="AR51" s="705"/>
      <c r="AS51" s="705"/>
      <c r="AT51" s="705"/>
      <c r="AU51" s="705"/>
      <c r="AV51" s="705"/>
      <c r="AW51" s="705"/>
      <c r="AX51" s="705"/>
      <c r="AY51" s="705"/>
      <c r="AZ51" s="705"/>
      <c r="BA51" s="705"/>
      <c r="BB51" s="705"/>
      <c r="BC51" s="705"/>
    </row>
    <row r="52" spans="1:55">
      <c r="A52" s="706"/>
      <c r="B52" s="706"/>
      <c r="C52" s="706"/>
      <c r="D52" s="706"/>
      <c r="E52" s="706"/>
      <c r="F52" s="706"/>
      <c r="G52" s="706"/>
      <c r="H52" s="706"/>
      <c r="I52" s="706"/>
      <c r="J52" s="706"/>
      <c r="K52" s="706"/>
      <c r="L52" s="706"/>
      <c r="M52" s="706"/>
      <c r="N52" s="705"/>
      <c r="O52" s="705"/>
      <c r="P52" s="705"/>
      <c r="Q52" s="705"/>
      <c r="R52" s="705"/>
      <c r="S52" s="705"/>
      <c r="T52" s="705"/>
      <c r="U52" s="705"/>
      <c r="V52" s="705"/>
      <c r="W52" s="705"/>
      <c r="X52" s="705"/>
      <c r="Y52" s="705"/>
      <c r="Z52" s="705"/>
      <c r="AA52" s="705"/>
      <c r="AB52" s="705"/>
      <c r="AC52" s="705"/>
      <c r="AD52" s="705"/>
      <c r="AE52" s="705"/>
      <c r="AF52" s="705"/>
      <c r="AG52" s="705"/>
      <c r="AH52" s="705"/>
      <c r="AI52" s="705"/>
      <c r="AJ52" s="705"/>
      <c r="AK52" s="705"/>
      <c r="AL52" s="705"/>
      <c r="AM52" s="705"/>
      <c r="AN52" s="705"/>
      <c r="AO52" s="705"/>
      <c r="AP52" s="705"/>
      <c r="AQ52" s="705"/>
      <c r="AR52" s="705"/>
      <c r="AS52" s="705"/>
      <c r="AT52" s="705"/>
      <c r="AU52" s="705"/>
      <c r="AV52" s="705"/>
      <c r="AW52" s="705"/>
      <c r="AX52" s="705"/>
      <c r="AY52" s="705"/>
      <c r="AZ52" s="705"/>
      <c r="BA52" s="705"/>
      <c r="BB52" s="705"/>
      <c r="BC52" s="705"/>
    </row>
    <row r="53" spans="1:55">
      <c r="A53" s="706"/>
      <c r="B53" s="706"/>
      <c r="C53" s="706"/>
      <c r="D53" s="706"/>
      <c r="E53" s="706"/>
      <c r="F53" s="706"/>
      <c r="G53" s="706"/>
      <c r="H53" s="706"/>
      <c r="I53" s="706"/>
      <c r="J53" s="706"/>
      <c r="K53" s="706"/>
      <c r="L53" s="706"/>
      <c r="M53" s="706"/>
      <c r="N53" s="705"/>
      <c r="O53" s="705"/>
      <c r="P53" s="705"/>
      <c r="Q53" s="705"/>
      <c r="R53" s="705"/>
      <c r="S53" s="705"/>
      <c r="T53" s="705"/>
      <c r="U53" s="705"/>
      <c r="V53" s="705"/>
      <c r="W53" s="705"/>
      <c r="X53" s="705"/>
      <c r="Y53" s="705"/>
      <c r="Z53" s="705"/>
      <c r="AA53" s="705"/>
      <c r="AB53" s="705"/>
      <c r="AC53" s="705"/>
      <c r="AD53" s="705"/>
      <c r="AE53" s="705"/>
      <c r="AF53" s="705"/>
      <c r="AG53" s="705"/>
      <c r="AH53" s="705"/>
      <c r="AI53" s="705"/>
      <c r="AJ53" s="705"/>
      <c r="AK53" s="705"/>
      <c r="AL53" s="705"/>
      <c r="AM53" s="705"/>
      <c r="AN53" s="705"/>
      <c r="AO53" s="705"/>
      <c r="AP53" s="705"/>
      <c r="AQ53" s="705"/>
      <c r="AR53" s="705"/>
      <c r="AS53" s="705"/>
      <c r="AT53" s="705"/>
      <c r="AU53" s="705"/>
      <c r="AV53" s="705"/>
      <c r="AW53" s="705"/>
      <c r="AX53" s="705"/>
      <c r="AY53" s="705"/>
      <c r="AZ53" s="705"/>
      <c r="BA53" s="705"/>
      <c r="BB53" s="705"/>
      <c r="BC53" s="705"/>
    </row>
    <row r="54" spans="1:55">
      <c r="A54" s="706"/>
      <c r="B54" s="706"/>
      <c r="C54" s="706"/>
      <c r="D54" s="706"/>
      <c r="E54" s="706"/>
      <c r="F54" s="706"/>
      <c r="G54" s="706"/>
      <c r="H54" s="706"/>
      <c r="I54" s="706"/>
      <c r="J54" s="706"/>
      <c r="K54" s="706"/>
      <c r="L54" s="706"/>
      <c r="M54" s="706"/>
      <c r="N54" s="705"/>
      <c r="O54" s="705"/>
      <c r="P54" s="705"/>
      <c r="Q54" s="705"/>
      <c r="R54" s="705"/>
      <c r="S54" s="705"/>
      <c r="T54" s="705"/>
      <c r="U54" s="705"/>
      <c r="V54" s="705"/>
      <c r="W54" s="705"/>
      <c r="X54" s="705"/>
      <c r="Y54" s="705"/>
      <c r="Z54" s="705"/>
      <c r="AA54" s="705"/>
      <c r="AB54" s="705"/>
      <c r="AC54" s="705"/>
      <c r="AD54" s="705"/>
      <c r="AE54" s="705"/>
      <c r="AF54" s="705"/>
      <c r="AG54" s="705"/>
      <c r="AH54" s="705"/>
      <c r="AI54" s="705"/>
      <c r="AJ54" s="705"/>
      <c r="AK54" s="705"/>
      <c r="AL54" s="705"/>
      <c r="AM54" s="705"/>
      <c r="AN54" s="705"/>
      <c r="AO54" s="705"/>
      <c r="AP54" s="705"/>
      <c r="AQ54" s="705"/>
      <c r="AR54" s="705"/>
      <c r="AS54" s="705"/>
      <c r="AT54" s="705"/>
      <c r="AU54" s="705"/>
      <c r="AV54" s="705"/>
      <c r="AW54" s="705"/>
      <c r="AX54" s="705"/>
      <c r="AY54" s="705"/>
      <c r="AZ54" s="705"/>
      <c r="BA54" s="705"/>
      <c r="BB54" s="705"/>
      <c r="BC54" s="705"/>
    </row>
    <row r="55" spans="1:55">
      <c r="A55" s="706"/>
      <c r="B55" s="706"/>
      <c r="C55" s="706"/>
      <c r="D55" s="706"/>
      <c r="E55" s="706"/>
      <c r="F55" s="706"/>
      <c r="G55" s="706"/>
      <c r="H55" s="706"/>
      <c r="I55" s="706"/>
      <c r="J55" s="706"/>
      <c r="K55" s="706"/>
      <c r="L55" s="706"/>
      <c r="M55" s="706"/>
      <c r="N55" s="705"/>
      <c r="O55" s="705"/>
      <c r="P55" s="705"/>
      <c r="Q55" s="705"/>
      <c r="R55" s="705"/>
      <c r="S55" s="705"/>
      <c r="T55" s="705"/>
      <c r="U55" s="705"/>
      <c r="V55" s="705"/>
      <c r="W55" s="705"/>
      <c r="X55" s="705"/>
      <c r="Y55" s="705"/>
      <c r="Z55" s="705"/>
      <c r="AA55" s="705"/>
      <c r="AB55" s="705"/>
      <c r="AC55" s="705"/>
      <c r="AD55" s="705"/>
      <c r="AE55" s="705"/>
      <c r="AF55" s="705"/>
      <c r="AG55" s="705"/>
      <c r="AH55" s="705"/>
      <c r="AI55" s="705"/>
      <c r="AJ55" s="705"/>
      <c r="AK55" s="705"/>
      <c r="AL55" s="705"/>
      <c r="AM55" s="705"/>
      <c r="AN55" s="705"/>
      <c r="AO55" s="705"/>
      <c r="AP55" s="705"/>
      <c r="AQ55" s="705"/>
      <c r="AR55" s="705"/>
      <c r="AS55" s="705"/>
      <c r="AT55" s="705"/>
      <c r="AU55" s="705"/>
      <c r="AV55" s="705"/>
      <c r="AW55" s="705"/>
      <c r="AX55" s="705"/>
      <c r="AY55" s="705"/>
      <c r="AZ55" s="705"/>
      <c r="BA55" s="705"/>
      <c r="BB55" s="705"/>
      <c r="BC55" s="705"/>
    </row>
    <row r="56" spans="1:55">
      <c r="A56" s="706"/>
      <c r="B56" s="706"/>
      <c r="C56" s="706"/>
      <c r="D56" s="706"/>
      <c r="E56" s="706"/>
      <c r="F56" s="706"/>
      <c r="G56" s="706"/>
      <c r="H56" s="706"/>
      <c r="I56" s="706"/>
      <c r="J56" s="706"/>
      <c r="K56" s="706"/>
      <c r="L56" s="706"/>
      <c r="M56" s="706"/>
      <c r="N56" s="705"/>
      <c r="O56" s="705"/>
      <c r="P56" s="705"/>
      <c r="Q56" s="705"/>
      <c r="R56" s="705"/>
      <c r="S56" s="705"/>
      <c r="T56" s="705"/>
      <c r="U56" s="705"/>
      <c r="V56" s="705"/>
      <c r="W56" s="705"/>
      <c r="X56" s="705"/>
      <c r="Y56" s="705"/>
      <c r="Z56" s="705"/>
      <c r="AA56" s="705"/>
      <c r="AB56" s="705"/>
      <c r="AC56" s="705"/>
      <c r="AD56" s="705"/>
      <c r="AE56" s="705"/>
      <c r="AF56" s="705"/>
      <c r="AG56" s="705"/>
      <c r="AH56" s="705"/>
      <c r="AI56" s="705"/>
      <c r="AJ56" s="705"/>
      <c r="AK56" s="705"/>
      <c r="AL56" s="705"/>
      <c r="AM56" s="705"/>
      <c r="AN56" s="705"/>
      <c r="AO56" s="705"/>
      <c r="AP56" s="705"/>
      <c r="AQ56" s="705"/>
      <c r="AR56" s="705"/>
      <c r="AS56" s="705"/>
      <c r="AT56" s="705"/>
      <c r="AU56" s="705"/>
      <c r="AV56" s="705"/>
      <c r="AW56" s="705"/>
      <c r="AX56" s="705"/>
      <c r="AY56" s="705"/>
      <c r="AZ56" s="705"/>
      <c r="BA56" s="705"/>
      <c r="BB56" s="705"/>
      <c r="BC56" s="705"/>
    </row>
    <row r="57" spans="1:55">
      <c r="A57" s="706"/>
      <c r="B57" s="706"/>
      <c r="C57" s="706"/>
      <c r="D57" s="706"/>
      <c r="E57" s="706"/>
      <c r="F57" s="706"/>
      <c r="G57" s="706"/>
      <c r="H57" s="706"/>
      <c r="I57" s="706"/>
      <c r="J57" s="706"/>
      <c r="K57" s="706"/>
      <c r="L57" s="706"/>
      <c r="M57" s="706"/>
      <c r="N57" s="705"/>
      <c r="O57" s="705"/>
      <c r="P57" s="705"/>
      <c r="Q57" s="705"/>
      <c r="R57" s="705"/>
      <c r="S57" s="705"/>
      <c r="T57" s="705"/>
      <c r="U57" s="705"/>
      <c r="V57" s="705"/>
      <c r="W57" s="705"/>
      <c r="X57" s="705"/>
      <c r="Y57" s="705"/>
      <c r="Z57" s="705"/>
      <c r="AA57" s="705"/>
      <c r="AB57" s="705"/>
      <c r="AC57" s="705"/>
      <c r="AD57" s="705"/>
      <c r="AE57" s="705"/>
      <c r="AF57" s="705"/>
      <c r="AG57" s="705"/>
      <c r="AH57" s="705"/>
      <c r="AI57" s="705"/>
      <c r="AJ57" s="705"/>
      <c r="AK57" s="705"/>
      <c r="AL57" s="705"/>
      <c r="AM57" s="705"/>
      <c r="AN57" s="705"/>
      <c r="AO57" s="705"/>
      <c r="AP57" s="705"/>
      <c r="AQ57" s="705"/>
      <c r="AR57" s="705"/>
      <c r="AS57" s="705"/>
      <c r="AT57" s="705"/>
      <c r="AU57" s="705"/>
      <c r="AV57" s="705"/>
      <c r="AW57" s="705"/>
      <c r="AX57" s="705"/>
      <c r="AY57" s="705"/>
      <c r="AZ57" s="705"/>
      <c r="BA57" s="705"/>
      <c r="BB57" s="705"/>
      <c r="BC57" s="705"/>
    </row>
    <row r="58" spans="1:55">
      <c r="A58" s="706"/>
      <c r="B58" s="706"/>
      <c r="C58" s="706"/>
      <c r="D58" s="706"/>
      <c r="E58" s="706"/>
      <c r="F58" s="706"/>
      <c r="G58" s="706"/>
      <c r="H58" s="706"/>
      <c r="I58" s="706"/>
      <c r="J58" s="706"/>
      <c r="K58" s="706"/>
      <c r="L58" s="706"/>
      <c r="M58" s="706"/>
      <c r="N58" s="705"/>
      <c r="O58" s="705"/>
      <c r="P58" s="705"/>
      <c r="Q58" s="705"/>
      <c r="R58" s="705"/>
      <c r="S58" s="705"/>
      <c r="T58" s="705"/>
      <c r="U58" s="705"/>
      <c r="V58" s="705"/>
      <c r="W58" s="705"/>
      <c r="X58" s="705"/>
      <c r="Y58" s="705"/>
      <c r="Z58" s="705"/>
      <c r="AA58" s="705"/>
      <c r="AB58" s="705"/>
      <c r="AC58" s="705"/>
      <c r="AD58" s="705"/>
      <c r="AE58" s="705"/>
      <c r="AF58" s="705"/>
      <c r="AG58" s="705"/>
      <c r="AH58" s="705"/>
      <c r="AI58" s="705"/>
      <c r="AJ58" s="705"/>
      <c r="AK58" s="705"/>
      <c r="AL58" s="705"/>
      <c r="AM58" s="705"/>
      <c r="AN58" s="705"/>
      <c r="AO58" s="705"/>
      <c r="AP58" s="705"/>
      <c r="AQ58" s="705"/>
      <c r="AR58" s="705"/>
      <c r="AS58" s="705"/>
      <c r="AT58" s="705"/>
      <c r="AU58" s="705"/>
      <c r="AV58" s="705"/>
      <c r="AW58" s="705"/>
      <c r="AX58" s="705"/>
      <c r="AY58" s="705"/>
      <c r="AZ58" s="705"/>
      <c r="BA58" s="705"/>
      <c r="BB58" s="705"/>
      <c r="BC58" s="705"/>
    </row>
    <row r="59" spans="1:55">
      <c r="A59" s="706"/>
      <c r="B59" s="706"/>
      <c r="C59" s="706"/>
      <c r="D59" s="706"/>
      <c r="E59" s="706"/>
      <c r="F59" s="706"/>
      <c r="G59" s="706"/>
      <c r="H59" s="706"/>
      <c r="I59" s="706"/>
      <c r="J59" s="706"/>
      <c r="K59" s="706"/>
      <c r="L59" s="706"/>
      <c r="M59" s="706"/>
      <c r="N59" s="705"/>
      <c r="O59" s="705"/>
      <c r="P59" s="705"/>
      <c r="Q59" s="705"/>
      <c r="R59" s="705"/>
      <c r="S59" s="705"/>
      <c r="T59" s="705"/>
      <c r="U59" s="705"/>
      <c r="V59" s="705"/>
      <c r="W59" s="705"/>
      <c r="X59" s="705"/>
      <c r="Y59" s="705"/>
      <c r="Z59" s="705"/>
      <c r="AA59" s="705"/>
      <c r="AB59" s="705"/>
      <c r="AC59" s="705"/>
      <c r="AD59" s="705"/>
      <c r="AE59" s="705"/>
      <c r="AF59" s="705"/>
      <c r="AG59" s="705"/>
      <c r="AH59" s="705"/>
      <c r="AI59" s="705"/>
      <c r="AJ59" s="705"/>
      <c r="AK59" s="705"/>
      <c r="AL59" s="705"/>
      <c r="AM59" s="705"/>
      <c r="AN59" s="705"/>
      <c r="AO59" s="705"/>
      <c r="AP59" s="705"/>
      <c r="AQ59" s="705"/>
      <c r="AR59" s="705"/>
      <c r="AS59" s="705"/>
      <c r="AT59" s="705"/>
      <c r="AU59" s="705"/>
      <c r="AV59" s="705"/>
      <c r="AW59" s="705"/>
      <c r="AX59" s="705"/>
      <c r="AY59" s="705"/>
      <c r="AZ59" s="705"/>
      <c r="BA59" s="705"/>
      <c r="BB59" s="705"/>
      <c r="BC59" s="705"/>
    </row>
    <row r="60" spans="1:55">
      <c r="A60" s="706"/>
      <c r="B60" s="706"/>
      <c r="C60" s="706"/>
      <c r="D60" s="706"/>
      <c r="E60" s="706"/>
      <c r="F60" s="706"/>
      <c r="G60" s="706"/>
      <c r="H60" s="706"/>
      <c r="I60" s="706"/>
      <c r="J60" s="706"/>
      <c r="K60" s="706"/>
      <c r="L60" s="706"/>
      <c r="M60" s="706"/>
      <c r="N60" s="705"/>
      <c r="O60" s="705"/>
      <c r="P60" s="705"/>
      <c r="Q60" s="705"/>
      <c r="R60" s="705"/>
      <c r="S60" s="705"/>
      <c r="T60" s="705"/>
      <c r="U60" s="705"/>
      <c r="V60" s="705"/>
      <c r="W60" s="705"/>
      <c r="X60" s="705"/>
      <c r="Y60" s="705"/>
      <c r="Z60" s="705"/>
      <c r="AA60" s="705"/>
      <c r="AB60" s="705"/>
      <c r="AC60" s="705"/>
      <c r="AD60" s="705"/>
      <c r="AE60" s="705"/>
      <c r="AF60" s="705"/>
      <c r="AG60" s="705"/>
      <c r="AH60" s="705"/>
      <c r="AI60" s="705"/>
      <c r="AJ60" s="705"/>
      <c r="AK60" s="705"/>
      <c r="AL60" s="705"/>
      <c r="AM60" s="705"/>
      <c r="AN60" s="705"/>
      <c r="AO60" s="705"/>
      <c r="AP60" s="705"/>
      <c r="AQ60" s="705"/>
      <c r="AR60" s="705"/>
      <c r="AS60" s="705"/>
      <c r="AT60" s="705"/>
      <c r="AU60" s="705"/>
      <c r="AV60" s="705"/>
      <c r="AW60" s="705"/>
      <c r="AX60" s="705"/>
      <c r="AY60" s="705"/>
      <c r="AZ60" s="705"/>
      <c r="BA60" s="705"/>
      <c r="BB60" s="705"/>
      <c r="BC60" s="705"/>
    </row>
    <row r="61" spans="1:55">
      <c r="A61" s="706"/>
      <c r="B61" s="706"/>
      <c r="C61" s="706"/>
      <c r="D61" s="706"/>
      <c r="E61" s="706"/>
      <c r="F61" s="706"/>
      <c r="G61" s="706"/>
      <c r="H61" s="706"/>
      <c r="I61" s="706"/>
      <c r="J61" s="706"/>
      <c r="K61" s="706"/>
      <c r="L61" s="706"/>
      <c r="M61" s="706"/>
      <c r="N61" s="705"/>
      <c r="O61" s="705"/>
      <c r="P61" s="705"/>
      <c r="Q61" s="705"/>
      <c r="R61" s="705"/>
      <c r="S61" s="705"/>
      <c r="T61" s="705"/>
      <c r="U61" s="705"/>
      <c r="V61" s="705"/>
      <c r="W61" s="705"/>
      <c r="X61" s="705"/>
      <c r="Y61" s="705"/>
      <c r="Z61" s="705"/>
      <c r="AA61" s="705"/>
      <c r="AB61" s="705"/>
      <c r="AC61" s="705"/>
      <c r="AD61" s="705"/>
      <c r="AE61" s="705"/>
      <c r="AF61" s="705"/>
      <c r="AG61" s="705"/>
      <c r="AH61" s="705"/>
      <c r="AI61" s="705"/>
      <c r="AJ61" s="705"/>
      <c r="AK61" s="705"/>
      <c r="AL61" s="705"/>
      <c r="AM61" s="705"/>
      <c r="AN61" s="705"/>
      <c r="AO61" s="705"/>
      <c r="AP61" s="705"/>
      <c r="AQ61" s="705"/>
      <c r="AR61" s="705"/>
      <c r="AS61" s="705"/>
      <c r="AT61" s="705"/>
      <c r="AU61" s="705"/>
      <c r="AV61" s="705"/>
      <c r="AW61" s="705"/>
      <c r="AX61" s="705"/>
      <c r="AY61" s="705"/>
      <c r="AZ61" s="705"/>
      <c r="BA61" s="705"/>
      <c r="BB61" s="705"/>
      <c r="BC61" s="705"/>
    </row>
    <row r="62" spans="1:55">
      <c r="A62" s="706"/>
      <c r="B62" s="706"/>
      <c r="C62" s="706"/>
      <c r="D62" s="706"/>
      <c r="E62" s="706"/>
      <c r="F62" s="706"/>
      <c r="G62" s="706"/>
      <c r="H62" s="706"/>
      <c r="I62" s="706"/>
      <c r="J62" s="706"/>
      <c r="K62" s="706"/>
      <c r="L62" s="706"/>
      <c r="M62" s="706"/>
      <c r="N62" s="705"/>
      <c r="O62" s="705"/>
      <c r="P62" s="705"/>
      <c r="Q62" s="705"/>
      <c r="R62" s="705"/>
      <c r="S62" s="705"/>
      <c r="T62" s="705"/>
      <c r="U62" s="705"/>
      <c r="V62" s="705"/>
      <c r="W62" s="705"/>
      <c r="X62" s="705"/>
      <c r="Y62" s="705"/>
      <c r="Z62" s="705"/>
      <c r="AA62" s="705"/>
      <c r="AB62" s="705"/>
      <c r="AC62" s="705"/>
      <c r="AD62" s="705"/>
      <c r="AE62" s="705"/>
      <c r="AF62" s="705"/>
      <c r="AG62" s="705"/>
      <c r="AH62" s="705"/>
      <c r="AI62" s="705"/>
      <c r="AJ62" s="705"/>
      <c r="AK62" s="705"/>
      <c r="AL62" s="705"/>
      <c r="AM62" s="705"/>
      <c r="AN62" s="705"/>
      <c r="AO62" s="705"/>
      <c r="AP62" s="705"/>
      <c r="AQ62" s="705"/>
      <c r="AR62" s="705"/>
      <c r="AS62" s="705"/>
      <c r="AT62" s="705"/>
      <c r="AU62" s="705"/>
      <c r="AV62" s="705"/>
      <c r="AW62" s="705"/>
      <c r="AX62" s="705"/>
      <c r="AY62" s="705"/>
      <c r="AZ62" s="705"/>
      <c r="BA62" s="705"/>
      <c r="BB62" s="705"/>
      <c r="BC62" s="705"/>
    </row>
    <row r="63" spans="1:55">
      <c r="A63" s="706"/>
      <c r="B63" s="706"/>
      <c r="C63" s="706"/>
      <c r="D63" s="706"/>
      <c r="E63" s="706"/>
      <c r="F63" s="706"/>
      <c r="G63" s="706"/>
      <c r="H63" s="706"/>
      <c r="I63" s="706"/>
      <c r="J63" s="706"/>
      <c r="K63" s="706"/>
      <c r="L63" s="706"/>
      <c r="M63" s="706"/>
      <c r="N63" s="705"/>
      <c r="O63" s="705"/>
      <c r="P63" s="705"/>
      <c r="Q63" s="705"/>
      <c r="R63" s="705"/>
      <c r="S63" s="705"/>
      <c r="T63" s="705"/>
      <c r="U63" s="705"/>
      <c r="V63" s="705"/>
      <c r="W63" s="705"/>
      <c r="X63" s="705"/>
      <c r="Y63" s="705"/>
      <c r="Z63" s="705"/>
      <c r="AA63" s="705"/>
      <c r="AB63" s="705"/>
      <c r="AC63" s="705"/>
      <c r="AD63" s="705"/>
      <c r="AE63" s="705"/>
      <c r="AF63" s="705"/>
      <c r="AG63" s="705"/>
      <c r="AH63" s="705"/>
      <c r="AI63" s="705"/>
      <c r="AJ63" s="705"/>
      <c r="AK63" s="705"/>
      <c r="AL63" s="705"/>
      <c r="AM63" s="705"/>
      <c r="AN63" s="705"/>
      <c r="AO63" s="705"/>
      <c r="AP63" s="705"/>
      <c r="AQ63" s="705"/>
      <c r="AR63" s="705"/>
      <c r="AS63" s="705"/>
      <c r="AT63" s="705"/>
      <c r="AU63" s="705"/>
      <c r="AV63" s="705"/>
      <c r="AW63" s="705"/>
      <c r="AX63" s="705"/>
      <c r="AY63" s="705"/>
      <c r="AZ63" s="705"/>
      <c r="BA63" s="705"/>
      <c r="BB63" s="705"/>
      <c r="BC63" s="705"/>
    </row>
    <row r="64" spans="1:55">
      <c r="A64" s="706"/>
      <c r="B64" s="706"/>
      <c r="C64" s="706"/>
      <c r="D64" s="706"/>
      <c r="E64" s="706"/>
      <c r="F64" s="706"/>
      <c r="G64" s="706"/>
      <c r="H64" s="706"/>
      <c r="I64" s="706"/>
      <c r="J64" s="706"/>
      <c r="K64" s="706"/>
      <c r="L64" s="706"/>
      <c r="M64" s="706"/>
      <c r="N64" s="705"/>
      <c r="O64" s="705"/>
      <c r="P64" s="705"/>
      <c r="Q64" s="705"/>
      <c r="R64" s="705"/>
      <c r="S64" s="705"/>
      <c r="T64" s="705"/>
      <c r="U64" s="705"/>
      <c r="V64" s="705"/>
      <c r="W64" s="705"/>
      <c r="X64" s="705"/>
      <c r="Y64" s="705"/>
      <c r="Z64" s="705"/>
      <c r="AA64" s="705"/>
      <c r="AB64" s="705"/>
      <c r="AC64" s="705"/>
      <c r="AD64" s="705"/>
      <c r="AE64" s="705"/>
      <c r="AF64" s="705"/>
      <c r="AG64" s="705"/>
      <c r="AH64" s="705"/>
      <c r="AI64" s="705"/>
      <c r="AJ64" s="705"/>
      <c r="AK64" s="705"/>
      <c r="AL64" s="705"/>
      <c r="AM64" s="705"/>
      <c r="AN64" s="705"/>
      <c r="AO64" s="705"/>
      <c r="AP64" s="705"/>
      <c r="AQ64" s="705"/>
      <c r="AR64" s="705"/>
      <c r="AS64" s="705"/>
      <c r="AT64" s="705"/>
      <c r="AU64" s="705"/>
      <c r="AV64" s="705"/>
      <c r="AW64" s="705"/>
      <c r="AX64" s="705"/>
      <c r="AY64" s="705"/>
      <c r="AZ64" s="705"/>
      <c r="BA64" s="705"/>
      <c r="BB64" s="705"/>
      <c r="BC64" s="705"/>
    </row>
    <row r="65" spans="1:55">
      <c r="A65" s="706"/>
      <c r="B65" s="706"/>
      <c r="C65" s="706"/>
      <c r="D65" s="706"/>
      <c r="E65" s="706"/>
      <c r="F65" s="706"/>
      <c r="G65" s="706"/>
      <c r="H65" s="706"/>
      <c r="I65" s="706"/>
      <c r="J65" s="706"/>
      <c r="K65" s="706"/>
      <c r="L65" s="706"/>
      <c r="M65" s="706"/>
      <c r="N65" s="705"/>
      <c r="O65" s="705"/>
      <c r="P65" s="705"/>
      <c r="Q65" s="705"/>
      <c r="R65" s="705"/>
      <c r="S65" s="705"/>
      <c r="T65" s="705"/>
      <c r="U65" s="705"/>
      <c r="V65" s="705"/>
      <c r="W65" s="705"/>
      <c r="X65" s="705"/>
      <c r="Y65" s="705"/>
      <c r="Z65" s="705"/>
      <c r="AA65" s="705"/>
      <c r="AB65" s="705"/>
      <c r="AC65" s="705"/>
      <c r="AD65" s="705"/>
      <c r="AE65" s="705"/>
      <c r="AF65" s="705"/>
      <c r="AG65" s="705"/>
      <c r="AH65" s="705"/>
      <c r="AI65" s="705"/>
      <c r="AJ65" s="705"/>
      <c r="AK65" s="705"/>
      <c r="AL65" s="705"/>
      <c r="AM65" s="705"/>
      <c r="AN65" s="705"/>
      <c r="AO65" s="705"/>
      <c r="AP65" s="705"/>
      <c r="AQ65" s="705"/>
      <c r="AR65" s="705"/>
      <c r="AS65" s="705"/>
      <c r="AT65" s="705"/>
      <c r="AU65" s="705"/>
      <c r="AV65" s="705"/>
      <c r="AW65" s="705"/>
      <c r="AX65" s="705"/>
      <c r="AY65" s="705"/>
      <c r="AZ65" s="705"/>
      <c r="BA65" s="705"/>
      <c r="BB65" s="705"/>
      <c r="BC65" s="705"/>
    </row>
    <row r="66" spans="1:55">
      <c r="A66" s="706"/>
      <c r="B66" s="706"/>
      <c r="C66" s="706"/>
      <c r="D66" s="706"/>
      <c r="E66" s="706"/>
      <c r="F66" s="706"/>
      <c r="G66" s="706"/>
      <c r="H66" s="706"/>
      <c r="I66" s="706"/>
      <c r="J66" s="706"/>
      <c r="K66" s="706"/>
      <c r="L66" s="706"/>
      <c r="M66" s="706"/>
      <c r="N66" s="705"/>
      <c r="O66" s="705"/>
      <c r="P66" s="705"/>
      <c r="Q66" s="705"/>
      <c r="R66" s="705"/>
      <c r="S66" s="705"/>
      <c r="T66" s="705"/>
      <c r="U66" s="705"/>
      <c r="V66" s="705"/>
      <c r="W66" s="705"/>
      <c r="X66" s="705"/>
      <c r="Y66" s="705"/>
      <c r="Z66" s="705"/>
      <c r="AA66" s="705"/>
      <c r="AB66" s="705"/>
      <c r="AC66" s="705"/>
      <c r="AD66" s="705"/>
      <c r="AE66" s="705"/>
      <c r="AF66" s="705"/>
      <c r="AG66" s="705"/>
      <c r="AH66" s="705"/>
      <c r="AI66" s="705"/>
      <c r="AJ66" s="705"/>
      <c r="AK66" s="705"/>
      <c r="AL66" s="705"/>
      <c r="AM66" s="705"/>
      <c r="AN66" s="705"/>
      <c r="AO66" s="705"/>
      <c r="AP66" s="705"/>
      <c r="AQ66" s="705"/>
      <c r="AR66" s="705"/>
      <c r="AS66" s="705"/>
      <c r="AT66" s="705"/>
      <c r="AU66" s="705"/>
      <c r="AV66" s="705"/>
      <c r="AW66" s="705"/>
      <c r="AX66" s="705"/>
      <c r="AY66" s="705"/>
      <c r="AZ66" s="705"/>
      <c r="BA66" s="705"/>
      <c r="BB66" s="705"/>
      <c r="BC66" s="705"/>
    </row>
    <row r="67" spans="1:55">
      <c r="A67" s="706"/>
      <c r="B67" s="706"/>
      <c r="C67" s="706"/>
      <c r="D67" s="706"/>
      <c r="E67" s="706"/>
      <c r="F67" s="706"/>
      <c r="G67" s="706"/>
      <c r="H67" s="706"/>
      <c r="I67" s="706"/>
      <c r="J67" s="706"/>
      <c r="K67" s="706"/>
      <c r="L67" s="706"/>
      <c r="M67" s="706"/>
      <c r="N67" s="705"/>
      <c r="O67" s="705"/>
      <c r="P67" s="705"/>
      <c r="Q67" s="705"/>
      <c r="R67" s="705"/>
      <c r="S67" s="705"/>
      <c r="T67" s="705"/>
      <c r="U67" s="705"/>
      <c r="V67" s="705"/>
      <c r="W67" s="705"/>
      <c r="X67" s="705"/>
      <c r="Y67" s="705"/>
      <c r="Z67" s="705"/>
      <c r="AA67" s="705"/>
      <c r="AB67" s="705"/>
      <c r="AC67" s="705"/>
      <c r="AD67" s="705"/>
      <c r="AE67" s="705"/>
      <c r="AF67" s="705"/>
      <c r="AG67" s="705"/>
      <c r="AH67" s="705"/>
      <c r="AI67" s="705"/>
      <c r="AJ67" s="705"/>
      <c r="AK67" s="705"/>
      <c r="AL67" s="705"/>
      <c r="AM67" s="705"/>
      <c r="AN67" s="705"/>
      <c r="AO67" s="705"/>
      <c r="AP67" s="705"/>
      <c r="AQ67" s="705"/>
      <c r="AR67" s="705"/>
      <c r="AS67" s="705"/>
      <c r="AT67" s="705"/>
      <c r="AU67" s="705"/>
      <c r="AV67" s="705"/>
      <c r="AW67" s="705"/>
      <c r="AX67" s="705"/>
      <c r="AY67" s="705"/>
      <c r="AZ67" s="705"/>
      <c r="BA67" s="705"/>
      <c r="BB67" s="705"/>
      <c r="BC67" s="705"/>
    </row>
    <row r="68" spans="1:55">
      <c r="A68" s="706"/>
      <c r="B68" s="706"/>
      <c r="C68" s="706"/>
      <c r="D68" s="706"/>
      <c r="E68" s="706"/>
      <c r="F68" s="706"/>
      <c r="G68" s="706"/>
      <c r="H68" s="706"/>
      <c r="I68" s="706"/>
      <c r="J68" s="706"/>
      <c r="K68" s="706"/>
      <c r="L68" s="706"/>
      <c r="M68" s="706"/>
      <c r="N68" s="705"/>
      <c r="O68" s="705"/>
      <c r="P68" s="705"/>
      <c r="Q68" s="705"/>
      <c r="R68" s="705"/>
      <c r="S68" s="705"/>
      <c r="T68" s="705"/>
      <c r="U68" s="705"/>
      <c r="V68" s="705"/>
      <c r="W68" s="705"/>
      <c r="X68" s="705"/>
      <c r="Y68" s="705"/>
      <c r="Z68" s="705"/>
      <c r="AA68" s="705"/>
      <c r="AB68" s="705"/>
      <c r="AC68" s="705"/>
      <c r="AD68" s="705"/>
      <c r="AE68" s="705"/>
      <c r="AF68" s="705"/>
      <c r="AG68" s="705"/>
      <c r="AH68" s="705"/>
      <c r="AI68" s="705"/>
      <c r="AJ68" s="705"/>
      <c r="AK68" s="705"/>
      <c r="AL68" s="705"/>
      <c r="AM68" s="705"/>
      <c r="AN68" s="705"/>
      <c r="AO68" s="705"/>
      <c r="AP68" s="705"/>
      <c r="AQ68" s="705"/>
      <c r="AR68" s="705"/>
      <c r="AS68" s="705"/>
      <c r="AT68" s="705"/>
      <c r="AU68" s="705"/>
      <c r="AV68" s="705"/>
      <c r="AW68" s="705"/>
      <c r="AX68" s="705"/>
      <c r="AY68" s="705"/>
      <c r="AZ68" s="705"/>
      <c r="BA68" s="705"/>
      <c r="BB68" s="705"/>
      <c r="BC68" s="705"/>
    </row>
    <row r="69" spans="1:55">
      <c r="A69" s="706"/>
      <c r="B69" s="706"/>
      <c r="C69" s="706"/>
      <c r="D69" s="706"/>
      <c r="E69" s="706"/>
      <c r="F69" s="706"/>
      <c r="G69" s="706"/>
      <c r="H69" s="706"/>
      <c r="I69" s="706"/>
      <c r="J69" s="706"/>
      <c r="K69" s="706"/>
      <c r="L69" s="706"/>
      <c r="M69" s="706"/>
      <c r="N69" s="705"/>
      <c r="O69" s="705"/>
      <c r="P69" s="705"/>
      <c r="Q69" s="705"/>
      <c r="R69" s="705"/>
      <c r="S69" s="705"/>
      <c r="T69" s="705"/>
      <c r="U69" s="705"/>
      <c r="V69" s="705"/>
      <c r="W69" s="705"/>
      <c r="X69" s="705"/>
      <c r="Y69" s="705"/>
      <c r="Z69" s="705"/>
      <c r="AA69" s="705"/>
      <c r="AB69" s="705"/>
      <c r="AC69" s="705"/>
      <c r="AD69" s="705"/>
      <c r="AE69" s="705"/>
      <c r="AF69" s="705"/>
      <c r="AG69" s="705"/>
      <c r="AH69" s="705"/>
      <c r="AI69" s="705"/>
      <c r="AJ69" s="705"/>
      <c r="AK69" s="705"/>
      <c r="AL69" s="705"/>
      <c r="AM69" s="705"/>
      <c r="AN69" s="705"/>
      <c r="AO69" s="705"/>
      <c r="AP69" s="705"/>
      <c r="AQ69" s="705"/>
      <c r="AR69" s="705"/>
      <c r="AS69" s="705"/>
      <c r="AT69" s="705"/>
      <c r="AU69" s="705"/>
      <c r="AV69" s="705"/>
      <c r="AW69" s="705"/>
      <c r="AX69" s="705"/>
      <c r="AY69" s="705"/>
      <c r="AZ69" s="705"/>
      <c r="BA69" s="705"/>
      <c r="BB69" s="705"/>
      <c r="BC69" s="705"/>
    </row>
    <row r="70" spans="1:55">
      <c r="A70" s="706"/>
      <c r="B70" s="706"/>
      <c r="C70" s="706"/>
      <c r="D70" s="706"/>
      <c r="E70" s="706"/>
      <c r="F70" s="706"/>
      <c r="G70" s="706"/>
      <c r="H70" s="706"/>
      <c r="I70" s="706"/>
      <c r="J70" s="706"/>
      <c r="K70" s="706"/>
      <c r="L70" s="706"/>
      <c r="M70" s="706"/>
      <c r="N70" s="705"/>
      <c r="O70" s="705"/>
      <c r="P70" s="705"/>
      <c r="Q70" s="705"/>
      <c r="R70" s="705"/>
      <c r="S70" s="705"/>
      <c r="T70" s="705"/>
      <c r="U70" s="705"/>
      <c r="V70" s="705"/>
      <c r="W70" s="705"/>
      <c r="X70" s="705"/>
      <c r="Y70" s="705"/>
      <c r="Z70" s="705"/>
      <c r="AA70" s="705"/>
      <c r="AB70" s="705"/>
      <c r="AC70" s="705"/>
      <c r="AD70" s="705"/>
      <c r="AE70" s="705"/>
      <c r="AF70" s="705"/>
      <c r="AG70" s="705"/>
      <c r="AH70" s="705"/>
      <c r="AI70" s="705"/>
      <c r="AJ70" s="705"/>
      <c r="AK70" s="705"/>
      <c r="AL70" s="705"/>
      <c r="AM70" s="705"/>
      <c r="AN70" s="705"/>
      <c r="AO70" s="705"/>
      <c r="AP70" s="705"/>
      <c r="AQ70" s="705"/>
      <c r="AR70" s="705"/>
      <c r="AS70" s="705"/>
      <c r="AT70" s="705"/>
      <c r="AU70" s="705"/>
      <c r="AV70" s="705"/>
      <c r="AW70" s="705"/>
      <c r="AX70" s="705"/>
      <c r="AY70" s="705"/>
      <c r="AZ70" s="705"/>
      <c r="BA70" s="705"/>
      <c r="BB70" s="705"/>
      <c r="BC70" s="705"/>
    </row>
    <row r="71" spans="1:55">
      <c r="A71" s="706"/>
      <c r="B71" s="706"/>
      <c r="C71" s="706"/>
      <c r="D71" s="706"/>
      <c r="E71" s="706"/>
      <c r="F71" s="706"/>
      <c r="G71" s="706"/>
      <c r="H71" s="706"/>
      <c r="I71" s="706"/>
      <c r="J71" s="706"/>
      <c r="K71" s="706"/>
      <c r="L71" s="706"/>
      <c r="M71" s="706"/>
      <c r="N71" s="705"/>
      <c r="O71" s="705"/>
      <c r="P71" s="705"/>
      <c r="Q71" s="705"/>
      <c r="R71" s="705"/>
      <c r="S71" s="705"/>
      <c r="T71" s="705"/>
      <c r="U71" s="705"/>
      <c r="V71" s="705"/>
      <c r="W71" s="705"/>
      <c r="X71" s="705"/>
      <c r="Y71" s="705"/>
      <c r="Z71" s="705"/>
      <c r="AA71" s="705"/>
      <c r="AB71" s="705"/>
      <c r="AC71" s="705"/>
      <c r="AD71" s="705"/>
      <c r="AE71" s="705"/>
      <c r="AF71" s="705"/>
      <c r="AG71" s="705"/>
      <c r="AH71" s="705"/>
      <c r="AI71" s="705"/>
      <c r="AJ71" s="705"/>
      <c r="AK71" s="705"/>
      <c r="AL71" s="705"/>
      <c r="AM71" s="705"/>
      <c r="AN71" s="705"/>
      <c r="AO71" s="705"/>
      <c r="AP71" s="705"/>
      <c r="AQ71" s="705"/>
      <c r="AR71" s="705"/>
      <c r="AS71" s="705"/>
      <c r="AT71" s="705"/>
      <c r="AU71" s="705"/>
      <c r="AV71" s="705"/>
      <c r="AW71" s="705"/>
      <c r="AX71" s="705"/>
      <c r="AY71" s="705"/>
      <c r="AZ71" s="705"/>
      <c r="BA71" s="705"/>
      <c r="BB71" s="705"/>
      <c r="BC71" s="705"/>
    </row>
    <row r="72" spans="1:55">
      <c r="A72" s="706"/>
      <c r="B72" s="706"/>
      <c r="C72" s="706"/>
      <c r="D72" s="706"/>
      <c r="E72" s="706"/>
      <c r="F72" s="706"/>
      <c r="G72" s="706"/>
      <c r="H72" s="706"/>
      <c r="I72" s="706"/>
      <c r="J72" s="706"/>
      <c r="K72" s="706"/>
      <c r="L72" s="706"/>
      <c r="M72" s="706"/>
      <c r="N72" s="705"/>
      <c r="O72" s="705"/>
      <c r="P72" s="705"/>
      <c r="Q72" s="705"/>
      <c r="R72" s="705"/>
      <c r="S72" s="705"/>
      <c r="T72" s="705"/>
      <c r="U72" s="705"/>
      <c r="V72" s="705"/>
      <c r="W72" s="705"/>
      <c r="X72" s="705"/>
      <c r="Y72" s="705"/>
      <c r="Z72" s="705"/>
      <c r="AA72" s="705"/>
      <c r="AB72" s="705"/>
      <c r="AC72" s="705"/>
      <c r="AD72" s="705"/>
      <c r="AE72" s="705"/>
      <c r="AF72" s="705"/>
      <c r="AG72" s="705"/>
      <c r="AH72" s="705"/>
      <c r="AI72" s="705"/>
      <c r="AJ72" s="705"/>
      <c r="AK72" s="705"/>
      <c r="AL72" s="705"/>
      <c r="AM72" s="705"/>
      <c r="AN72" s="705"/>
      <c r="AO72" s="705"/>
      <c r="AP72" s="705"/>
      <c r="AQ72" s="705"/>
      <c r="AR72" s="705"/>
      <c r="AS72" s="705"/>
      <c r="AT72" s="705"/>
      <c r="AU72" s="705"/>
      <c r="AV72" s="705"/>
      <c r="AW72" s="705"/>
      <c r="AX72" s="705"/>
      <c r="AY72" s="705"/>
      <c r="AZ72" s="705"/>
      <c r="BA72" s="705"/>
      <c r="BB72" s="705"/>
      <c r="BC72" s="705"/>
    </row>
    <row r="73" spans="1:55">
      <c r="A73" s="706"/>
      <c r="B73" s="706"/>
      <c r="C73" s="706"/>
      <c r="D73" s="706"/>
      <c r="E73" s="706"/>
      <c r="F73" s="706"/>
      <c r="G73" s="706"/>
      <c r="H73" s="706"/>
      <c r="I73" s="706"/>
      <c r="J73" s="706"/>
      <c r="K73" s="706"/>
      <c r="L73" s="706"/>
      <c r="M73" s="706"/>
      <c r="N73" s="705"/>
      <c r="O73" s="705"/>
      <c r="P73" s="705"/>
      <c r="Q73" s="705"/>
      <c r="R73" s="705"/>
      <c r="S73" s="705"/>
      <c r="T73" s="705"/>
      <c r="U73" s="705"/>
      <c r="V73" s="705"/>
      <c r="W73" s="705"/>
      <c r="X73" s="705"/>
      <c r="Y73" s="705"/>
      <c r="Z73" s="705"/>
      <c r="AA73" s="705"/>
      <c r="AB73" s="705"/>
      <c r="AC73" s="705"/>
      <c r="AD73" s="705"/>
      <c r="AE73" s="705"/>
      <c r="AF73" s="705"/>
      <c r="AG73" s="705"/>
      <c r="AH73" s="705"/>
      <c r="AI73" s="705"/>
      <c r="AJ73" s="705"/>
      <c r="AK73" s="705"/>
      <c r="AL73" s="705"/>
      <c r="AM73" s="705"/>
      <c r="AN73" s="705"/>
      <c r="AO73" s="705"/>
      <c r="AP73" s="705"/>
      <c r="AQ73" s="705"/>
      <c r="AR73" s="705"/>
      <c r="AS73" s="705"/>
      <c r="AT73" s="705"/>
      <c r="AU73" s="705"/>
      <c r="AV73" s="705"/>
      <c r="AW73" s="705"/>
      <c r="AX73" s="705"/>
      <c r="AY73" s="705"/>
      <c r="AZ73" s="705"/>
      <c r="BA73" s="705"/>
      <c r="BB73" s="705"/>
      <c r="BC73" s="705"/>
    </row>
    <row r="74" spans="1:55">
      <c r="A74" s="706"/>
      <c r="B74" s="706"/>
      <c r="C74" s="706"/>
      <c r="D74" s="706"/>
      <c r="E74" s="706"/>
      <c r="F74" s="706"/>
      <c r="G74" s="706"/>
      <c r="H74" s="706"/>
      <c r="I74" s="706"/>
      <c r="J74" s="706"/>
      <c r="K74" s="706"/>
      <c r="L74" s="706"/>
      <c r="M74" s="706"/>
      <c r="N74" s="705"/>
      <c r="O74" s="705"/>
      <c r="P74" s="705"/>
      <c r="Q74" s="705"/>
      <c r="R74" s="705"/>
      <c r="S74" s="705"/>
      <c r="T74" s="705"/>
      <c r="U74" s="705"/>
      <c r="V74" s="705"/>
      <c r="W74" s="705"/>
      <c r="X74" s="705"/>
      <c r="Y74" s="705"/>
      <c r="Z74" s="705"/>
      <c r="AA74" s="705"/>
      <c r="AB74" s="705"/>
      <c r="AC74" s="705"/>
      <c r="AD74" s="705"/>
      <c r="AE74" s="705"/>
      <c r="AF74" s="705"/>
      <c r="AG74" s="705"/>
      <c r="AH74" s="705"/>
      <c r="AI74" s="705"/>
      <c r="AJ74" s="705"/>
      <c r="AK74" s="705"/>
      <c r="AL74" s="705"/>
      <c r="AM74" s="705"/>
      <c r="AN74" s="705"/>
      <c r="AO74" s="705"/>
      <c r="AP74" s="705"/>
      <c r="AQ74" s="705"/>
      <c r="AR74" s="705"/>
      <c r="AS74" s="705"/>
      <c r="AT74" s="705"/>
      <c r="AU74" s="705"/>
      <c r="AV74" s="705"/>
      <c r="AW74" s="705"/>
      <c r="AX74" s="705"/>
      <c r="AY74" s="705"/>
      <c r="AZ74" s="705"/>
      <c r="BA74" s="705"/>
      <c r="BB74" s="705"/>
      <c r="BC74" s="705"/>
    </row>
    <row r="75" spans="1:55">
      <c r="A75" s="706"/>
      <c r="B75" s="706"/>
      <c r="C75" s="706"/>
      <c r="D75" s="706"/>
      <c r="E75" s="706"/>
      <c r="F75" s="706"/>
      <c r="G75" s="706"/>
      <c r="H75" s="706"/>
      <c r="I75" s="706"/>
      <c r="J75" s="706"/>
      <c r="K75" s="706"/>
      <c r="L75" s="706"/>
      <c r="M75" s="706"/>
      <c r="N75" s="705"/>
      <c r="O75" s="705"/>
      <c r="P75" s="705"/>
      <c r="Q75" s="705"/>
      <c r="R75" s="705"/>
      <c r="S75" s="705"/>
      <c r="T75" s="705"/>
      <c r="U75" s="705"/>
      <c r="V75" s="705"/>
      <c r="W75" s="705"/>
      <c r="X75" s="705"/>
      <c r="Y75" s="705"/>
      <c r="Z75" s="705"/>
      <c r="AA75" s="705"/>
      <c r="AB75" s="705"/>
      <c r="AC75" s="705"/>
      <c r="AD75" s="705"/>
      <c r="AE75" s="705"/>
      <c r="AF75" s="705"/>
      <c r="AG75" s="705"/>
      <c r="AH75" s="705"/>
      <c r="AI75" s="705"/>
      <c r="AJ75" s="705"/>
      <c r="AK75" s="705"/>
      <c r="AL75" s="705"/>
      <c r="AM75" s="705"/>
      <c r="AN75" s="705"/>
      <c r="AO75" s="705"/>
      <c r="AP75" s="705"/>
      <c r="AQ75" s="705"/>
      <c r="AR75" s="705"/>
      <c r="AS75" s="705"/>
      <c r="AT75" s="705"/>
      <c r="AU75" s="705"/>
      <c r="AV75" s="705"/>
      <c r="AW75" s="705"/>
      <c r="AX75" s="705"/>
      <c r="AY75" s="705"/>
      <c r="AZ75" s="705"/>
      <c r="BA75" s="705"/>
      <c r="BB75" s="705"/>
      <c r="BC75" s="705"/>
    </row>
    <row r="76" spans="1:55">
      <c r="A76" s="706"/>
      <c r="B76" s="706"/>
      <c r="C76" s="706"/>
      <c r="D76" s="706"/>
      <c r="E76" s="706"/>
      <c r="F76" s="706"/>
      <c r="G76" s="706"/>
      <c r="H76" s="706"/>
      <c r="I76" s="706"/>
      <c r="J76" s="706"/>
      <c r="K76" s="706"/>
      <c r="L76" s="706"/>
      <c r="M76" s="706"/>
      <c r="N76" s="705"/>
      <c r="O76" s="705"/>
      <c r="P76" s="705"/>
      <c r="Q76" s="705"/>
      <c r="R76" s="705"/>
      <c r="S76" s="705"/>
      <c r="T76" s="705"/>
      <c r="U76" s="705"/>
      <c r="V76" s="705"/>
      <c r="W76" s="705"/>
      <c r="X76" s="705"/>
      <c r="Y76" s="705"/>
      <c r="Z76" s="705"/>
      <c r="AA76" s="705"/>
      <c r="AB76" s="705"/>
      <c r="AC76" s="705"/>
      <c r="AD76" s="705"/>
      <c r="AE76" s="705"/>
      <c r="AF76" s="705"/>
      <c r="AG76" s="705"/>
      <c r="AH76" s="705"/>
      <c r="AI76" s="705"/>
      <c r="AJ76" s="705"/>
      <c r="AK76" s="705"/>
      <c r="AL76" s="705"/>
      <c r="AM76" s="705"/>
      <c r="AN76" s="705"/>
      <c r="AO76" s="705"/>
      <c r="AP76" s="705"/>
      <c r="AQ76" s="705"/>
      <c r="AR76" s="705"/>
      <c r="AS76" s="705"/>
      <c r="AT76" s="705"/>
      <c r="AU76" s="705"/>
      <c r="AV76" s="705"/>
      <c r="AW76" s="705"/>
      <c r="AX76" s="705"/>
      <c r="AY76" s="705"/>
      <c r="AZ76" s="705"/>
      <c r="BA76" s="705"/>
      <c r="BB76" s="705"/>
      <c r="BC76" s="705"/>
    </row>
    <row r="77" spans="1:55">
      <c r="A77" s="706"/>
      <c r="B77" s="706"/>
      <c r="C77" s="706"/>
      <c r="D77" s="706"/>
      <c r="E77" s="706"/>
      <c r="F77" s="706"/>
      <c r="G77" s="706"/>
      <c r="H77" s="706"/>
      <c r="I77" s="706"/>
      <c r="J77" s="706"/>
      <c r="K77" s="706"/>
      <c r="L77" s="706"/>
      <c r="M77" s="706"/>
      <c r="N77" s="705"/>
      <c r="O77" s="705"/>
      <c r="P77" s="705"/>
      <c r="Q77" s="705"/>
      <c r="R77" s="705"/>
      <c r="S77" s="705"/>
      <c r="T77" s="705"/>
      <c r="U77" s="705"/>
      <c r="V77" s="705"/>
      <c r="W77" s="705"/>
      <c r="X77" s="705"/>
      <c r="Y77" s="705"/>
      <c r="Z77" s="705"/>
      <c r="AA77" s="705"/>
      <c r="AB77" s="705"/>
      <c r="AC77" s="705"/>
      <c r="AD77" s="705"/>
      <c r="AE77" s="705"/>
      <c r="AF77" s="705"/>
      <c r="AG77" s="705"/>
      <c r="AH77" s="705"/>
      <c r="AI77" s="705"/>
      <c r="AJ77" s="705"/>
      <c r="AK77" s="705"/>
      <c r="AL77" s="705"/>
      <c r="AM77" s="705"/>
      <c r="AN77" s="705"/>
      <c r="AO77" s="705"/>
      <c r="AP77" s="705"/>
      <c r="AQ77" s="705"/>
      <c r="AR77" s="705"/>
      <c r="AS77" s="705"/>
      <c r="AT77" s="705"/>
      <c r="AU77" s="705"/>
      <c r="AV77" s="705"/>
      <c r="AW77" s="705"/>
      <c r="AX77" s="705"/>
      <c r="AY77" s="705"/>
      <c r="AZ77" s="705"/>
      <c r="BA77" s="705"/>
      <c r="BB77" s="705"/>
      <c r="BC77" s="705"/>
    </row>
    <row r="78" spans="1:55">
      <c r="A78" s="706"/>
      <c r="B78" s="706"/>
      <c r="C78" s="706"/>
      <c r="D78" s="706"/>
      <c r="E78" s="706"/>
      <c r="F78" s="706"/>
      <c r="G78" s="706"/>
      <c r="H78" s="706"/>
      <c r="I78" s="706"/>
      <c r="J78" s="706"/>
      <c r="K78" s="706"/>
      <c r="L78" s="706"/>
      <c r="M78" s="706"/>
      <c r="N78" s="705"/>
      <c r="O78" s="705"/>
      <c r="P78" s="705"/>
      <c r="Q78" s="705"/>
      <c r="R78" s="705"/>
      <c r="S78" s="705"/>
      <c r="T78" s="705"/>
      <c r="U78" s="705"/>
      <c r="V78" s="705"/>
      <c r="W78" s="705"/>
      <c r="X78" s="705"/>
      <c r="Y78" s="705"/>
      <c r="Z78" s="705"/>
      <c r="AA78" s="705"/>
      <c r="AB78" s="705"/>
      <c r="AC78" s="705"/>
      <c r="AD78" s="705"/>
      <c r="AE78" s="705"/>
      <c r="AF78" s="705"/>
      <c r="AG78" s="705"/>
      <c r="AH78" s="705"/>
      <c r="AI78" s="705"/>
      <c r="AJ78" s="705"/>
      <c r="AK78" s="705"/>
      <c r="AL78" s="705"/>
      <c r="AM78" s="705"/>
      <c r="AN78" s="705"/>
      <c r="AO78" s="705"/>
      <c r="AP78" s="705"/>
      <c r="AQ78" s="705"/>
      <c r="AR78" s="705"/>
      <c r="AS78" s="705"/>
      <c r="AT78" s="705"/>
      <c r="AU78" s="705"/>
      <c r="AV78" s="705"/>
      <c r="AW78" s="705"/>
      <c r="AX78" s="705"/>
      <c r="AY78" s="705"/>
      <c r="AZ78" s="705"/>
      <c r="BA78" s="705"/>
      <c r="BB78" s="705"/>
      <c r="BC78" s="705"/>
    </row>
    <row r="79" spans="1:55">
      <c r="A79" s="706"/>
      <c r="B79" s="706"/>
      <c r="C79" s="706"/>
      <c r="D79" s="706"/>
      <c r="E79" s="706"/>
      <c r="F79" s="706"/>
      <c r="G79" s="706"/>
      <c r="H79" s="706"/>
      <c r="I79" s="706"/>
      <c r="J79" s="706"/>
      <c r="K79" s="706"/>
      <c r="L79" s="706"/>
      <c r="M79" s="706"/>
      <c r="N79" s="705"/>
      <c r="O79" s="705"/>
      <c r="P79" s="705"/>
      <c r="Q79" s="705"/>
      <c r="R79" s="705"/>
      <c r="S79" s="705"/>
      <c r="T79" s="705"/>
      <c r="U79" s="705"/>
      <c r="V79" s="705"/>
      <c r="W79" s="705"/>
      <c r="X79" s="705"/>
      <c r="Y79" s="705"/>
      <c r="Z79" s="705"/>
      <c r="AA79" s="705"/>
      <c r="AB79" s="705"/>
      <c r="AC79" s="705"/>
      <c r="AD79" s="705"/>
      <c r="AE79" s="705"/>
      <c r="AF79" s="705"/>
      <c r="AG79" s="705"/>
      <c r="AH79" s="705"/>
      <c r="AI79" s="705"/>
      <c r="AJ79" s="705"/>
      <c r="AK79" s="705"/>
      <c r="AL79" s="705"/>
      <c r="AM79" s="705"/>
      <c r="AN79" s="705"/>
      <c r="AO79" s="705"/>
      <c r="AP79" s="705"/>
      <c r="AQ79" s="705"/>
      <c r="AR79" s="705"/>
      <c r="AS79" s="705"/>
      <c r="AT79" s="705"/>
      <c r="AU79" s="705"/>
      <c r="AV79" s="705"/>
      <c r="AW79" s="705"/>
      <c r="AX79" s="705"/>
      <c r="AY79" s="705"/>
      <c r="AZ79" s="705"/>
      <c r="BA79" s="705"/>
      <c r="BB79" s="705"/>
      <c r="BC79" s="705"/>
    </row>
    <row r="80" spans="1:55">
      <c r="A80" s="706"/>
      <c r="B80" s="706"/>
      <c r="C80" s="706"/>
      <c r="D80" s="706"/>
      <c r="E80" s="706"/>
      <c r="F80" s="706"/>
      <c r="G80" s="706"/>
      <c r="H80" s="706"/>
      <c r="I80" s="706"/>
      <c r="J80" s="706"/>
      <c r="K80" s="706"/>
      <c r="L80" s="706"/>
      <c r="M80" s="706"/>
      <c r="N80" s="705"/>
      <c r="O80" s="705"/>
      <c r="P80" s="705"/>
      <c r="Q80" s="705"/>
      <c r="R80" s="705"/>
      <c r="S80" s="705"/>
      <c r="T80" s="705"/>
      <c r="U80" s="705"/>
      <c r="V80" s="705"/>
      <c r="W80" s="705"/>
      <c r="X80" s="705"/>
      <c r="Y80" s="705"/>
      <c r="Z80" s="705"/>
      <c r="AA80" s="705"/>
      <c r="AB80" s="705"/>
      <c r="AC80" s="705"/>
      <c r="AD80" s="705"/>
      <c r="AE80" s="705"/>
      <c r="AF80" s="705"/>
      <c r="AG80" s="705"/>
      <c r="AH80" s="705"/>
      <c r="AI80" s="705"/>
      <c r="AJ80" s="705"/>
      <c r="AK80" s="705"/>
      <c r="AL80" s="705"/>
      <c r="AM80" s="705"/>
      <c r="AN80" s="705"/>
      <c r="AO80" s="705"/>
      <c r="AP80" s="705"/>
      <c r="AQ80" s="705"/>
      <c r="AR80" s="705"/>
      <c r="AS80" s="705"/>
      <c r="AT80" s="705"/>
      <c r="AU80" s="705"/>
      <c r="AV80" s="705"/>
      <c r="AW80" s="705"/>
      <c r="AX80" s="705"/>
      <c r="AY80" s="705"/>
      <c r="AZ80" s="705"/>
      <c r="BA80" s="705"/>
      <c r="BB80" s="705"/>
      <c r="BC80" s="705"/>
    </row>
    <row r="81" spans="1:55">
      <c r="A81" s="706"/>
      <c r="B81" s="706"/>
      <c r="C81" s="706"/>
      <c r="D81" s="706"/>
      <c r="E81" s="706"/>
      <c r="F81" s="706"/>
      <c r="G81" s="706"/>
      <c r="H81" s="706"/>
      <c r="I81" s="706"/>
      <c r="J81" s="706"/>
      <c r="K81" s="706"/>
      <c r="L81" s="706"/>
      <c r="M81" s="706"/>
      <c r="N81" s="705"/>
      <c r="O81" s="705"/>
      <c r="P81" s="705"/>
      <c r="Q81" s="705"/>
      <c r="R81" s="705"/>
      <c r="S81" s="705"/>
      <c r="T81" s="705"/>
      <c r="U81" s="705"/>
      <c r="V81" s="705"/>
      <c r="W81" s="705"/>
      <c r="X81" s="705"/>
      <c r="Y81" s="705"/>
      <c r="Z81" s="705"/>
      <c r="AA81" s="705"/>
      <c r="AB81" s="705"/>
      <c r="AC81" s="705"/>
      <c r="AD81" s="705"/>
      <c r="AE81" s="705"/>
      <c r="AF81" s="705"/>
      <c r="AG81" s="705"/>
      <c r="AH81" s="705"/>
      <c r="AI81" s="705"/>
      <c r="AJ81" s="705"/>
      <c r="AK81" s="705"/>
      <c r="AL81" s="705"/>
      <c r="AM81" s="705"/>
      <c r="AN81" s="705"/>
      <c r="AO81" s="705"/>
      <c r="AP81" s="705"/>
      <c r="AQ81" s="705"/>
      <c r="AR81" s="705"/>
      <c r="AS81" s="705"/>
      <c r="AT81" s="705"/>
      <c r="AU81" s="705"/>
      <c r="AV81" s="705"/>
      <c r="AW81" s="705"/>
      <c r="AX81" s="705"/>
      <c r="AY81" s="705"/>
      <c r="AZ81" s="705"/>
      <c r="BA81" s="705"/>
      <c r="BB81" s="705"/>
      <c r="BC81" s="705"/>
    </row>
    <row r="82" spans="1:55">
      <c r="A82" s="706"/>
      <c r="B82" s="706"/>
      <c r="C82" s="706"/>
      <c r="D82" s="706"/>
      <c r="E82" s="706"/>
      <c r="F82" s="706"/>
      <c r="G82" s="706"/>
      <c r="H82" s="706"/>
      <c r="I82" s="706"/>
      <c r="J82" s="706"/>
      <c r="K82" s="706"/>
      <c r="L82" s="706"/>
      <c r="M82" s="706"/>
      <c r="N82" s="705"/>
      <c r="O82" s="705"/>
      <c r="P82" s="705"/>
      <c r="Q82" s="705"/>
      <c r="R82" s="705"/>
      <c r="S82" s="705"/>
      <c r="T82" s="705"/>
      <c r="U82" s="705"/>
      <c r="V82" s="705"/>
      <c r="W82" s="705"/>
      <c r="X82" s="705"/>
      <c r="Y82" s="705"/>
      <c r="Z82" s="705"/>
      <c r="AA82" s="705"/>
      <c r="AB82" s="705"/>
      <c r="AC82" s="705"/>
      <c r="AD82" s="705"/>
      <c r="AE82" s="705"/>
      <c r="AF82" s="705"/>
      <c r="AG82" s="705"/>
      <c r="AH82" s="705"/>
      <c r="AI82" s="705"/>
      <c r="AJ82" s="705"/>
      <c r="AK82" s="705"/>
      <c r="AL82" s="705"/>
      <c r="AM82" s="705"/>
      <c r="AN82" s="705"/>
      <c r="AO82" s="705"/>
      <c r="AP82" s="705"/>
      <c r="AQ82" s="705"/>
      <c r="AR82" s="705"/>
      <c r="AS82" s="705"/>
      <c r="AT82" s="705"/>
      <c r="AU82" s="705"/>
      <c r="AV82" s="705"/>
      <c r="AW82" s="705"/>
      <c r="AX82" s="705"/>
      <c r="AY82" s="705"/>
      <c r="AZ82" s="705"/>
      <c r="BA82" s="705"/>
      <c r="BB82" s="705"/>
      <c r="BC82" s="705"/>
    </row>
    <row r="83" spans="1:55">
      <c r="A83" s="706"/>
      <c r="B83" s="706"/>
      <c r="C83" s="706"/>
      <c r="D83" s="706"/>
      <c r="E83" s="706"/>
      <c r="F83" s="706"/>
      <c r="G83" s="706"/>
      <c r="H83" s="706"/>
      <c r="I83" s="706"/>
      <c r="J83" s="706"/>
      <c r="K83" s="706"/>
      <c r="L83" s="706"/>
      <c r="M83" s="706"/>
      <c r="N83" s="705"/>
      <c r="O83" s="705"/>
      <c r="P83" s="705"/>
      <c r="Q83" s="705"/>
      <c r="R83" s="705"/>
      <c r="S83" s="705"/>
      <c r="T83" s="705"/>
      <c r="U83" s="705"/>
      <c r="V83" s="705"/>
      <c r="W83" s="705"/>
      <c r="X83" s="705"/>
      <c r="Y83" s="705"/>
      <c r="Z83" s="705"/>
      <c r="AA83" s="705"/>
      <c r="AB83" s="705"/>
      <c r="AC83" s="705"/>
      <c r="AD83" s="705"/>
      <c r="AE83" s="705"/>
      <c r="AF83" s="705"/>
      <c r="AG83" s="705"/>
      <c r="AH83" s="705"/>
      <c r="AI83" s="705"/>
      <c r="AJ83" s="705"/>
      <c r="AK83" s="705"/>
      <c r="AL83" s="705"/>
      <c r="AM83" s="705"/>
      <c r="AN83" s="705"/>
      <c r="AO83" s="705"/>
      <c r="AP83" s="705"/>
      <c r="AQ83" s="705"/>
      <c r="AR83" s="705"/>
      <c r="AS83" s="705"/>
      <c r="AT83" s="705"/>
      <c r="AU83" s="705"/>
      <c r="AV83" s="705"/>
      <c r="AW83" s="705"/>
      <c r="AX83" s="705"/>
      <c r="AY83" s="705"/>
      <c r="AZ83" s="705"/>
      <c r="BA83" s="705"/>
      <c r="BB83" s="705"/>
      <c r="BC83" s="705"/>
    </row>
    <row r="84" spans="1:55">
      <c r="A84" s="706"/>
      <c r="B84" s="706"/>
      <c r="C84" s="706"/>
      <c r="D84" s="706"/>
      <c r="E84" s="706"/>
      <c r="F84" s="706"/>
      <c r="G84" s="706"/>
      <c r="H84" s="706"/>
      <c r="I84" s="706"/>
      <c r="J84" s="706"/>
      <c r="K84" s="706"/>
      <c r="L84" s="706"/>
      <c r="M84" s="706"/>
      <c r="N84" s="705"/>
      <c r="O84" s="705"/>
      <c r="P84" s="705"/>
      <c r="Q84" s="705"/>
      <c r="R84" s="705"/>
      <c r="S84" s="705"/>
      <c r="T84" s="705"/>
      <c r="U84" s="705"/>
      <c r="V84" s="705"/>
      <c r="W84" s="705"/>
      <c r="X84" s="705"/>
      <c r="Y84" s="705"/>
      <c r="Z84" s="705"/>
      <c r="AA84" s="705"/>
      <c r="AB84" s="705"/>
      <c r="AC84" s="705"/>
      <c r="AD84" s="705"/>
      <c r="AE84" s="705"/>
      <c r="AF84" s="705"/>
      <c r="AG84" s="705"/>
      <c r="AH84" s="705"/>
      <c r="AI84" s="705"/>
      <c r="AJ84" s="705"/>
      <c r="AK84" s="705"/>
      <c r="AL84" s="705"/>
      <c r="AM84" s="705"/>
      <c r="AN84" s="705"/>
      <c r="AO84" s="705"/>
      <c r="AP84" s="705"/>
      <c r="AQ84" s="705"/>
      <c r="AR84" s="705"/>
      <c r="AS84" s="705"/>
      <c r="AT84" s="705"/>
      <c r="AU84" s="705"/>
      <c r="AV84" s="705"/>
      <c r="AW84" s="705"/>
      <c r="AX84" s="705"/>
      <c r="AY84" s="705"/>
      <c r="AZ84" s="705"/>
      <c r="BA84" s="705"/>
      <c r="BB84" s="705"/>
      <c r="BC84" s="705"/>
    </row>
    <row r="85" spans="1:55">
      <c r="A85" s="706"/>
      <c r="B85" s="706"/>
      <c r="C85" s="706"/>
      <c r="D85" s="706"/>
      <c r="E85" s="706"/>
      <c r="F85" s="706"/>
      <c r="G85" s="706"/>
      <c r="H85" s="706"/>
      <c r="I85" s="706"/>
      <c r="J85" s="706"/>
      <c r="K85" s="706"/>
      <c r="L85" s="706"/>
      <c r="M85" s="706"/>
      <c r="N85" s="705"/>
      <c r="O85" s="705"/>
      <c r="P85" s="705"/>
      <c r="Q85" s="705"/>
      <c r="R85" s="705"/>
      <c r="S85" s="705"/>
      <c r="T85" s="705"/>
      <c r="U85" s="705"/>
      <c r="V85" s="705"/>
      <c r="W85" s="705"/>
      <c r="X85" s="705"/>
      <c r="Y85" s="705"/>
      <c r="Z85" s="705"/>
      <c r="AA85" s="705"/>
      <c r="AB85" s="705"/>
      <c r="AC85" s="705"/>
      <c r="AD85" s="705"/>
      <c r="AE85" s="705"/>
      <c r="AF85" s="705"/>
      <c r="AG85" s="705"/>
      <c r="AH85" s="705"/>
      <c r="AI85" s="705"/>
      <c r="AJ85" s="705"/>
      <c r="AK85" s="705"/>
      <c r="AL85" s="705"/>
      <c r="AM85" s="705"/>
      <c r="AN85" s="705"/>
      <c r="AO85" s="705"/>
      <c r="AP85" s="705"/>
      <c r="AQ85" s="705"/>
      <c r="AR85" s="705"/>
      <c r="AS85" s="705"/>
      <c r="AT85" s="705"/>
      <c r="AU85" s="705"/>
      <c r="AV85" s="705"/>
      <c r="AW85" s="705"/>
      <c r="AX85" s="705"/>
      <c r="AY85" s="705"/>
      <c r="AZ85" s="705"/>
      <c r="BA85" s="705"/>
      <c r="BB85" s="705"/>
      <c r="BC85" s="705"/>
    </row>
    <row r="86" spans="1:55">
      <c r="A86" s="706"/>
      <c r="B86" s="706"/>
      <c r="C86" s="706"/>
      <c r="D86" s="706"/>
      <c r="E86" s="706"/>
      <c r="F86" s="706"/>
      <c r="G86" s="706"/>
      <c r="H86" s="706"/>
      <c r="I86" s="706"/>
      <c r="J86" s="706"/>
      <c r="K86" s="706"/>
      <c r="L86" s="706"/>
      <c r="M86" s="706"/>
      <c r="N86" s="705"/>
      <c r="O86" s="705"/>
      <c r="P86" s="705"/>
      <c r="Q86" s="705"/>
      <c r="R86" s="705"/>
      <c r="S86" s="705"/>
      <c r="T86" s="705"/>
      <c r="U86" s="705"/>
      <c r="V86" s="705"/>
      <c r="W86" s="705"/>
      <c r="X86" s="705"/>
      <c r="Y86" s="705"/>
      <c r="Z86" s="705"/>
      <c r="AA86" s="705"/>
      <c r="AB86" s="705"/>
      <c r="AC86" s="705"/>
      <c r="AD86" s="705"/>
      <c r="AE86" s="705"/>
      <c r="AF86" s="705"/>
      <c r="AG86" s="705"/>
      <c r="AH86" s="705"/>
      <c r="AI86" s="705"/>
      <c r="AJ86" s="705"/>
      <c r="AK86" s="705"/>
      <c r="AL86" s="705"/>
      <c r="AM86" s="705"/>
      <c r="AN86" s="705"/>
      <c r="AO86" s="705"/>
      <c r="AP86" s="705"/>
      <c r="AQ86" s="705"/>
      <c r="AR86" s="705"/>
      <c r="AS86" s="705"/>
      <c r="AT86" s="705"/>
      <c r="AU86" s="705"/>
      <c r="AV86" s="705"/>
      <c r="AW86" s="705"/>
      <c r="AX86" s="705"/>
      <c r="AY86" s="705"/>
      <c r="AZ86" s="705"/>
      <c r="BA86" s="705"/>
      <c r="BB86" s="705"/>
      <c r="BC86" s="705"/>
    </row>
    <row r="87" spans="1:55">
      <c r="A87" s="706"/>
      <c r="B87" s="706"/>
      <c r="C87" s="706"/>
      <c r="D87" s="706"/>
      <c r="E87" s="706"/>
      <c r="F87" s="706"/>
      <c r="G87" s="706"/>
      <c r="H87" s="706"/>
      <c r="I87" s="706"/>
      <c r="J87" s="706"/>
      <c r="K87" s="706"/>
      <c r="L87" s="706"/>
      <c r="M87" s="706"/>
      <c r="N87" s="705"/>
      <c r="O87" s="705"/>
      <c r="P87" s="705"/>
      <c r="Q87" s="705"/>
      <c r="R87" s="705"/>
      <c r="S87" s="705"/>
      <c r="T87" s="705"/>
      <c r="U87" s="705"/>
      <c r="V87" s="705"/>
      <c r="W87" s="705"/>
      <c r="X87" s="705"/>
      <c r="Y87" s="705"/>
      <c r="Z87" s="705"/>
      <c r="AA87" s="705"/>
      <c r="AB87" s="705"/>
      <c r="AC87" s="705"/>
      <c r="AD87" s="705"/>
      <c r="AE87" s="705"/>
      <c r="AF87" s="705"/>
      <c r="AG87" s="705"/>
      <c r="AH87" s="705"/>
      <c r="AI87" s="705"/>
      <c r="AJ87" s="705"/>
      <c r="AK87" s="705"/>
      <c r="AL87" s="705"/>
      <c r="AM87" s="705"/>
      <c r="AN87" s="705"/>
      <c r="AO87" s="705"/>
      <c r="AP87" s="705"/>
      <c r="AQ87" s="705"/>
      <c r="AR87" s="705"/>
      <c r="AS87" s="705"/>
      <c r="AT87" s="705"/>
      <c r="AU87" s="705"/>
      <c r="AV87" s="705"/>
      <c r="AW87" s="705"/>
      <c r="AX87" s="705"/>
      <c r="AY87" s="705"/>
      <c r="AZ87" s="705"/>
      <c r="BA87" s="705"/>
      <c r="BB87" s="705"/>
      <c r="BC87" s="705"/>
    </row>
    <row r="88" spans="1:55">
      <c r="A88" s="706"/>
      <c r="B88" s="706"/>
      <c r="C88" s="706"/>
      <c r="D88" s="706"/>
      <c r="E88" s="706"/>
      <c r="F88" s="706"/>
      <c r="G88" s="706"/>
      <c r="H88" s="706"/>
      <c r="I88" s="706"/>
      <c r="J88" s="706"/>
      <c r="K88" s="706"/>
      <c r="L88" s="706"/>
      <c r="M88" s="706"/>
      <c r="N88" s="705"/>
      <c r="O88" s="705"/>
      <c r="P88" s="705"/>
      <c r="Q88" s="705"/>
      <c r="R88" s="705"/>
      <c r="S88" s="705"/>
      <c r="T88" s="705"/>
      <c r="U88" s="705"/>
      <c r="V88" s="705"/>
      <c r="W88" s="705"/>
      <c r="X88" s="705"/>
      <c r="Y88" s="705"/>
      <c r="Z88" s="705"/>
      <c r="AA88" s="705"/>
      <c r="AB88" s="705"/>
      <c r="AC88" s="705"/>
      <c r="AD88" s="705"/>
      <c r="AE88" s="705"/>
      <c r="AF88" s="705"/>
      <c r="AG88" s="705"/>
      <c r="AH88" s="705"/>
      <c r="AI88" s="705"/>
      <c r="AJ88" s="705"/>
      <c r="AK88" s="705"/>
      <c r="AL88" s="705"/>
      <c r="AM88" s="705"/>
      <c r="AN88" s="705"/>
      <c r="AO88" s="705"/>
      <c r="AP88" s="705"/>
      <c r="AQ88" s="705"/>
      <c r="AR88" s="705"/>
      <c r="AS88" s="705"/>
      <c r="AT88" s="705"/>
      <c r="AU88" s="705"/>
      <c r="AV88" s="705"/>
      <c r="AW88" s="705"/>
      <c r="AX88" s="705"/>
      <c r="AY88" s="705"/>
      <c r="AZ88" s="705"/>
      <c r="BA88" s="705"/>
      <c r="BB88" s="705"/>
      <c r="BC88" s="705"/>
    </row>
    <row r="89" spans="1:55">
      <c r="A89" s="706"/>
      <c r="B89" s="706"/>
      <c r="C89" s="706"/>
      <c r="D89" s="706"/>
      <c r="E89" s="706"/>
      <c r="F89" s="706"/>
      <c r="G89" s="706"/>
      <c r="H89" s="706"/>
      <c r="I89" s="706"/>
      <c r="J89" s="706"/>
      <c r="K89" s="706"/>
      <c r="L89" s="706"/>
      <c r="M89" s="706"/>
      <c r="N89" s="705"/>
      <c r="O89" s="705"/>
      <c r="P89" s="705"/>
      <c r="Q89" s="705"/>
      <c r="R89" s="705"/>
      <c r="S89" s="705"/>
      <c r="T89" s="705"/>
      <c r="U89" s="705"/>
      <c r="V89" s="705"/>
      <c r="W89" s="705"/>
      <c r="X89" s="705"/>
      <c r="Y89" s="705"/>
      <c r="Z89" s="705"/>
      <c r="AA89" s="705"/>
      <c r="AB89" s="705"/>
      <c r="AC89" s="705"/>
      <c r="AD89" s="705"/>
      <c r="AE89" s="705"/>
      <c r="AF89" s="705"/>
      <c r="AG89" s="705"/>
      <c r="AH89" s="705"/>
      <c r="AI89" s="705"/>
      <c r="AJ89" s="705"/>
      <c r="AK89" s="705"/>
      <c r="AL89" s="705"/>
      <c r="AM89" s="705"/>
      <c r="AN89" s="705"/>
      <c r="AO89" s="705"/>
      <c r="AP89" s="705"/>
      <c r="AQ89" s="705"/>
      <c r="AR89" s="705"/>
      <c r="AS89" s="705"/>
      <c r="AT89" s="705"/>
      <c r="AU89" s="705"/>
      <c r="AV89" s="705"/>
      <c r="AW89" s="705"/>
      <c r="AX89" s="705"/>
      <c r="AY89" s="705"/>
      <c r="AZ89" s="705"/>
      <c r="BA89" s="705"/>
      <c r="BB89" s="705"/>
      <c r="BC89" s="705"/>
    </row>
    <row r="90" spans="1:55">
      <c r="A90" s="706"/>
      <c r="B90" s="706"/>
      <c r="C90" s="706"/>
      <c r="D90" s="706"/>
      <c r="E90" s="706"/>
      <c r="F90" s="706"/>
      <c r="G90" s="706"/>
      <c r="H90" s="706"/>
      <c r="I90" s="706"/>
      <c r="J90" s="706"/>
      <c r="K90" s="706"/>
      <c r="L90" s="706"/>
      <c r="M90" s="706"/>
      <c r="N90" s="705"/>
      <c r="O90" s="705"/>
      <c r="P90" s="705"/>
      <c r="Q90" s="705"/>
      <c r="R90" s="705"/>
      <c r="S90" s="705"/>
      <c r="T90" s="705"/>
      <c r="U90" s="705"/>
      <c r="V90" s="705"/>
      <c r="W90" s="705"/>
      <c r="X90" s="705"/>
      <c r="Y90" s="705"/>
      <c r="Z90" s="705"/>
      <c r="AA90" s="705"/>
      <c r="AB90" s="705"/>
      <c r="AC90" s="705"/>
      <c r="AD90" s="705"/>
      <c r="AE90" s="705"/>
      <c r="AF90" s="705"/>
      <c r="AG90" s="705"/>
      <c r="AH90" s="705"/>
      <c r="AI90" s="705"/>
      <c r="AJ90" s="705"/>
      <c r="AK90" s="705"/>
      <c r="AL90" s="705"/>
      <c r="AM90" s="705"/>
      <c r="AN90" s="705"/>
      <c r="AO90" s="705"/>
      <c r="AP90" s="705"/>
      <c r="AQ90" s="705"/>
      <c r="AR90" s="705"/>
      <c r="AS90" s="705"/>
      <c r="AT90" s="705"/>
      <c r="AU90" s="705"/>
      <c r="AV90" s="705"/>
      <c r="AW90" s="705"/>
      <c r="AX90" s="705"/>
      <c r="AY90" s="705"/>
      <c r="AZ90" s="705"/>
      <c r="BA90" s="705"/>
      <c r="BB90" s="705"/>
      <c r="BC90" s="705"/>
    </row>
    <row r="91" spans="1:55">
      <c r="A91" s="706"/>
      <c r="B91" s="706"/>
      <c r="C91" s="706"/>
      <c r="D91" s="706"/>
      <c r="E91" s="706"/>
      <c r="F91" s="706"/>
      <c r="G91" s="706"/>
      <c r="H91" s="706"/>
      <c r="I91" s="706"/>
      <c r="J91" s="706"/>
      <c r="K91" s="706"/>
      <c r="L91" s="706"/>
      <c r="M91" s="706"/>
      <c r="N91" s="705"/>
      <c r="O91" s="705"/>
      <c r="P91" s="705"/>
      <c r="Q91" s="705"/>
      <c r="R91" s="705"/>
      <c r="S91" s="705"/>
      <c r="T91" s="705"/>
      <c r="U91" s="705"/>
      <c r="V91" s="705"/>
      <c r="W91" s="705"/>
      <c r="X91" s="705"/>
      <c r="Y91" s="705"/>
      <c r="Z91" s="705"/>
      <c r="AA91" s="705"/>
      <c r="AB91" s="705"/>
      <c r="AC91" s="705"/>
      <c r="AD91" s="705"/>
      <c r="AE91" s="705"/>
      <c r="AF91" s="705"/>
      <c r="AG91" s="705"/>
      <c r="AH91" s="705"/>
      <c r="AI91" s="705"/>
      <c r="AJ91" s="705"/>
      <c r="AK91" s="705"/>
      <c r="AL91" s="705"/>
      <c r="AM91" s="705"/>
      <c r="AN91" s="705"/>
      <c r="AO91" s="705"/>
      <c r="AP91" s="705"/>
      <c r="AQ91" s="705"/>
      <c r="AR91" s="705"/>
      <c r="AS91" s="705"/>
      <c r="AT91" s="705"/>
      <c r="AU91" s="705"/>
      <c r="AV91" s="705"/>
      <c r="AW91" s="705"/>
      <c r="AX91" s="705"/>
      <c r="AY91" s="705"/>
      <c r="AZ91" s="705"/>
      <c r="BA91" s="705"/>
      <c r="BB91" s="705"/>
      <c r="BC91" s="705"/>
    </row>
    <row r="92" spans="1:55">
      <c r="A92" s="706"/>
      <c r="B92" s="706"/>
      <c r="C92" s="706"/>
      <c r="D92" s="706"/>
      <c r="E92" s="706"/>
      <c r="F92" s="706"/>
      <c r="G92" s="706"/>
      <c r="H92" s="706"/>
      <c r="I92" s="706"/>
      <c r="J92" s="706"/>
      <c r="K92" s="706"/>
      <c r="L92" s="706"/>
      <c r="M92" s="706"/>
      <c r="N92" s="705"/>
      <c r="O92" s="705"/>
      <c r="P92" s="705"/>
      <c r="Q92" s="705"/>
      <c r="R92" s="705"/>
      <c r="S92" s="705"/>
      <c r="T92" s="705"/>
      <c r="U92" s="705"/>
      <c r="V92" s="705"/>
      <c r="W92" s="705"/>
      <c r="X92" s="705"/>
      <c r="Y92" s="705"/>
      <c r="Z92" s="705"/>
      <c r="AA92" s="705"/>
      <c r="AB92" s="705"/>
      <c r="AC92" s="705"/>
      <c r="AD92" s="705"/>
      <c r="AE92" s="705"/>
      <c r="AF92" s="705"/>
      <c r="AG92" s="705"/>
      <c r="AH92" s="705"/>
      <c r="AI92" s="705"/>
      <c r="AJ92" s="705"/>
      <c r="AK92" s="705"/>
      <c r="AL92" s="705"/>
      <c r="AM92" s="705"/>
      <c r="AN92" s="705"/>
      <c r="AO92" s="705"/>
      <c r="AP92" s="705"/>
      <c r="AQ92" s="705"/>
      <c r="AR92" s="705"/>
      <c r="AS92" s="705"/>
      <c r="AT92" s="705"/>
      <c r="AU92" s="705"/>
      <c r="AV92" s="705"/>
      <c r="AW92" s="705"/>
      <c r="AX92" s="705"/>
      <c r="AY92" s="705"/>
      <c r="AZ92" s="705"/>
      <c r="BA92" s="705"/>
      <c r="BB92" s="705"/>
      <c r="BC92" s="705"/>
    </row>
    <row r="93" spans="1:55">
      <c r="A93" s="706"/>
      <c r="B93" s="706"/>
      <c r="C93" s="706"/>
      <c r="D93" s="706"/>
      <c r="E93" s="706"/>
      <c r="F93" s="706"/>
      <c r="G93" s="706"/>
      <c r="H93" s="706"/>
      <c r="I93" s="706"/>
      <c r="J93" s="706"/>
      <c r="K93" s="706"/>
      <c r="L93" s="706"/>
      <c r="M93" s="706"/>
      <c r="N93" s="705"/>
      <c r="O93" s="705"/>
      <c r="P93" s="705"/>
      <c r="Q93" s="705"/>
      <c r="R93" s="705"/>
      <c r="S93" s="705"/>
      <c r="T93" s="705"/>
      <c r="U93" s="705"/>
      <c r="V93" s="705"/>
      <c r="W93" s="705"/>
      <c r="X93" s="705"/>
      <c r="Y93" s="705"/>
      <c r="Z93" s="705"/>
      <c r="AA93" s="705"/>
      <c r="AB93" s="705"/>
      <c r="AC93" s="705"/>
      <c r="AD93" s="705"/>
      <c r="AE93" s="705"/>
      <c r="AF93" s="705"/>
      <c r="AG93" s="705"/>
      <c r="AH93" s="705"/>
      <c r="AI93" s="705"/>
      <c r="AJ93" s="705"/>
      <c r="AK93" s="705"/>
      <c r="AL93" s="705"/>
      <c r="AM93" s="705"/>
      <c r="AN93" s="705"/>
      <c r="AO93" s="705"/>
      <c r="AP93" s="705"/>
      <c r="AQ93" s="705"/>
      <c r="AR93" s="705"/>
      <c r="AS93" s="705"/>
      <c r="AT93" s="705"/>
      <c r="AU93" s="705"/>
      <c r="AV93" s="705"/>
      <c r="AW93" s="705"/>
      <c r="AX93" s="705"/>
      <c r="AY93" s="705"/>
      <c r="AZ93" s="705"/>
      <c r="BA93" s="705"/>
      <c r="BB93" s="705"/>
      <c r="BC93" s="705"/>
    </row>
    <row r="94" spans="1:55">
      <c r="A94" s="706"/>
      <c r="B94" s="706"/>
      <c r="C94" s="706"/>
      <c r="D94" s="706"/>
      <c r="E94" s="706"/>
      <c r="F94" s="706"/>
      <c r="G94" s="706"/>
      <c r="H94" s="706"/>
      <c r="I94" s="706"/>
      <c r="J94" s="706"/>
      <c r="K94" s="706"/>
      <c r="L94" s="706"/>
      <c r="M94" s="706"/>
      <c r="N94" s="705"/>
      <c r="O94" s="705"/>
      <c r="P94" s="705"/>
      <c r="Q94" s="705"/>
      <c r="R94" s="705"/>
      <c r="S94" s="705"/>
      <c r="T94" s="705"/>
      <c r="U94" s="705"/>
      <c r="V94" s="705"/>
      <c r="W94" s="705"/>
      <c r="X94" s="705"/>
      <c r="Y94" s="705"/>
      <c r="Z94" s="705"/>
      <c r="AA94" s="705"/>
      <c r="AB94" s="705"/>
      <c r="AC94" s="705"/>
      <c r="AD94" s="705"/>
      <c r="AE94" s="705"/>
      <c r="AF94" s="705"/>
      <c r="AG94" s="705"/>
      <c r="AH94" s="705"/>
      <c r="AI94" s="705"/>
      <c r="AJ94" s="705"/>
      <c r="AK94" s="705"/>
      <c r="AL94" s="705"/>
      <c r="AM94" s="705"/>
      <c r="AN94" s="705"/>
      <c r="AO94" s="705"/>
      <c r="AP94" s="705"/>
      <c r="AQ94" s="705"/>
      <c r="AR94" s="705"/>
      <c r="AS94" s="705"/>
      <c r="AT94" s="705"/>
      <c r="AU94" s="705"/>
      <c r="AV94" s="705"/>
      <c r="AW94" s="705"/>
      <c r="AX94" s="705"/>
      <c r="AY94" s="705"/>
      <c r="AZ94" s="705"/>
      <c r="BA94" s="705"/>
      <c r="BB94" s="705"/>
      <c r="BC94" s="705"/>
    </row>
    <row r="95" spans="1:55">
      <c r="A95" s="706"/>
      <c r="B95" s="706"/>
      <c r="C95" s="706"/>
      <c r="D95" s="706"/>
      <c r="E95" s="706"/>
      <c r="F95" s="706"/>
      <c r="G95" s="706"/>
      <c r="H95" s="706"/>
      <c r="I95" s="706"/>
      <c r="J95" s="706"/>
      <c r="K95" s="706"/>
      <c r="L95" s="706"/>
      <c r="M95" s="706"/>
      <c r="N95" s="705"/>
      <c r="O95" s="705"/>
      <c r="P95" s="705"/>
      <c r="Q95" s="705"/>
      <c r="R95" s="705"/>
      <c r="S95" s="705"/>
      <c r="T95" s="705"/>
      <c r="U95" s="705"/>
      <c r="V95" s="705"/>
      <c r="W95" s="705"/>
      <c r="X95" s="705"/>
      <c r="Y95" s="705"/>
      <c r="Z95" s="705"/>
      <c r="AA95" s="705"/>
      <c r="AB95" s="705"/>
      <c r="AC95" s="705"/>
      <c r="AD95" s="705"/>
      <c r="AE95" s="705"/>
      <c r="AF95" s="705"/>
      <c r="AG95" s="705"/>
      <c r="AH95" s="705"/>
      <c r="AI95" s="705"/>
      <c r="AJ95" s="705"/>
      <c r="AK95" s="705"/>
      <c r="AL95" s="705"/>
      <c r="AM95" s="705"/>
      <c r="AN95" s="705"/>
      <c r="AO95" s="705"/>
      <c r="AP95" s="705"/>
      <c r="AQ95" s="705"/>
      <c r="AR95" s="705"/>
      <c r="AS95" s="705"/>
      <c r="AT95" s="705"/>
      <c r="AU95" s="705"/>
      <c r="AV95" s="705"/>
      <c r="AW95" s="705"/>
      <c r="AX95" s="705"/>
      <c r="AY95" s="705"/>
      <c r="AZ95" s="705"/>
      <c r="BA95" s="705"/>
      <c r="BB95" s="705"/>
      <c r="BC95" s="705"/>
    </row>
  </sheetData>
  <sheetProtection selectLockedCells="1" selectUnlockedCells="1"/>
  <mergeCells count="13">
    <mergeCell ref="A1:G1"/>
    <mergeCell ref="A3:A4"/>
    <mergeCell ref="B3:D4"/>
    <mergeCell ref="B5:D5"/>
    <mergeCell ref="A48:B48"/>
    <mergeCell ref="C48:G48"/>
    <mergeCell ref="A6:G6"/>
    <mergeCell ref="A41:B42"/>
    <mergeCell ref="C41:G42"/>
    <mergeCell ref="A43:B47"/>
    <mergeCell ref="C43:D43"/>
    <mergeCell ref="E43:G43"/>
    <mergeCell ref="C44:G47"/>
  </mergeCells>
  <phoneticPr fontId="51" type="noConversion"/>
  <dataValidations disablePrompts="1" count="2">
    <dataValidation allowBlank="1" showErrorMessage="1" sqref="F4">
      <formula1>0</formula1>
      <formula2>0</formula2>
    </dataValidation>
    <dataValidation allowBlank="1" showErrorMessage="1" promptTitle="存在调整事项时" prompt="_x000a_选择 “E”" sqref="E43:G43">
      <formula1>0</formula1>
      <formula2>0</formula2>
    </dataValidation>
  </dataValidations>
  <hyperlinks>
    <hyperlink ref="H10" location="工资福利!A1" display="工资福利审核表"/>
    <hyperlink ref="H12" location="招待!A1" display="业务招待费审核表"/>
    <hyperlink ref="H14" location="成本倒轧!A1" display="成本倒轧审核表"/>
    <hyperlink ref="H16" location="主营收支!A1" display="主营业务收支审核表"/>
  </hyperlinks>
  <pageMargins left="0.78740157480314998" right="0.35433070866141703" top="0.511811023622047" bottom="0.11811023622047198" header="0.511811023622047" footer="0.511811023622047"/>
  <pageSetup paperSize="9" firstPageNumber="0" orientation="portrait" blackAndWhite="1" r:id="rId1"/>
  <headerFooter alignWithMargins="0"/>
</worksheet>
</file>

<file path=xl/worksheets/sheet7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45"/>
  <dimension ref="A1:O48"/>
  <sheetViews>
    <sheetView topLeftCell="A16" workbookViewId="0">
      <selection sqref="A1:J2"/>
    </sheetView>
  </sheetViews>
  <sheetFormatPr defaultColWidth="9" defaultRowHeight="15.6"/>
  <cols>
    <col min="1" max="1" width="3.69921875" style="13" customWidth="1"/>
    <col min="2" max="2" width="5.09765625" style="13" customWidth="1"/>
    <col min="3" max="3" width="13.3984375" style="13" customWidth="1"/>
    <col min="4" max="5" width="14.59765625" style="13" customWidth="1"/>
    <col min="6" max="6" width="3.69921875" style="13" customWidth="1"/>
    <col min="7" max="7" width="13.09765625" style="13" customWidth="1"/>
    <col min="8" max="8" width="5.09765625" style="13" customWidth="1"/>
    <col min="9" max="9" width="5" style="13" customWidth="1"/>
    <col min="10" max="10" width="7" style="13" customWidth="1"/>
    <col min="11" max="16384" width="9" style="13"/>
  </cols>
  <sheetData>
    <row r="1" spans="1:15">
      <c r="A1" s="3079" t="s">
        <v>308</v>
      </c>
      <c r="B1" s="3079"/>
      <c r="C1" s="3079"/>
      <c r="D1" s="3079"/>
      <c r="E1" s="3079"/>
      <c r="F1" s="3079"/>
      <c r="G1" s="3079"/>
      <c r="H1" s="3079"/>
      <c r="I1" s="3079"/>
      <c r="J1" s="3079"/>
      <c r="K1" s="14"/>
      <c r="L1" s="14"/>
      <c r="M1" s="14"/>
      <c r="N1" s="14"/>
      <c r="O1" s="14"/>
    </row>
    <row r="2" spans="1:15">
      <c r="A2" s="3079"/>
      <c r="B2" s="3079"/>
      <c r="C2" s="3079"/>
      <c r="D2" s="3079"/>
      <c r="E2" s="3079"/>
      <c r="F2" s="3079"/>
      <c r="G2" s="3079"/>
      <c r="H2" s="3079"/>
      <c r="I2" s="3079"/>
      <c r="J2" s="3079"/>
      <c r="K2" s="14"/>
      <c r="L2" s="14"/>
      <c r="M2" s="14"/>
      <c r="N2" s="14"/>
      <c r="O2" s="14"/>
    </row>
    <row r="3" spans="1:15">
      <c r="A3" s="3024" t="s">
        <v>448</v>
      </c>
      <c r="B3" s="3024"/>
      <c r="C3" s="3506">
        <f>基本情况!B2</f>
        <v>0</v>
      </c>
      <c r="D3" s="3506"/>
      <c r="E3" s="858"/>
      <c r="F3" s="2898" t="s">
        <v>1331</v>
      </c>
      <c r="G3" s="2898"/>
      <c r="H3" s="3511" t="s">
        <v>450</v>
      </c>
      <c r="I3" s="3511"/>
      <c r="J3" s="859" t="s">
        <v>283</v>
      </c>
      <c r="K3" s="14"/>
      <c r="L3" s="14"/>
      <c r="M3" s="14"/>
      <c r="N3" s="14"/>
      <c r="O3" s="14"/>
    </row>
    <row r="4" spans="1:15" ht="16.5" customHeight="1">
      <c r="A4" s="3024"/>
      <c r="B4" s="3024"/>
      <c r="C4" s="3506"/>
      <c r="D4" s="3506"/>
      <c r="E4" s="860" t="s">
        <v>451</v>
      </c>
      <c r="F4" s="3536">
        <f>基本情况!B12</f>
        <v>0</v>
      </c>
      <c r="G4" s="3536"/>
      <c r="H4" s="3535" t="str">
        <f>TEXT(基本情况!B21,"yyyy-mm-dd")</f>
        <v>2017-03-16</v>
      </c>
      <c r="I4" s="3535"/>
      <c r="J4" s="2905" t="str">
        <f>档案索引!D25</f>
        <v>3-4</v>
      </c>
      <c r="K4" s="14"/>
      <c r="L4" s="14"/>
      <c r="M4" s="14"/>
      <c r="N4" s="14"/>
      <c r="O4" s="14"/>
    </row>
    <row r="5" spans="1:15" ht="16.5" customHeight="1">
      <c r="A5" s="2904" t="s">
        <v>452</v>
      </c>
      <c r="B5" s="2904"/>
      <c r="C5" s="3537" t="str">
        <f>基本情况!B7</f>
        <v>2016年01月01日至2016年12月31日</v>
      </c>
      <c r="D5" s="3537"/>
      <c r="E5" s="861" t="s">
        <v>453</v>
      </c>
      <c r="F5" s="3538">
        <f>基本情况!B11</f>
        <v>0</v>
      </c>
      <c r="G5" s="3538"/>
      <c r="H5" s="3507" t="str">
        <f>TEXT(基本情况!B22,"yyyy-mm-dd")</f>
        <v>2017-05-04</v>
      </c>
      <c r="I5" s="3507"/>
      <c r="J5" s="2905"/>
      <c r="K5" s="14"/>
      <c r="L5" s="14"/>
      <c r="M5" s="14"/>
      <c r="N5" s="14"/>
      <c r="O5" s="14"/>
    </row>
    <row r="6" spans="1:15" ht="7.5" customHeight="1">
      <c r="A6" s="2894"/>
      <c r="B6" s="2894"/>
      <c r="C6" s="2894"/>
      <c r="D6" s="2894"/>
      <c r="E6" s="2894"/>
      <c r="F6" s="2894"/>
      <c r="G6" s="2894"/>
      <c r="H6" s="2894"/>
      <c r="I6" s="2894"/>
      <c r="J6" s="2894"/>
      <c r="K6" s="14"/>
      <c r="L6" s="14"/>
      <c r="M6" s="14"/>
      <c r="N6" s="14"/>
      <c r="O6" s="14"/>
    </row>
    <row r="7" spans="1:15" ht="16.5" customHeight="1">
      <c r="A7" s="3539" t="s">
        <v>1181</v>
      </c>
      <c r="B7" s="3539"/>
      <c r="C7" s="3539"/>
      <c r="D7" s="862" t="s">
        <v>1182</v>
      </c>
      <c r="E7" s="862" t="s">
        <v>243</v>
      </c>
      <c r="F7" s="3022" t="s">
        <v>1183</v>
      </c>
      <c r="G7" s="3022"/>
      <c r="H7" s="3540" t="s">
        <v>283</v>
      </c>
      <c r="I7" s="3540"/>
      <c r="J7" s="863" t="s">
        <v>456</v>
      </c>
      <c r="K7" s="14"/>
      <c r="L7" s="14"/>
      <c r="M7" s="14"/>
      <c r="N7" s="14"/>
      <c r="O7" s="14"/>
    </row>
    <row r="8" spans="1:15" ht="16.5" customHeight="1">
      <c r="A8" s="3228" t="s">
        <v>1184</v>
      </c>
      <c r="B8" s="3228"/>
      <c r="C8" s="3228"/>
      <c r="D8" s="1177"/>
      <c r="E8" s="1177"/>
      <c r="F8" s="3533" t="s">
        <v>1185</v>
      </c>
      <c r="G8" s="3533"/>
      <c r="H8" s="3534"/>
      <c r="I8" s="3534"/>
      <c r="J8" s="864"/>
      <c r="K8" s="3046" t="s">
        <v>396</v>
      </c>
      <c r="L8" s="3046"/>
      <c r="M8" s="14"/>
      <c r="N8" s="14"/>
      <c r="O8" s="14"/>
    </row>
    <row r="9" spans="1:15" ht="16.5" customHeight="1">
      <c r="A9" s="3541" t="s">
        <v>1186</v>
      </c>
      <c r="B9" s="3541"/>
      <c r="C9" s="3541"/>
      <c r="D9" s="1178"/>
      <c r="E9" s="1178"/>
      <c r="F9" s="3542" t="s">
        <v>1187</v>
      </c>
      <c r="G9" s="3542"/>
      <c r="H9" s="3543"/>
      <c r="I9" s="3543"/>
      <c r="J9" s="865"/>
      <c r="K9" s="14"/>
      <c r="L9" s="14"/>
      <c r="M9" s="14"/>
      <c r="N9" s="14"/>
      <c r="O9" s="14"/>
    </row>
    <row r="10" spans="1:15" ht="16.5" customHeight="1">
      <c r="A10" s="3541" t="s">
        <v>1188</v>
      </c>
      <c r="B10" s="3541"/>
      <c r="C10" s="3541"/>
      <c r="D10" s="1178"/>
      <c r="E10" s="1178"/>
      <c r="F10" s="3542" t="s">
        <v>1189</v>
      </c>
      <c r="G10" s="3542"/>
      <c r="H10" s="3543"/>
      <c r="I10" s="3543"/>
      <c r="J10" s="866"/>
      <c r="K10" s="14"/>
      <c r="L10" s="14"/>
      <c r="M10" s="14"/>
      <c r="N10" s="14"/>
      <c r="O10" s="14"/>
    </row>
    <row r="11" spans="1:15" ht="16.5" customHeight="1">
      <c r="A11" s="3541" t="s">
        <v>1190</v>
      </c>
      <c r="B11" s="3541"/>
      <c r="C11" s="3541"/>
      <c r="D11" s="1178"/>
      <c r="E11" s="1178"/>
      <c r="F11" s="3542" t="s">
        <v>1191</v>
      </c>
      <c r="G11" s="3542"/>
      <c r="H11" s="3543"/>
      <c r="I11" s="3543"/>
      <c r="J11" s="866"/>
      <c r="K11" s="14"/>
      <c r="L11" s="14"/>
      <c r="M11" s="14"/>
      <c r="N11" s="14"/>
      <c r="O11" s="14"/>
    </row>
    <row r="12" spans="1:15" ht="16.5" customHeight="1">
      <c r="A12" s="3547"/>
      <c r="B12" s="3547"/>
      <c r="C12" s="3547"/>
      <c r="D12" s="1178"/>
      <c r="E12" s="1178"/>
      <c r="F12" s="3542" t="s">
        <v>1192</v>
      </c>
      <c r="G12" s="3542"/>
      <c r="H12" s="3543"/>
      <c r="I12" s="3543"/>
      <c r="J12" s="866"/>
      <c r="K12" s="14"/>
      <c r="L12" s="14"/>
      <c r="M12" s="14"/>
      <c r="N12" s="14"/>
      <c r="O12" s="14"/>
    </row>
    <row r="13" spans="1:15" ht="16.5" customHeight="1">
      <c r="A13" s="3547"/>
      <c r="B13" s="3547"/>
      <c r="C13" s="3547"/>
      <c r="D13" s="1178"/>
      <c r="E13" s="1178"/>
      <c r="F13" s="3542" t="s">
        <v>1193</v>
      </c>
      <c r="G13" s="3542"/>
      <c r="H13" s="3543"/>
      <c r="I13" s="3543"/>
      <c r="J13" s="866"/>
      <c r="K13" s="14"/>
      <c r="L13" s="14"/>
      <c r="M13" s="14"/>
      <c r="N13" s="14"/>
      <c r="O13" s="14"/>
    </row>
    <row r="14" spans="1:15" ht="16.5" customHeight="1">
      <c r="A14" s="3544" t="s">
        <v>1194</v>
      </c>
      <c r="B14" s="3544"/>
      <c r="C14" s="3544"/>
      <c r="D14" s="867">
        <f>D8+D9-D10-D11</f>
        <v>0</v>
      </c>
      <c r="E14" s="867">
        <f>E8+E9-E10-E11</f>
        <v>0</v>
      </c>
      <c r="F14" s="3545" t="s">
        <v>1009</v>
      </c>
      <c r="G14" s="3545"/>
      <c r="H14" s="3546"/>
      <c r="I14" s="3546"/>
      <c r="J14" s="868"/>
      <c r="K14" s="14"/>
      <c r="L14" s="14"/>
      <c r="M14" s="14"/>
      <c r="N14" s="14"/>
      <c r="O14" s="14"/>
    </row>
    <row r="15" spans="1:15" ht="16.5" customHeight="1">
      <c r="A15" s="3541" t="s">
        <v>1195</v>
      </c>
      <c r="B15" s="3541"/>
      <c r="C15" s="3541"/>
      <c r="D15" s="1178"/>
      <c r="E15" s="1178"/>
      <c r="F15" s="3542" t="s">
        <v>1196</v>
      </c>
      <c r="G15" s="3542"/>
      <c r="H15" s="3543"/>
      <c r="I15" s="3543"/>
      <c r="J15" s="866"/>
      <c r="K15" s="14"/>
      <c r="L15" s="14"/>
      <c r="M15" s="14"/>
      <c r="N15" s="14"/>
      <c r="O15" s="14"/>
    </row>
    <row r="16" spans="1:15" ht="16.5" customHeight="1">
      <c r="A16" s="3541" t="s">
        <v>1197</v>
      </c>
      <c r="B16" s="3541"/>
      <c r="C16" s="3541"/>
      <c r="D16" s="1178"/>
      <c r="E16" s="1178"/>
      <c r="F16" s="3542" t="s">
        <v>1198</v>
      </c>
      <c r="G16" s="3542"/>
      <c r="H16" s="3543"/>
      <c r="I16" s="3543"/>
      <c r="J16" s="866"/>
      <c r="K16" s="14"/>
      <c r="L16" s="14"/>
      <c r="M16" s="14"/>
      <c r="N16" s="14"/>
      <c r="O16" s="14"/>
    </row>
    <row r="17" spans="1:15" ht="16.5" customHeight="1">
      <c r="A17" s="3550"/>
      <c r="B17" s="3550"/>
      <c r="C17" s="3550"/>
      <c r="D17" s="1178"/>
      <c r="E17" s="1178"/>
      <c r="F17" s="3542" t="s">
        <v>1199</v>
      </c>
      <c r="G17" s="3542"/>
      <c r="H17" s="3543"/>
      <c r="I17" s="3543"/>
      <c r="J17" s="866"/>
      <c r="K17" s="14"/>
      <c r="L17" s="14"/>
      <c r="M17" s="14"/>
      <c r="N17" s="14"/>
      <c r="O17" s="14"/>
    </row>
    <row r="18" spans="1:15" ht="16.5" customHeight="1">
      <c r="A18" s="3548"/>
      <c r="B18" s="3548"/>
      <c r="C18" s="3548"/>
      <c r="D18" s="1179"/>
      <c r="E18" s="1179"/>
      <c r="F18" s="3542" t="s">
        <v>1200</v>
      </c>
      <c r="G18" s="3542"/>
      <c r="H18" s="3549"/>
      <c r="I18" s="3549"/>
      <c r="J18" s="869"/>
      <c r="K18" s="14"/>
      <c r="L18" s="14"/>
      <c r="M18" s="14"/>
      <c r="N18" s="14"/>
      <c r="O18" s="14"/>
    </row>
    <row r="19" spans="1:15" ht="16.5" customHeight="1">
      <c r="A19" s="3544" t="s">
        <v>1201</v>
      </c>
      <c r="B19" s="3544"/>
      <c r="C19" s="3544"/>
      <c r="D19" s="867">
        <f>D14+D15+D16</f>
        <v>0</v>
      </c>
      <c r="E19" s="867">
        <f>E14+E15+E16</f>
        <v>0</v>
      </c>
      <c r="F19" s="3545" t="s">
        <v>1010</v>
      </c>
      <c r="G19" s="3545"/>
      <c r="H19" s="3546"/>
      <c r="I19" s="3546"/>
      <c r="J19" s="868"/>
      <c r="K19" s="14"/>
      <c r="L19" s="14"/>
      <c r="M19" s="14"/>
      <c r="N19" s="14"/>
      <c r="O19" s="14"/>
    </row>
    <row r="20" spans="1:15" ht="16.5" customHeight="1">
      <c r="A20" s="3541" t="s">
        <v>1202</v>
      </c>
      <c r="B20" s="3541"/>
      <c r="C20" s="3541"/>
      <c r="D20" s="1178"/>
      <c r="E20" s="1178"/>
      <c r="F20" s="3542" t="s">
        <v>1203</v>
      </c>
      <c r="G20" s="3542"/>
      <c r="H20" s="3543"/>
      <c r="I20" s="3543"/>
      <c r="J20" s="866"/>
      <c r="K20" s="14"/>
      <c r="L20" s="14"/>
      <c r="M20" s="14"/>
      <c r="N20" s="14"/>
      <c r="O20" s="14"/>
    </row>
    <row r="21" spans="1:15" ht="16.5" customHeight="1">
      <c r="A21" s="3541" t="s">
        <v>1204</v>
      </c>
      <c r="B21" s="3541"/>
      <c r="C21" s="3541"/>
      <c r="D21" s="1178"/>
      <c r="E21" s="1178"/>
      <c r="F21" s="3542" t="s">
        <v>1205</v>
      </c>
      <c r="G21" s="3542"/>
      <c r="H21" s="3543"/>
      <c r="I21" s="3543"/>
      <c r="J21" s="866"/>
      <c r="K21" s="14"/>
      <c r="L21" s="14"/>
      <c r="M21" s="14"/>
      <c r="N21" s="14"/>
      <c r="O21" s="14"/>
    </row>
    <row r="22" spans="1:15" ht="16.5" customHeight="1">
      <c r="A22" s="3541" t="s">
        <v>1206</v>
      </c>
      <c r="B22" s="3541"/>
      <c r="C22" s="3541"/>
      <c r="D22" s="1178"/>
      <c r="E22" s="1178"/>
      <c r="F22" s="3542" t="s">
        <v>1207</v>
      </c>
      <c r="G22" s="3542"/>
      <c r="H22" s="3543"/>
      <c r="I22" s="3543"/>
      <c r="J22" s="866"/>
      <c r="K22" s="14"/>
      <c r="L22" s="14"/>
      <c r="M22" s="14"/>
      <c r="N22" s="14"/>
      <c r="O22" s="14"/>
    </row>
    <row r="23" spans="1:15" ht="16.5" customHeight="1">
      <c r="A23" s="3550"/>
      <c r="B23" s="3550"/>
      <c r="C23" s="3550"/>
      <c r="D23" s="1178"/>
      <c r="E23" s="1178"/>
      <c r="F23" s="3542" t="s">
        <v>1208</v>
      </c>
      <c r="G23" s="3542"/>
      <c r="H23" s="3543"/>
      <c r="I23" s="3543"/>
      <c r="J23" s="866"/>
      <c r="K23" s="14"/>
      <c r="L23" s="14"/>
      <c r="M23" s="14"/>
      <c r="N23" s="14"/>
      <c r="O23" s="14"/>
    </row>
    <row r="24" spans="1:15" ht="16.5" customHeight="1">
      <c r="A24" s="3548"/>
      <c r="B24" s="3548"/>
      <c r="C24" s="3548"/>
      <c r="D24" s="1180"/>
      <c r="E24" s="1180"/>
      <c r="F24" s="3542" t="s">
        <v>1209</v>
      </c>
      <c r="G24" s="3542"/>
      <c r="H24" s="3551"/>
      <c r="I24" s="3551"/>
      <c r="J24" s="869"/>
      <c r="K24" s="14"/>
      <c r="L24" s="14"/>
      <c r="M24" s="14"/>
      <c r="N24" s="14"/>
      <c r="O24" s="14"/>
    </row>
    <row r="25" spans="1:15" ht="16.5" customHeight="1">
      <c r="A25" s="3544" t="s">
        <v>1210</v>
      </c>
      <c r="B25" s="3544"/>
      <c r="C25" s="3544"/>
      <c r="D25" s="867">
        <f>D19+D20-D21-D22</f>
        <v>0</v>
      </c>
      <c r="E25" s="867">
        <f>E19+E20-E21-E22</f>
        <v>0</v>
      </c>
      <c r="F25" s="3552" t="s">
        <v>1011</v>
      </c>
      <c r="G25" s="3553"/>
      <c r="H25" s="3546"/>
      <c r="I25" s="3546"/>
      <c r="J25" s="868"/>
      <c r="K25" s="14"/>
      <c r="L25" s="14"/>
      <c r="M25" s="14"/>
      <c r="N25" s="14"/>
      <c r="O25" s="14"/>
    </row>
    <row r="26" spans="1:15" ht="16.5" customHeight="1">
      <c r="A26" s="3541" t="s">
        <v>1211</v>
      </c>
      <c r="B26" s="3541"/>
      <c r="C26" s="3541"/>
      <c r="D26" s="1178"/>
      <c r="E26" s="1178"/>
      <c r="F26" s="3542" t="s">
        <v>1212</v>
      </c>
      <c r="G26" s="3542"/>
      <c r="H26" s="3543"/>
      <c r="I26" s="3543"/>
      <c r="J26" s="866"/>
      <c r="K26" s="14"/>
      <c r="L26" s="14"/>
      <c r="M26" s="14"/>
      <c r="N26" s="14"/>
      <c r="O26" s="14"/>
    </row>
    <row r="27" spans="1:15" ht="16.5" customHeight="1">
      <c r="A27" s="3541" t="s">
        <v>1213</v>
      </c>
      <c r="B27" s="3541"/>
      <c r="C27" s="3541"/>
      <c r="D27" s="1178"/>
      <c r="E27" s="1178"/>
      <c r="F27" s="3542" t="s">
        <v>1214</v>
      </c>
      <c r="G27" s="3542"/>
      <c r="H27" s="3543"/>
      <c r="I27" s="3543"/>
      <c r="J27" s="866"/>
      <c r="K27" s="14"/>
      <c r="L27" s="14"/>
      <c r="M27" s="14"/>
      <c r="N27" s="14"/>
      <c r="O27" s="14"/>
    </row>
    <row r="28" spans="1:15" ht="16.5" customHeight="1">
      <c r="A28" s="3541" t="s">
        <v>1215</v>
      </c>
      <c r="B28" s="3541"/>
      <c r="C28" s="3541"/>
      <c r="D28" s="1178"/>
      <c r="E28" s="1178"/>
      <c r="F28" s="3542" t="s">
        <v>1216</v>
      </c>
      <c r="G28" s="3542"/>
      <c r="H28" s="3543"/>
      <c r="I28" s="3543"/>
      <c r="J28" s="866"/>
      <c r="K28" s="14"/>
      <c r="L28" s="14"/>
      <c r="M28" s="14"/>
      <c r="N28" s="14"/>
      <c r="O28" s="14"/>
    </row>
    <row r="29" spans="1:15" ht="16.5" customHeight="1">
      <c r="A29" s="3541" t="s">
        <v>1217</v>
      </c>
      <c r="B29" s="3541"/>
      <c r="C29" s="3541"/>
      <c r="D29" s="1178"/>
      <c r="E29" s="1178"/>
      <c r="F29" s="3542" t="s">
        <v>1218</v>
      </c>
      <c r="G29" s="3542"/>
      <c r="H29" s="3543"/>
      <c r="I29" s="3543"/>
      <c r="J29" s="866"/>
      <c r="K29" s="14"/>
      <c r="L29" s="14"/>
      <c r="M29" s="14"/>
      <c r="N29" s="14"/>
      <c r="O29" s="14"/>
    </row>
    <row r="30" spans="1:15" ht="16.5" customHeight="1">
      <c r="A30" s="3554"/>
      <c r="B30" s="3554"/>
      <c r="C30" s="3554"/>
      <c r="D30" s="1181"/>
      <c r="E30" s="1181"/>
      <c r="F30" s="3542" t="s">
        <v>1219</v>
      </c>
      <c r="G30" s="3542"/>
      <c r="H30" s="3543"/>
      <c r="I30" s="3543"/>
      <c r="J30" s="870"/>
      <c r="K30" s="14"/>
      <c r="L30" s="14"/>
      <c r="M30" s="14"/>
      <c r="N30" s="14"/>
      <c r="O30" s="14"/>
    </row>
    <row r="31" spans="1:15" ht="16.5" customHeight="1">
      <c r="A31" s="3554"/>
      <c r="B31" s="3554"/>
      <c r="C31" s="3554"/>
      <c r="D31" s="1181"/>
      <c r="E31" s="1181"/>
      <c r="F31" s="3555" t="s">
        <v>1220</v>
      </c>
      <c r="G31" s="3555"/>
      <c r="H31" s="3543"/>
      <c r="I31" s="3543"/>
      <c r="J31" s="870"/>
      <c r="K31" s="14"/>
      <c r="L31" s="14"/>
      <c r="M31" s="14"/>
      <c r="N31" s="14"/>
      <c r="O31" s="14"/>
    </row>
    <row r="32" spans="1:15" ht="16.5" customHeight="1">
      <c r="A32" s="3228" t="s">
        <v>1221</v>
      </c>
      <c r="B32" s="3228"/>
      <c r="C32" s="3228"/>
      <c r="D32" s="1182"/>
      <c r="E32" s="1182"/>
      <c r="F32" s="3533" t="s">
        <v>1222</v>
      </c>
      <c r="G32" s="3533"/>
      <c r="H32" s="3546"/>
      <c r="I32" s="3546"/>
      <c r="J32" s="868"/>
      <c r="K32" s="14"/>
      <c r="L32" s="14"/>
      <c r="M32" s="14"/>
      <c r="N32" s="14"/>
      <c r="O32" s="14"/>
    </row>
    <row r="33" spans="1:15" ht="16.5" customHeight="1">
      <c r="A33" s="3550"/>
      <c r="B33" s="3550"/>
      <c r="C33" s="3550"/>
      <c r="D33" s="1178"/>
      <c r="E33" s="1178"/>
      <c r="F33" s="3542" t="s">
        <v>1223</v>
      </c>
      <c r="G33" s="3542"/>
      <c r="H33" s="3543"/>
      <c r="I33" s="3543"/>
      <c r="J33" s="866"/>
      <c r="K33" s="14"/>
      <c r="L33" s="14"/>
      <c r="M33" s="14"/>
      <c r="N33" s="14"/>
      <c r="O33" s="14"/>
    </row>
    <row r="34" spans="1:15" ht="16.5" customHeight="1">
      <c r="A34" s="3550"/>
      <c r="B34" s="3550"/>
      <c r="C34" s="3550"/>
      <c r="D34" s="1178"/>
      <c r="E34" s="1178"/>
      <c r="F34" s="3542" t="s">
        <v>1224</v>
      </c>
      <c r="G34" s="3542"/>
      <c r="H34" s="3543"/>
      <c r="I34" s="3543"/>
      <c r="J34" s="866"/>
      <c r="K34" s="14"/>
      <c r="L34" s="14"/>
      <c r="M34" s="14"/>
      <c r="N34" s="14"/>
      <c r="O34" s="14"/>
    </row>
    <row r="35" spans="1:15" ht="16.5" customHeight="1">
      <c r="A35" s="3550"/>
      <c r="B35" s="3550"/>
      <c r="C35" s="3550"/>
      <c r="D35" s="1183"/>
      <c r="E35" s="1183"/>
      <c r="F35" s="3542" t="s">
        <v>1225</v>
      </c>
      <c r="G35" s="3542"/>
      <c r="H35" s="3543"/>
      <c r="I35" s="3543"/>
      <c r="J35" s="866"/>
      <c r="K35" s="14"/>
      <c r="L35" s="14"/>
      <c r="M35" s="14"/>
      <c r="N35" s="14"/>
      <c r="O35" s="14"/>
    </row>
    <row r="36" spans="1:15" ht="27" customHeight="1">
      <c r="A36" s="3556" t="s">
        <v>1226</v>
      </c>
      <c r="B36" s="3556"/>
      <c r="C36" s="3556"/>
      <c r="D36" s="1183"/>
      <c r="E36" s="1183"/>
      <c r="F36" s="3542" t="s">
        <v>1227</v>
      </c>
      <c r="G36" s="3542"/>
      <c r="H36" s="3543"/>
      <c r="I36" s="3543"/>
      <c r="J36" s="865"/>
      <c r="K36" s="14"/>
      <c r="L36" s="14"/>
      <c r="M36" s="14"/>
      <c r="N36" s="14"/>
      <c r="O36" s="14"/>
    </row>
    <row r="37" spans="1:15" ht="16.5" customHeight="1">
      <c r="A37" s="3550"/>
      <c r="B37" s="3550"/>
      <c r="C37" s="3550"/>
      <c r="D37" s="1183"/>
      <c r="E37" s="1183"/>
      <c r="F37" s="3542" t="s">
        <v>1228</v>
      </c>
      <c r="G37" s="3542"/>
      <c r="H37" s="3543"/>
      <c r="I37" s="3543"/>
      <c r="J37" s="865"/>
      <c r="K37" s="14"/>
      <c r="L37" s="14"/>
      <c r="M37" s="14"/>
      <c r="N37" s="14"/>
      <c r="O37" s="14"/>
    </row>
    <row r="38" spans="1:15" ht="16.5" customHeight="1">
      <c r="A38" s="3550"/>
      <c r="B38" s="3550"/>
      <c r="C38" s="3550"/>
      <c r="D38" s="1183"/>
      <c r="E38" s="1183"/>
      <c r="F38" s="3542" t="s">
        <v>1229</v>
      </c>
      <c r="G38" s="3542"/>
      <c r="H38" s="3543"/>
      <c r="I38" s="3543"/>
      <c r="J38" s="865"/>
      <c r="K38" s="14"/>
      <c r="L38" s="14"/>
      <c r="M38" s="14"/>
      <c r="N38" s="14"/>
      <c r="O38" s="14"/>
    </row>
    <row r="39" spans="1:15" ht="16.5" customHeight="1">
      <c r="A39" s="3548"/>
      <c r="B39" s="3548"/>
      <c r="C39" s="3548"/>
      <c r="D39" s="1179"/>
      <c r="E39" s="1179"/>
      <c r="F39" s="3542" t="s">
        <v>1230</v>
      </c>
      <c r="G39" s="3542"/>
      <c r="H39" s="3551"/>
      <c r="I39" s="3551"/>
      <c r="J39" s="871"/>
      <c r="K39" s="14"/>
      <c r="L39" s="14"/>
      <c r="M39" s="14"/>
      <c r="N39" s="14"/>
      <c r="O39" s="14"/>
    </row>
    <row r="40" spans="1:15" ht="24" customHeight="1">
      <c r="A40" s="3559" t="s">
        <v>1231</v>
      </c>
      <c r="B40" s="3559"/>
      <c r="C40" s="3559"/>
      <c r="D40" s="872">
        <f>D25+D26+D27-D28-D29+D32+D36</f>
        <v>0</v>
      </c>
      <c r="E40" s="872">
        <f>E25+E26+E27-E28-E29+E32+E36</f>
        <v>0</v>
      </c>
      <c r="F40" s="3560" t="s">
        <v>1012</v>
      </c>
      <c r="G40" s="3561"/>
      <c r="H40" s="3562"/>
      <c r="I40" s="3562"/>
      <c r="J40" s="873"/>
      <c r="K40" s="14"/>
      <c r="L40" s="14"/>
      <c r="M40" s="14"/>
      <c r="N40" s="14"/>
      <c r="O40" s="14"/>
    </row>
    <row r="41" spans="1:15" ht="15" customHeight="1">
      <c r="A41" s="3153" t="s">
        <v>1324</v>
      </c>
      <c r="B41" s="3153"/>
      <c r="C41" s="3153"/>
      <c r="D41" s="3142" t="s">
        <v>1232</v>
      </c>
      <c r="E41" s="3142"/>
      <c r="F41" s="3563"/>
      <c r="G41" s="3563"/>
      <c r="H41" s="3563"/>
      <c r="I41" s="3563"/>
      <c r="J41" s="3563"/>
      <c r="K41" s="14"/>
      <c r="L41" s="14"/>
      <c r="M41" s="14"/>
      <c r="N41" s="14"/>
      <c r="O41" s="14"/>
    </row>
    <row r="42" spans="1:15" ht="36" customHeight="1">
      <c r="A42" s="3153"/>
      <c r="B42" s="3153"/>
      <c r="C42" s="3153"/>
      <c r="D42" s="3557"/>
      <c r="E42" s="3557"/>
      <c r="F42" s="3557"/>
      <c r="G42" s="3557"/>
      <c r="H42" s="3557"/>
      <c r="I42" s="3557"/>
      <c r="J42" s="3557"/>
      <c r="K42" s="14"/>
      <c r="L42" s="14"/>
      <c r="M42" s="14"/>
      <c r="N42" s="14"/>
      <c r="O42" s="14"/>
    </row>
    <row r="43" spans="1:15" ht="17.25" customHeight="1">
      <c r="A43" s="3153"/>
      <c r="B43" s="3153"/>
      <c r="C43" s="3153"/>
      <c r="D43" s="3558"/>
      <c r="E43" s="3558"/>
      <c r="F43" s="3558"/>
      <c r="G43" s="3558"/>
      <c r="H43" s="3558"/>
      <c r="I43" s="3558"/>
      <c r="J43" s="3558"/>
      <c r="K43" s="14"/>
      <c r="L43" s="14"/>
      <c r="M43" s="14"/>
      <c r="N43" s="14"/>
      <c r="O43" s="14"/>
    </row>
    <row r="44" spans="1:15" ht="10.5" customHeight="1">
      <c r="A44" s="2904" t="s">
        <v>575</v>
      </c>
      <c r="B44" s="2904"/>
      <c r="C44" s="2904"/>
      <c r="D44" s="3135" t="str">
        <f>IF(E40&lt;&gt;主营收支!C37,"主营业务成本借方发生额与产成品贷方转出数相差"&amp;DOLLAR(主营收支!C37-E40,2)&amp;"元，请核对并说明！","主营业务成本借方发生额与产成品贷方转出数一致，认可！")</f>
        <v>主营业务成本借方发生额与产成品贷方转出数一致，认可！</v>
      </c>
      <c r="E44" s="3135"/>
      <c r="F44" s="3135"/>
      <c r="G44" s="3135"/>
      <c r="H44" s="3135"/>
      <c r="I44" s="3135"/>
      <c r="J44" s="3135"/>
      <c r="K44" s="14"/>
      <c r="L44" s="14"/>
      <c r="M44" s="14"/>
      <c r="N44" s="14"/>
      <c r="O44" s="14"/>
    </row>
    <row r="45" spans="1:15" ht="8.25" customHeight="1">
      <c r="A45" s="2904"/>
      <c r="B45" s="2904"/>
      <c r="C45" s="2904"/>
      <c r="D45" s="3135"/>
      <c r="E45" s="3135"/>
      <c r="F45" s="3135"/>
      <c r="G45" s="3135"/>
      <c r="H45" s="3135"/>
      <c r="I45" s="3135"/>
      <c r="J45" s="3135"/>
      <c r="K45" s="14"/>
      <c r="L45" s="14"/>
      <c r="M45" s="14"/>
      <c r="N45" s="14"/>
      <c r="O45" s="14"/>
    </row>
    <row r="46" spans="1:15" ht="10.5" customHeight="1">
      <c r="A46" s="2904"/>
      <c r="B46" s="2904"/>
      <c r="C46" s="2904"/>
      <c r="D46" s="3135"/>
      <c r="E46" s="3135"/>
      <c r="F46" s="3135"/>
      <c r="G46" s="3135"/>
      <c r="H46" s="3135"/>
      <c r="I46" s="3135"/>
      <c r="J46" s="3135"/>
      <c r="K46" s="14"/>
      <c r="L46" s="14"/>
      <c r="M46" s="14"/>
      <c r="N46" s="14"/>
      <c r="O46" s="14"/>
    </row>
    <row r="47" spans="1:15" ht="13.5" customHeight="1">
      <c r="A47" s="874"/>
      <c r="B47" s="874"/>
      <c r="C47" s="874"/>
      <c r="D47" s="874"/>
      <c r="E47" s="874"/>
      <c r="F47" s="874"/>
      <c r="G47" s="874"/>
      <c r="H47" s="874"/>
      <c r="I47" s="874"/>
      <c r="J47" s="874"/>
      <c r="K47" s="14"/>
      <c r="L47" s="14"/>
      <c r="M47" s="14"/>
      <c r="N47" s="14"/>
      <c r="O47" s="14"/>
    </row>
    <row r="48" spans="1:15" ht="13.5" customHeight="1">
      <c r="A48" s="875"/>
      <c r="B48" s="875" t="s">
        <v>1233</v>
      </c>
      <c r="C48" s="875"/>
      <c r="D48" s="875"/>
      <c r="E48" s="875"/>
      <c r="F48" s="875"/>
      <c r="G48" s="875"/>
      <c r="H48" s="875"/>
      <c r="I48" s="875"/>
      <c r="J48" s="875"/>
    </row>
  </sheetData>
  <sheetProtection selectLockedCells="1" selectUnlockedCells="1"/>
  <mergeCells count="123">
    <mergeCell ref="A39:C39"/>
    <mergeCell ref="F39:G39"/>
    <mergeCell ref="H39:I39"/>
    <mergeCell ref="D42:J42"/>
    <mergeCell ref="D43:J43"/>
    <mergeCell ref="A41:C43"/>
    <mergeCell ref="D41:E41"/>
    <mergeCell ref="A44:C46"/>
    <mergeCell ref="D44:J46"/>
    <mergeCell ref="A40:C40"/>
    <mergeCell ref="F40:G40"/>
    <mergeCell ref="H40:I40"/>
    <mergeCell ref="F41:J41"/>
    <mergeCell ref="A35:C35"/>
    <mergeCell ref="F35:G35"/>
    <mergeCell ref="A38:C38"/>
    <mergeCell ref="F38:G38"/>
    <mergeCell ref="A37:C37"/>
    <mergeCell ref="F37:G37"/>
    <mergeCell ref="H37:I37"/>
    <mergeCell ref="H35:I35"/>
    <mergeCell ref="A36:C36"/>
    <mergeCell ref="F36:G36"/>
    <mergeCell ref="H36:I36"/>
    <mergeCell ref="H38:I38"/>
    <mergeCell ref="A34:C34"/>
    <mergeCell ref="F34:G34"/>
    <mergeCell ref="H34:I34"/>
    <mergeCell ref="A32:C32"/>
    <mergeCell ref="F32:G32"/>
    <mergeCell ref="H32:I32"/>
    <mergeCell ref="A33:C33"/>
    <mergeCell ref="F33:G33"/>
    <mergeCell ref="H33:I33"/>
    <mergeCell ref="A30:C30"/>
    <mergeCell ref="F30:G30"/>
    <mergeCell ref="H30:I30"/>
    <mergeCell ref="A31:C31"/>
    <mergeCell ref="F31:G31"/>
    <mergeCell ref="H31:I31"/>
    <mergeCell ref="A28:C28"/>
    <mergeCell ref="F28:G28"/>
    <mergeCell ref="H28:I28"/>
    <mergeCell ref="A29:C29"/>
    <mergeCell ref="F29:G29"/>
    <mergeCell ref="H29:I29"/>
    <mergeCell ref="A26:C26"/>
    <mergeCell ref="F26:G26"/>
    <mergeCell ref="H26:I26"/>
    <mergeCell ref="A27:C27"/>
    <mergeCell ref="F27:G27"/>
    <mergeCell ref="H27:I27"/>
    <mergeCell ref="A24:C24"/>
    <mergeCell ref="F24:G24"/>
    <mergeCell ref="H24:I24"/>
    <mergeCell ref="A25:C25"/>
    <mergeCell ref="F25:G25"/>
    <mergeCell ref="H25:I25"/>
    <mergeCell ref="A22:C22"/>
    <mergeCell ref="F22:G22"/>
    <mergeCell ref="H22:I22"/>
    <mergeCell ref="A23:C23"/>
    <mergeCell ref="F23:G23"/>
    <mergeCell ref="H23:I23"/>
    <mergeCell ref="A20:C20"/>
    <mergeCell ref="F20:G20"/>
    <mergeCell ref="H20:I20"/>
    <mergeCell ref="A21:C21"/>
    <mergeCell ref="F21:G21"/>
    <mergeCell ref="H21:I21"/>
    <mergeCell ref="A18:C18"/>
    <mergeCell ref="F18:G18"/>
    <mergeCell ref="H18:I18"/>
    <mergeCell ref="A19:C19"/>
    <mergeCell ref="F19:G19"/>
    <mergeCell ref="H19:I19"/>
    <mergeCell ref="A16:C16"/>
    <mergeCell ref="F16:G16"/>
    <mergeCell ref="H16:I16"/>
    <mergeCell ref="A17:C17"/>
    <mergeCell ref="F17:G17"/>
    <mergeCell ref="H17:I17"/>
    <mergeCell ref="A14:C14"/>
    <mergeCell ref="F14:G14"/>
    <mergeCell ref="H14:I14"/>
    <mergeCell ref="A15:C15"/>
    <mergeCell ref="F15:G15"/>
    <mergeCell ref="H15:I15"/>
    <mergeCell ref="A12:C12"/>
    <mergeCell ref="F12:G12"/>
    <mergeCell ref="H12:I12"/>
    <mergeCell ref="A13:C13"/>
    <mergeCell ref="F13:G13"/>
    <mergeCell ref="H13:I13"/>
    <mergeCell ref="A10:C10"/>
    <mergeCell ref="F10:G10"/>
    <mergeCell ref="H10:I10"/>
    <mergeCell ref="A11:C11"/>
    <mergeCell ref="F11:G11"/>
    <mergeCell ref="H11:I11"/>
    <mergeCell ref="A9:C9"/>
    <mergeCell ref="F9:G9"/>
    <mergeCell ref="H9:I9"/>
    <mergeCell ref="K8:L8"/>
    <mergeCell ref="A8:C8"/>
    <mergeCell ref="F8:G8"/>
    <mergeCell ref="H8:I8"/>
    <mergeCell ref="A1:J2"/>
    <mergeCell ref="A3:B4"/>
    <mergeCell ref="C3:D4"/>
    <mergeCell ref="F3:G3"/>
    <mergeCell ref="H3:I3"/>
    <mergeCell ref="H4:I4"/>
    <mergeCell ref="J4:J5"/>
    <mergeCell ref="A5:B5"/>
    <mergeCell ref="F4:G4"/>
    <mergeCell ref="C5:D5"/>
    <mergeCell ref="F5:G5"/>
    <mergeCell ref="H5:I5"/>
    <mergeCell ref="A6:J6"/>
    <mergeCell ref="A7:C7"/>
    <mergeCell ref="F7:G7"/>
    <mergeCell ref="H7:I7"/>
  </mergeCells>
  <phoneticPr fontId="51" type="noConversion"/>
  <dataValidations count="2">
    <dataValidation allowBlank="1" showErrorMessage="1" sqref="H4 J4">
      <formula1>0</formula1>
      <formula2>0</formula2>
    </dataValidation>
    <dataValidation type="list" allowBlank="1" showInputMessage="1" showErrorMessage="1" promptTitle="存在调整事项时" prompt="_x000a_选择 “E”" sqref="F41:J41">
      <formula1>"、E,"</formula1>
      <formula2>0</formula2>
    </dataValidation>
  </dataValidations>
  <pageMargins left="0.78740157480314998" right="0.35433070866141703" top="0.511811023622047" bottom="0.11811023622047198" header="0.511811023622047" footer="0.511811023622047"/>
  <pageSetup paperSize="9" firstPageNumber="0" orientation="portrait" blackAndWhite="1" r:id="rId1"/>
  <headerFooter alignWithMargins="0"/>
</worksheet>
</file>

<file path=xl/worksheets/sheet7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46"/>
  <dimension ref="A1:U21"/>
  <sheetViews>
    <sheetView topLeftCell="A7" workbookViewId="0">
      <selection sqref="A1:O1"/>
    </sheetView>
  </sheetViews>
  <sheetFormatPr defaultColWidth="9" defaultRowHeight="15.6"/>
  <cols>
    <col min="1" max="1" width="3.5" style="876" customWidth="1"/>
    <col min="2" max="2" width="9.69921875" style="876" customWidth="1"/>
    <col min="3" max="3" width="5.59765625" style="876" customWidth="1"/>
    <col min="4" max="4" width="11.09765625" style="876" customWidth="1"/>
    <col min="5" max="5" width="10.19921875" style="876" customWidth="1"/>
    <col min="6" max="6" width="5.69921875" style="876" customWidth="1"/>
    <col min="7" max="7" width="12.5" style="876" customWidth="1"/>
    <col min="8" max="8" width="10.19921875" style="876" customWidth="1"/>
    <col min="9" max="9" width="6.09765625" style="876" customWidth="1"/>
    <col min="10" max="10" width="12.59765625" style="876" customWidth="1"/>
    <col min="11" max="11" width="10.3984375" style="876" customWidth="1"/>
    <col min="12" max="12" width="6.3984375" style="876" customWidth="1"/>
    <col min="13" max="13" width="11.59765625" style="876" customWidth="1"/>
    <col min="14" max="14" width="10.3984375" style="876" customWidth="1"/>
    <col min="15" max="15" width="7.59765625" style="876" customWidth="1"/>
    <col min="16" max="16384" width="9" style="876"/>
  </cols>
  <sheetData>
    <row r="1" spans="1:21" ht="21" customHeight="1">
      <c r="A1" s="2707" t="s">
        <v>1234</v>
      </c>
      <c r="B1" s="2707"/>
      <c r="C1" s="2707"/>
      <c r="D1" s="2707"/>
      <c r="E1" s="2707"/>
      <c r="F1" s="2707"/>
      <c r="G1" s="2707"/>
      <c r="H1" s="2707"/>
      <c r="I1" s="2707"/>
      <c r="J1" s="2707"/>
      <c r="K1" s="2707"/>
      <c r="L1" s="2707"/>
      <c r="M1" s="2707"/>
      <c r="N1" s="2707"/>
      <c r="O1" s="2707"/>
      <c r="P1" s="877"/>
      <c r="Q1" s="877"/>
      <c r="R1" s="877"/>
      <c r="S1" s="877"/>
      <c r="T1" s="877"/>
      <c r="U1" s="877"/>
    </row>
    <row r="2" spans="1:21">
      <c r="A2" s="3565"/>
      <c r="B2" s="3565"/>
      <c r="C2" s="3565"/>
      <c r="D2" s="3565"/>
      <c r="E2" s="3565"/>
      <c r="F2" s="3565"/>
      <c r="G2" s="3565"/>
      <c r="H2" s="3565"/>
      <c r="I2" s="3565"/>
      <c r="J2" s="878"/>
      <c r="K2" s="878"/>
      <c r="L2" s="878"/>
      <c r="M2" s="879"/>
      <c r="N2" s="878"/>
      <c r="O2" s="878"/>
      <c r="P2" s="877"/>
      <c r="Q2" s="877"/>
      <c r="R2" s="877"/>
      <c r="S2" s="877"/>
      <c r="T2" s="877"/>
      <c r="U2" s="877"/>
    </row>
    <row r="3" spans="1:21" ht="20.25" customHeight="1">
      <c r="A3" s="3566" t="str">
        <f>"委托单位名称："&amp;基本情况!B2</f>
        <v>委托单位名称：0</v>
      </c>
      <c r="B3" s="3566"/>
      <c r="C3" s="3566"/>
      <c r="D3" s="3566"/>
      <c r="E3" s="3566"/>
      <c r="F3" s="3566"/>
      <c r="G3" s="3566"/>
      <c r="H3" s="3566"/>
      <c r="I3" s="3566"/>
      <c r="J3" s="880" t="s">
        <v>451</v>
      </c>
      <c r="K3" s="881">
        <f>基本情况!B12</f>
        <v>0</v>
      </c>
      <c r="L3" s="880" t="s">
        <v>450</v>
      </c>
      <c r="M3" s="3567" t="str">
        <f>TEXT(基本情况!B21,"yyyy-mm-dd")</f>
        <v>2017-03-16</v>
      </c>
      <c r="N3" s="3567"/>
      <c r="O3" s="882" t="s">
        <v>283</v>
      </c>
      <c r="P3" s="877"/>
      <c r="Q3" s="877"/>
      <c r="R3" s="877"/>
      <c r="S3" s="877"/>
      <c r="T3" s="877"/>
      <c r="U3" s="877"/>
    </row>
    <row r="4" spans="1:21" ht="20.25" customHeight="1">
      <c r="A4" s="3161" t="str">
        <f>"会计期间："&amp;基本情况!B7</f>
        <v>会计期间：2016年01月01日至2016年12月31日</v>
      </c>
      <c r="B4" s="3161"/>
      <c r="C4" s="3161"/>
      <c r="D4" s="3161"/>
      <c r="E4" s="3161"/>
      <c r="F4" s="3161"/>
      <c r="G4" s="3161"/>
      <c r="H4" s="3161"/>
      <c r="I4" s="3161"/>
      <c r="J4" s="883" t="s">
        <v>453</v>
      </c>
      <c r="K4" s="884">
        <f>基本情况!B11</f>
        <v>0</v>
      </c>
      <c r="L4" s="883" t="s">
        <v>450</v>
      </c>
      <c r="M4" s="3564" t="str">
        <f>TEXT(基本情况!B22,"yyyy-mm-dd")</f>
        <v>2017-05-04</v>
      </c>
      <c r="N4" s="3564"/>
      <c r="O4" s="885"/>
      <c r="P4" s="877"/>
      <c r="Q4" s="877"/>
      <c r="R4" s="877"/>
      <c r="S4" s="877"/>
      <c r="T4" s="877"/>
      <c r="U4" s="877"/>
    </row>
    <row r="5" spans="1:21" ht="7.5" customHeight="1">
      <c r="A5" s="2894"/>
      <c r="B5" s="2894"/>
      <c r="C5" s="2894"/>
      <c r="D5" s="2894"/>
      <c r="E5" s="2894"/>
      <c r="F5" s="2894"/>
      <c r="G5" s="2894"/>
      <c r="H5" s="2894"/>
      <c r="I5" s="2894"/>
      <c r="J5" s="2894"/>
      <c r="K5" s="2894"/>
      <c r="L5" s="2894"/>
      <c r="M5" s="2894"/>
      <c r="N5" s="2894"/>
      <c r="O5" s="2894"/>
      <c r="P5" s="877"/>
      <c r="Q5" s="877"/>
      <c r="R5" s="877"/>
      <c r="S5" s="877"/>
      <c r="T5" s="877"/>
      <c r="U5" s="877"/>
    </row>
    <row r="6" spans="1:21" ht="20.25" customHeight="1">
      <c r="A6" s="3128" t="s">
        <v>1235</v>
      </c>
      <c r="B6" s="3170" t="s">
        <v>1236</v>
      </c>
      <c r="C6" s="3170"/>
      <c r="D6" s="3170"/>
      <c r="E6" s="3170" t="s">
        <v>1253</v>
      </c>
      <c r="F6" s="3170"/>
      <c r="G6" s="3170"/>
      <c r="H6" s="3170" t="s">
        <v>1237</v>
      </c>
      <c r="I6" s="3170"/>
      <c r="J6" s="3170"/>
      <c r="K6" s="3170" t="s">
        <v>1238</v>
      </c>
      <c r="L6" s="3170"/>
      <c r="M6" s="3170"/>
      <c r="N6" s="3023" t="s">
        <v>1239</v>
      </c>
      <c r="O6" s="3129" t="s">
        <v>1240</v>
      </c>
      <c r="P6" s="877"/>
      <c r="Q6" s="877"/>
      <c r="R6" s="877"/>
      <c r="S6" s="877"/>
      <c r="T6" s="877"/>
      <c r="U6" s="877"/>
    </row>
    <row r="7" spans="1:21" ht="18" customHeight="1">
      <c r="A7" s="3128"/>
      <c r="B7" s="883" t="s">
        <v>1241</v>
      </c>
      <c r="C7" s="883" t="s">
        <v>1242</v>
      </c>
      <c r="D7" s="883" t="s">
        <v>558</v>
      </c>
      <c r="E7" s="883" t="s">
        <v>1241</v>
      </c>
      <c r="F7" s="883" t="s">
        <v>1242</v>
      </c>
      <c r="G7" s="883" t="s">
        <v>558</v>
      </c>
      <c r="H7" s="883" t="s">
        <v>1241</v>
      </c>
      <c r="I7" s="883" t="s">
        <v>1242</v>
      </c>
      <c r="J7" s="883" t="s">
        <v>558</v>
      </c>
      <c r="K7" s="883" t="s">
        <v>1241</v>
      </c>
      <c r="L7" s="883" t="s">
        <v>1242</v>
      </c>
      <c r="M7" s="883" t="s">
        <v>558</v>
      </c>
      <c r="N7" s="3023"/>
      <c r="O7" s="3129"/>
      <c r="P7" s="3046" t="s">
        <v>396</v>
      </c>
      <c r="Q7" s="3046"/>
      <c r="R7" s="877"/>
      <c r="S7" s="877"/>
      <c r="T7" s="877"/>
      <c r="U7" s="877"/>
    </row>
    <row r="8" spans="1:21" ht="23.1" customHeight="1">
      <c r="A8" s="886">
        <v>1</v>
      </c>
      <c r="B8" s="1184"/>
      <c r="C8" s="887">
        <f>IF(B8=0,0,D8/B8)</f>
        <v>0</v>
      </c>
      <c r="D8" s="1184"/>
      <c r="E8" s="1184"/>
      <c r="F8" s="887">
        <f t="shared" ref="F8:F19" si="0">IF(E8=0,0,G8/E8)</f>
        <v>0</v>
      </c>
      <c r="G8" s="1184"/>
      <c r="H8" s="1184"/>
      <c r="I8" s="887">
        <f>IF(AND(C8=0,F8=0),0,(D8+G8)/(B8+E8))</f>
        <v>0</v>
      </c>
      <c r="J8" s="887">
        <f>ROUND(H8*I8,2)</f>
        <v>0</v>
      </c>
      <c r="K8" s="887">
        <f t="shared" ref="K8:K19" si="1">B8+E8-H8</f>
        <v>0</v>
      </c>
      <c r="L8" s="887">
        <f t="shared" ref="L8:L19" si="2">IF(K8=0,0,M8/K8)</f>
        <v>0</v>
      </c>
      <c r="M8" s="887">
        <f t="shared" ref="M8:M19" si="3">D8+G8-J8</f>
        <v>0</v>
      </c>
      <c r="N8" s="1184"/>
      <c r="O8" s="888">
        <f t="shared" ref="O8:O19" si="4">M8-N8</f>
        <v>0</v>
      </c>
      <c r="P8" s="877"/>
      <c r="Q8" s="877"/>
      <c r="R8" s="877"/>
      <c r="S8" s="877"/>
      <c r="T8" s="877"/>
      <c r="U8" s="877"/>
    </row>
    <row r="9" spans="1:21" ht="23.1" customHeight="1">
      <c r="A9" s="889">
        <v>2</v>
      </c>
      <c r="B9" s="890">
        <f t="shared" ref="B9:B19" si="5">K8</f>
        <v>0</v>
      </c>
      <c r="C9" s="890">
        <f t="shared" ref="C9:C19" si="6">L8</f>
        <v>0</v>
      </c>
      <c r="D9" s="891">
        <f>M8</f>
        <v>0</v>
      </c>
      <c r="E9" s="1185"/>
      <c r="F9" s="890">
        <f t="shared" si="0"/>
        <v>0</v>
      </c>
      <c r="G9" s="1185"/>
      <c r="H9" s="1185"/>
      <c r="I9" s="890">
        <f>IF(AND(C9=0,F9=0),0,(D9+G9)/(B9+E9))</f>
        <v>0</v>
      </c>
      <c r="J9" s="890">
        <f>ROUND(H9*I9,2)</f>
        <v>0</v>
      </c>
      <c r="K9" s="890">
        <f t="shared" si="1"/>
        <v>0</v>
      </c>
      <c r="L9" s="890">
        <f t="shared" si="2"/>
        <v>0</v>
      </c>
      <c r="M9" s="890">
        <f t="shared" si="3"/>
        <v>0</v>
      </c>
      <c r="N9" s="1185"/>
      <c r="O9" s="892">
        <f t="shared" si="4"/>
        <v>0</v>
      </c>
      <c r="P9" s="877"/>
      <c r="Q9" s="877"/>
      <c r="R9" s="877"/>
      <c r="S9" s="877"/>
      <c r="T9" s="877"/>
      <c r="U9" s="877"/>
    </row>
    <row r="10" spans="1:21" ht="23.1" customHeight="1">
      <c r="A10" s="889">
        <v>3</v>
      </c>
      <c r="B10" s="890">
        <f t="shared" si="5"/>
        <v>0</v>
      </c>
      <c r="C10" s="890">
        <f t="shared" si="6"/>
        <v>0</v>
      </c>
      <c r="D10" s="891">
        <f t="shared" ref="D10:D19" si="7">M9</f>
        <v>0</v>
      </c>
      <c r="E10" s="1185"/>
      <c r="F10" s="890">
        <f t="shared" si="0"/>
        <v>0</v>
      </c>
      <c r="G10" s="1185"/>
      <c r="H10" s="1185"/>
      <c r="I10" s="890">
        <f t="shared" ref="I10:I19" si="8">IF(AND(C10=0,F10=0),0,(D10+G10)/(B10+E10))</f>
        <v>0</v>
      </c>
      <c r="J10" s="890">
        <f t="shared" ref="J10:J19" si="9">ROUND(H10*I10,2)</f>
        <v>0</v>
      </c>
      <c r="K10" s="890">
        <f t="shared" si="1"/>
        <v>0</v>
      </c>
      <c r="L10" s="890">
        <f t="shared" si="2"/>
        <v>0</v>
      </c>
      <c r="M10" s="890">
        <f t="shared" si="3"/>
        <v>0</v>
      </c>
      <c r="N10" s="1185"/>
      <c r="O10" s="892">
        <f t="shared" si="4"/>
        <v>0</v>
      </c>
      <c r="P10" s="877"/>
      <c r="Q10" s="877"/>
      <c r="R10" s="877"/>
      <c r="S10" s="877"/>
      <c r="T10" s="877"/>
      <c r="U10" s="877"/>
    </row>
    <row r="11" spans="1:21" ht="23.1" customHeight="1">
      <c r="A11" s="889">
        <v>4</v>
      </c>
      <c r="B11" s="890">
        <f t="shared" si="5"/>
        <v>0</v>
      </c>
      <c r="C11" s="890">
        <f t="shared" si="6"/>
        <v>0</v>
      </c>
      <c r="D11" s="891">
        <f t="shared" si="7"/>
        <v>0</v>
      </c>
      <c r="E11" s="1185"/>
      <c r="F11" s="890">
        <f t="shared" si="0"/>
        <v>0</v>
      </c>
      <c r="G11" s="1185"/>
      <c r="H11" s="1185"/>
      <c r="I11" s="890">
        <f t="shared" si="8"/>
        <v>0</v>
      </c>
      <c r="J11" s="890">
        <f t="shared" si="9"/>
        <v>0</v>
      </c>
      <c r="K11" s="890">
        <f t="shared" si="1"/>
        <v>0</v>
      </c>
      <c r="L11" s="890">
        <f t="shared" si="2"/>
        <v>0</v>
      </c>
      <c r="M11" s="890">
        <f t="shared" si="3"/>
        <v>0</v>
      </c>
      <c r="N11" s="1185"/>
      <c r="O11" s="892">
        <f t="shared" si="4"/>
        <v>0</v>
      </c>
      <c r="P11" s="877"/>
      <c r="Q11" s="877"/>
      <c r="R11" s="877"/>
      <c r="S11" s="877"/>
      <c r="T11" s="877"/>
      <c r="U11" s="877"/>
    </row>
    <row r="12" spans="1:21" ht="23.1" customHeight="1">
      <c r="A12" s="889">
        <v>5</v>
      </c>
      <c r="B12" s="890">
        <f t="shared" si="5"/>
        <v>0</v>
      </c>
      <c r="C12" s="890">
        <f t="shared" si="6"/>
        <v>0</v>
      </c>
      <c r="D12" s="891">
        <f t="shared" si="7"/>
        <v>0</v>
      </c>
      <c r="E12" s="1185"/>
      <c r="F12" s="890">
        <f t="shared" si="0"/>
        <v>0</v>
      </c>
      <c r="G12" s="1185"/>
      <c r="H12" s="1185"/>
      <c r="I12" s="890">
        <f t="shared" si="8"/>
        <v>0</v>
      </c>
      <c r="J12" s="890">
        <f t="shared" si="9"/>
        <v>0</v>
      </c>
      <c r="K12" s="890">
        <f t="shared" si="1"/>
        <v>0</v>
      </c>
      <c r="L12" s="890">
        <f t="shared" si="2"/>
        <v>0</v>
      </c>
      <c r="M12" s="890">
        <f t="shared" si="3"/>
        <v>0</v>
      </c>
      <c r="N12" s="1185"/>
      <c r="O12" s="892">
        <f t="shared" si="4"/>
        <v>0</v>
      </c>
      <c r="P12" s="877"/>
      <c r="Q12" s="877"/>
      <c r="R12" s="877"/>
      <c r="S12" s="877"/>
      <c r="T12" s="877"/>
      <c r="U12" s="877"/>
    </row>
    <row r="13" spans="1:21" ht="23.1" customHeight="1">
      <c r="A13" s="889">
        <v>6</v>
      </c>
      <c r="B13" s="890">
        <f t="shared" si="5"/>
        <v>0</v>
      </c>
      <c r="C13" s="890">
        <f t="shared" si="6"/>
        <v>0</v>
      </c>
      <c r="D13" s="891">
        <f t="shared" si="7"/>
        <v>0</v>
      </c>
      <c r="E13" s="1185"/>
      <c r="F13" s="890">
        <f t="shared" si="0"/>
        <v>0</v>
      </c>
      <c r="G13" s="1185"/>
      <c r="H13" s="1185"/>
      <c r="I13" s="890">
        <f t="shared" si="8"/>
        <v>0</v>
      </c>
      <c r="J13" s="890">
        <f t="shared" si="9"/>
        <v>0</v>
      </c>
      <c r="K13" s="890">
        <f t="shared" si="1"/>
        <v>0</v>
      </c>
      <c r="L13" s="890">
        <f t="shared" si="2"/>
        <v>0</v>
      </c>
      <c r="M13" s="890">
        <f t="shared" si="3"/>
        <v>0</v>
      </c>
      <c r="N13" s="1185"/>
      <c r="O13" s="892">
        <f t="shared" si="4"/>
        <v>0</v>
      </c>
      <c r="P13" s="877"/>
      <c r="Q13" s="877"/>
      <c r="R13" s="877"/>
      <c r="S13" s="877"/>
      <c r="T13" s="877"/>
      <c r="U13" s="877"/>
    </row>
    <row r="14" spans="1:21" ht="23.1" customHeight="1">
      <c r="A14" s="889">
        <v>7</v>
      </c>
      <c r="B14" s="890">
        <f t="shared" si="5"/>
        <v>0</v>
      </c>
      <c r="C14" s="890">
        <f t="shared" si="6"/>
        <v>0</v>
      </c>
      <c r="D14" s="891">
        <f t="shared" si="7"/>
        <v>0</v>
      </c>
      <c r="E14" s="1185"/>
      <c r="F14" s="890">
        <f t="shared" si="0"/>
        <v>0</v>
      </c>
      <c r="G14" s="1185"/>
      <c r="H14" s="1185"/>
      <c r="I14" s="890">
        <f t="shared" si="8"/>
        <v>0</v>
      </c>
      <c r="J14" s="890">
        <f t="shared" si="9"/>
        <v>0</v>
      </c>
      <c r="K14" s="890">
        <f t="shared" si="1"/>
        <v>0</v>
      </c>
      <c r="L14" s="890">
        <f t="shared" si="2"/>
        <v>0</v>
      </c>
      <c r="M14" s="890">
        <f t="shared" si="3"/>
        <v>0</v>
      </c>
      <c r="N14" s="1185"/>
      <c r="O14" s="892">
        <f t="shared" si="4"/>
        <v>0</v>
      </c>
      <c r="P14" s="877"/>
      <c r="Q14" s="877"/>
      <c r="R14" s="877"/>
      <c r="S14" s="877"/>
      <c r="T14" s="877"/>
      <c r="U14" s="877"/>
    </row>
    <row r="15" spans="1:21" ht="23.1" customHeight="1">
      <c r="A15" s="889">
        <v>8</v>
      </c>
      <c r="B15" s="890">
        <f t="shared" si="5"/>
        <v>0</v>
      </c>
      <c r="C15" s="890">
        <f t="shared" si="6"/>
        <v>0</v>
      </c>
      <c r="D15" s="891">
        <f t="shared" si="7"/>
        <v>0</v>
      </c>
      <c r="E15" s="1185"/>
      <c r="F15" s="890">
        <f t="shared" si="0"/>
        <v>0</v>
      </c>
      <c r="G15" s="1185"/>
      <c r="H15" s="1185"/>
      <c r="I15" s="890">
        <f t="shared" si="8"/>
        <v>0</v>
      </c>
      <c r="J15" s="890">
        <f t="shared" si="9"/>
        <v>0</v>
      </c>
      <c r="K15" s="890">
        <f t="shared" si="1"/>
        <v>0</v>
      </c>
      <c r="L15" s="890">
        <f t="shared" si="2"/>
        <v>0</v>
      </c>
      <c r="M15" s="890">
        <f t="shared" si="3"/>
        <v>0</v>
      </c>
      <c r="N15" s="1185"/>
      <c r="O15" s="892">
        <f t="shared" si="4"/>
        <v>0</v>
      </c>
      <c r="P15" s="877"/>
      <c r="Q15" s="877"/>
      <c r="R15" s="877"/>
      <c r="S15" s="877"/>
      <c r="T15" s="877"/>
      <c r="U15" s="877"/>
    </row>
    <row r="16" spans="1:21" ht="23.1" customHeight="1">
      <c r="A16" s="889">
        <v>9</v>
      </c>
      <c r="B16" s="890">
        <f t="shared" si="5"/>
        <v>0</v>
      </c>
      <c r="C16" s="890">
        <f t="shared" si="6"/>
        <v>0</v>
      </c>
      <c r="D16" s="891">
        <f t="shared" si="7"/>
        <v>0</v>
      </c>
      <c r="E16" s="1185"/>
      <c r="F16" s="890">
        <f t="shared" si="0"/>
        <v>0</v>
      </c>
      <c r="G16" s="1185"/>
      <c r="H16" s="1185"/>
      <c r="I16" s="890">
        <f t="shared" si="8"/>
        <v>0</v>
      </c>
      <c r="J16" s="890">
        <f t="shared" si="9"/>
        <v>0</v>
      </c>
      <c r="K16" s="890">
        <f t="shared" si="1"/>
        <v>0</v>
      </c>
      <c r="L16" s="890">
        <f t="shared" si="2"/>
        <v>0</v>
      </c>
      <c r="M16" s="890">
        <f t="shared" si="3"/>
        <v>0</v>
      </c>
      <c r="N16" s="1185"/>
      <c r="O16" s="892">
        <f t="shared" si="4"/>
        <v>0</v>
      </c>
      <c r="P16" s="877"/>
      <c r="Q16" s="877"/>
      <c r="R16" s="877"/>
      <c r="S16" s="877"/>
      <c r="T16" s="877"/>
      <c r="U16" s="877"/>
    </row>
    <row r="17" spans="1:21" ht="23.1" customHeight="1">
      <c r="A17" s="889">
        <v>10</v>
      </c>
      <c r="B17" s="890">
        <f t="shared" si="5"/>
        <v>0</v>
      </c>
      <c r="C17" s="890">
        <f t="shared" si="6"/>
        <v>0</v>
      </c>
      <c r="D17" s="891">
        <f t="shared" si="7"/>
        <v>0</v>
      </c>
      <c r="E17" s="1185"/>
      <c r="F17" s="890">
        <f t="shared" si="0"/>
        <v>0</v>
      </c>
      <c r="G17" s="1185"/>
      <c r="H17" s="1185"/>
      <c r="I17" s="890">
        <f t="shared" si="8"/>
        <v>0</v>
      </c>
      <c r="J17" s="890">
        <f t="shared" si="9"/>
        <v>0</v>
      </c>
      <c r="K17" s="890">
        <f t="shared" si="1"/>
        <v>0</v>
      </c>
      <c r="L17" s="890">
        <f t="shared" si="2"/>
        <v>0</v>
      </c>
      <c r="M17" s="890">
        <f t="shared" si="3"/>
        <v>0</v>
      </c>
      <c r="N17" s="1185"/>
      <c r="O17" s="892">
        <f t="shared" si="4"/>
        <v>0</v>
      </c>
      <c r="P17" s="877"/>
      <c r="Q17" s="877"/>
      <c r="R17" s="877"/>
      <c r="S17" s="877"/>
      <c r="T17" s="877"/>
      <c r="U17" s="877"/>
    </row>
    <row r="18" spans="1:21" ht="23.1" customHeight="1">
      <c r="A18" s="889">
        <v>11</v>
      </c>
      <c r="B18" s="890">
        <f t="shared" si="5"/>
        <v>0</v>
      </c>
      <c r="C18" s="890">
        <f t="shared" si="6"/>
        <v>0</v>
      </c>
      <c r="D18" s="891">
        <f t="shared" si="7"/>
        <v>0</v>
      </c>
      <c r="E18" s="1185"/>
      <c r="F18" s="890">
        <f t="shared" si="0"/>
        <v>0</v>
      </c>
      <c r="G18" s="1185"/>
      <c r="H18" s="1185"/>
      <c r="I18" s="890">
        <f t="shared" si="8"/>
        <v>0</v>
      </c>
      <c r="J18" s="890">
        <f t="shared" si="9"/>
        <v>0</v>
      </c>
      <c r="K18" s="890">
        <f t="shared" si="1"/>
        <v>0</v>
      </c>
      <c r="L18" s="890">
        <f t="shared" si="2"/>
        <v>0</v>
      </c>
      <c r="M18" s="890">
        <f t="shared" si="3"/>
        <v>0</v>
      </c>
      <c r="N18" s="1185"/>
      <c r="O18" s="892">
        <f t="shared" si="4"/>
        <v>0</v>
      </c>
      <c r="P18" s="877"/>
      <c r="Q18" s="877"/>
      <c r="R18" s="877"/>
      <c r="S18" s="877"/>
      <c r="T18" s="877"/>
      <c r="U18" s="877"/>
    </row>
    <row r="19" spans="1:21" ht="23.1" customHeight="1">
      <c r="A19" s="893">
        <v>12</v>
      </c>
      <c r="B19" s="894">
        <f t="shared" si="5"/>
        <v>0</v>
      </c>
      <c r="C19" s="894">
        <f t="shared" si="6"/>
        <v>0</v>
      </c>
      <c r="D19" s="891">
        <f t="shared" si="7"/>
        <v>0</v>
      </c>
      <c r="E19" s="1186"/>
      <c r="F19" s="894">
        <f t="shared" si="0"/>
        <v>0</v>
      </c>
      <c r="G19" s="1186"/>
      <c r="H19" s="1186"/>
      <c r="I19" s="890">
        <f t="shared" si="8"/>
        <v>0</v>
      </c>
      <c r="J19" s="890">
        <f t="shared" si="9"/>
        <v>0</v>
      </c>
      <c r="K19" s="894">
        <f t="shared" si="1"/>
        <v>0</v>
      </c>
      <c r="L19" s="894">
        <f t="shared" si="2"/>
        <v>0</v>
      </c>
      <c r="M19" s="894">
        <f t="shared" si="3"/>
        <v>0</v>
      </c>
      <c r="N19" s="1186"/>
      <c r="O19" s="895">
        <f t="shared" si="4"/>
        <v>0</v>
      </c>
      <c r="P19" s="877"/>
      <c r="Q19" s="877"/>
      <c r="R19" s="877"/>
      <c r="S19" s="877"/>
      <c r="T19" s="877"/>
      <c r="U19" s="877"/>
    </row>
    <row r="20" spans="1:21" ht="23.1" customHeight="1">
      <c r="A20" s="896" t="s">
        <v>703</v>
      </c>
      <c r="B20" s="897" t="s">
        <v>1243</v>
      </c>
      <c r="C20" s="897" t="s">
        <v>1243</v>
      </c>
      <c r="D20" s="897" t="s">
        <v>1243</v>
      </c>
      <c r="E20" s="897">
        <f>SUM(E8:E19)</f>
        <v>0</v>
      </c>
      <c r="F20" s="897" t="s">
        <v>1243</v>
      </c>
      <c r="G20" s="897">
        <f>SUM(G8:G19)</f>
        <v>0</v>
      </c>
      <c r="H20" s="897">
        <f>SUM(H8:H19)</f>
        <v>0</v>
      </c>
      <c r="I20" s="897" t="s">
        <v>1243</v>
      </c>
      <c r="J20" s="897">
        <f>SUM(J8:J19)</f>
        <v>0</v>
      </c>
      <c r="K20" s="897" t="s">
        <v>1243</v>
      </c>
      <c r="L20" s="897" t="s">
        <v>1243</v>
      </c>
      <c r="M20" s="897" t="s">
        <v>1243</v>
      </c>
      <c r="N20" s="897" t="s">
        <v>1243</v>
      </c>
      <c r="O20" s="898">
        <f>O19</f>
        <v>0</v>
      </c>
      <c r="P20" s="877"/>
      <c r="Q20" s="877"/>
      <c r="R20" s="877"/>
      <c r="S20" s="877"/>
      <c r="T20" s="877"/>
      <c r="U20" s="877"/>
    </row>
    <row r="21" spans="1:21" ht="4.5" customHeight="1">
      <c r="A21" s="899"/>
      <c r="B21" s="899"/>
      <c r="C21" s="899"/>
      <c r="D21" s="899"/>
      <c r="E21" s="899"/>
      <c r="F21" s="899"/>
      <c r="G21" s="899"/>
      <c r="H21" s="899"/>
      <c r="I21" s="899"/>
      <c r="J21" s="899"/>
      <c r="K21" s="899"/>
      <c r="L21" s="899"/>
      <c r="M21" s="899"/>
      <c r="N21" s="899"/>
      <c r="O21" s="899"/>
      <c r="P21" s="877"/>
      <c r="Q21" s="877"/>
      <c r="R21" s="877"/>
      <c r="S21" s="877"/>
      <c r="T21" s="877"/>
      <c r="U21" s="877"/>
    </row>
  </sheetData>
  <sheetProtection selectLockedCells="1" selectUnlockedCells="1"/>
  <mergeCells count="15">
    <mergeCell ref="P7:Q7"/>
    <mergeCell ref="A5:O5"/>
    <mergeCell ref="A6:A7"/>
    <mergeCell ref="B6:D6"/>
    <mergeCell ref="E6:G6"/>
    <mergeCell ref="H6:J6"/>
    <mergeCell ref="K6:M6"/>
    <mergeCell ref="N6:N7"/>
    <mergeCell ref="O6:O7"/>
    <mergeCell ref="A4:I4"/>
    <mergeCell ref="M4:N4"/>
    <mergeCell ref="A1:O1"/>
    <mergeCell ref="A2:I2"/>
    <mergeCell ref="A3:I3"/>
    <mergeCell ref="M3:N3"/>
  </mergeCells>
  <phoneticPr fontId="51" type="noConversion"/>
  <dataValidations count="1">
    <dataValidation allowBlank="1" showErrorMessage="1" sqref="K3">
      <formula1>0</formula1>
      <formula2>0</formula2>
    </dataValidation>
  </dataValidations>
  <pageMargins left="0.78740157480314998" right="0.35433070866141703" top="0.511811023622047" bottom="0.11811023622047198" header="0.511811023622047" footer="0.511811023622047"/>
  <pageSetup paperSize="9" firstPageNumber="0" orientation="landscape" blackAndWhite="1" r:id="rId1"/>
  <headerFooter alignWithMargins="0"/>
</worksheet>
</file>

<file path=xl/worksheets/sheet7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47">
    <pageSetUpPr fitToPage="1"/>
  </sheetPr>
  <dimension ref="A1:M61"/>
  <sheetViews>
    <sheetView workbookViewId="0">
      <selection activeCell="C12" sqref="C12"/>
    </sheetView>
  </sheetViews>
  <sheetFormatPr defaultRowHeight="15.6"/>
  <cols>
    <col min="1" max="1" width="4.59765625" style="771" customWidth="1"/>
    <col min="2" max="2" width="13.3984375" style="771" customWidth="1"/>
    <col min="3" max="3" width="12.8984375" style="771" customWidth="1"/>
    <col min="4" max="4" width="9.19921875" style="771" customWidth="1"/>
    <col min="5" max="5" width="12" style="771" customWidth="1"/>
    <col min="6" max="6" width="11.3984375" style="771" customWidth="1"/>
    <col min="7" max="7" width="12" style="771" customWidth="1"/>
    <col min="8" max="8" width="10.8984375" style="771" customWidth="1"/>
    <col min="9" max="9" width="39" customWidth="1"/>
  </cols>
  <sheetData>
    <row r="1" spans="1:13" ht="27.75" customHeight="1">
      <c r="A1" s="2742" t="s">
        <v>312</v>
      </c>
      <c r="B1" s="2742"/>
      <c r="C1" s="2742"/>
      <c r="D1" s="2742"/>
      <c r="E1" s="2742"/>
      <c r="F1" s="2742"/>
      <c r="G1" s="2742"/>
      <c r="H1" s="2742"/>
      <c r="I1" s="3568"/>
      <c r="J1" s="84"/>
      <c r="K1" s="84"/>
      <c r="L1" s="84"/>
      <c r="M1" s="84"/>
    </row>
    <row r="2" spans="1:13" s="649" customFormat="1" ht="15" customHeight="1">
      <c r="A2" s="3190" t="str">
        <f>"委托单位："&amp;基本情况!$B$2</f>
        <v>委托单位：0</v>
      </c>
      <c r="B2" s="3190"/>
      <c r="C2" s="3190"/>
      <c r="D2" s="569"/>
      <c r="E2" s="136" t="s">
        <v>9</v>
      </c>
      <c r="F2" s="136" t="s">
        <v>883</v>
      </c>
      <c r="G2" s="3569" t="s">
        <v>283</v>
      </c>
      <c r="H2" s="3569"/>
      <c r="I2" s="3568"/>
      <c r="J2" s="648"/>
      <c r="K2" s="648"/>
      <c r="L2" s="648"/>
      <c r="M2" s="648"/>
    </row>
    <row r="3" spans="1:13" s="649" customFormat="1" ht="15" customHeight="1">
      <c r="A3" s="3190"/>
      <c r="B3" s="3190"/>
      <c r="C3" s="3190"/>
      <c r="D3" s="158" t="s">
        <v>451</v>
      </c>
      <c r="E3" s="510">
        <f>基本情况!B12</f>
        <v>0</v>
      </c>
      <c r="F3" s="559" t="str">
        <f>TEXT(基本情况!B21,"yyyy-mm-dd")</f>
        <v>2017-03-16</v>
      </c>
      <c r="G3" s="3081" t="str">
        <f>档案索引!D26</f>
        <v>3-5</v>
      </c>
      <c r="H3" s="3081"/>
      <c r="I3" s="3568"/>
      <c r="J3" s="648"/>
      <c r="K3" s="648"/>
      <c r="L3" s="648"/>
      <c r="M3" s="648"/>
    </row>
    <row r="4" spans="1:13" s="649" customFormat="1" ht="15" customHeight="1">
      <c r="A4" s="3570" t="str">
        <f>"会计期间："&amp;基本情况!$B$7</f>
        <v>会计期间：2016年01月01日至2016年12月31日</v>
      </c>
      <c r="B4" s="3570"/>
      <c r="C4" s="3570"/>
      <c r="D4" s="140" t="s">
        <v>453</v>
      </c>
      <c r="E4" s="513">
        <f>基本情况!B11</f>
        <v>0</v>
      </c>
      <c r="F4" s="513" t="str">
        <f>TEXT(基本情况!B22,"yyyy-mm-dd")</f>
        <v>2017-05-04</v>
      </c>
      <c r="G4" s="3081"/>
      <c r="H4" s="3081"/>
      <c r="I4" s="3568"/>
      <c r="J4" s="648"/>
      <c r="K4" s="648"/>
      <c r="L4" s="648"/>
      <c r="M4" s="648"/>
    </row>
    <row r="5" spans="1:13" s="502" customFormat="1" ht="6.75" customHeight="1">
      <c r="A5" s="3085"/>
      <c r="B5" s="3085"/>
      <c r="C5" s="3085"/>
      <c r="D5" s="3085"/>
      <c r="E5" s="3085"/>
      <c r="F5" s="3085"/>
      <c r="G5" s="3085"/>
      <c r="H5" s="3085"/>
      <c r="I5" s="144"/>
      <c r="J5" s="144"/>
      <c r="K5" s="144"/>
      <c r="L5" s="144"/>
      <c r="M5" s="144"/>
    </row>
    <row r="6" spans="1:13" s="502" customFormat="1" ht="14.25" customHeight="1">
      <c r="A6" s="3021"/>
      <c r="B6" s="3022" t="s">
        <v>156</v>
      </c>
      <c r="C6" s="3022" t="s">
        <v>157</v>
      </c>
      <c r="D6" s="3023" t="s">
        <v>158</v>
      </c>
      <c r="E6" s="2898" t="s">
        <v>159</v>
      </c>
      <c r="F6" s="2898"/>
      <c r="G6" s="2898"/>
      <c r="H6" s="2945" t="s">
        <v>456</v>
      </c>
      <c r="I6" s="144"/>
      <c r="J6" s="144"/>
      <c r="K6" s="144"/>
      <c r="L6" s="144"/>
      <c r="M6" s="144"/>
    </row>
    <row r="7" spans="1:13" s="502" customFormat="1" ht="14.25" customHeight="1">
      <c r="A7" s="3021"/>
      <c r="B7" s="3022"/>
      <c r="C7" s="3022"/>
      <c r="D7" s="3023"/>
      <c r="E7" s="140" t="s">
        <v>160</v>
      </c>
      <c r="F7" s="140" t="s">
        <v>981</v>
      </c>
      <c r="G7" s="140" t="s">
        <v>503</v>
      </c>
      <c r="H7" s="2945"/>
      <c r="I7" s="90" t="s">
        <v>396</v>
      </c>
      <c r="J7" s="144"/>
      <c r="K7" s="144"/>
      <c r="L7" s="144"/>
      <c r="M7" s="144"/>
    </row>
    <row r="8" spans="1:13" s="502" customFormat="1" ht="18" customHeight="1">
      <c r="A8" s="3572" t="s">
        <v>161</v>
      </c>
      <c r="B8" s="900" t="s">
        <v>1271</v>
      </c>
      <c r="C8" s="901">
        <f>收入与申报核对表!G14</f>
        <v>0</v>
      </c>
      <c r="D8" s="902">
        <v>0.2</v>
      </c>
      <c r="E8" s="1118"/>
      <c r="F8" s="903">
        <f>G8-E8</f>
        <v>0</v>
      </c>
      <c r="G8" s="903">
        <f t="shared" ref="G8:G41" si="0">IF(AND(C8*D8-E8&lt;3,C8*D8-E8&gt;-3),E8,ROUND(C8*D8,2))</f>
        <v>0</v>
      </c>
      <c r="H8" s="703" t="s">
        <v>162</v>
      </c>
      <c r="I8" s="232" t="s">
        <v>654</v>
      </c>
      <c r="J8" s="144"/>
      <c r="K8" s="144"/>
      <c r="L8" s="144"/>
      <c r="M8" s="144"/>
    </row>
    <row r="9" spans="1:13" s="502" customFormat="1" ht="18" customHeight="1">
      <c r="A9" s="3572"/>
      <c r="B9" s="904" t="s">
        <v>1271</v>
      </c>
      <c r="C9" s="901">
        <f>收入与申报核对表!G15</f>
        <v>0</v>
      </c>
      <c r="D9" s="905">
        <v>0.2</v>
      </c>
      <c r="E9" s="1120"/>
      <c r="F9" s="525">
        <f t="shared" ref="F9:F41" si="1">G9-E9</f>
        <v>0</v>
      </c>
      <c r="G9" s="525">
        <f t="shared" si="0"/>
        <v>0</v>
      </c>
      <c r="H9" s="906" t="s">
        <v>163</v>
      </c>
      <c r="I9" s="232" t="s">
        <v>1292</v>
      </c>
      <c r="J9" s="144"/>
      <c r="K9" s="144"/>
      <c r="L9" s="144"/>
      <c r="M9" s="144"/>
    </row>
    <row r="10" spans="1:13" s="502" customFormat="1" ht="18" customHeight="1">
      <c r="A10" s="3572"/>
      <c r="B10" s="904" t="s">
        <v>1271</v>
      </c>
      <c r="C10" s="901">
        <f>收入与申报核对表!G16</f>
        <v>0</v>
      </c>
      <c r="D10" s="905">
        <v>0.1</v>
      </c>
      <c r="E10" s="1120"/>
      <c r="F10" s="525">
        <f t="shared" si="1"/>
        <v>0</v>
      </c>
      <c r="G10" s="525">
        <f t="shared" si="0"/>
        <v>0</v>
      </c>
      <c r="H10" s="906" t="s">
        <v>164</v>
      </c>
      <c r="I10" s="232" t="s">
        <v>1289</v>
      </c>
      <c r="J10" s="144"/>
      <c r="K10" s="144"/>
      <c r="L10" s="144"/>
      <c r="M10" s="144"/>
    </row>
    <row r="11" spans="1:13" s="502" customFormat="1" ht="18" customHeight="1">
      <c r="A11" s="3572"/>
      <c r="B11" s="904" t="s">
        <v>1271</v>
      </c>
      <c r="C11" s="901">
        <f>收入与申报核对表!G17</f>
        <v>0</v>
      </c>
      <c r="D11" s="905">
        <v>0.05</v>
      </c>
      <c r="E11" s="1120"/>
      <c r="F11" s="525">
        <f>G11-E11</f>
        <v>0</v>
      </c>
      <c r="G11" s="525">
        <f t="shared" si="0"/>
        <v>0</v>
      </c>
      <c r="H11" s="164" t="s">
        <v>165</v>
      </c>
      <c r="I11" s="493" t="s">
        <v>649</v>
      </c>
      <c r="J11" s="144"/>
      <c r="K11" s="144"/>
      <c r="L11" s="144"/>
      <c r="M11" s="144"/>
    </row>
    <row r="12" spans="1:13" s="502" customFormat="1" ht="18" customHeight="1">
      <c r="A12" s="3572"/>
      <c r="B12" s="904" t="s">
        <v>1271</v>
      </c>
      <c r="C12" s="518">
        <f>收入与申报核对表!G20</f>
        <v>0</v>
      </c>
      <c r="D12" s="905">
        <v>0.05</v>
      </c>
      <c r="E12" s="1120"/>
      <c r="F12" s="525">
        <f t="shared" si="1"/>
        <v>0</v>
      </c>
      <c r="G12" s="525">
        <f t="shared" si="0"/>
        <v>0</v>
      </c>
      <c r="H12" s="906" t="s">
        <v>166</v>
      </c>
      <c r="I12" s="493" t="s">
        <v>677</v>
      </c>
      <c r="J12" s="144"/>
      <c r="K12" s="144"/>
      <c r="L12" s="144"/>
      <c r="M12" s="144"/>
    </row>
    <row r="13" spans="1:13" s="502" customFormat="1" ht="18" customHeight="1">
      <c r="A13" s="3572"/>
      <c r="B13" s="904" t="s">
        <v>1271</v>
      </c>
      <c r="C13" s="518">
        <f>收入与申报核对表!G21</f>
        <v>0</v>
      </c>
      <c r="D13" s="905">
        <v>0.03</v>
      </c>
      <c r="E13" s="1120"/>
      <c r="F13" s="525">
        <f t="shared" si="1"/>
        <v>0</v>
      </c>
      <c r="G13" s="525">
        <f t="shared" si="0"/>
        <v>0</v>
      </c>
      <c r="H13" s="164" t="s">
        <v>167</v>
      </c>
      <c r="I13" s="232" t="s">
        <v>296</v>
      </c>
      <c r="J13" s="144"/>
      <c r="K13" s="144"/>
      <c r="L13" s="144"/>
      <c r="M13" s="144"/>
    </row>
    <row r="14" spans="1:13" s="502" customFormat="1" ht="18" customHeight="1">
      <c r="A14" s="3572"/>
      <c r="B14" s="904" t="s">
        <v>1272</v>
      </c>
      <c r="C14" s="525">
        <f t="shared" ref="C14:C19" si="2">G8</f>
        <v>0</v>
      </c>
      <c r="D14" s="905">
        <v>7.0000000000000007E-2</v>
      </c>
      <c r="E14" s="1120"/>
      <c r="F14" s="525">
        <f t="shared" si="1"/>
        <v>0</v>
      </c>
      <c r="G14" s="525">
        <f t="shared" si="0"/>
        <v>0</v>
      </c>
      <c r="H14" s="703" t="s">
        <v>162</v>
      </c>
      <c r="I14" s="232" t="s">
        <v>680</v>
      </c>
      <c r="J14" s="144"/>
      <c r="K14" s="144"/>
      <c r="L14" s="144"/>
      <c r="M14" s="144"/>
    </row>
    <row r="15" spans="1:13" s="502" customFormat="1" ht="18" customHeight="1">
      <c r="A15" s="3572"/>
      <c r="B15" s="904" t="s">
        <v>1272</v>
      </c>
      <c r="C15" s="525">
        <f t="shared" si="2"/>
        <v>0</v>
      </c>
      <c r="D15" s="905">
        <v>7.0000000000000007E-2</v>
      </c>
      <c r="E15" s="1120"/>
      <c r="F15" s="525">
        <f t="shared" si="1"/>
        <v>0</v>
      </c>
      <c r="G15" s="525">
        <f t="shared" si="0"/>
        <v>0</v>
      </c>
      <c r="H15" s="906" t="s">
        <v>163</v>
      </c>
      <c r="I15" s="232" t="s">
        <v>643</v>
      </c>
      <c r="J15" s="144"/>
      <c r="K15" s="144"/>
      <c r="L15" s="144"/>
      <c r="M15" s="144"/>
    </row>
    <row r="16" spans="1:13" s="502" customFormat="1" ht="18" customHeight="1">
      <c r="A16" s="3572"/>
      <c r="B16" s="904" t="s">
        <v>1272</v>
      </c>
      <c r="C16" s="525">
        <f t="shared" si="2"/>
        <v>0</v>
      </c>
      <c r="D16" s="905">
        <v>7.0000000000000007E-2</v>
      </c>
      <c r="E16" s="1120"/>
      <c r="F16" s="525">
        <f>G16-E16</f>
        <v>0</v>
      </c>
      <c r="G16" s="525">
        <f>IF(AND(C16*D16-E16&lt;3,C16*D16-E16&gt;-3),E16,ROUND(C16*D16,2))</f>
        <v>0</v>
      </c>
      <c r="H16" s="906" t="s">
        <v>164</v>
      </c>
      <c r="I16" s="232" t="s">
        <v>13</v>
      </c>
      <c r="J16" s="144"/>
      <c r="K16" s="144"/>
      <c r="L16" s="144"/>
      <c r="M16" s="144"/>
    </row>
    <row r="17" spans="1:13" s="502" customFormat="1" ht="18" customHeight="1">
      <c r="A17" s="3572"/>
      <c r="B17" s="904" t="s">
        <v>1272</v>
      </c>
      <c r="C17" s="525">
        <f t="shared" si="2"/>
        <v>0</v>
      </c>
      <c r="D17" s="905">
        <v>7.0000000000000007E-2</v>
      </c>
      <c r="E17" s="1120"/>
      <c r="F17" s="525">
        <f t="shared" si="1"/>
        <v>0</v>
      </c>
      <c r="G17" s="525">
        <f t="shared" si="0"/>
        <v>0</v>
      </c>
      <c r="H17" s="164" t="s">
        <v>165</v>
      </c>
      <c r="I17" s="493"/>
      <c r="J17" s="144"/>
      <c r="K17" s="144"/>
      <c r="L17" s="144"/>
      <c r="M17" s="144"/>
    </row>
    <row r="18" spans="1:13" s="502" customFormat="1" ht="18" customHeight="1">
      <c r="A18" s="3572"/>
      <c r="B18" s="904" t="s">
        <v>1272</v>
      </c>
      <c r="C18" s="525">
        <f t="shared" si="2"/>
        <v>0</v>
      </c>
      <c r="D18" s="905">
        <v>7.0000000000000007E-2</v>
      </c>
      <c r="E18" s="1120"/>
      <c r="F18" s="525">
        <f t="shared" si="1"/>
        <v>0</v>
      </c>
      <c r="G18" s="525">
        <f t="shared" si="0"/>
        <v>0</v>
      </c>
      <c r="H18" s="906" t="s">
        <v>166</v>
      </c>
      <c r="I18" s="232" t="s">
        <v>14</v>
      </c>
      <c r="J18" s="144"/>
      <c r="K18" s="144"/>
      <c r="L18" s="144"/>
      <c r="M18" s="144"/>
    </row>
    <row r="19" spans="1:13" s="502" customFormat="1" ht="18" customHeight="1">
      <c r="A19" s="3572"/>
      <c r="B19" s="904" t="s">
        <v>1272</v>
      </c>
      <c r="C19" s="525">
        <f t="shared" si="2"/>
        <v>0</v>
      </c>
      <c r="D19" s="905">
        <v>7.0000000000000007E-2</v>
      </c>
      <c r="E19" s="1120"/>
      <c r="F19" s="525">
        <f t="shared" si="1"/>
        <v>0</v>
      </c>
      <c r="G19" s="525">
        <f t="shared" si="0"/>
        <v>0</v>
      </c>
      <c r="H19" s="164" t="s">
        <v>167</v>
      </c>
      <c r="I19" s="493"/>
      <c r="J19" s="144"/>
      <c r="K19" s="144"/>
      <c r="L19" s="144"/>
      <c r="M19" s="144"/>
    </row>
    <row r="20" spans="1:13" s="502" customFormat="1" ht="18" customHeight="1">
      <c r="A20" s="3572"/>
      <c r="B20" s="904" t="s">
        <v>168</v>
      </c>
      <c r="C20" s="525">
        <f t="shared" ref="C20:C25" si="3">G8</f>
        <v>0</v>
      </c>
      <c r="D20" s="905">
        <v>0.03</v>
      </c>
      <c r="E20" s="1120"/>
      <c r="F20" s="525">
        <f t="shared" si="1"/>
        <v>0</v>
      </c>
      <c r="G20" s="525">
        <f t="shared" si="0"/>
        <v>0</v>
      </c>
      <c r="H20" s="703" t="s">
        <v>162</v>
      </c>
      <c r="I20" s="493"/>
      <c r="J20" s="144"/>
      <c r="K20" s="144"/>
      <c r="L20" s="144"/>
      <c r="M20" s="144"/>
    </row>
    <row r="21" spans="1:13" s="502" customFormat="1" ht="18" customHeight="1">
      <c r="A21" s="3572"/>
      <c r="B21" s="904" t="s">
        <v>168</v>
      </c>
      <c r="C21" s="525">
        <f t="shared" si="3"/>
        <v>0</v>
      </c>
      <c r="D21" s="905">
        <v>0.03</v>
      </c>
      <c r="E21" s="1120"/>
      <c r="F21" s="525">
        <f t="shared" si="1"/>
        <v>0</v>
      </c>
      <c r="G21" s="525">
        <f t="shared" si="0"/>
        <v>0</v>
      </c>
      <c r="H21" s="906" t="s">
        <v>163</v>
      </c>
      <c r="I21" s="493"/>
      <c r="J21" s="144"/>
      <c r="K21" s="144"/>
      <c r="L21" s="144"/>
      <c r="M21" s="144"/>
    </row>
    <row r="22" spans="1:13" s="502" customFormat="1" ht="18" customHeight="1">
      <c r="A22" s="3572"/>
      <c r="B22" s="904" t="s">
        <v>168</v>
      </c>
      <c r="C22" s="525">
        <f t="shared" si="3"/>
        <v>0</v>
      </c>
      <c r="D22" s="905">
        <v>0.03</v>
      </c>
      <c r="E22" s="1120"/>
      <c r="F22" s="525">
        <f>G22-E22</f>
        <v>0</v>
      </c>
      <c r="G22" s="525">
        <f>IF(AND(C22*D22-E22&lt;3,C22*D22-E22&gt;-3),E22,ROUND(C22*D22,2))</f>
        <v>0</v>
      </c>
      <c r="H22" s="906" t="s">
        <v>164</v>
      </c>
      <c r="I22" s="493"/>
      <c r="J22" s="144"/>
      <c r="K22" s="144"/>
      <c r="L22" s="144"/>
      <c r="M22" s="144"/>
    </row>
    <row r="23" spans="1:13" s="502" customFormat="1" ht="18" customHeight="1">
      <c r="A23" s="3572"/>
      <c r="B23" s="904" t="s">
        <v>168</v>
      </c>
      <c r="C23" s="525">
        <f t="shared" si="3"/>
        <v>0</v>
      </c>
      <c r="D23" s="905">
        <v>0.03</v>
      </c>
      <c r="E23" s="1120"/>
      <c r="F23" s="525">
        <f t="shared" si="1"/>
        <v>0</v>
      </c>
      <c r="G23" s="525">
        <f t="shared" si="0"/>
        <v>0</v>
      </c>
      <c r="H23" s="164" t="s">
        <v>165</v>
      </c>
      <c r="I23" s="907" t="s">
        <v>169</v>
      </c>
      <c r="J23" s="144"/>
      <c r="K23" s="144"/>
      <c r="L23" s="144"/>
      <c r="M23" s="144"/>
    </row>
    <row r="24" spans="1:13" s="502" customFormat="1" ht="18" customHeight="1">
      <c r="A24" s="3572"/>
      <c r="B24" s="904" t="s">
        <v>168</v>
      </c>
      <c r="C24" s="525">
        <f t="shared" si="3"/>
        <v>0</v>
      </c>
      <c r="D24" s="905">
        <v>0.03</v>
      </c>
      <c r="E24" s="1120"/>
      <c r="F24" s="525">
        <f t="shared" si="1"/>
        <v>0</v>
      </c>
      <c r="G24" s="525">
        <f t="shared" si="0"/>
        <v>0</v>
      </c>
      <c r="H24" s="906" t="s">
        <v>166</v>
      </c>
      <c r="I24" s="3513" t="s">
        <v>170</v>
      </c>
      <c r="J24" s="3513"/>
      <c r="K24" s="3513"/>
      <c r="L24" s="3513"/>
      <c r="M24" s="908"/>
    </row>
    <row r="25" spans="1:13" s="502" customFormat="1" ht="18" customHeight="1">
      <c r="A25" s="3572"/>
      <c r="B25" s="904" t="s">
        <v>168</v>
      </c>
      <c r="C25" s="525">
        <f t="shared" si="3"/>
        <v>0</v>
      </c>
      <c r="D25" s="905">
        <v>0.03</v>
      </c>
      <c r="E25" s="1120"/>
      <c r="F25" s="525">
        <f t="shared" si="1"/>
        <v>0</v>
      </c>
      <c r="G25" s="525">
        <f t="shared" si="0"/>
        <v>0</v>
      </c>
      <c r="H25" s="164" t="s">
        <v>167</v>
      </c>
      <c r="I25" s="3513"/>
      <c r="J25" s="3513"/>
      <c r="K25" s="3513"/>
      <c r="L25" s="3513"/>
      <c r="M25" s="908"/>
    </row>
    <row r="26" spans="1:13" s="502" customFormat="1" ht="18" customHeight="1">
      <c r="A26" s="3572"/>
      <c r="B26" s="904" t="s">
        <v>1274</v>
      </c>
      <c r="C26" s="525">
        <f t="shared" ref="C26:C31" si="4">G8</f>
        <v>0</v>
      </c>
      <c r="D26" s="905">
        <v>0.02</v>
      </c>
      <c r="E26" s="1120"/>
      <c r="F26" s="525">
        <f t="shared" si="1"/>
        <v>0</v>
      </c>
      <c r="G26" s="525">
        <f t="shared" si="0"/>
        <v>0</v>
      </c>
      <c r="H26" s="703" t="s">
        <v>162</v>
      </c>
      <c r="I26" s="3513"/>
      <c r="J26" s="3513"/>
      <c r="K26" s="3513"/>
      <c r="L26" s="3513"/>
      <c r="M26" s="908"/>
    </row>
    <row r="27" spans="1:13" s="502" customFormat="1" ht="18" customHeight="1">
      <c r="A27" s="3572"/>
      <c r="B27" s="904" t="s">
        <v>1274</v>
      </c>
      <c r="C27" s="525">
        <f t="shared" si="4"/>
        <v>0</v>
      </c>
      <c r="D27" s="905">
        <v>0.02</v>
      </c>
      <c r="E27" s="1120"/>
      <c r="F27" s="525">
        <f t="shared" si="1"/>
        <v>0</v>
      </c>
      <c r="G27" s="525">
        <f t="shared" si="0"/>
        <v>0</v>
      </c>
      <c r="H27" s="906" t="s">
        <v>163</v>
      </c>
      <c r="I27" s="3513"/>
      <c r="J27" s="3513"/>
      <c r="K27" s="3513"/>
      <c r="L27" s="3513"/>
      <c r="M27" s="908"/>
    </row>
    <row r="28" spans="1:13" s="502" customFormat="1" ht="18" customHeight="1">
      <c r="A28" s="3572"/>
      <c r="B28" s="904" t="s">
        <v>1274</v>
      </c>
      <c r="C28" s="525">
        <f t="shared" si="4"/>
        <v>0</v>
      </c>
      <c r="D28" s="905">
        <v>0.02</v>
      </c>
      <c r="E28" s="1120"/>
      <c r="F28" s="525">
        <f>G28-E28</f>
        <v>0</v>
      </c>
      <c r="G28" s="525">
        <f>IF(AND(C28*D28-E28&lt;3,C28*D28-E28&gt;-3),E28,ROUND(C28*D28,2))</f>
        <v>0</v>
      </c>
      <c r="H28" s="906" t="s">
        <v>164</v>
      </c>
      <c r="I28" s="3513"/>
      <c r="J28" s="3513"/>
      <c r="K28" s="3513"/>
      <c r="L28" s="3513"/>
      <c r="M28" s="908"/>
    </row>
    <row r="29" spans="1:13" s="502" customFormat="1" ht="18" customHeight="1">
      <c r="A29" s="3572"/>
      <c r="B29" s="904" t="s">
        <v>1274</v>
      </c>
      <c r="C29" s="525">
        <f t="shared" si="4"/>
        <v>0</v>
      </c>
      <c r="D29" s="905">
        <v>0.02</v>
      </c>
      <c r="E29" s="1120"/>
      <c r="F29" s="525">
        <f t="shared" si="1"/>
        <v>0</v>
      </c>
      <c r="G29" s="525">
        <f t="shared" si="0"/>
        <v>0</v>
      </c>
      <c r="H29" s="164" t="s">
        <v>165</v>
      </c>
      <c r="I29" s="3513"/>
      <c r="J29" s="3513"/>
      <c r="K29" s="3513"/>
      <c r="L29" s="3513"/>
      <c r="M29" s="908"/>
    </row>
    <row r="30" spans="1:13" s="502" customFormat="1" ht="18" customHeight="1">
      <c r="A30" s="3572"/>
      <c r="B30" s="904" t="s">
        <v>1274</v>
      </c>
      <c r="C30" s="525">
        <f t="shared" si="4"/>
        <v>0</v>
      </c>
      <c r="D30" s="905">
        <v>0.02</v>
      </c>
      <c r="E30" s="1120"/>
      <c r="F30" s="525">
        <f t="shared" si="1"/>
        <v>0</v>
      </c>
      <c r="G30" s="525">
        <f t="shared" si="0"/>
        <v>0</v>
      </c>
      <c r="H30" s="906" t="s">
        <v>166</v>
      </c>
      <c r="I30" s="3513"/>
      <c r="J30" s="3513"/>
      <c r="K30" s="3513"/>
      <c r="L30" s="3513"/>
      <c r="M30" s="908"/>
    </row>
    <row r="31" spans="1:13" s="502" customFormat="1" ht="18" customHeight="1">
      <c r="A31" s="3572"/>
      <c r="B31" s="904" t="s">
        <v>1274</v>
      </c>
      <c r="C31" s="525">
        <f t="shared" si="4"/>
        <v>0</v>
      </c>
      <c r="D31" s="905">
        <v>0.02</v>
      </c>
      <c r="E31" s="1120"/>
      <c r="F31" s="525">
        <f t="shared" si="1"/>
        <v>0</v>
      </c>
      <c r="G31" s="525">
        <f t="shared" si="0"/>
        <v>0</v>
      </c>
      <c r="H31" s="164" t="s">
        <v>167</v>
      </c>
      <c r="I31" s="3513"/>
      <c r="J31" s="3513"/>
      <c r="K31" s="3513"/>
      <c r="L31" s="3513"/>
      <c r="M31" s="908"/>
    </row>
    <row r="32" spans="1:13" s="502" customFormat="1" ht="18" customHeight="1">
      <c r="A32" s="3572"/>
      <c r="B32" s="904" t="s">
        <v>171</v>
      </c>
      <c r="C32" s="525">
        <f>收入与申报核对表!G15-收入与申报核对表!E15</f>
        <v>0</v>
      </c>
      <c r="D32" s="905">
        <v>0.03</v>
      </c>
      <c r="E32" s="1120"/>
      <c r="F32" s="525">
        <f t="shared" si="1"/>
        <v>0</v>
      </c>
      <c r="G32" s="525">
        <f t="shared" si="0"/>
        <v>0</v>
      </c>
      <c r="H32" s="906" t="s">
        <v>163</v>
      </c>
      <c r="I32" s="3513"/>
      <c r="J32" s="3513"/>
      <c r="K32" s="3513"/>
      <c r="L32" s="3513"/>
      <c r="M32" s="908"/>
    </row>
    <row r="33" spans="1:13" s="502" customFormat="1" ht="18" customHeight="1">
      <c r="A33" s="3572"/>
      <c r="B33" s="904" t="s">
        <v>171</v>
      </c>
      <c r="C33" s="525">
        <f>收入与申报核对表!G16-收入与申报核对表!E16</f>
        <v>0</v>
      </c>
      <c r="D33" s="905">
        <v>0.03</v>
      </c>
      <c r="E33" s="1120"/>
      <c r="F33" s="525">
        <f>G33-E33</f>
        <v>0</v>
      </c>
      <c r="G33" s="525">
        <f>IF(AND(C33*D33-E33&lt;3,C33*D33-E33&gt;-3),E33,ROUND(C33*D33,2))</f>
        <v>0</v>
      </c>
      <c r="H33" s="906" t="s">
        <v>164</v>
      </c>
      <c r="I33" s="3513"/>
      <c r="J33" s="3513"/>
      <c r="K33" s="3513"/>
      <c r="L33" s="3513"/>
      <c r="M33" s="908"/>
    </row>
    <row r="34" spans="1:13" s="502" customFormat="1" ht="18" customHeight="1">
      <c r="A34" s="3572"/>
      <c r="B34" s="904" t="s">
        <v>171</v>
      </c>
      <c r="C34" s="525">
        <f>收入与申报核对表!G20-收入与申报核对表!E20</f>
        <v>0</v>
      </c>
      <c r="D34" s="905">
        <v>0.03</v>
      </c>
      <c r="E34" s="1120"/>
      <c r="F34" s="525">
        <f t="shared" si="1"/>
        <v>0</v>
      </c>
      <c r="G34" s="525">
        <f t="shared" si="0"/>
        <v>0</v>
      </c>
      <c r="H34" s="906" t="s">
        <v>166</v>
      </c>
      <c r="I34" s="3513"/>
      <c r="J34" s="3513"/>
      <c r="K34" s="3513"/>
      <c r="L34" s="3513"/>
      <c r="M34" s="908"/>
    </row>
    <row r="35" spans="1:13" s="502" customFormat="1" ht="18" customHeight="1">
      <c r="A35" s="3572"/>
      <c r="B35" s="904" t="s">
        <v>1272</v>
      </c>
      <c r="C35" s="525">
        <f>纳税申报数据!D15-纳税申报数据!D16+纳税申报数据!D19-收入与申报核对表!K8</f>
        <v>0</v>
      </c>
      <c r="D35" s="905">
        <v>7.0000000000000007E-2</v>
      </c>
      <c r="E35" s="1120"/>
      <c r="F35" s="525">
        <f t="shared" si="1"/>
        <v>0</v>
      </c>
      <c r="G35" s="525">
        <f t="shared" si="0"/>
        <v>0</v>
      </c>
      <c r="H35" s="164" t="s">
        <v>172</v>
      </c>
      <c r="I35" s="3513"/>
      <c r="J35" s="3513"/>
      <c r="K35" s="3513"/>
      <c r="L35" s="3513"/>
      <c r="M35" s="908"/>
    </row>
    <row r="36" spans="1:13" s="502" customFormat="1" ht="18" customHeight="1">
      <c r="A36" s="3572"/>
      <c r="B36" s="904" t="s">
        <v>168</v>
      </c>
      <c r="C36" s="1683">
        <f>纳税申报数据!D15-纳税申报数据!D16+纳税申报数据!D19-收入与申报核对表!K8</f>
        <v>0</v>
      </c>
      <c r="D36" s="905">
        <v>0.03</v>
      </c>
      <c r="E36" s="1120"/>
      <c r="F36" s="525">
        <f t="shared" si="1"/>
        <v>0</v>
      </c>
      <c r="G36" s="525">
        <f t="shared" si="0"/>
        <v>0</v>
      </c>
      <c r="H36" s="164" t="s">
        <v>172</v>
      </c>
      <c r="I36" s="820"/>
      <c r="J36" s="908"/>
      <c r="K36" s="908"/>
      <c r="L36" s="908"/>
      <c r="M36" s="908"/>
    </row>
    <row r="37" spans="1:13" s="502" customFormat="1" ht="18" customHeight="1">
      <c r="A37" s="3572"/>
      <c r="B37" s="904" t="s">
        <v>1274</v>
      </c>
      <c r="C37" s="1683">
        <f>纳税申报数据!D15-纳税申报数据!D16+纳税申报数据!D19-收入与申报核对表!K8</f>
        <v>0</v>
      </c>
      <c r="D37" s="905">
        <v>0.02</v>
      </c>
      <c r="E37" s="1120"/>
      <c r="F37" s="525">
        <f t="shared" si="1"/>
        <v>0</v>
      </c>
      <c r="G37" s="525">
        <f t="shared" si="0"/>
        <v>0</v>
      </c>
      <c r="H37" s="164" t="s">
        <v>172</v>
      </c>
      <c r="I37" s="3194"/>
      <c r="J37" s="3194"/>
      <c r="K37" s="3194"/>
      <c r="L37" s="908"/>
      <c r="M37" s="908"/>
    </row>
    <row r="38" spans="1:13" s="502" customFormat="1" ht="18" customHeight="1">
      <c r="A38" s="3572"/>
      <c r="B38" s="904" t="s">
        <v>1272</v>
      </c>
      <c r="C38" s="525">
        <f>纳税申报数据!I23-纳税申报数据!I20-收入与申报核对表!K10</f>
        <v>0</v>
      </c>
      <c r="D38" s="905">
        <v>7.0000000000000007E-2</v>
      </c>
      <c r="E38" s="1120"/>
      <c r="F38" s="525">
        <f t="shared" si="1"/>
        <v>0</v>
      </c>
      <c r="G38" s="525">
        <f t="shared" si="0"/>
        <v>0</v>
      </c>
      <c r="H38" s="164" t="s">
        <v>173</v>
      </c>
      <c r="I38" s="144"/>
      <c r="J38" s="144"/>
      <c r="K38" s="144"/>
      <c r="L38" s="908"/>
      <c r="M38" s="908"/>
    </row>
    <row r="39" spans="1:13" s="502" customFormat="1" ht="18" customHeight="1">
      <c r="A39" s="3572"/>
      <c r="B39" s="904" t="s">
        <v>168</v>
      </c>
      <c r="C39" s="1683">
        <f>纳税申报数据!I23-纳税申报数据!I20-收入与申报核对表!K10</f>
        <v>0</v>
      </c>
      <c r="D39" s="905">
        <v>0.03</v>
      </c>
      <c r="E39" s="1120"/>
      <c r="F39" s="525">
        <f t="shared" si="1"/>
        <v>0</v>
      </c>
      <c r="G39" s="525">
        <f t="shared" si="0"/>
        <v>0</v>
      </c>
      <c r="H39" s="164" t="s">
        <v>173</v>
      </c>
      <c r="I39" s="3194"/>
      <c r="J39" s="3194"/>
      <c r="K39" s="3194"/>
      <c r="L39" s="908"/>
      <c r="M39" s="908"/>
    </row>
    <row r="40" spans="1:13" s="502" customFormat="1" ht="18" customHeight="1">
      <c r="A40" s="3572"/>
      <c r="B40" s="904" t="s">
        <v>1274</v>
      </c>
      <c r="C40" s="1683">
        <f>纳税申报数据!I23-纳税申报数据!I20-收入与申报核对表!K10</f>
        <v>0</v>
      </c>
      <c r="D40" s="905">
        <v>0.02</v>
      </c>
      <c r="E40" s="1120"/>
      <c r="F40" s="525">
        <f t="shared" si="1"/>
        <v>0</v>
      </c>
      <c r="G40" s="525">
        <f t="shared" si="0"/>
        <v>0</v>
      </c>
      <c r="H40" s="164" t="s">
        <v>173</v>
      </c>
      <c r="I40" s="144"/>
      <c r="J40" s="144"/>
      <c r="K40" s="144"/>
      <c r="L40" s="908"/>
      <c r="M40" s="908"/>
    </row>
    <row r="41" spans="1:13" s="502" customFormat="1" ht="18" customHeight="1">
      <c r="A41" s="3572"/>
      <c r="B41" s="909"/>
      <c r="C41" s="1113"/>
      <c r="D41" s="910"/>
      <c r="E41" s="1122"/>
      <c r="F41" s="525">
        <f t="shared" si="1"/>
        <v>0</v>
      </c>
      <c r="G41" s="525">
        <f t="shared" si="0"/>
        <v>0</v>
      </c>
      <c r="H41" s="911"/>
      <c r="I41" s="3571"/>
      <c r="J41" s="3571"/>
      <c r="K41" s="144"/>
      <c r="L41" s="908"/>
      <c r="M41" s="908"/>
    </row>
    <row r="42" spans="1:13" s="502" customFormat="1" ht="18" customHeight="1">
      <c r="A42" s="3572"/>
      <c r="B42" s="2900" t="s">
        <v>174</v>
      </c>
      <c r="C42" s="2900"/>
      <c r="D42" s="2900"/>
      <c r="E42" s="823">
        <f>SUM(E8:E41)</f>
        <v>0</v>
      </c>
      <c r="F42" s="823">
        <f>SUM(F8:F41)</f>
        <v>0</v>
      </c>
      <c r="G42" s="823">
        <f>SUM(G8:G41)</f>
        <v>0</v>
      </c>
      <c r="H42" s="912"/>
      <c r="I42" s="144"/>
      <c r="J42" s="144"/>
      <c r="K42" s="144"/>
      <c r="L42" s="908"/>
      <c r="M42" s="908"/>
    </row>
    <row r="43" spans="1:13" s="502" customFormat="1" ht="18" customHeight="1">
      <c r="A43" s="3141" t="s">
        <v>642</v>
      </c>
      <c r="B43" s="3141"/>
      <c r="C43" s="3154" t="str">
        <f>IF(E42&lt;&gt;利润!C7,"税金及附加账载数与会计报表数相差"&amp;DOLLAR(E42-利润!C7,2)&amp;"元！","税金及附加账载数与会计报表数相符！")</f>
        <v>税金及附加账载数与会计报表数相符！</v>
      </c>
      <c r="D43" s="3154"/>
      <c r="E43" s="3154"/>
      <c r="F43" s="3154"/>
      <c r="G43" s="3154"/>
      <c r="H43" s="3154"/>
      <c r="I43" s="3194"/>
      <c r="J43" s="3194"/>
      <c r="K43" s="144"/>
      <c r="L43" s="908"/>
      <c r="M43" s="908"/>
    </row>
    <row r="44" spans="1:13" s="502" customFormat="1" ht="15" customHeight="1">
      <c r="A44" s="3573" t="s">
        <v>1324</v>
      </c>
      <c r="B44" s="3573"/>
      <c r="C44" s="3574" t="s">
        <v>175</v>
      </c>
      <c r="D44" s="3574"/>
      <c r="E44" s="3575" t="str">
        <f>IF(F42&lt;&gt;0,"、E","")</f>
        <v/>
      </c>
      <c r="F44" s="3575"/>
      <c r="G44" s="3575"/>
      <c r="H44" s="3575"/>
      <c r="I44" s="144"/>
      <c r="J44" s="144"/>
      <c r="K44" s="144"/>
      <c r="L44" s="144"/>
      <c r="M44" s="144"/>
    </row>
    <row r="45" spans="1:13" s="502" customFormat="1" ht="6.75" customHeight="1">
      <c r="A45" s="3573"/>
      <c r="B45" s="3573"/>
      <c r="C45" s="3576"/>
      <c r="D45" s="3159"/>
      <c r="E45" s="3159"/>
      <c r="F45" s="3159"/>
      <c r="G45" s="3159"/>
      <c r="H45" s="3159"/>
      <c r="I45" s="3194"/>
      <c r="J45" s="3194"/>
      <c r="K45" s="144"/>
      <c r="L45" s="144"/>
      <c r="M45" s="144"/>
    </row>
    <row r="46" spans="1:13" s="502" customFormat="1" ht="6.75" customHeight="1">
      <c r="A46" s="3573"/>
      <c r="B46" s="3573"/>
      <c r="C46" s="3159"/>
      <c r="D46" s="3159"/>
      <c r="E46" s="3159"/>
      <c r="F46" s="3159"/>
      <c r="G46" s="3159"/>
      <c r="H46" s="3159"/>
      <c r="I46" s="144"/>
      <c r="J46" s="144"/>
      <c r="K46" s="144"/>
      <c r="L46" s="144"/>
      <c r="M46" s="144"/>
    </row>
    <row r="47" spans="1:13" s="502" customFormat="1" ht="6.75" customHeight="1">
      <c r="A47" s="3573"/>
      <c r="B47" s="3573"/>
      <c r="C47" s="3159"/>
      <c r="D47" s="3159"/>
      <c r="E47" s="3159"/>
      <c r="F47" s="3159"/>
      <c r="G47" s="3159"/>
      <c r="H47" s="3159"/>
      <c r="I47" s="3194"/>
      <c r="J47" s="3194"/>
      <c r="K47" s="144"/>
      <c r="L47" s="144"/>
      <c r="M47" s="144"/>
    </row>
    <row r="48" spans="1:13" s="502" customFormat="1" ht="6.75" customHeight="1">
      <c r="A48" s="3573"/>
      <c r="B48" s="3573"/>
      <c r="C48" s="3159"/>
      <c r="D48" s="3159"/>
      <c r="E48" s="3159"/>
      <c r="F48" s="3159"/>
      <c r="G48" s="3159"/>
      <c r="H48" s="3159"/>
      <c r="I48" s="144"/>
      <c r="J48" s="144"/>
      <c r="K48" s="144"/>
      <c r="L48" s="144"/>
      <c r="M48" s="144"/>
    </row>
    <row r="49" spans="1:13" s="502" customFormat="1" ht="6.75" customHeight="1">
      <c r="A49" s="3573"/>
      <c r="B49" s="3573"/>
      <c r="C49" s="3159"/>
      <c r="D49" s="3159"/>
      <c r="E49" s="3159"/>
      <c r="F49" s="3159"/>
      <c r="G49" s="3159"/>
      <c r="H49" s="3159"/>
      <c r="I49" s="232"/>
      <c r="J49" s="144"/>
      <c r="K49" s="144"/>
      <c r="L49" s="144"/>
      <c r="M49" s="144"/>
    </row>
    <row r="50" spans="1:13" s="502" customFormat="1" ht="6.75" customHeight="1">
      <c r="A50" s="3573"/>
      <c r="B50" s="3573"/>
      <c r="C50" s="3159"/>
      <c r="D50" s="3159"/>
      <c r="E50" s="3159"/>
      <c r="F50" s="3159"/>
      <c r="G50" s="3159"/>
      <c r="H50" s="3159"/>
      <c r="I50" s="144"/>
      <c r="J50" s="144"/>
      <c r="K50" s="144"/>
      <c r="L50" s="144"/>
      <c r="M50" s="144"/>
    </row>
    <row r="51" spans="1:13" s="502" customFormat="1" ht="20.25" customHeight="1">
      <c r="A51" s="3156" t="s">
        <v>575</v>
      </c>
      <c r="B51" s="3156"/>
      <c r="C51" s="3135" t="str">
        <f>IF(F42=0,"税金计提正确，认可！","税金计提有误，账面数与应计提数相差"&amp;DOLLAR(F42,2)&amp;"！")</f>
        <v>税金计提正确，认可！</v>
      </c>
      <c r="D51" s="3135"/>
      <c r="E51" s="3135"/>
      <c r="F51" s="3135"/>
      <c r="G51" s="3135"/>
      <c r="H51" s="3135"/>
      <c r="I51" s="232"/>
      <c r="J51" s="144"/>
      <c r="K51" s="144"/>
      <c r="L51" s="144"/>
      <c r="M51" s="144"/>
    </row>
    <row r="52" spans="1:13" s="501" customFormat="1">
      <c r="A52" s="942"/>
      <c r="B52" s="942"/>
      <c r="C52" s="942"/>
      <c r="D52" s="942"/>
      <c r="E52" s="942"/>
      <c r="F52" s="942"/>
      <c r="G52" s="942"/>
      <c r="H52" s="942"/>
    </row>
    <row r="53" spans="1:13" s="501" customFormat="1">
      <c r="A53" s="942"/>
      <c r="B53" s="942"/>
      <c r="C53" s="942"/>
      <c r="D53" s="942"/>
      <c r="E53" s="942"/>
      <c r="F53" s="942"/>
      <c r="G53" s="942"/>
      <c r="H53" s="942"/>
    </row>
    <row r="54" spans="1:13" s="501" customFormat="1">
      <c r="A54" s="942"/>
      <c r="B54" s="942"/>
      <c r="C54" s="942"/>
      <c r="D54" s="942"/>
      <c r="E54" s="942"/>
      <c r="F54" s="942"/>
      <c r="G54" s="942"/>
      <c r="H54" s="942"/>
    </row>
    <row r="55" spans="1:13" s="501" customFormat="1">
      <c r="A55" s="942"/>
      <c r="B55" s="942"/>
      <c r="C55" s="942"/>
      <c r="D55" s="942"/>
      <c r="E55" s="942"/>
      <c r="F55" s="942"/>
      <c r="G55" s="942"/>
      <c r="H55" s="942"/>
    </row>
    <row r="56" spans="1:13" s="501" customFormat="1">
      <c r="A56" s="942"/>
      <c r="B56" s="942"/>
      <c r="C56" s="942"/>
      <c r="D56" s="942"/>
      <c r="E56" s="942"/>
      <c r="F56" s="942"/>
      <c r="G56" s="942"/>
      <c r="H56" s="942"/>
    </row>
    <row r="57" spans="1:13" s="501" customFormat="1">
      <c r="A57" s="942"/>
      <c r="B57" s="942"/>
      <c r="C57" s="942"/>
      <c r="D57" s="942"/>
      <c r="E57" s="942"/>
      <c r="F57" s="942"/>
      <c r="G57" s="942"/>
      <c r="H57" s="942"/>
    </row>
    <row r="58" spans="1:13" s="501" customFormat="1">
      <c r="A58" s="942"/>
      <c r="B58" s="942"/>
      <c r="C58" s="942"/>
      <c r="D58" s="942"/>
      <c r="E58" s="942"/>
      <c r="F58" s="942"/>
      <c r="G58" s="942"/>
      <c r="H58" s="942"/>
    </row>
    <row r="59" spans="1:13" s="501" customFormat="1">
      <c r="A59" s="942"/>
      <c r="B59" s="942"/>
      <c r="C59" s="942"/>
      <c r="D59" s="942"/>
      <c r="E59" s="942"/>
      <c r="F59" s="942"/>
      <c r="G59" s="942"/>
      <c r="H59" s="942"/>
    </row>
    <row r="60" spans="1:13" s="501" customFormat="1">
      <c r="A60" s="942"/>
      <c r="B60" s="942"/>
      <c r="C60" s="942"/>
      <c r="D60" s="942"/>
      <c r="E60" s="942"/>
      <c r="F60" s="942"/>
      <c r="G60" s="942"/>
      <c r="H60" s="942"/>
    </row>
    <row r="61" spans="1:13" s="501" customFormat="1">
      <c r="A61" s="942"/>
      <c r="B61" s="942"/>
      <c r="C61" s="942"/>
      <c r="D61" s="942"/>
      <c r="E61" s="942"/>
      <c r="F61" s="942"/>
      <c r="G61" s="942"/>
      <c r="H61" s="942"/>
    </row>
  </sheetData>
  <sheetProtection selectLockedCells="1" selectUnlockedCells="1"/>
  <mergeCells count="30">
    <mergeCell ref="I45:J45"/>
    <mergeCell ref="I47:J47"/>
    <mergeCell ref="A51:B51"/>
    <mergeCell ref="A44:B50"/>
    <mergeCell ref="C44:D44"/>
    <mergeCell ref="E44:H44"/>
    <mergeCell ref="C45:H50"/>
    <mergeCell ref="C51:H51"/>
    <mergeCell ref="I39:K39"/>
    <mergeCell ref="I41:J41"/>
    <mergeCell ref="B42:D42"/>
    <mergeCell ref="I43:J43"/>
    <mergeCell ref="I24:L35"/>
    <mergeCell ref="I37:K37"/>
    <mergeCell ref="A43:B43"/>
    <mergeCell ref="A8:A42"/>
    <mergeCell ref="C43:H43"/>
    <mergeCell ref="A5:H5"/>
    <mergeCell ref="A6:A7"/>
    <mergeCell ref="B6:B7"/>
    <mergeCell ref="C6:C7"/>
    <mergeCell ref="D6:D7"/>
    <mergeCell ref="E6:G6"/>
    <mergeCell ref="H6:H7"/>
    <mergeCell ref="A1:H1"/>
    <mergeCell ref="I1:I4"/>
    <mergeCell ref="A2:C3"/>
    <mergeCell ref="G2:H2"/>
    <mergeCell ref="G3:H4"/>
    <mergeCell ref="A4:C4"/>
  </mergeCells>
  <phoneticPr fontId="51" type="noConversion"/>
  <dataValidations count="4">
    <dataValidation allowBlank="1" showErrorMessage="1" sqref="E3 B41 D41">
      <formula1>0</formula1>
      <formula2>0</formula2>
    </dataValidation>
    <dataValidation allowBlank="1" showErrorMessage="1" promptTitle="存在调整事项时" prompt="_x000a_选择 “E”" sqref="E44:H44">
      <formula1>0</formula1>
      <formula2>0</formula2>
    </dataValidation>
    <dataValidation type="list" allowBlank="1" showErrorMessage="1" sqref="B8:B40">
      <formula1>"营业税,城建税,文化事业附加,教育附加,地方教育附加"</formula1>
      <formula2>0</formula2>
    </dataValidation>
    <dataValidation type="list" allowBlank="1" showErrorMessage="1" sqref="D8:D40">
      <formula1>"20%,10%,7%,5%,3%,2%,1%"</formula1>
      <formula2>0</formula2>
    </dataValidation>
  </dataValidations>
  <hyperlinks>
    <hyperlink ref="I8" location="纳税申报数据!A1" display="纳税申报数据"/>
    <hyperlink ref="I9" location="纳税调整明细表!A1" display="纳税调整明细表"/>
    <hyperlink ref="I10" location="资产负债!A1" display="资产负债表"/>
    <hyperlink ref="I11" location="申报主表!A1" display="申报主表"/>
    <hyperlink ref="I12" location="企业各税审核汇总表!A1" display="企业各税审核汇总表"/>
    <hyperlink ref="I13" location="主营收支!A1" display="主营业务收支审核表"/>
    <hyperlink ref="I14" location="其他业务!A1" display="其他业务利润审核表"/>
    <hyperlink ref="I15" location="利润!A1" display="利润及利润分配表"/>
    <hyperlink ref="I16" location="事项说明!A1" display="审核报告事项说明"/>
    <hyperlink ref="I18" location="收入与申报核对表!A1" display="收入与申报核对表!A1"/>
  </hyperlinks>
  <pageMargins left="0.78740157480314998" right="0.35433070866141703" top="0.511811023622047" bottom="0.11811023622047198" header="0.511811023622047" footer="0.511811023622047"/>
  <pageSetup paperSize="9" scale="98" firstPageNumber="0" orientation="portrait" blackAndWhite="1" r:id="rId1"/>
  <headerFooter alignWithMargins="0"/>
</worksheet>
</file>

<file path=xl/worksheets/sheet7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79">
    <pageSetUpPr fitToPage="1"/>
  </sheetPr>
  <dimension ref="A1:M125"/>
  <sheetViews>
    <sheetView workbookViewId="0">
      <selection activeCell="E37" sqref="E37"/>
    </sheetView>
  </sheetViews>
  <sheetFormatPr defaultRowHeight="15.6"/>
  <cols>
    <col min="1" max="1" width="4.5" style="771" customWidth="1"/>
    <col min="2" max="2" width="13.3984375" style="771" customWidth="1"/>
    <col min="3" max="8" width="12.8984375" style="771" customWidth="1"/>
    <col min="9" max="9" width="39" customWidth="1"/>
  </cols>
  <sheetData>
    <row r="1" spans="1:13" ht="27.75" customHeight="1">
      <c r="A1" s="3578" t="s">
        <v>212</v>
      </c>
      <c r="B1" s="3578"/>
      <c r="C1" s="3578"/>
      <c r="D1" s="3578"/>
      <c r="E1" s="3578"/>
      <c r="F1" s="3578"/>
      <c r="G1" s="3578"/>
      <c r="H1" s="3578"/>
      <c r="I1" s="3568"/>
      <c r="J1" s="84"/>
      <c r="K1" s="84"/>
      <c r="L1" s="84"/>
      <c r="M1" s="84"/>
    </row>
    <row r="2" spans="1:13" s="649" customFormat="1" ht="15" customHeight="1">
      <c r="A2" s="3190" t="str">
        <f>"委托单位："&amp;基本情况!$B$2</f>
        <v>委托单位：0</v>
      </c>
      <c r="B2" s="3190"/>
      <c r="C2" s="3190"/>
      <c r="D2" s="569"/>
      <c r="E2" s="136" t="s">
        <v>9</v>
      </c>
      <c r="F2" s="136" t="s">
        <v>883</v>
      </c>
      <c r="G2" s="3569" t="s">
        <v>283</v>
      </c>
      <c r="H2" s="3569"/>
      <c r="I2" s="3568"/>
      <c r="J2" s="648"/>
      <c r="K2" s="648"/>
      <c r="L2" s="648"/>
      <c r="M2" s="648"/>
    </row>
    <row r="3" spans="1:13" s="649" customFormat="1" ht="15" customHeight="1">
      <c r="A3" s="3190"/>
      <c r="B3" s="3190"/>
      <c r="C3" s="3190"/>
      <c r="D3" s="158" t="s">
        <v>451</v>
      </c>
      <c r="E3" s="510">
        <f>基本情况!B12</f>
        <v>0</v>
      </c>
      <c r="F3" s="559" t="str">
        <f>TEXT(基本情况!B21,"yyyy-mm-dd")</f>
        <v>2017-03-16</v>
      </c>
      <c r="G3" s="3579" t="s">
        <v>213</v>
      </c>
      <c r="H3" s="3579"/>
      <c r="I3" s="3568"/>
      <c r="J3" s="648"/>
      <c r="K3" s="648"/>
      <c r="L3" s="648"/>
      <c r="M3" s="648"/>
    </row>
    <row r="4" spans="1:13" s="649" customFormat="1" ht="15" customHeight="1">
      <c r="A4" s="3570" t="str">
        <f>"会计期间："&amp;基本情况!$B$7</f>
        <v>会计期间：2016年01月01日至2016年12月31日</v>
      </c>
      <c r="B4" s="3570"/>
      <c r="C4" s="3570"/>
      <c r="D4" s="140" t="s">
        <v>453</v>
      </c>
      <c r="E4" s="513">
        <f>基本情况!B11</f>
        <v>0</v>
      </c>
      <c r="F4" s="513" t="str">
        <f>TEXT(基本情况!B22,"yyyy-mm-dd")</f>
        <v>2017-05-04</v>
      </c>
      <c r="G4" s="3579"/>
      <c r="H4" s="3579"/>
      <c r="I4" s="3568"/>
      <c r="J4" s="648"/>
      <c r="K4" s="648"/>
      <c r="L4" s="648"/>
      <c r="M4" s="648"/>
    </row>
    <row r="5" spans="1:13" s="502" customFormat="1" ht="6.75" customHeight="1">
      <c r="A5" s="3085"/>
      <c r="B5" s="3085"/>
      <c r="C5" s="3085"/>
      <c r="D5" s="3085"/>
      <c r="E5" s="3085"/>
      <c r="F5" s="3085"/>
      <c r="G5" s="3085"/>
      <c r="H5" s="3085"/>
      <c r="I5" s="144"/>
      <c r="J5" s="144"/>
      <c r="K5" s="144"/>
      <c r="L5" s="144"/>
      <c r="M5" s="144"/>
    </row>
    <row r="6" spans="1:13" s="502" customFormat="1" ht="15" customHeight="1">
      <c r="A6" s="913" t="s">
        <v>176</v>
      </c>
      <c r="B6" s="914" t="s">
        <v>177</v>
      </c>
      <c r="C6" s="914" t="s">
        <v>178</v>
      </c>
      <c r="D6" s="915" t="s">
        <v>179</v>
      </c>
      <c r="E6" s="914" t="s">
        <v>180</v>
      </c>
      <c r="F6" s="914" t="s">
        <v>181</v>
      </c>
      <c r="G6" s="914" t="s">
        <v>182</v>
      </c>
      <c r="H6" s="485" t="s">
        <v>456</v>
      </c>
      <c r="I6" s="144"/>
      <c r="J6" s="144"/>
      <c r="K6" s="144"/>
      <c r="L6" s="144"/>
      <c r="M6" s="144"/>
    </row>
    <row r="7" spans="1:13" s="502" customFormat="1" ht="15" customHeight="1">
      <c r="A7" s="1271">
        <v>1</v>
      </c>
      <c r="B7" s="1272" t="s">
        <v>223</v>
      </c>
      <c r="C7" s="1273"/>
      <c r="D7" s="1274"/>
      <c r="E7" s="1273"/>
      <c r="F7" s="1245">
        <f t="shared" ref="F7:F24" si="0">D7-E7</f>
        <v>0</v>
      </c>
      <c r="G7" s="1273"/>
      <c r="H7" s="1267"/>
      <c r="I7" s="144"/>
      <c r="J7" s="144"/>
      <c r="K7" s="144"/>
      <c r="L7" s="144"/>
      <c r="M7" s="144"/>
    </row>
    <row r="8" spans="1:13" s="502" customFormat="1" ht="15" customHeight="1">
      <c r="A8" s="1271">
        <v>2</v>
      </c>
      <c r="B8" s="1272" t="s">
        <v>225</v>
      </c>
      <c r="C8" s="1273"/>
      <c r="D8" s="1274"/>
      <c r="E8" s="1246"/>
      <c r="F8" s="1245">
        <f t="shared" si="0"/>
        <v>0</v>
      </c>
      <c r="G8" s="1273"/>
      <c r="H8" s="1267"/>
      <c r="I8" s="144"/>
      <c r="J8" s="144"/>
      <c r="K8" s="144"/>
      <c r="L8" s="144"/>
      <c r="M8" s="144"/>
    </row>
    <row r="9" spans="1:13" s="502" customFormat="1" ht="18" customHeight="1">
      <c r="A9" s="1086">
        <v>3</v>
      </c>
      <c r="B9" s="916" t="s">
        <v>1271</v>
      </c>
      <c r="C9" s="1263">
        <f>SUM(主营税金!E8:E13)</f>
        <v>0</v>
      </c>
      <c r="D9" s="1245">
        <f>SUM(主营税金!G8:G13)+G9</f>
        <v>0</v>
      </c>
      <c r="E9" s="1246"/>
      <c r="F9" s="1245">
        <f t="shared" si="0"/>
        <v>0</v>
      </c>
      <c r="G9" s="1108"/>
      <c r="H9" s="164"/>
      <c r="I9" s="90" t="s">
        <v>396</v>
      </c>
      <c r="J9" s="144"/>
      <c r="K9" s="144"/>
      <c r="L9" s="144"/>
      <c r="M9" s="144"/>
    </row>
    <row r="10" spans="1:13" s="502" customFormat="1" ht="18" customHeight="1">
      <c r="A10" s="1271">
        <v>4</v>
      </c>
      <c r="B10" s="916" t="s">
        <v>1272</v>
      </c>
      <c r="C10" s="1264">
        <f>SUM(主营税金!E14:E19)+主营税金!E35+主营税金!E38</f>
        <v>0</v>
      </c>
      <c r="D10" s="1245">
        <f>SUM(主营税金!G14:G19)+主营税金!G35+主营税金!G38+G10</f>
        <v>0</v>
      </c>
      <c r="E10" s="1246"/>
      <c r="F10" s="1245">
        <f t="shared" si="0"/>
        <v>0</v>
      </c>
      <c r="G10" s="1108"/>
      <c r="H10" s="164"/>
      <c r="I10" s="232" t="s">
        <v>654</v>
      </c>
      <c r="J10" s="144"/>
      <c r="K10" s="144"/>
      <c r="L10" s="144"/>
      <c r="M10" s="144"/>
    </row>
    <row r="11" spans="1:13" s="502" customFormat="1" ht="18" customHeight="1">
      <c r="A11" s="1086">
        <v>5</v>
      </c>
      <c r="B11" s="916" t="s">
        <v>183</v>
      </c>
      <c r="C11" s="1264">
        <f>SUM(主营税金!E20:E25)+主营税金!E36+主营税金!E39</f>
        <v>0</v>
      </c>
      <c r="D11" s="1245">
        <f>SUM(主营税金!G20:G25)+主营税金!G36+主营税金!G39+G11</f>
        <v>0</v>
      </c>
      <c r="E11" s="1246"/>
      <c r="F11" s="1245">
        <f t="shared" si="0"/>
        <v>0</v>
      </c>
      <c r="G11" s="1108"/>
      <c r="H11" s="164"/>
      <c r="I11" s="232" t="s">
        <v>1292</v>
      </c>
      <c r="J11" s="144"/>
      <c r="K11" s="144"/>
      <c r="L11" s="144"/>
      <c r="M11" s="144"/>
    </row>
    <row r="12" spans="1:13" s="502" customFormat="1" ht="18" customHeight="1">
      <c r="A12" s="1271">
        <v>6</v>
      </c>
      <c r="B12" s="916" t="s">
        <v>1274</v>
      </c>
      <c r="C12" s="1264">
        <f>SUM(主营税金!E26:E31)+主营税金!E37+主营税金!E40</f>
        <v>0</v>
      </c>
      <c r="D12" s="1245">
        <f>SUM(主营税金!G26:G31)+主营税金!G37+主营税金!G40+G12</f>
        <v>0</v>
      </c>
      <c r="E12" s="1246"/>
      <c r="F12" s="1245">
        <f t="shared" si="0"/>
        <v>0</v>
      </c>
      <c r="G12" s="1108"/>
      <c r="H12" s="164"/>
      <c r="I12" s="232" t="s">
        <v>1289</v>
      </c>
      <c r="J12" s="144"/>
      <c r="K12" s="144"/>
      <c r="L12" s="144"/>
      <c r="M12" s="144"/>
    </row>
    <row r="13" spans="1:13" s="502" customFormat="1" ht="18" customHeight="1">
      <c r="A13" s="1086">
        <v>7</v>
      </c>
      <c r="B13" s="916" t="s">
        <v>227</v>
      </c>
      <c r="C13" s="1273"/>
      <c r="D13" s="1274"/>
      <c r="E13" s="1246"/>
      <c r="F13" s="1245">
        <f>D13-E13</f>
        <v>0</v>
      </c>
      <c r="G13" s="1273"/>
      <c r="H13" s="1267"/>
      <c r="I13" s="232"/>
      <c r="J13" s="144"/>
      <c r="K13" s="144"/>
      <c r="L13" s="144"/>
      <c r="M13" s="144"/>
    </row>
    <row r="14" spans="1:13" s="502" customFormat="1" ht="18" customHeight="1">
      <c r="A14" s="1271">
        <v>8</v>
      </c>
      <c r="B14" s="916" t="s">
        <v>231</v>
      </c>
      <c r="C14" s="1273"/>
      <c r="D14" s="1274"/>
      <c r="E14" s="1246"/>
      <c r="F14" s="1245">
        <f>D14-E14</f>
        <v>0</v>
      </c>
      <c r="G14" s="1273"/>
      <c r="H14" s="1267"/>
      <c r="I14" s="232"/>
      <c r="J14" s="144"/>
      <c r="K14" s="144"/>
      <c r="L14" s="144"/>
      <c r="M14" s="144"/>
    </row>
    <row r="15" spans="1:13" s="502" customFormat="1" ht="18" customHeight="1">
      <c r="A15" s="1086">
        <v>9</v>
      </c>
      <c r="B15" s="916" t="s">
        <v>1276</v>
      </c>
      <c r="C15" s="1265"/>
      <c r="D15" s="1245">
        <f ca="1">'A100000中华人民共和国企业所得税年度纳税申报表（A类）'!D34+G15</f>
        <v>0</v>
      </c>
      <c r="E15" s="1247">
        <f>纳税申报数据!K10</f>
        <v>0</v>
      </c>
      <c r="F15" s="1245">
        <f t="shared" ca="1" si="0"/>
        <v>0</v>
      </c>
      <c r="G15" s="1108"/>
      <c r="H15" s="164"/>
      <c r="I15" s="493" t="s">
        <v>649</v>
      </c>
      <c r="J15" s="144"/>
      <c r="K15" s="144"/>
      <c r="L15" s="144"/>
      <c r="M15" s="144"/>
    </row>
    <row r="16" spans="1:13" s="502" customFormat="1" ht="18" customHeight="1">
      <c r="A16" s="1271">
        <v>10</v>
      </c>
      <c r="B16" s="916" t="s">
        <v>1278</v>
      </c>
      <c r="C16" s="1263">
        <f>E50</f>
        <v>0</v>
      </c>
      <c r="D16" s="1245">
        <f>G50+G16</f>
        <v>0</v>
      </c>
      <c r="E16" s="1246"/>
      <c r="F16" s="1245">
        <f t="shared" si="0"/>
        <v>0</v>
      </c>
      <c r="G16" s="1108"/>
      <c r="H16" s="164"/>
      <c r="I16" s="493" t="s">
        <v>677</v>
      </c>
      <c r="J16" s="144"/>
      <c r="K16" s="144"/>
      <c r="L16" s="144"/>
      <c r="M16" s="144"/>
    </row>
    <row r="17" spans="1:13" s="502" customFormat="1" ht="18" customHeight="1">
      <c r="A17" s="1086">
        <v>11</v>
      </c>
      <c r="B17" s="916" t="s">
        <v>1280</v>
      </c>
      <c r="C17" s="1263">
        <f>E36</f>
        <v>0</v>
      </c>
      <c r="D17" s="1245">
        <f>G36+G17</f>
        <v>0</v>
      </c>
      <c r="E17" s="1246"/>
      <c r="F17" s="1245">
        <f t="shared" si="0"/>
        <v>0</v>
      </c>
      <c r="G17" s="1108"/>
      <c r="H17" s="164"/>
      <c r="I17" s="232" t="s">
        <v>296</v>
      </c>
      <c r="J17" s="144"/>
      <c r="K17" s="144"/>
      <c r="L17" s="144"/>
      <c r="M17" s="144"/>
    </row>
    <row r="18" spans="1:13" s="502" customFormat="1" ht="18" customHeight="1">
      <c r="A18" s="1271">
        <v>12</v>
      </c>
      <c r="B18" s="916" t="s">
        <v>184</v>
      </c>
      <c r="C18" s="1265"/>
      <c r="D18" s="1246"/>
      <c r="E18" s="1246"/>
      <c r="F18" s="1245">
        <f t="shared" si="0"/>
        <v>0</v>
      </c>
      <c r="G18" s="1108"/>
      <c r="H18" s="164"/>
      <c r="I18" s="232" t="s">
        <v>680</v>
      </c>
      <c r="J18" s="144"/>
      <c r="K18" s="144"/>
      <c r="L18" s="144"/>
      <c r="M18" s="144"/>
    </row>
    <row r="19" spans="1:13" s="502" customFormat="1" ht="18" customHeight="1">
      <c r="A19" s="1086">
        <v>13</v>
      </c>
      <c r="B19" s="916" t="s">
        <v>1279</v>
      </c>
      <c r="C19" s="1263">
        <f>E53</f>
        <v>0</v>
      </c>
      <c r="D19" s="1245">
        <f>G53+G19</f>
        <v>0</v>
      </c>
      <c r="E19" s="1246"/>
      <c r="F19" s="1245">
        <f t="shared" si="0"/>
        <v>0</v>
      </c>
      <c r="G19" s="1108"/>
      <c r="H19" s="164"/>
      <c r="I19" s="232" t="s">
        <v>643</v>
      </c>
      <c r="J19" s="144"/>
      <c r="K19" s="144"/>
      <c r="L19" s="144"/>
      <c r="M19" s="144"/>
    </row>
    <row r="20" spans="1:13" s="502" customFormat="1" ht="18" customHeight="1">
      <c r="A20" s="1271">
        <v>14</v>
      </c>
      <c r="B20" s="916" t="s">
        <v>229</v>
      </c>
      <c r="C20" s="1273"/>
      <c r="D20" s="1274"/>
      <c r="E20" s="1246"/>
      <c r="F20" s="1245">
        <f t="shared" si="0"/>
        <v>0</v>
      </c>
      <c r="G20" s="1273"/>
      <c r="H20" s="1267"/>
      <c r="I20" s="232"/>
      <c r="J20" s="144"/>
      <c r="K20" s="144"/>
      <c r="L20" s="144"/>
      <c r="M20" s="144"/>
    </row>
    <row r="21" spans="1:13" s="502" customFormat="1" ht="18" customHeight="1">
      <c r="A21" s="1086">
        <v>15</v>
      </c>
      <c r="B21" s="916" t="s">
        <v>185</v>
      </c>
      <c r="C21" s="1265"/>
      <c r="D21" s="1246"/>
      <c r="E21" s="1246"/>
      <c r="F21" s="1245">
        <f t="shared" si="0"/>
        <v>0</v>
      </c>
      <c r="G21" s="1108"/>
      <c r="H21" s="164"/>
      <c r="I21" s="232" t="s">
        <v>13</v>
      </c>
      <c r="J21" s="144"/>
      <c r="K21" s="144"/>
      <c r="L21" s="144"/>
      <c r="M21" s="144"/>
    </row>
    <row r="22" spans="1:13" s="502" customFormat="1" ht="18" customHeight="1">
      <c r="A22" s="1271">
        <v>16</v>
      </c>
      <c r="B22" s="916" t="s">
        <v>1275</v>
      </c>
      <c r="C22" s="1263">
        <f>SUM(主营税金!E32:E34)</f>
        <v>0</v>
      </c>
      <c r="D22" s="1245">
        <f>SUM(主营税金!G32:G34)+G22</f>
        <v>0</v>
      </c>
      <c r="E22" s="1246"/>
      <c r="F22" s="1245">
        <f t="shared" si="0"/>
        <v>0</v>
      </c>
      <c r="G22" s="1108"/>
      <c r="H22" s="164"/>
      <c r="I22" s="493"/>
      <c r="J22" s="144"/>
      <c r="K22" s="144"/>
      <c r="L22" s="144"/>
      <c r="M22" s="144"/>
    </row>
    <row r="23" spans="1:13" s="502" customFormat="1" ht="18" customHeight="1">
      <c r="A23" s="1086">
        <v>17</v>
      </c>
      <c r="B23" s="916" t="s">
        <v>1277</v>
      </c>
      <c r="C23" s="1265"/>
      <c r="D23" s="1246"/>
      <c r="E23" s="1246"/>
      <c r="F23" s="1245">
        <f t="shared" si="0"/>
        <v>0</v>
      </c>
      <c r="G23" s="1108"/>
      <c r="H23" s="164"/>
      <c r="I23" s="232" t="s">
        <v>14</v>
      </c>
      <c r="J23" s="144"/>
      <c r="K23" s="144"/>
      <c r="L23" s="144"/>
      <c r="M23" s="144"/>
    </row>
    <row r="24" spans="1:13" s="502" customFormat="1" ht="18" hidden="1" customHeight="1">
      <c r="A24" s="1086">
        <v>13</v>
      </c>
      <c r="B24" s="507"/>
      <c r="C24" s="1248"/>
      <c r="D24" s="1246"/>
      <c r="E24" s="1246"/>
      <c r="F24" s="1245">
        <f t="shared" si="0"/>
        <v>0</v>
      </c>
      <c r="G24" s="1108"/>
      <c r="H24" s="164"/>
      <c r="I24" s="493"/>
      <c r="J24" s="144"/>
      <c r="K24" s="144"/>
      <c r="L24" s="144"/>
      <c r="M24" s="144"/>
    </row>
    <row r="25" spans="1:13" s="502" customFormat="1" ht="18" customHeight="1">
      <c r="A25" s="917"/>
      <c r="B25" s="918" t="s">
        <v>186</v>
      </c>
      <c r="C25" s="1249">
        <f>SUM(C7:C24)</f>
        <v>0</v>
      </c>
      <c r="D25" s="1249">
        <f ca="1">SUM(D7:D24)+G25</f>
        <v>0</v>
      </c>
      <c r="E25" s="1249">
        <f>SUM(E7:E24)</f>
        <v>0</v>
      </c>
      <c r="F25" s="1249">
        <f ca="1">SUM(F7:F24)</f>
        <v>0</v>
      </c>
      <c r="G25" s="1249">
        <f>SUM(G7:G24)</f>
        <v>0</v>
      </c>
      <c r="H25" s="167"/>
      <c r="I25" s="493"/>
      <c r="J25" s="144"/>
      <c r="K25" s="144"/>
      <c r="L25" s="144"/>
      <c r="M25" s="144"/>
    </row>
    <row r="26" spans="1:13" s="502" customFormat="1" ht="18" customHeight="1">
      <c r="A26" s="3580" t="s">
        <v>1324</v>
      </c>
      <c r="B26" s="3580"/>
      <c r="C26" s="3581" t="s">
        <v>175</v>
      </c>
      <c r="D26" s="3581"/>
      <c r="E26" s="3581"/>
      <c r="F26" s="3581"/>
      <c r="G26" s="3582" t="str">
        <f ca="1">IF(F25&lt;&gt;0,"、E","")</f>
        <v/>
      </c>
      <c r="H26" s="3582"/>
      <c r="I26" s="493"/>
      <c r="J26" s="144"/>
      <c r="K26" s="144"/>
      <c r="L26" s="144"/>
      <c r="M26" s="144"/>
    </row>
    <row r="27" spans="1:13" s="502" customFormat="1" ht="18.75" customHeight="1">
      <c r="A27" s="3583" t="s">
        <v>575</v>
      </c>
      <c r="B27" s="3583"/>
      <c r="C27" s="3584" t="str">
        <f ca="1">IF(F25=0,"税金缴纳正确，认可！","税金计算缴纳有误，处理后认可！")</f>
        <v>税金缴纳正确，认可！</v>
      </c>
      <c r="D27" s="3585"/>
      <c r="E27" s="3585"/>
      <c r="F27" s="3585"/>
      <c r="G27" s="3585"/>
      <c r="H27" s="3586"/>
      <c r="I27" s="493"/>
      <c r="J27" s="144"/>
      <c r="K27" s="144"/>
      <c r="L27" s="144"/>
      <c r="M27" s="144"/>
    </row>
    <row r="28" spans="1:13" s="502" customFormat="1" ht="18" customHeight="1">
      <c r="A28" s="3577"/>
      <c r="B28" s="3577"/>
      <c r="C28" s="3577"/>
      <c r="D28" s="3577"/>
      <c r="E28" s="3577"/>
      <c r="F28" s="3577"/>
      <c r="G28" s="3577"/>
      <c r="H28" s="3577"/>
      <c r="I28" s="907"/>
      <c r="J28" s="144"/>
      <c r="K28" s="144"/>
      <c r="L28" s="144"/>
      <c r="M28" s="144"/>
    </row>
    <row r="29" spans="1:13" s="502" customFormat="1" ht="18" customHeight="1">
      <c r="A29" s="3589" t="s">
        <v>214</v>
      </c>
      <c r="B29" s="3589"/>
      <c r="C29" s="3589"/>
      <c r="D29" s="3589"/>
      <c r="E29" s="3589"/>
      <c r="F29" s="3589"/>
      <c r="G29" s="3589"/>
      <c r="H29" s="3589"/>
      <c r="I29" s="2294"/>
      <c r="J29" s="908"/>
      <c r="K29" s="908"/>
      <c r="L29" s="908"/>
      <c r="M29" s="908"/>
    </row>
    <row r="30" spans="1:13" s="502" customFormat="1" ht="15" customHeight="1">
      <c r="A30" s="3190" t="str">
        <f>"委托单位："&amp;基本情况!$B$2</f>
        <v>委托单位：0</v>
      </c>
      <c r="B30" s="3190"/>
      <c r="C30" s="3190"/>
      <c r="D30" s="569"/>
      <c r="E30" s="136" t="s">
        <v>9</v>
      </c>
      <c r="F30" s="136" t="s">
        <v>883</v>
      </c>
      <c r="G30" s="3569" t="s">
        <v>283</v>
      </c>
      <c r="H30" s="3569"/>
      <c r="I30" s="2294"/>
      <c r="J30" s="908"/>
      <c r="K30" s="908"/>
      <c r="L30" s="908"/>
      <c r="M30" s="908"/>
    </row>
    <row r="31" spans="1:13" s="502" customFormat="1" ht="15" customHeight="1">
      <c r="A31" s="3190"/>
      <c r="B31" s="3190"/>
      <c r="C31" s="3190"/>
      <c r="D31" s="158" t="s">
        <v>451</v>
      </c>
      <c r="E31" s="510">
        <f>基本情况!B12</f>
        <v>0</v>
      </c>
      <c r="F31" s="559" t="str">
        <f>TEXT(基本情况!B21,"yyyy-mm-dd")</f>
        <v>2017-03-16</v>
      </c>
      <c r="G31" s="3579" t="s">
        <v>215</v>
      </c>
      <c r="H31" s="3579"/>
      <c r="I31" s="2294"/>
      <c r="J31" s="908"/>
      <c r="K31" s="908"/>
      <c r="L31" s="908"/>
      <c r="M31" s="908"/>
    </row>
    <row r="32" spans="1:13" s="502" customFormat="1" ht="18" customHeight="1">
      <c r="A32" s="3570" t="str">
        <f>"会计期间："&amp;基本情况!$B$7</f>
        <v>会计期间：2016年01月01日至2016年12月31日</v>
      </c>
      <c r="B32" s="3570"/>
      <c r="C32" s="3570"/>
      <c r="D32" s="140" t="s">
        <v>453</v>
      </c>
      <c r="E32" s="513">
        <f>基本情况!B11</f>
        <v>0</v>
      </c>
      <c r="F32" s="513" t="str">
        <f>TEXT(基本情况!B22,"yyyy-mm-dd")</f>
        <v>2017-05-04</v>
      </c>
      <c r="G32" s="3579"/>
      <c r="H32" s="3579"/>
      <c r="I32" s="2294"/>
      <c r="J32" s="908"/>
      <c r="K32" s="908"/>
      <c r="L32" s="908"/>
      <c r="M32" s="908"/>
    </row>
    <row r="33" spans="1:13" s="502" customFormat="1" ht="6.75" customHeight="1">
      <c r="A33" s="3085"/>
      <c r="B33" s="3085"/>
      <c r="C33" s="3085"/>
      <c r="D33" s="3085"/>
      <c r="E33" s="3085"/>
      <c r="F33" s="3085"/>
      <c r="G33" s="3085"/>
      <c r="H33" s="3085"/>
      <c r="I33" s="2294"/>
      <c r="J33" s="908"/>
      <c r="K33" s="908"/>
      <c r="L33" s="908"/>
      <c r="M33" s="908"/>
    </row>
    <row r="34" spans="1:13" s="502" customFormat="1" ht="15" customHeight="1">
      <c r="A34" s="3587" t="s">
        <v>454</v>
      </c>
      <c r="B34" s="3588" t="s">
        <v>666</v>
      </c>
      <c r="C34" s="3590" t="s">
        <v>157</v>
      </c>
      <c r="D34" s="3588" t="s">
        <v>187</v>
      </c>
      <c r="E34" s="3588" t="s">
        <v>188</v>
      </c>
      <c r="F34" s="3588"/>
      <c r="G34" s="3588"/>
      <c r="H34" s="919" t="s">
        <v>456</v>
      </c>
      <c r="I34" s="2294"/>
      <c r="J34" s="908"/>
      <c r="K34" s="908"/>
      <c r="L34" s="908"/>
      <c r="M34" s="908"/>
    </row>
    <row r="35" spans="1:13" s="502" customFormat="1" ht="15" customHeight="1">
      <c r="A35" s="3587"/>
      <c r="B35" s="3588"/>
      <c r="C35" s="3590"/>
      <c r="D35" s="3588"/>
      <c r="E35" s="920" t="s">
        <v>160</v>
      </c>
      <c r="F35" s="921" t="s">
        <v>981</v>
      </c>
      <c r="G35" s="921" t="s">
        <v>503</v>
      </c>
      <c r="H35" s="922" t="s">
        <v>1635</v>
      </c>
      <c r="I35" s="2294"/>
      <c r="J35" s="908"/>
      <c r="K35" s="908"/>
      <c r="L35" s="908"/>
      <c r="M35" s="908"/>
    </row>
    <row r="36" spans="1:13" s="502" customFormat="1" ht="18" customHeight="1">
      <c r="A36" s="1090">
        <v>1</v>
      </c>
      <c r="B36" s="923" t="s">
        <v>189</v>
      </c>
      <c r="C36" s="1251">
        <f>SUM(C37:C49)</f>
        <v>0</v>
      </c>
      <c r="D36" s="924"/>
      <c r="E36" s="1250">
        <f>SUM(E37:E49)</f>
        <v>0</v>
      </c>
      <c r="F36" s="1251">
        <f>SUM(F37:F49)</f>
        <v>0</v>
      </c>
      <c r="G36" s="1250">
        <f>SUM(G37:G49)</f>
        <v>0</v>
      </c>
      <c r="H36" s="925"/>
      <c r="I36" s="2294"/>
      <c r="J36" s="908"/>
      <c r="K36" s="908"/>
      <c r="L36" s="908"/>
      <c r="M36" s="908"/>
    </row>
    <row r="37" spans="1:13" s="502" customFormat="1" ht="18" customHeight="1">
      <c r="A37" s="1087"/>
      <c r="B37" s="926" t="s">
        <v>190</v>
      </c>
      <c r="C37" s="1252"/>
      <c r="D37" s="921" t="s">
        <v>191</v>
      </c>
      <c r="E37" s="1252"/>
      <c r="F37" s="1253">
        <f>G37-E37</f>
        <v>0</v>
      </c>
      <c r="G37" s="1254">
        <f>ROUND(C37*0.0003,2)+H37</f>
        <v>0</v>
      </c>
      <c r="H37" s="1187"/>
      <c r="I37" s="2294"/>
      <c r="J37" s="908"/>
      <c r="K37" s="908"/>
      <c r="L37" s="908"/>
      <c r="M37" s="908"/>
    </row>
    <row r="38" spans="1:13" s="502" customFormat="1" ht="24">
      <c r="A38" s="1087"/>
      <c r="B38" s="927" t="s">
        <v>192</v>
      </c>
      <c r="C38" s="1252">
        <v>0</v>
      </c>
      <c r="D38" s="921" t="s">
        <v>191</v>
      </c>
      <c r="E38" s="1252">
        <v>0</v>
      </c>
      <c r="F38" s="1253">
        <f t="shared" ref="F38:F55" si="1">G38-E38</f>
        <v>0</v>
      </c>
      <c r="G38" s="1254">
        <f>ROUND(C38*0.0003,2)+H38</f>
        <v>0</v>
      </c>
      <c r="H38" s="1187"/>
      <c r="I38" s="820"/>
      <c r="J38" s="908"/>
      <c r="K38" s="908"/>
      <c r="L38" s="908"/>
      <c r="M38" s="908"/>
    </row>
    <row r="39" spans="1:13" s="502" customFormat="1" ht="18" customHeight="1">
      <c r="A39" s="1087"/>
      <c r="B39" s="927" t="s">
        <v>193</v>
      </c>
      <c r="C39" s="1252">
        <v>0</v>
      </c>
      <c r="D39" s="921" t="s">
        <v>191</v>
      </c>
      <c r="E39" s="1252">
        <v>0</v>
      </c>
      <c r="F39" s="1253">
        <f t="shared" si="1"/>
        <v>0</v>
      </c>
      <c r="G39" s="1254">
        <f>ROUND(C39*0.0003,2)+H39</f>
        <v>0</v>
      </c>
      <c r="H39" s="1187"/>
      <c r="I39" s="3194"/>
      <c r="J39" s="3194"/>
      <c r="K39" s="3194"/>
      <c r="L39" s="908"/>
      <c r="M39" s="908"/>
    </row>
    <row r="40" spans="1:13" s="502" customFormat="1" ht="18" customHeight="1">
      <c r="A40" s="1087"/>
      <c r="B40" s="926" t="s">
        <v>194</v>
      </c>
      <c r="C40" s="1252">
        <v>0</v>
      </c>
      <c r="D40" s="921" t="s">
        <v>195</v>
      </c>
      <c r="E40" s="1252">
        <v>0</v>
      </c>
      <c r="F40" s="1253">
        <f t="shared" si="1"/>
        <v>0</v>
      </c>
      <c r="G40" s="1254">
        <f>ROUND(C40*0.001,2)+H40</f>
        <v>0</v>
      </c>
      <c r="H40" s="1187"/>
      <c r="I40" s="144"/>
      <c r="J40" s="144"/>
      <c r="K40" s="144"/>
      <c r="L40" s="908"/>
      <c r="M40" s="908"/>
    </row>
    <row r="41" spans="1:13" s="502" customFormat="1" ht="18" customHeight="1">
      <c r="A41" s="1087"/>
      <c r="B41" s="926" t="s">
        <v>196</v>
      </c>
      <c r="C41" s="1252">
        <v>0</v>
      </c>
      <c r="D41" s="921" t="s">
        <v>195</v>
      </c>
      <c r="E41" s="1252">
        <v>0</v>
      </c>
      <c r="F41" s="1253">
        <f t="shared" si="1"/>
        <v>0</v>
      </c>
      <c r="G41" s="1254">
        <f>ROUND(C41*0.001,2)+H41</f>
        <v>0</v>
      </c>
      <c r="H41" s="1187"/>
      <c r="I41" s="3194"/>
      <c r="J41" s="3194"/>
      <c r="K41" s="3194"/>
      <c r="L41" s="908"/>
      <c r="M41" s="908"/>
    </row>
    <row r="42" spans="1:13" s="502" customFormat="1" ht="18" customHeight="1">
      <c r="A42" s="1087"/>
      <c r="B42" s="926" t="s">
        <v>197</v>
      </c>
      <c r="C42" s="1252">
        <v>0</v>
      </c>
      <c r="D42" s="921" t="s">
        <v>195</v>
      </c>
      <c r="E42" s="1252">
        <v>0</v>
      </c>
      <c r="F42" s="1253">
        <f t="shared" si="1"/>
        <v>0</v>
      </c>
      <c r="G42" s="1254">
        <f>ROUND(C42*0.001,2)+H42</f>
        <v>0</v>
      </c>
      <c r="H42" s="1187"/>
      <c r="I42" s="144"/>
      <c r="J42" s="144"/>
      <c r="K42" s="144"/>
      <c r="L42" s="908"/>
      <c r="M42" s="908"/>
    </row>
    <row r="43" spans="1:13" s="502" customFormat="1" ht="18" customHeight="1">
      <c r="A43" s="1087"/>
      <c r="B43" s="926" t="s">
        <v>198</v>
      </c>
      <c r="C43" s="1252">
        <v>0</v>
      </c>
      <c r="D43" s="921" t="s">
        <v>199</v>
      </c>
      <c r="E43" s="1252">
        <v>0</v>
      </c>
      <c r="F43" s="1253">
        <f>G43-E43</f>
        <v>0</v>
      </c>
      <c r="G43" s="1254">
        <f>ROUND(C43*0.0005,2)+H43</f>
        <v>0</v>
      </c>
      <c r="H43" s="1187"/>
      <c r="I43" s="3571"/>
      <c r="J43" s="3571"/>
      <c r="K43" s="144"/>
      <c r="L43" s="908"/>
      <c r="M43" s="908"/>
    </row>
    <row r="44" spans="1:13" s="502" customFormat="1" ht="18" customHeight="1">
      <c r="A44" s="1087"/>
      <c r="B44" s="926" t="s">
        <v>200</v>
      </c>
      <c r="C44" s="1252">
        <v>0</v>
      </c>
      <c r="D44" s="921" t="s">
        <v>199</v>
      </c>
      <c r="E44" s="1252">
        <v>0</v>
      </c>
      <c r="F44" s="1253">
        <f t="shared" si="1"/>
        <v>0</v>
      </c>
      <c r="G44" s="1254">
        <f>ROUND(C44*0.0005,2)+H44</f>
        <v>0</v>
      </c>
      <c r="H44" s="1187"/>
      <c r="I44" s="144"/>
      <c r="J44" s="144"/>
      <c r="K44" s="144"/>
      <c r="L44" s="908"/>
      <c r="M44" s="908"/>
    </row>
    <row r="45" spans="1:13" s="502" customFormat="1" ht="18" customHeight="1">
      <c r="A45" s="1087"/>
      <c r="B45" s="926" t="s">
        <v>201</v>
      </c>
      <c r="C45" s="1252">
        <v>0</v>
      </c>
      <c r="D45" s="921" t="s">
        <v>199</v>
      </c>
      <c r="E45" s="1252">
        <v>0</v>
      </c>
      <c r="F45" s="1253">
        <f t="shared" si="1"/>
        <v>0</v>
      </c>
      <c r="G45" s="1254">
        <f>ROUND(C45*0.0005,2)+H45</f>
        <v>0</v>
      </c>
      <c r="H45" s="1187"/>
      <c r="I45" s="3194"/>
      <c r="J45" s="3194"/>
      <c r="K45" s="144"/>
      <c r="L45" s="908"/>
      <c r="M45" s="908"/>
    </row>
    <row r="46" spans="1:13" s="502" customFormat="1" ht="13.8">
      <c r="A46" s="1087"/>
      <c r="B46" s="926" t="s">
        <v>202</v>
      </c>
      <c r="C46" s="1252">
        <v>0</v>
      </c>
      <c r="D46" s="921" t="s">
        <v>199</v>
      </c>
      <c r="E46" s="1252">
        <v>0</v>
      </c>
      <c r="F46" s="1253">
        <f t="shared" si="1"/>
        <v>0</v>
      </c>
      <c r="G46" s="1254">
        <f>ROUND(C46*0.0005,2)+H46</f>
        <v>0</v>
      </c>
      <c r="H46" s="1187"/>
      <c r="I46" s="144"/>
      <c r="J46" s="144"/>
      <c r="K46" s="144"/>
      <c r="L46" s="144"/>
      <c r="M46" s="144"/>
    </row>
    <row r="47" spans="1:13" s="502" customFormat="1">
      <c r="A47" s="1087"/>
      <c r="B47" s="926" t="s">
        <v>203</v>
      </c>
      <c r="C47" s="1252">
        <v>0</v>
      </c>
      <c r="D47" s="921" t="s">
        <v>204</v>
      </c>
      <c r="E47" s="1252">
        <v>0</v>
      </c>
      <c r="F47" s="1253">
        <f t="shared" si="1"/>
        <v>0</v>
      </c>
      <c r="G47" s="1254">
        <f>ROUND(C47*0.00005,2)+H47</f>
        <v>0</v>
      </c>
      <c r="H47" s="1187"/>
      <c r="I47" s="3194"/>
      <c r="J47" s="3194"/>
      <c r="K47" s="144"/>
      <c r="L47" s="144"/>
      <c r="M47" s="144"/>
    </row>
    <row r="48" spans="1:13" s="502" customFormat="1" ht="24">
      <c r="A48" s="1087"/>
      <c r="B48" s="927" t="s">
        <v>205</v>
      </c>
      <c r="C48" s="1252">
        <v>0</v>
      </c>
      <c r="D48" s="921">
        <v>5</v>
      </c>
      <c r="E48" s="1252">
        <v>0</v>
      </c>
      <c r="F48" s="1253">
        <f t="shared" si="1"/>
        <v>0</v>
      </c>
      <c r="G48" s="1254">
        <f>ROUND(D48*C48,2)+H48</f>
        <v>0</v>
      </c>
      <c r="H48" s="1187"/>
      <c r="I48" s="144"/>
      <c r="J48" s="144"/>
      <c r="K48" s="144"/>
      <c r="L48" s="144"/>
      <c r="M48" s="144"/>
    </row>
    <row r="49" spans="1:13" s="502" customFormat="1" ht="24">
      <c r="A49" s="1087"/>
      <c r="B49" s="927" t="s">
        <v>206</v>
      </c>
      <c r="C49" s="1252">
        <v>0</v>
      </c>
      <c r="D49" s="921" t="s">
        <v>204</v>
      </c>
      <c r="E49" s="1252">
        <v>0</v>
      </c>
      <c r="F49" s="1253">
        <f t="shared" si="1"/>
        <v>0</v>
      </c>
      <c r="G49" s="1254">
        <f>ROUND(C49*0.0005,2)+H49</f>
        <v>0</v>
      </c>
      <c r="H49" s="1187"/>
      <c r="I49" s="3194"/>
      <c r="J49" s="3194"/>
      <c r="K49" s="144"/>
      <c r="L49" s="144"/>
      <c r="M49" s="144"/>
    </row>
    <row r="50" spans="1:13" s="502" customFormat="1" ht="13.8">
      <c r="A50" s="1087">
        <v>2</v>
      </c>
      <c r="B50" s="927" t="s">
        <v>207</v>
      </c>
      <c r="C50" s="1253">
        <f>SUM(C51:C52)</f>
        <v>0</v>
      </c>
      <c r="D50" s="928"/>
      <c r="E50" s="1254">
        <f>SUM(E51:E52)</f>
        <v>0</v>
      </c>
      <c r="F50" s="1253">
        <f>SUM(F51:F52)</f>
        <v>0</v>
      </c>
      <c r="G50" s="1254">
        <f>SUM(G51:G52)</f>
        <v>0</v>
      </c>
      <c r="H50" s="1187"/>
      <c r="I50" s="144"/>
      <c r="J50" s="144"/>
      <c r="K50" s="144"/>
      <c r="L50" s="144"/>
      <c r="M50" s="144"/>
    </row>
    <row r="51" spans="1:13" s="502" customFormat="1">
      <c r="A51" s="1087"/>
      <c r="B51" s="926" t="s">
        <v>208</v>
      </c>
      <c r="C51" s="1252"/>
      <c r="D51" s="163"/>
      <c r="E51" s="1252"/>
      <c r="F51" s="1253">
        <f t="shared" si="1"/>
        <v>0</v>
      </c>
      <c r="G51" s="1254">
        <f>ROUND(D51*C51,2)+H51</f>
        <v>0</v>
      </c>
      <c r="H51" s="1187"/>
      <c r="I51" s="232"/>
      <c r="J51" s="144"/>
      <c r="K51" s="144"/>
      <c r="L51" s="144"/>
      <c r="M51" s="144"/>
    </row>
    <row r="52" spans="1:13" s="502" customFormat="1" ht="13.8">
      <c r="A52" s="1087"/>
      <c r="B52" s="926" t="s">
        <v>209</v>
      </c>
      <c r="C52" s="1252"/>
      <c r="D52" s="929">
        <v>1.2E-2</v>
      </c>
      <c r="E52" s="1252"/>
      <c r="F52" s="1253">
        <f t="shared" si="1"/>
        <v>0</v>
      </c>
      <c r="G52" s="1254">
        <f>ROUND(D52*C52,2)+H52</f>
        <v>0</v>
      </c>
      <c r="H52" s="1187"/>
      <c r="I52" s="144"/>
      <c r="J52" s="144"/>
      <c r="K52" s="144"/>
      <c r="L52" s="144"/>
      <c r="M52" s="144"/>
    </row>
    <row r="53" spans="1:13" s="502" customFormat="1" ht="20.25" customHeight="1">
      <c r="A53" s="1089">
        <v>3</v>
      </c>
      <c r="B53" s="926" t="s">
        <v>1279</v>
      </c>
      <c r="C53" s="1252"/>
      <c r="D53" s="930"/>
      <c r="E53" s="1252"/>
      <c r="F53" s="1253">
        <f t="shared" si="1"/>
        <v>0</v>
      </c>
      <c r="G53" s="1254">
        <f>ROUND(D53*C53,2)+H53</f>
        <v>0</v>
      </c>
      <c r="H53" s="1187"/>
      <c r="I53" s="232"/>
      <c r="J53" s="144"/>
      <c r="K53" s="144"/>
      <c r="L53" s="144"/>
      <c r="M53" s="144"/>
    </row>
    <row r="54" spans="1:13" s="607" customFormat="1" ht="20.25" hidden="1" customHeight="1">
      <c r="A54" s="1088"/>
      <c r="B54" s="931"/>
      <c r="C54" s="932"/>
      <c r="D54" s="933"/>
      <c r="E54" s="1252"/>
      <c r="F54" s="1253">
        <f t="shared" si="1"/>
        <v>0</v>
      </c>
      <c r="G54" s="1254">
        <f>D54*C54+H54</f>
        <v>0</v>
      </c>
      <c r="H54" s="1187"/>
      <c r="I54" s="144"/>
      <c r="J54" s="144"/>
      <c r="K54" s="144"/>
      <c r="L54" s="606"/>
      <c r="M54" s="606"/>
    </row>
    <row r="55" spans="1:13" s="607" customFormat="1" ht="20.25" hidden="1" customHeight="1">
      <c r="A55" s="1091"/>
      <c r="B55" s="934"/>
      <c r="C55" s="935"/>
      <c r="D55" s="934"/>
      <c r="E55" s="1255"/>
      <c r="F55" s="1253">
        <f t="shared" si="1"/>
        <v>0</v>
      </c>
      <c r="G55" s="1256">
        <f>D55*C55+H55</f>
        <v>0</v>
      </c>
      <c r="H55" s="1188"/>
      <c r="I55" s="232"/>
      <c r="J55" s="144"/>
      <c r="K55" s="144"/>
      <c r="L55" s="606"/>
      <c r="M55" s="606"/>
    </row>
    <row r="56" spans="1:13" s="607" customFormat="1" ht="20.25" customHeight="1">
      <c r="A56" s="3587" t="s">
        <v>965</v>
      </c>
      <c r="B56" s="3587"/>
      <c r="C56" s="3587"/>
      <c r="D56" s="936"/>
      <c r="E56" s="1257">
        <f>E36+E50+E53+E54+E55</f>
        <v>0</v>
      </c>
      <c r="F56" s="1257">
        <f>F36+F50+F53+F54+F55</f>
        <v>0</v>
      </c>
      <c r="G56" s="1257">
        <f>G36+G50+G53+G54+G55</f>
        <v>0</v>
      </c>
      <c r="H56" s="1189"/>
      <c r="I56" s="232"/>
      <c r="J56" s="144"/>
      <c r="K56" s="144"/>
    </row>
    <row r="57" spans="1:13" s="649" customFormat="1" ht="15" customHeight="1">
      <c r="A57" s="3595" t="s">
        <v>210</v>
      </c>
      <c r="B57" s="3595"/>
      <c r="C57" s="3596" t="s">
        <v>175</v>
      </c>
      <c r="D57" s="3596"/>
      <c r="E57" s="3596"/>
      <c r="F57" s="3597" t="str">
        <f>IF(F56&lt;&gt;0,"、E","")</f>
        <v/>
      </c>
      <c r="G57" s="3597"/>
      <c r="H57" s="3597"/>
      <c r="I57" s="232"/>
      <c r="J57" s="144"/>
      <c r="K57" s="144"/>
      <c r="L57" s="648"/>
      <c r="M57" s="648"/>
    </row>
    <row r="58" spans="1:13" s="649" customFormat="1" ht="15.75" customHeight="1">
      <c r="A58" s="3591" t="s">
        <v>211</v>
      </c>
      <c r="B58" s="3591"/>
      <c r="C58" s="3592" t="str">
        <f>IF(F56=0,"税金计算正确，认可！","税金计算有误，处理后认可！")</f>
        <v>税金计算正确，认可！</v>
      </c>
      <c r="D58" s="3593"/>
      <c r="E58" s="3593"/>
      <c r="F58" s="3593"/>
      <c r="G58" s="3593"/>
      <c r="H58" s="3594"/>
      <c r="I58" s="144"/>
      <c r="J58" s="144"/>
      <c r="K58" s="144"/>
      <c r="L58" s="648"/>
      <c r="M58" s="648"/>
    </row>
    <row r="59" spans="1:13" s="607" customFormat="1" ht="20.25" customHeight="1">
      <c r="A59" s="942"/>
      <c r="B59" s="942"/>
      <c r="C59" s="942"/>
      <c r="D59" s="942"/>
      <c r="E59" s="942"/>
      <c r="F59" s="942"/>
      <c r="G59" s="942"/>
      <c r="H59" s="942"/>
      <c r="I59" s="606"/>
      <c r="J59" s="606"/>
      <c r="K59" s="606"/>
    </row>
    <row r="60" spans="1:13" s="607" customFormat="1" ht="20.25" customHeight="1">
      <c r="A60" s="942"/>
      <c r="B60" s="942"/>
      <c r="C60" s="942"/>
      <c r="D60" s="942"/>
      <c r="E60" s="942"/>
      <c r="F60" s="942"/>
      <c r="G60" s="942"/>
      <c r="H60" s="942"/>
      <c r="I60" s="606"/>
      <c r="J60" s="606"/>
      <c r="K60" s="606"/>
    </row>
    <row r="61" spans="1:13" s="607" customFormat="1" ht="20.25" customHeight="1">
      <c r="A61" s="942"/>
      <c r="B61" s="942"/>
      <c r="C61" s="942"/>
      <c r="D61" s="942"/>
      <c r="E61" s="942"/>
      <c r="F61" s="942"/>
      <c r="G61" s="942"/>
      <c r="H61" s="942"/>
      <c r="I61" s="606"/>
      <c r="J61" s="606"/>
      <c r="K61" s="606"/>
    </row>
    <row r="62" spans="1:13" s="607" customFormat="1" ht="20.25" customHeight="1">
      <c r="A62" s="942"/>
      <c r="B62" s="942"/>
      <c r="C62" s="942"/>
      <c r="D62" s="942"/>
      <c r="E62" s="942"/>
      <c r="F62" s="942"/>
      <c r="G62" s="942"/>
      <c r="H62" s="942"/>
      <c r="I62" s="606"/>
      <c r="J62" s="606"/>
      <c r="K62" s="606"/>
    </row>
    <row r="63" spans="1:13" s="607" customFormat="1" ht="20.25" customHeight="1">
      <c r="A63" s="942"/>
      <c r="B63" s="942"/>
      <c r="C63" s="942"/>
      <c r="D63" s="942"/>
      <c r="E63" s="942"/>
      <c r="F63" s="942"/>
      <c r="G63" s="942"/>
      <c r="H63" s="942"/>
      <c r="I63" s="606"/>
      <c r="J63" s="606"/>
      <c r="K63" s="606"/>
    </row>
    <row r="64" spans="1:13" s="607" customFormat="1" ht="20.25" customHeight="1">
      <c r="A64" s="942"/>
      <c r="B64" s="942"/>
      <c r="C64" s="942"/>
      <c r="D64" s="942"/>
      <c r="E64" s="942"/>
      <c r="F64" s="942"/>
      <c r="G64" s="942"/>
      <c r="H64" s="942"/>
      <c r="I64" s="606"/>
      <c r="J64" s="606"/>
      <c r="K64" s="606"/>
    </row>
    <row r="65" spans="1:13" s="607" customFormat="1" ht="20.25" customHeight="1">
      <c r="A65" s="942"/>
      <c r="B65" s="942"/>
      <c r="C65" s="942"/>
      <c r="D65" s="942"/>
      <c r="E65" s="942"/>
      <c r="F65" s="942"/>
      <c r="G65" s="942"/>
      <c r="H65" s="942"/>
      <c r="I65" s="606"/>
      <c r="J65" s="606"/>
      <c r="K65" s="606"/>
    </row>
    <row r="66" spans="1:13" s="607" customFormat="1" ht="20.25" customHeight="1">
      <c r="A66" s="942"/>
      <c r="B66" s="942"/>
      <c r="C66" s="942"/>
      <c r="D66" s="942"/>
      <c r="E66" s="942"/>
      <c r="F66" s="942"/>
      <c r="G66" s="942"/>
      <c r="H66" s="942"/>
      <c r="I66" s="606"/>
      <c r="J66" s="606"/>
      <c r="K66" s="606"/>
    </row>
    <row r="67" spans="1:13" s="607" customFormat="1" ht="28.5" customHeight="1">
      <c r="A67" s="942"/>
      <c r="B67" s="942"/>
      <c r="C67" s="942"/>
      <c r="D67" s="942"/>
      <c r="E67" s="942"/>
      <c r="F67" s="942"/>
      <c r="G67" s="942"/>
      <c r="H67" s="942"/>
      <c r="I67" s="606"/>
      <c r="J67" s="606"/>
      <c r="K67" s="606"/>
    </row>
    <row r="68" spans="1:13" s="607" customFormat="1" ht="20.25" customHeight="1">
      <c r="A68" s="942"/>
      <c r="B68" s="942"/>
      <c r="C68" s="942"/>
      <c r="D68" s="942"/>
      <c r="E68" s="942"/>
      <c r="F68" s="942"/>
      <c r="G68" s="942"/>
      <c r="H68" s="942"/>
      <c r="I68" s="606"/>
      <c r="J68" s="606"/>
      <c r="K68" s="606"/>
      <c r="L68" s="606"/>
      <c r="M68" s="606"/>
    </row>
    <row r="69" spans="1:13" s="607" customFormat="1" ht="20.25" customHeight="1">
      <c r="A69" s="942"/>
      <c r="B69" s="942"/>
      <c r="C69" s="942"/>
      <c r="D69" s="942"/>
      <c r="E69" s="942"/>
      <c r="F69" s="942"/>
      <c r="G69" s="942"/>
      <c r="H69" s="942"/>
      <c r="I69" s="606"/>
      <c r="J69" s="606"/>
      <c r="K69" s="606"/>
      <c r="L69" s="606"/>
      <c r="M69" s="606"/>
    </row>
    <row r="70" spans="1:13" s="607" customFormat="1" ht="30" customHeight="1">
      <c r="A70" s="942"/>
      <c r="B70" s="942"/>
      <c r="C70" s="942"/>
      <c r="D70" s="942"/>
      <c r="E70" s="942"/>
      <c r="F70" s="942"/>
      <c r="G70" s="942"/>
      <c r="H70" s="942"/>
      <c r="I70" s="606"/>
      <c r="J70" s="606"/>
      <c r="K70" s="606"/>
      <c r="L70" s="606"/>
      <c r="M70" s="606"/>
    </row>
    <row r="71" spans="1:13" s="607" customFormat="1" ht="20.25" customHeight="1">
      <c r="A71" s="942"/>
      <c r="B71" s="942"/>
      <c r="C71" s="942"/>
      <c r="D71" s="942"/>
      <c r="E71" s="942"/>
      <c r="F71" s="942"/>
      <c r="G71" s="942"/>
      <c r="H71" s="942"/>
      <c r="I71" s="606"/>
      <c r="J71" s="606"/>
      <c r="K71" s="606"/>
      <c r="L71" s="606"/>
      <c r="M71" s="606"/>
    </row>
    <row r="72" spans="1:13" s="607" customFormat="1" ht="20.25" customHeight="1">
      <c r="A72" s="942"/>
      <c r="B72" s="942"/>
      <c r="C72" s="942"/>
      <c r="D72" s="942"/>
      <c r="E72" s="942"/>
      <c r="F72" s="942"/>
      <c r="G72" s="942"/>
      <c r="H72" s="942"/>
      <c r="I72" s="606"/>
      <c r="J72" s="606"/>
      <c r="K72" s="606"/>
      <c r="L72" s="606"/>
      <c r="M72" s="606"/>
    </row>
    <row r="73" spans="1:13" s="607" customFormat="1" ht="20.25" customHeight="1">
      <c r="A73" s="771"/>
      <c r="B73" s="771"/>
      <c r="C73" s="771"/>
      <c r="D73" s="771"/>
      <c r="E73" s="771"/>
      <c r="F73" s="771"/>
      <c r="G73" s="771"/>
      <c r="H73" s="771"/>
      <c r="I73" s="606"/>
      <c r="J73" s="606"/>
      <c r="K73" s="606"/>
      <c r="L73" s="606"/>
      <c r="M73" s="606"/>
    </row>
    <row r="74" spans="1:13" s="607" customFormat="1" ht="27" customHeight="1">
      <c r="A74" s="771"/>
      <c r="B74" s="771"/>
      <c r="C74" s="771"/>
      <c r="D74" s="771"/>
      <c r="E74" s="771"/>
      <c r="F74" s="771"/>
      <c r="G74" s="771"/>
      <c r="H74" s="771"/>
      <c r="I74" s="937"/>
      <c r="J74" s="938"/>
      <c r="K74" s="938"/>
      <c r="L74" s="606"/>
      <c r="M74" s="606"/>
    </row>
    <row r="75" spans="1:13" s="607" customFormat="1" ht="25.5" customHeight="1">
      <c r="A75" s="771"/>
      <c r="B75" s="771"/>
      <c r="C75" s="771"/>
      <c r="D75" s="771"/>
      <c r="E75" s="771"/>
      <c r="F75" s="771"/>
      <c r="G75" s="771"/>
      <c r="H75" s="771"/>
      <c r="I75" s="939"/>
      <c r="J75" s="939"/>
      <c r="K75" s="939"/>
      <c r="L75" s="606"/>
      <c r="M75" s="606"/>
    </row>
    <row r="76" spans="1:13" s="607" customFormat="1" ht="25.5" customHeight="1">
      <c r="A76" s="771"/>
      <c r="B76" s="771"/>
      <c r="C76" s="771"/>
      <c r="D76" s="771"/>
      <c r="E76" s="771"/>
      <c r="F76" s="771"/>
      <c r="G76" s="771"/>
      <c r="H76" s="771"/>
      <c r="I76" s="939"/>
      <c r="J76" s="939"/>
      <c r="K76" s="940"/>
      <c r="L76" s="606"/>
      <c r="M76" s="606"/>
    </row>
    <row r="77" spans="1:13" s="607" customFormat="1" ht="25.5" customHeight="1">
      <c r="A77" s="771"/>
      <c r="B77" s="771"/>
      <c r="C77" s="771"/>
      <c r="D77" s="771"/>
      <c r="E77" s="771"/>
      <c r="F77" s="771"/>
      <c r="G77" s="771"/>
      <c r="H77" s="771"/>
      <c r="I77" s="939"/>
      <c r="J77" s="939"/>
      <c r="K77" s="940"/>
      <c r="L77" s="606"/>
      <c r="M77" s="606"/>
    </row>
    <row r="78" spans="1:13" s="607" customFormat="1" ht="25.5" customHeight="1">
      <c r="A78" s="771"/>
      <c r="B78" s="771"/>
      <c r="C78" s="771"/>
      <c r="D78" s="771"/>
      <c r="E78" s="771"/>
      <c r="F78" s="771"/>
      <c r="G78" s="771"/>
      <c r="H78" s="771"/>
      <c r="I78" s="939"/>
      <c r="J78" s="939"/>
      <c r="K78" s="940"/>
      <c r="L78" s="606"/>
      <c r="M78" s="606"/>
    </row>
    <row r="79" spans="1:13" s="607" customFormat="1" ht="25.5" customHeight="1">
      <c r="A79" s="771"/>
      <c r="B79" s="771"/>
      <c r="C79" s="771"/>
      <c r="D79" s="771"/>
      <c r="E79" s="771"/>
      <c r="F79" s="771"/>
      <c r="G79" s="771"/>
      <c r="H79" s="771"/>
      <c r="I79" s="939"/>
      <c r="J79" s="939"/>
      <c r="K79" s="940"/>
      <c r="L79" s="606"/>
      <c r="M79" s="606"/>
    </row>
    <row r="80" spans="1:13" s="607" customFormat="1" ht="25.5" customHeight="1">
      <c r="A80" s="771"/>
      <c r="B80" s="771"/>
      <c r="C80" s="771"/>
      <c r="D80" s="771"/>
      <c r="E80" s="771"/>
      <c r="F80" s="771"/>
      <c r="G80" s="771"/>
      <c r="H80" s="771"/>
      <c r="I80" s="939"/>
      <c r="J80" s="939"/>
      <c r="K80" s="940"/>
      <c r="L80" s="606"/>
      <c r="M80" s="606"/>
    </row>
    <row r="81" spans="1:13" s="607" customFormat="1" ht="25.5" customHeight="1">
      <c r="A81" s="771"/>
      <c r="B81" s="771"/>
      <c r="C81" s="771"/>
      <c r="D81" s="771"/>
      <c r="E81" s="771"/>
      <c r="F81" s="771"/>
      <c r="G81" s="771"/>
      <c r="H81" s="771"/>
      <c r="I81" s="939"/>
      <c r="J81" s="939"/>
      <c r="K81" s="939"/>
      <c r="L81" s="606"/>
      <c r="M81" s="606"/>
    </row>
    <row r="82" spans="1:13" s="607" customFormat="1" ht="25.5" customHeight="1">
      <c r="A82" s="771"/>
      <c r="B82" s="771"/>
      <c r="C82" s="771"/>
      <c r="D82" s="771"/>
      <c r="E82" s="771"/>
      <c r="F82" s="771"/>
      <c r="G82" s="771"/>
      <c r="H82" s="771"/>
      <c r="I82" s="939"/>
      <c r="J82" s="939"/>
      <c r="K82" s="939"/>
      <c r="L82" s="606"/>
      <c r="M82" s="606"/>
    </row>
    <row r="83" spans="1:13" s="607" customFormat="1" ht="41.25" customHeight="1">
      <c r="A83" s="771"/>
      <c r="B83" s="771"/>
      <c r="C83" s="771"/>
      <c r="D83" s="771"/>
      <c r="E83" s="771"/>
      <c r="F83" s="771"/>
      <c r="G83" s="771"/>
      <c r="H83" s="771"/>
      <c r="I83" s="939"/>
      <c r="J83" s="939"/>
      <c r="K83" s="939"/>
      <c r="L83" s="606"/>
      <c r="M83" s="606"/>
    </row>
    <row r="84" spans="1:13" s="607" customFormat="1" ht="25.5" customHeight="1">
      <c r="A84" s="771"/>
      <c r="B84" s="771"/>
      <c r="C84" s="771"/>
      <c r="D84" s="771"/>
      <c r="E84" s="771"/>
      <c r="F84" s="771"/>
      <c r="G84" s="771"/>
      <c r="H84" s="771"/>
      <c r="I84" s="939"/>
      <c r="J84" s="939"/>
      <c r="K84" s="940"/>
      <c r="L84" s="606"/>
      <c r="M84" s="606"/>
    </row>
    <row r="85" spans="1:13" s="607" customFormat="1" ht="25.5" customHeight="1">
      <c r="A85" s="771"/>
      <c r="B85" s="771"/>
      <c r="C85" s="771"/>
      <c r="D85" s="771"/>
      <c r="E85" s="771"/>
      <c r="F85" s="771"/>
      <c r="G85" s="771"/>
      <c r="H85" s="771"/>
      <c r="I85" s="939"/>
      <c r="J85" s="939"/>
      <c r="K85" s="940"/>
      <c r="L85" s="606"/>
      <c r="M85" s="606"/>
    </row>
    <row r="86" spans="1:13" s="607" customFormat="1" ht="25.5" customHeight="1">
      <c r="A86" s="771"/>
      <c r="B86" s="771"/>
      <c r="C86" s="771"/>
      <c r="D86" s="771"/>
      <c r="E86" s="771"/>
      <c r="F86" s="771"/>
      <c r="G86" s="771"/>
      <c r="H86" s="771"/>
      <c r="I86" s="939"/>
      <c r="J86" s="939"/>
      <c r="K86" s="940"/>
      <c r="L86" s="606"/>
      <c r="M86" s="606"/>
    </row>
    <row r="87" spans="1:13" s="607" customFormat="1" ht="20.25" customHeight="1">
      <c r="A87" s="771"/>
      <c r="B87" s="771"/>
      <c r="C87" s="771"/>
      <c r="D87" s="771"/>
      <c r="E87" s="771"/>
      <c r="F87" s="771"/>
      <c r="G87" s="771"/>
      <c r="H87" s="771"/>
      <c r="I87" s="941"/>
      <c r="J87" s="938"/>
      <c r="K87" s="938"/>
      <c r="L87" s="606"/>
      <c r="M87" s="606"/>
    </row>
    <row r="88" spans="1:13" s="607" customFormat="1" ht="20.25" customHeight="1">
      <c r="A88" s="771"/>
      <c r="B88" s="771"/>
      <c r="C88" s="771"/>
      <c r="D88" s="771"/>
      <c r="E88" s="771"/>
      <c r="F88" s="771"/>
      <c r="G88" s="771"/>
      <c r="H88" s="771"/>
      <c r="I88" s="606"/>
      <c r="J88" s="606"/>
      <c r="K88" s="606"/>
      <c r="L88" s="606"/>
      <c r="M88" s="606"/>
    </row>
    <row r="89" spans="1:13" s="501" customFormat="1" ht="20.25" customHeight="1">
      <c r="A89" s="771"/>
      <c r="B89" s="771"/>
      <c r="C89" s="771"/>
      <c r="D89" s="771"/>
      <c r="E89" s="771"/>
      <c r="F89" s="771"/>
      <c r="G89" s="771"/>
      <c r="H89" s="771"/>
      <c r="I89" s="480"/>
      <c r="J89" s="480"/>
      <c r="K89" s="480"/>
      <c r="L89" s="480"/>
      <c r="M89" s="480"/>
    </row>
    <row r="90" spans="1:13" s="501" customFormat="1" ht="20.25" customHeight="1">
      <c r="A90" s="771"/>
      <c r="B90" s="771"/>
      <c r="C90" s="771"/>
      <c r="D90" s="771"/>
      <c r="E90" s="771"/>
      <c r="F90" s="771"/>
      <c r="G90" s="771"/>
      <c r="H90" s="771"/>
      <c r="I90" s="480"/>
      <c r="J90" s="480"/>
      <c r="K90" s="480"/>
      <c r="L90" s="480"/>
      <c r="M90" s="480"/>
    </row>
    <row r="91" spans="1:13" s="501" customFormat="1" ht="20.25" customHeight="1">
      <c r="A91" s="771"/>
      <c r="B91" s="771"/>
      <c r="C91" s="771"/>
      <c r="D91" s="771"/>
      <c r="E91" s="771"/>
      <c r="F91" s="771"/>
      <c r="G91" s="771"/>
      <c r="H91" s="771"/>
      <c r="I91" s="480"/>
      <c r="J91" s="480"/>
      <c r="K91" s="480"/>
      <c r="L91" s="480"/>
      <c r="M91" s="480"/>
    </row>
    <row r="92" spans="1:13" s="501" customFormat="1" ht="20.25" customHeight="1">
      <c r="A92" s="771"/>
      <c r="B92" s="771"/>
      <c r="C92" s="771"/>
      <c r="D92" s="771"/>
      <c r="E92" s="771"/>
      <c r="F92" s="771"/>
      <c r="G92" s="771"/>
      <c r="H92" s="771"/>
      <c r="I92" s="480"/>
      <c r="J92" s="480"/>
      <c r="K92" s="480"/>
      <c r="L92" s="480"/>
      <c r="M92" s="480"/>
    </row>
    <row r="93" spans="1:13" s="501" customFormat="1" ht="20.25" customHeight="1">
      <c r="A93" s="771"/>
      <c r="B93" s="771"/>
      <c r="C93" s="771"/>
      <c r="D93" s="771"/>
      <c r="E93" s="771"/>
      <c r="F93" s="771"/>
      <c r="G93" s="771"/>
      <c r="H93" s="771"/>
      <c r="I93" s="480"/>
      <c r="J93" s="480"/>
      <c r="K93" s="480"/>
      <c r="L93" s="480"/>
      <c r="M93" s="480"/>
    </row>
    <row r="94" spans="1:13" s="501" customFormat="1" ht="20.25" customHeight="1">
      <c r="A94" s="771"/>
      <c r="B94" s="771"/>
      <c r="C94" s="771"/>
      <c r="D94" s="771"/>
      <c r="E94" s="771"/>
      <c r="F94" s="771"/>
      <c r="G94" s="771"/>
      <c r="H94" s="771"/>
      <c r="I94" s="480"/>
      <c r="J94" s="480"/>
      <c r="K94" s="480"/>
      <c r="L94" s="480"/>
      <c r="M94" s="480"/>
    </row>
    <row r="95" spans="1:13" s="501" customFormat="1" ht="20.25" customHeight="1">
      <c r="A95" s="771"/>
      <c r="B95" s="771"/>
      <c r="C95" s="771"/>
      <c r="D95" s="771"/>
      <c r="E95" s="771"/>
      <c r="F95" s="771"/>
      <c r="G95" s="771"/>
      <c r="H95" s="771"/>
      <c r="I95" s="480"/>
      <c r="J95" s="480"/>
      <c r="K95" s="480"/>
      <c r="L95" s="480"/>
      <c r="M95" s="480"/>
    </row>
    <row r="96" spans="1:13" s="501" customFormat="1" ht="20.25" customHeight="1">
      <c r="A96" s="771"/>
      <c r="B96" s="771"/>
      <c r="C96" s="771"/>
      <c r="D96" s="771"/>
      <c r="E96" s="771"/>
      <c r="F96" s="771"/>
      <c r="G96" s="771"/>
      <c r="H96" s="771"/>
      <c r="I96" s="480"/>
      <c r="J96" s="480"/>
      <c r="K96" s="480"/>
      <c r="L96" s="480"/>
      <c r="M96" s="480"/>
    </row>
    <row r="97" spans="1:8" s="501" customFormat="1" ht="20.25" customHeight="1">
      <c r="A97" s="771"/>
      <c r="B97" s="771"/>
      <c r="C97" s="771"/>
      <c r="D97" s="771"/>
      <c r="E97" s="771"/>
      <c r="F97" s="771"/>
      <c r="G97" s="771"/>
      <c r="H97" s="771"/>
    </row>
    <row r="98" spans="1:8" s="501" customFormat="1" ht="20.25" customHeight="1">
      <c r="A98" s="771"/>
      <c r="B98" s="771"/>
      <c r="C98" s="771"/>
      <c r="D98" s="771"/>
      <c r="E98" s="771"/>
      <c r="F98" s="771"/>
      <c r="G98" s="771"/>
      <c r="H98" s="771"/>
    </row>
    <row r="99" spans="1:8" s="501" customFormat="1" ht="20.25" customHeight="1">
      <c r="A99" s="771"/>
      <c r="B99" s="771"/>
      <c r="C99" s="771"/>
      <c r="D99" s="771"/>
      <c r="E99" s="771"/>
      <c r="F99" s="771"/>
      <c r="G99" s="771"/>
      <c r="H99" s="771"/>
    </row>
    <row r="100" spans="1:8" s="501" customFormat="1" ht="20.25" customHeight="1">
      <c r="A100" s="771"/>
      <c r="B100" s="771"/>
      <c r="C100" s="771"/>
      <c r="D100" s="771"/>
      <c r="E100" s="771"/>
      <c r="F100" s="771"/>
      <c r="G100" s="771"/>
      <c r="H100" s="771"/>
    </row>
    <row r="101" spans="1:8" s="501" customFormat="1" ht="20.25" customHeight="1">
      <c r="A101" s="771"/>
      <c r="B101" s="771"/>
      <c r="C101" s="771"/>
      <c r="D101" s="771"/>
      <c r="E101" s="771"/>
      <c r="F101" s="771"/>
      <c r="G101" s="771"/>
      <c r="H101" s="771"/>
    </row>
    <row r="102" spans="1:8" s="501" customFormat="1" ht="20.25" customHeight="1">
      <c r="A102" s="771"/>
      <c r="B102" s="771"/>
      <c r="C102" s="771"/>
      <c r="D102" s="771"/>
      <c r="E102" s="771"/>
      <c r="F102" s="771"/>
      <c r="G102" s="771"/>
      <c r="H102" s="771"/>
    </row>
    <row r="103" spans="1:8" s="501" customFormat="1" ht="20.25" customHeight="1">
      <c r="A103" s="771"/>
      <c r="B103" s="771"/>
      <c r="C103" s="771"/>
      <c r="D103" s="771"/>
      <c r="E103" s="771"/>
      <c r="F103" s="771"/>
      <c r="G103" s="771"/>
      <c r="H103" s="771"/>
    </row>
    <row r="104" spans="1:8" s="501" customFormat="1" ht="20.25" customHeight="1">
      <c r="A104" s="771"/>
      <c r="B104" s="771"/>
      <c r="C104" s="771"/>
      <c r="D104" s="771"/>
      <c r="E104" s="771"/>
      <c r="F104" s="771"/>
      <c r="G104" s="771"/>
      <c r="H104" s="771"/>
    </row>
    <row r="105" spans="1:8" s="501" customFormat="1" ht="20.25" customHeight="1">
      <c r="A105" s="771"/>
      <c r="B105" s="771"/>
      <c r="C105" s="771"/>
      <c r="D105" s="771"/>
      <c r="E105" s="771"/>
      <c r="F105" s="771"/>
      <c r="G105" s="771"/>
      <c r="H105" s="771"/>
    </row>
    <row r="106" spans="1:8" s="501" customFormat="1" ht="20.25" customHeight="1">
      <c r="A106" s="771"/>
      <c r="B106" s="771"/>
      <c r="C106" s="771"/>
      <c r="D106" s="771"/>
      <c r="E106" s="771"/>
      <c r="F106" s="771"/>
      <c r="G106" s="771"/>
      <c r="H106" s="771"/>
    </row>
    <row r="107" spans="1:8" s="501" customFormat="1" ht="20.25" customHeight="1">
      <c r="A107" s="771"/>
      <c r="B107" s="771"/>
      <c r="C107" s="771"/>
      <c r="D107" s="771"/>
      <c r="E107" s="771"/>
      <c r="F107" s="771"/>
      <c r="G107" s="771"/>
      <c r="H107" s="771"/>
    </row>
    <row r="108" spans="1:8" s="501" customFormat="1" ht="20.25" customHeight="1">
      <c r="A108" s="771"/>
      <c r="B108" s="771"/>
      <c r="C108" s="771"/>
      <c r="D108" s="771"/>
      <c r="E108" s="771"/>
      <c r="F108" s="771"/>
      <c r="G108" s="771"/>
      <c r="H108" s="771"/>
    </row>
    <row r="109" spans="1:8" s="501" customFormat="1" ht="20.25" customHeight="1">
      <c r="A109" s="771"/>
      <c r="B109" s="771"/>
      <c r="C109" s="771"/>
      <c r="D109" s="771"/>
      <c r="E109" s="771"/>
      <c r="F109" s="771"/>
      <c r="G109" s="771"/>
      <c r="H109" s="771"/>
    </row>
    <row r="110" spans="1:8" s="501" customFormat="1" ht="20.25" customHeight="1">
      <c r="A110" s="771"/>
      <c r="B110" s="771"/>
      <c r="C110" s="771"/>
      <c r="D110" s="771"/>
      <c r="E110" s="771"/>
      <c r="F110" s="771"/>
      <c r="G110" s="771"/>
      <c r="H110" s="771"/>
    </row>
    <row r="111" spans="1:8" s="501" customFormat="1" ht="20.25" customHeight="1">
      <c r="A111" s="771"/>
      <c r="B111" s="771"/>
      <c r="C111" s="771"/>
      <c r="D111" s="771"/>
      <c r="E111" s="771"/>
      <c r="F111" s="771"/>
      <c r="G111" s="771"/>
      <c r="H111" s="771"/>
    </row>
    <row r="112" spans="1:8" s="501" customFormat="1" ht="20.25" customHeight="1">
      <c r="A112" s="771"/>
      <c r="B112" s="771"/>
      <c r="C112" s="771"/>
      <c r="D112" s="771"/>
      <c r="E112" s="771"/>
      <c r="F112" s="771"/>
      <c r="G112" s="771"/>
      <c r="H112" s="771"/>
    </row>
    <row r="113" spans="1:8" s="501" customFormat="1">
      <c r="A113" s="771"/>
      <c r="B113" s="771"/>
      <c r="C113" s="771"/>
      <c r="D113" s="771"/>
      <c r="E113" s="771"/>
      <c r="F113" s="771"/>
      <c r="G113" s="771"/>
      <c r="H113" s="771"/>
    </row>
    <row r="114" spans="1:8" s="501" customFormat="1">
      <c r="A114" s="771"/>
      <c r="B114" s="771"/>
      <c r="C114" s="771"/>
      <c r="D114" s="771"/>
      <c r="E114" s="771"/>
      <c r="F114" s="771"/>
      <c r="G114" s="771"/>
      <c r="H114" s="771"/>
    </row>
    <row r="115" spans="1:8" s="501" customFormat="1">
      <c r="A115" s="771"/>
      <c r="B115" s="771"/>
      <c r="C115" s="771"/>
      <c r="D115" s="771"/>
      <c r="E115" s="771"/>
      <c r="F115" s="771"/>
      <c r="G115" s="771"/>
      <c r="H115" s="771"/>
    </row>
    <row r="116" spans="1:8" s="501" customFormat="1">
      <c r="A116" s="771"/>
      <c r="B116" s="771"/>
      <c r="C116" s="771"/>
      <c r="D116" s="771"/>
      <c r="E116" s="771"/>
      <c r="F116" s="771"/>
      <c r="G116" s="771"/>
      <c r="H116" s="771"/>
    </row>
    <row r="117" spans="1:8" s="501" customFormat="1">
      <c r="A117" s="771"/>
      <c r="B117" s="771"/>
      <c r="C117" s="771"/>
      <c r="D117" s="771"/>
      <c r="E117" s="771"/>
      <c r="F117" s="771"/>
      <c r="G117" s="771"/>
      <c r="H117" s="771"/>
    </row>
    <row r="118" spans="1:8" s="501" customFormat="1">
      <c r="A118" s="771"/>
      <c r="B118" s="771"/>
      <c r="C118" s="771"/>
      <c r="D118" s="771"/>
      <c r="E118" s="771"/>
      <c r="F118" s="771"/>
      <c r="G118" s="771"/>
      <c r="H118" s="771"/>
    </row>
    <row r="119" spans="1:8" s="501" customFormat="1">
      <c r="A119" s="771"/>
      <c r="B119" s="771"/>
      <c r="C119" s="771"/>
      <c r="D119" s="771"/>
      <c r="E119" s="771"/>
      <c r="F119" s="771"/>
      <c r="G119" s="771"/>
      <c r="H119" s="771"/>
    </row>
    <row r="120" spans="1:8" s="501" customFormat="1">
      <c r="A120" s="771"/>
      <c r="B120" s="771"/>
      <c r="C120" s="771"/>
      <c r="D120" s="771"/>
      <c r="E120" s="771"/>
      <c r="F120" s="771"/>
      <c r="G120" s="771"/>
      <c r="H120" s="771"/>
    </row>
    <row r="121" spans="1:8" s="501" customFormat="1">
      <c r="A121" s="771"/>
      <c r="B121" s="771"/>
      <c r="C121" s="771"/>
      <c r="D121" s="771"/>
      <c r="E121" s="771"/>
      <c r="F121" s="771"/>
      <c r="G121" s="771"/>
      <c r="H121" s="771"/>
    </row>
    <row r="122" spans="1:8" s="501" customFormat="1">
      <c r="A122" s="771"/>
      <c r="B122" s="771"/>
      <c r="C122" s="771"/>
      <c r="D122" s="771"/>
      <c r="E122" s="771"/>
      <c r="F122" s="771"/>
      <c r="G122" s="771"/>
      <c r="H122" s="771"/>
    </row>
    <row r="123" spans="1:8" s="501" customFormat="1">
      <c r="A123" s="771"/>
      <c r="B123" s="771"/>
      <c r="C123" s="771"/>
      <c r="D123" s="771"/>
      <c r="E123" s="771"/>
      <c r="F123" s="771"/>
      <c r="G123" s="771"/>
      <c r="H123" s="771"/>
    </row>
    <row r="124" spans="1:8" s="501" customFormat="1">
      <c r="A124" s="771"/>
      <c r="B124" s="771"/>
      <c r="C124" s="771"/>
      <c r="D124" s="771"/>
      <c r="E124" s="771"/>
      <c r="F124" s="771"/>
      <c r="G124" s="771"/>
      <c r="H124" s="771"/>
    </row>
    <row r="125" spans="1:8" s="501" customFormat="1">
      <c r="A125" s="771"/>
      <c r="B125" s="771"/>
      <c r="C125" s="771"/>
      <c r="D125" s="771"/>
      <c r="E125" s="771"/>
      <c r="F125" s="771"/>
      <c r="G125" s="771"/>
      <c r="H125" s="771"/>
    </row>
  </sheetData>
  <sheetProtection selectLockedCells="1" selectUnlockedCells="1"/>
  <mergeCells count="36">
    <mergeCell ref="A58:B58"/>
    <mergeCell ref="C58:H58"/>
    <mergeCell ref="I39:K39"/>
    <mergeCell ref="I41:K41"/>
    <mergeCell ref="I43:J43"/>
    <mergeCell ref="I45:J45"/>
    <mergeCell ref="I47:J47"/>
    <mergeCell ref="I49:J49"/>
    <mergeCell ref="A56:C56"/>
    <mergeCell ref="A57:B57"/>
    <mergeCell ref="C57:E57"/>
    <mergeCell ref="F57:H57"/>
    <mergeCell ref="A34:A35"/>
    <mergeCell ref="B34:B35"/>
    <mergeCell ref="A29:H29"/>
    <mergeCell ref="A30:C31"/>
    <mergeCell ref="G30:H30"/>
    <mergeCell ref="G31:H32"/>
    <mergeCell ref="E34:G34"/>
    <mergeCell ref="C34:C35"/>
    <mergeCell ref="D34:D35"/>
    <mergeCell ref="A33:H33"/>
    <mergeCell ref="A28:H28"/>
    <mergeCell ref="A32:C32"/>
    <mergeCell ref="A1:H1"/>
    <mergeCell ref="I1:I4"/>
    <mergeCell ref="A2:C3"/>
    <mergeCell ref="G2:H2"/>
    <mergeCell ref="G3:H4"/>
    <mergeCell ref="A4:C4"/>
    <mergeCell ref="A5:H5"/>
    <mergeCell ref="A26:B26"/>
    <mergeCell ref="C26:F26"/>
    <mergeCell ref="G26:H26"/>
    <mergeCell ref="A27:B27"/>
    <mergeCell ref="C27:H27"/>
  </mergeCells>
  <phoneticPr fontId="51" type="noConversion"/>
  <dataValidations count="1">
    <dataValidation allowBlank="1" showErrorMessage="1" sqref="E31 E3">
      <formula1>0</formula1>
      <formula2>0</formula2>
    </dataValidation>
  </dataValidations>
  <hyperlinks>
    <hyperlink ref="I10" location="纳税申报数据!A1" display="纳税申报数据"/>
    <hyperlink ref="I11" location="纳税调整明细表!A1" display="纳税调整明细表"/>
    <hyperlink ref="I12" location="资产负债!A1" display="资产负债表"/>
    <hyperlink ref="I15" location="申报主表!A1" display="申报主表"/>
    <hyperlink ref="I16" location="企业各税审核汇总表!A1" display="企业各税审核汇总表"/>
    <hyperlink ref="I17" location="主营收支!A1" display="主营业务收支审核表"/>
    <hyperlink ref="I18" location="其他业务!A1" display="其他业务利润审核表"/>
    <hyperlink ref="I19" location="利润!A1" display="利润及利润分配表"/>
    <hyperlink ref="I21" location="事项说明!A1" display="审核报告事项说明"/>
    <hyperlink ref="I23" location="收入与申报核对表!A1" display="收入与申报核对表!A1"/>
    <hyperlink ref="C9" location="主营税金!E8" display="主营税金!E8"/>
    <hyperlink ref="C10" location="主营税金!E14" display="主营税金!E14"/>
    <hyperlink ref="C11" location="主营税金!E20" display="主营税金!E20"/>
    <hyperlink ref="C12" location="主营税金!E26" display="主营税金!E26"/>
    <hyperlink ref="C16" location="税费缴纳测算!E45" display="税费缴纳测算!E45"/>
    <hyperlink ref="C17" location="税费缴纳测算!E31" display="税费缴纳测算!E31"/>
    <hyperlink ref="C19" location="税费缴纳测算!E48" display="税费缴纳测算!E48"/>
    <hyperlink ref="C22" location="主营税金!E32" display="主营税金!E32"/>
  </hyperlinks>
  <pageMargins left="0.78740157480314998" right="0.35433070866141703" top="0.511811023622047" bottom="0.11811023622047198" header="0.511811023622047" footer="0.511811023622047"/>
  <pageSetup paperSize="9" scale="89" firstPageNumber="0" orientation="portrait" blackAndWhite="1" r:id="rId1"/>
  <headerFooter alignWithMargins="0"/>
</worksheet>
</file>

<file path=xl/worksheets/sheet8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48"/>
  <dimension ref="A1:O50"/>
  <sheetViews>
    <sheetView topLeftCell="A8" workbookViewId="0">
      <selection activeCell="C20" sqref="C20:J20"/>
    </sheetView>
  </sheetViews>
  <sheetFormatPr defaultColWidth="9" defaultRowHeight="15.6"/>
  <cols>
    <col min="1" max="1" width="6" style="554" customWidth="1"/>
    <col min="2" max="2" width="18.3984375" style="554" customWidth="1"/>
    <col min="3" max="10" width="12.5" style="554" customWidth="1"/>
    <col min="11" max="11" width="23" style="554" customWidth="1"/>
    <col min="12" max="12" width="22.59765625" style="554" customWidth="1"/>
    <col min="13" max="16384" width="9" style="554"/>
  </cols>
  <sheetData>
    <row r="1" spans="1:15" s="944" customFormat="1" ht="33" customHeight="1">
      <c r="A1" s="2707" t="s">
        <v>316</v>
      </c>
      <c r="B1" s="2707"/>
      <c r="C1" s="2707"/>
      <c r="D1" s="2707"/>
      <c r="E1" s="2707"/>
      <c r="F1" s="2707"/>
      <c r="G1" s="2707"/>
      <c r="H1" s="2707"/>
      <c r="I1" s="2707"/>
      <c r="J1" s="2707"/>
      <c r="K1" s="3600"/>
      <c r="L1" s="943"/>
      <c r="M1" s="943"/>
      <c r="N1" s="943"/>
      <c r="O1" s="943"/>
    </row>
    <row r="2" spans="1:15" s="744" customFormat="1" ht="20.100000000000001" customHeight="1">
      <c r="A2" s="3024" t="s">
        <v>448</v>
      </c>
      <c r="B2" s="3024"/>
      <c r="C2" s="2897">
        <f>基本情况!B2</f>
        <v>0</v>
      </c>
      <c r="D2" s="2897"/>
      <c r="E2" s="2897"/>
      <c r="F2" s="2897"/>
      <c r="G2" s="825"/>
      <c r="H2" s="136" t="s">
        <v>1283</v>
      </c>
      <c r="I2" s="136" t="s">
        <v>1054</v>
      </c>
      <c r="J2" s="485" t="s">
        <v>283</v>
      </c>
      <c r="K2" s="3600"/>
      <c r="L2" s="743"/>
      <c r="M2" s="743"/>
      <c r="N2" s="743"/>
      <c r="O2" s="743"/>
    </row>
    <row r="3" spans="1:15" s="744" customFormat="1" ht="20.100000000000001" customHeight="1">
      <c r="A3" s="3024"/>
      <c r="B3" s="3024"/>
      <c r="C3" s="2897"/>
      <c r="D3" s="2897"/>
      <c r="E3" s="2897"/>
      <c r="F3" s="2897"/>
      <c r="G3" s="158" t="s">
        <v>451</v>
      </c>
      <c r="H3" s="510">
        <f>基本情况!B12</f>
        <v>0</v>
      </c>
      <c r="I3" s="559" t="str">
        <f>TEXT(基本情况!B21,"yyyy-mm-dd")</f>
        <v>2017-03-16</v>
      </c>
      <c r="J3" s="3081" t="str">
        <f>档案索引!D27</f>
        <v>3-6</v>
      </c>
      <c r="K3" s="3600"/>
      <c r="L3" s="743"/>
      <c r="M3" s="743"/>
      <c r="N3" s="743"/>
      <c r="O3" s="743"/>
    </row>
    <row r="4" spans="1:15" s="744" customFormat="1" ht="20.100000000000001" customHeight="1">
      <c r="A4" s="2904" t="s">
        <v>452</v>
      </c>
      <c r="B4" s="2904"/>
      <c r="C4" s="2899" t="str">
        <f>基本情况!B7</f>
        <v>2016年01月01日至2016年12月31日</v>
      </c>
      <c r="D4" s="2899"/>
      <c r="E4" s="2899"/>
      <c r="F4" s="2899"/>
      <c r="G4" s="140" t="s">
        <v>453</v>
      </c>
      <c r="H4" s="513">
        <f>基本情况!B11</f>
        <v>0</v>
      </c>
      <c r="I4" s="559" t="str">
        <f>TEXT(基本情况!B22,"yyyy-mm-dd")</f>
        <v>2017-05-04</v>
      </c>
      <c r="J4" s="3081"/>
      <c r="K4" s="3600"/>
      <c r="L4" s="743"/>
      <c r="M4" s="743"/>
      <c r="N4" s="743"/>
      <c r="O4" s="743"/>
    </row>
    <row r="5" spans="1:15" s="946" customFormat="1" ht="7.5" customHeight="1">
      <c r="A5" s="2894"/>
      <c r="B5" s="2894"/>
      <c r="C5" s="2894"/>
      <c r="D5" s="2894"/>
      <c r="E5" s="2894"/>
      <c r="F5" s="2894"/>
      <c r="G5" s="2894"/>
      <c r="H5" s="2894"/>
      <c r="I5" s="2894"/>
      <c r="J5" s="2894"/>
      <c r="K5" s="945"/>
      <c r="L5" s="945"/>
      <c r="M5" s="945"/>
      <c r="N5" s="945"/>
      <c r="O5" s="945"/>
    </row>
    <row r="6" spans="1:15" s="744" customFormat="1" ht="22.5" customHeight="1">
      <c r="A6" s="3021" t="s">
        <v>216</v>
      </c>
      <c r="B6" s="3021"/>
      <c r="C6" s="2898" t="s">
        <v>246</v>
      </c>
      <c r="D6" s="2898"/>
      <c r="E6" s="2898"/>
      <c r="F6" s="3057" t="s">
        <v>217</v>
      </c>
      <c r="G6" s="3057"/>
      <c r="H6" s="3057"/>
      <c r="I6" s="3057"/>
      <c r="J6" s="3057"/>
      <c r="K6" s="536" t="s">
        <v>396</v>
      </c>
      <c r="L6" s="743"/>
      <c r="M6" s="743"/>
      <c r="N6" s="743"/>
      <c r="O6" s="743"/>
    </row>
    <row r="7" spans="1:15" s="744" customFormat="1" ht="22.5" customHeight="1">
      <c r="A7" s="3021"/>
      <c r="B7" s="3021"/>
      <c r="C7" s="140" t="s">
        <v>218</v>
      </c>
      <c r="D7" s="140" t="s">
        <v>219</v>
      </c>
      <c r="E7" s="140" t="s">
        <v>220</v>
      </c>
      <c r="F7" s="140" t="s">
        <v>7171</v>
      </c>
      <c r="G7" s="140" t="s">
        <v>1296</v>
      </c>
      <c r="H7" s="140" t="s">
        <v>218</v>
      </c>
      <c r="I7" s="140" t="s">
        <v>219</v>
      </c>
      <c r="J7" s="947" t="s">
        <v>220</v>
      </c>
      <c r="K7" s="232" t="s">
        <v>654</v>
      </c>
      <c r="L7" s="743"/>
      <c r="M7" s="743"/>
      <c r="N7" s="743"/>
      <c r="O7" s="743"/>
    </row>
    <row r="8" spans="1:15" s="744" customFormat="1" ht="22.5" customHeight="1">
      <c r="A8" s="597" t="s">
        <v>100</v>
      </c>
      <c r="B8" s="1666" t="s">
        <v>5923</v>
      </c>
      <c r="C8" s="948">
        <f>收入与申报核对表!E8+收入与申报核对表!E10</f>
        <v>0</v>
      </c>
      <c r="D8" s="1161"/>
      <c r="E8" s="1797">
        <f>C8+D8</f>
        <v>0</v>
      </c>
      <c r="F8" s="1175"/>
      <c r="G8" s="1161"/>
      <c r="H8" s="773">
        <f>F8+G8</f>
        <v>0</v>
      </c>
      <c r="I8" s="1161"/>
      <c r="J8" s="774">
        <f>H8+I8</f>
        <v>0</v>
      </c>
      <c r="K8" s="232" t="s">
        <v>252</v>
      </c>
      <c r="L8" s="536"/>
      <c r="M8" s="743"/>
      <c r="N8" s="743"/>
      <c r="O8" s="743"/>
    </row>
    <row r="9" spans="1:15" s="744" customFormat="1" ht="22.5" customHeight="1">
      <c r="A9" s="1721"/>
      <c r="B9" s="1796" t="s">
        <v>6510</v>
      </c>
      <c r="C9" s="1726"/>
      <c r="D9" s="1726"/>
      <c r="E9" s="1723">
        <f>C9+D9</f>
        <v>0</v>
      </c>
      <c r="F9" s="2466"/>
      <c r="G9" s="1118"/>
      <c r="H9" s="1723">
        <f t="shared" ref="H9:H16" si="0">F9+G9</f>
        <v>0</v>
      </c>
      <c r="I9" s="1118"/>
      <c r="J9" s="699">
        <f t="shared" ref="J9:J17" si="1">H9+I9</f>
        <v>0</v>
      </c>
      <c r="K9" s="1725"/>
      <c r="L9" s="536"/>
      <c r="M9" s="743"/>
      <c r="N9" s="743"/>
      <c r="O9" s="743"/>
    </row>
    <row r="10" spans="1:15" s="744" customFormat="1" ht="22.5" customHeight="1">
      <c r="A10" s="506" t="s">
        <v>101</v>
      </c>
      <c r="B10" s="949" t="s">
        <v>5920</v>
      </c>
      <c r="C10" s="1649">
        <f>收入与申报核对表!E18</f>
        <v>0</v>
      </c>
      <c r="D10" s="1120"/>
      <c r="E10" s="525">
        <f t="shared" ref="E10:E16" si="2">C10+D10</f>
        <v>0</v>
      </c>
      <c r="F10" s="2465"/>
      <c r="G10" s="1120"/>
      <c r="H10" s="525">
        <f t="shared" si="0"/>
        <v>0</v>
      </c>
      <c r="I10" s="1120"/>
      <c r="J10" s="699">
        <f t="shared" si="1"/>
        <v>0</v>
      </c>
      <c r="K10" s="232" t="s">
        <v>674</v>
      </c>
      <c r="L10" s="536"/>
      <c r="M10" s="743"/>
      <c r="N10" s="743"/>
      <c r="O10" s="743"/>
    </row>
    <row r="11" spans="1:15" s="744" customFormat="1" ht="22.5" customHeight="1">
      <c r="A11" s="506" t="s">
        <v>102</v>
      </c>
      <c r="B11" s="949" t="s">
        <v>5921</v>
      </c>
      <c r="C11" s="1646"/>
      <c r="D11" s="1120"/>
      <c r="E11" s="525">
        <f t="shared" si="2"/>
        <v>0</v>
      </c>
      <c r="F11" s="2465"/>
      <c r="G11" s="1120"/>
      <c r="H11" s="525">
        <f t="shared" si="0"/>
        <v>0</v>
      </c>
      <c r="I11" s="1120"/>
      <c r="J11" s="699">
        <f t="shared" si="1"/>
        <v>0</v>
      </c>
      <c r="K11" s="493" t="s">
        <v>670</v>
      </c>
      <c r="L11" s="536"/>
      <c r="M11" s="743"/>
      <c r="N11" s="743"/>
      <c r="O11" s="743"/>
    </row>
    <row r="12" spans="1:15" s="744" customFormat="1" ht="22.5" customHeight="1">
      <c r="A12" s="1645" t="s">
        <v>5918</v>
      </c>
      <c r="B12" s="949" t="s">
        <v>5914</v>
      </c>
      <c r="C12" s="1649">
        <f>收入与申报核对表!E19</f>
        <v>0</v>
      </c>
      <c r="D12" s="1120"/>
      <c r="E12" s="525">
        <f t="shared" si="2"/>
        <v>0</v>
      </c>
      <c r="F12" s="2465"/>
      <c r="G12" s="1120"/>
      <c r="H12" s="525">
        <f t="shared" si="0"/>
        <v>0</v>
      </c>
      <c r="I12" s="1120"/>
      <c r="J12" s="699">
        <f t="shared" si="1"/>
        <v>0</v>
      </c>
      <c r="K12" s="493" t="s">
        <v>72</v>
      </c>
      <c r="L12" s="536"/>
      <c r="M12" s="743"/>
      <c r="N12" s="743"/>
      <c r="O12" s="743"/>
    </row>
    <row r="13" spans="1:15" s="744" customFormat="1" ht="22.5" customHeight="1">
      <c r="A13" s="1645" t="s">
        <v>5922</v>
      </c>
      <c r="B13" s="949" t="s">
        <v>5924</v>
      </c>
      <c r="C13" s="1646"/>
      <c r="D13" s="1120"/>
      <c r="E13" s="525">
        <f t="shared" si="2"/>
        <v>0</v>
      </c>
      <c r="F13" s="2465"/>
      <c r="G13" s="1120"/>
      <c r="H13" s="525">
        <f t="shared" si="0"/>
        <v>0</v>
      </c>
      <c r="I13" s="1120"/>
      <c r="J13" s="699">
        <f t="shared" si="1"/>
        <v>0</v>
      </c>
      <c r="K13" s="232" t="s">
        <v>643</v>
      </c>
      <c r="L13" s="743"/>
      <c r="M13" s="743"/>
      <c r="N13" s="743"/>
      <c r="O13" s="743"/>
    </row>
    <row r="14" spans="1:15" s="744" customFormat="1" ht="22.5" customHeight="1">
      <c r="A14" s="3598" t="s">
        <v>7170</v>
      </c>
      <c r="B14" s="733"/>
      <c r="C14" s="1120"/>
      <c r="D14" s="1120"/>
      <c r="E14" s="525">
        <f t="shared" si="2"/>
        <v>0</v>
      </c>
      <c r="F14" s="2465"/>
      <c r="G14" s="1120"/>
      <c r="H14" s="525">
        <f t="shared" si="0"/>
        <v>0</v>
      </c>
      <c r="I14" s="1120"/>
      <c r="J14" s="699">
        <f t="shared" si="1"/>
        <v>0</v>
      </c>
      <c r="K14" s="493" t="s">
        <v>677</v>
      </c>
      <c r="L14" s="743"/>
      <c r="M14" s="743"/>
      <c r="N14" s="743"/>
      <c r="O14" s="743"/>
    </row>
    <row r="15" spans="1:15" s="744" customFormat="1" ht="22.5" customHeight="1">
      <c r="A15" s="3599"/>
      <c r="B15" s="733"/>
      <c r="C15" s="1120"/>
      <c r="D15" s="1120"/>
      <c r="E15" s="525">
        <f t="shared" si="2"/>
        <v>0</v>
      </c>
      <c r="F15" s="1120"/>
      <c r="G15" s="1120"/>
      <c r="H15" s="525">
        <f t="shared" si="0"/>
        <v>0</v>
      </c>
      <c r="I15" s="1120"/>
      <c r="J15" s="699">
        <f t="shared" si="1"/>
        <v>0</v>
      </c>
      <c r="K15" s="493" t="s">
        <v>957</v>
      </c>
      <c r="L15" s="743"/>
      <c r="M15" s="743"/>
      <c r="N15" s="743"/>
      <c r="O15" s="743"/>
    </row>
    <row r="16" spans="1:15" s="744" customFormat="1" ht="22.5" customHeight="1">
      <c r="A16" s="3599"/>
      <c r="B16" s="733"/>
      <c r="C16" s="1120"/>
      <c r="D16" s="1120"/>
      <c r="E16" s="525">
        <f t="shared" si="2"/>
        <v>0</v>
      </c>
      <c r="F16" s="1120"/>
      <c r="G16" s="1120"/>
      <c r="H16" s="525">
        <f t="shared" si="0"/>
        <v>0</v>
      </c>
      <c r="I16" s="1120"/>
      <c r="J16" s="699">
        <f t="shared" si="1"/>
        <v>0</v>
      </c>
      <c r="K16" s="493"/>
      <c r="L16" s="748"/>
      <c r="M16" s="748"/>
      <c r="N16" s="748"/>
      <c r="O16" s="748"/>
    </row>
    <row r="17" spans="1:15" s="744" customFormat="1" ht="22.5" customHeight="1">
      <c r="A17" s="3572"/>
      <c r="B17" s="696" t="s">
        <v>221</v>
      </c>
      <c r="C17" s="1647">
        <f>SUM(C14:C16)</f>
        <v>0</v>
      </c>
      <c r="D17" s="1647">
        <f>SUM(D14:D16)</f>
        <v>0</v>
      </c>
      <c r="E17" s="823">
        <f>SUM(E14:E16)</f>
        <v>0</v>
      </c>
      <c r="F17" s="823">
        <f>SUM(F12:F16)</f>
        <v>0</v>
      </c>
      <c r="G17" s="823">
        <f>SUM(G12:G16)</f>
        <v>0</v>
      </c>
      <c r="H17" s="823">
        <f>SUM(H12:H16)</f>
        <v>0</v>
      </c>
      <c r="I17" s="823">
        <f>SUM(I12:I16)</f>
        <v>0</v>
      </c>
      <c r="J17" s="596">
        <f t="shared" si="1"/>
        <v>0</v>
      </c>
      <c r="K17" s="3090" t="s">
        <v>905</v>
      </c>
      <c r="L17" s="3090"/>
      <c r="M17" s="3090"/>
      <c r="N17" s="3090"/>
      <c r="O17" s="3090"/>
    </row>
    <row r="18" spans="1:15" s="744" customFormat="1" ht="22.5" customHeight="1">
      <c r="A18" s="3021" t="s">
        <v>703</v>
      </c>
      <c r="B18" s="3021"/>
      <c r="C18" s="1648">
        <f>C8+C10+C11+C12+C13+C17</f>
        <v>0</v>
      </c>
      <c r="D18" s="1724">
        <f t="shared" ref="D18:J18" si="3">D8+D10+D11+D12+D13+D17</f>
        <v>0</v>
      </c>
      <c r="E18" s="1724">
        <f t="shared" si="3"/>
        <v>0</v>
      </c>
      <c r="F18" s="1724">
        <f t="shared" si="3"/>
        <v>0</v>
      </c>
      <c r="G18" s="1724">
        <f t="shared" si="3"/>
        <v>0</v>
      </c>
      <c r="H18" s="1724">
        <f t="shared" si="3"/>
        <v>0</v>
      </c>
      <c r="I18" s="1724">
        <f t="shared" si="3"/>
        <v>0</v>
      </c>
      <c r="J18" s="1724">
        <f t="shared" si="3"/>
        <v>0</v>
      </c>
      <c r="K18" s="3090"/>
      <c r="L18" s="3090"/>
      <c r="M18" s="3090"/>
      <c r="N18" s="3090"/>
      <c r="O18" s="3090"/>
    </row>
    <row r="19" spans="1:15" s="744" customFormat="1" ht="22.5" customHeight="1">
      <c r="A19" s="3021" t="s">
        <v>906</v>
      </c>
      <c r="B19" s="3021"/>
      <c r="C19" s="3021"/>
      <c r="D19" s="3021"/>
      <c r="E19" s="582" t="s">
        <v>218</v>
      </c>
      <c r="F19" s="590">
        <f>C18-H18</f>
        <v>0</v>
      </c>
      <c r="G19" s="582" t="s">
        <v>219</v>
      </c>
      <c r="H19" s="590">
        <f>D18-I18</f>
        <v>0</v>
      </c>
      <c r="I19" s="582" t="s">
        <v>220</v>
      </c>
      <c r="J19" s="533">
        <f>F19+H19</f>
        <v>0</v>
      </c>
      <c r="K19" s="3090"/>
      <c r="L19" s="3090"/>
      <c r="M19" s="3090"/>
      <c r="N19" s="3090"/>
      <c r="O19" s="3090"/>
    </row>
    <row r="20" spans="1:15" s="744" customFormat="1" ht="22.5" customHeight="1">
      <c r="A20" s="3602" t="s">
        <v>642</v>
      </c>
      <c r="B20" s="3603"/>
      <c r="C20" s="3601" t="str">
        <f>IF($C$18+主营收支!$H$20&lt;&gt;利润!$C$5,"营业收入账载数与报表数相差"&amp;DOLLAR($C$18+主营收支!$H$20-利润!$C$5,2)&amp;"元！","营业收入账载数与报表数相符！")</f>
        <v>营业收入账载数与报表数相符！</v>
      </c>
      <c r="D20" s="3601"/>
      <c r="E20" s="3601"/>
      <c r="F20" s="3601"/>
      <c r="G20" s="3601"/>
      <c r="H20" s="3601"/>
      <c r="I20" s="3601"/>
      <c r="J20" s="3601"/>
      <c r="K20" s="3090"/>
      <c r="L20" s="3090"/>
      <c r="M20" s="3090"/>
      <c r="N20" s="3090"/>
      <c r="O20" s="3090"/>
    </row>
    <row r="21" spans="1:15" s="744" customFormat="1" ht="22.5" customHeight="1">
      <c r="A21" s="3604"/>
      <c r="B21" s="3605"/>
      <c r="C21" s="3606" t="str">
        <f>IF($H$18+主营收支!$H$37&lt;&gt;利润!$C$6,"营业成本账载数与报表数相差"&amp;DOLLAR($H$18+主营收支!$H$37-利润!$C$6,2)&amp;"元！","营业成本账载数与报表数相符！")</f>
        <v>营业成本账载数与报表数相符！</v>
      </c>
      <c r="D21" s="3607"/>
      <c r="E21" s="3607"/>
      <c r="F21" s="3607"/>
      <c r="G21" s="3607"/>
      <c r="H21" s="3607"/>
      <c r="I21" s="3607"/>
      <c r="J21" s="3608"/>
      <c r="K21" s="3090"/>
      <c r="L21" s="3090"/>
      <c r="M21" s="3090"/>
      <c r="N21" s="3090"/>
      <c r="O21" s="3090"/>
    </row>
    <row r="22" spans="1:15" s="130" customFormat="1" ht="15" customHeight="1">
      <c r="A22" s="3573" t="s">
        <v>1324</v>
      </c>
      <c r="B22" s="3573"/>
      <c r="C22" s="3610" t="s">
        <v>1645</v>
      </c>
      <c r="D22" s="3610"/>
      <c r="E22" s="3609" t="str">
        <f>IF(OR(D18&lt;&gt;0,I18&lt;&gt;0),"、E","")</f>
        <v/>
      </c>
      <c r="F22" s="3609"/>
      <c r="G22" s="3609"/>
      <c r="H22" s="3609"/>
      <c r="I22" s="3609"/>
      <c r="J22" s="3609"/>
      <c r="K22" s="3090"/>
      <c r="L22" s="3090"/>
      <c r="M22" s="3090"/>
      <c r="N22" s="3090"/>
      <c r="O22" s="3090"/>
    </row>
    <row r="23" spans="1:15" s="130" customFormat="1" ht="22.5" customHeight="1">
      <c r="A23" s="3573"/>
      <c r="B23" s="3573"/>
      <c r="C23" s="3611"/>
      <c r="D23" s="3611"/>
      <c r="E23" s="3611"/>
      <c r="F23" s="3611"/>
      <c r="G23" s="3611"/>
      <c r="H23" s="3611"/>
      <c r="I23" s="3611"/>
      <c r="J23" s="3611"/>
      <c r="K23" s="3090"/>
      <c r="L23" s="3090"/>
      <c r="M23" s="3090"/>
      <c r="N23" s="3090"/>
      <c r="O23" s="3090"/>
    </row>
    <row r="24" spans="1:15" s="130" customFormat="1" ht="9" customHeight="1">
      <c r="A24" s="3573"/>
      <c r="B24" s="3573"/>
      <c r="C24" s="3611"/>
      <c r="D24" s="3611"/>
      <c r="E24" s="3611"/>
      <c r="F24" s="3611"/>
      <c r="G24" s="3611"/>
      <c r="H24" s="3611"/>
      <c r="I24" s="3611"/>
      <c r="J24" s="3611"/>
      <c r="K24" s="3090"/>
      <c r="L24" s="3090"/>
      <c r="M24" s="3090"/>
      <c r="N24" s="3090"/>
      <c r="O24" s="3090"/>
    </row>
    <row r="25" spans="1:15" s="130" customFormat="1" ht="22.5" customHeight="1">
      <c r="A25" s="3572" t="s">
        <v>575</v>
      </c>
      <c r="B25" s="3572"/>
      <c r="C25" s="3135" t="str">
        <f>IF(OR(D18&lt;&gt;0,I18&lt;&gt;0),"调整后认可！","不存在调整事项，认可！")</f>
        <v>不存在调整事项，认可！</v>
      </c>
      <c r="D25" s="3135"/>
      <c r="E25" s="3135"/>
      <c r="F25" s="3135"/>
      <c r="G25" s="3135"/>
      <c r="H25" s="3135"/>
      <c r="I25" s="3135"/>
      <c r="J25" s="3135"/>
      <c r="K25" s="3090"/>
      <c r="L25" s="3090"/>
      <c r="M25" s="3090"/>
      <c r="N25" s="3090"/>
      <c r="O25" s="3090"/>
    </row>
    <row r="26" spans="1:15" s="130" customFormat="1" ht="20.100000000000001" customHeight="1">
      <c r="A26" s="554"/>
      <c r="B26" s="554"/>
      <c r="C26" s="554"/>
      <c r="D26" s="554"/>
      <c r="E26" s="554"/>
      <c r="F26" s="554"/>
      <c r="G26" s="554"/>
      <c r="H26" s="554"/>
      <c r="I26" s="554"/>
      <c r="J26" s="554"/>
      <c r="K26" s="950"/>
      <c r="L26" s="951"/>
      <c r="M26" s="598"/>
      <c r="N26" s="598"/>
      <c r="O26" s="598"/>
    </row>
    <row r="27" spans="1:15" s="130" customFormat="1" ht="29.25" customHeight="1">
      <c r="A27" s="554"/>
      <c r="B27" s="554"/>
      <c r="C27" s="554"/>
      <c r="D27" s="554"/>
      <c r="E27" s="554"/>
      <c r="F27" s="554"/>
      <c r="G27" s="554"/>
      <c r="H27" s="554"/>
      <c r="I27" s="554"/>
      <c r="J27" s="554"/>
      <c r="K27" s="950"/>
      <c r="L27" s="951"/>
      <c r="M27" s="598"/>
      <c r="N27" s="598"/>
      <c r="O27" s="598"/>
    </row>
    <row r="28" spans="1:15" s="130" customFormat="1" ht="20.100000000000001" customHeight="1">
      <c r="A28" s="554"/>
      <c r="B28" s="554"/>
      <c r="C28" s="554"/>
      <c r="D28" s="554"/>
      <c r="E28" s="554"/>
      <c r="F28" s="554"/>
      <c r="G28" s="554"/>
      <c r="H28" s="554"/>
      <c r="I28" s="554"/>
      <c r="J28" s="554"/>
      <c r="K28" s="598"/>
      <c r="L28" s="598"/>
      <c r="M28" s="598"/>
      <c r="N28" s="598"/>
      <c r="O28" s="598"/>
    </row>
    <row r="29" spans="1:15" s="130" customFormat="1" ht="20.100000000000001" customHeight="1">
      <c r="A29" s="554"/>
      <c r="B29" s="554"/>
      <c r="C29" s="554"/>
      <c r="D29" s="554"/>
      <c r="E29" s="554"/>
      <c r="F29" s="554"/>
      <c r="G29" s="554"/>
      <c r="H29" s="554"/>
      <c r="I29" s="554"/>
      <c r="J29" s="554"/>
      <c r="K29" s="598"/>
      <c r="L29" s="598"/>
      <c r="M29" s="598"/>
      <c r="N29" s="598"/>
      <c r="O29" s="598"/>
    </row>
    <row r="30" spans="1:15" s="130" customFormat="1" ht="20.100000000000001" customHeight="1">
      <c r="A30" s="554"/>
      <c r="B30" s="554"/>
      <c r="C30" s="554"/>
      <c r="D30" s="554"/>
      <c r="E30" s="554"/>
      <c r="F30" s="554"/>
      <c r="G30" s="554"/>
      <c r="H30" s="554"/>
      <c r="I30" s="554"/>
      <c r="J30" s="554"/>
      <c r="K30" s="598"/>
      <c r="L30" s="598"/>
      <c r="M30" s="598"/>
      <c r="N30" s="598"/>
      <c r="O30" s="598"/>
    </row>
    <row r="31" spans="1:15" s="130" customFormat="1" ht="20.100000000000001" customHeight="1">
      <c r="A31" s="554"/>
      <c r="B31" s="554"/>
      <c r="C31" s="554"/>
      <c r="D31" s="554"/>
      <c r="E31" s="554"/>
      <c r="F31" s="554"/>
      <c r="G31" s="554"/>
      <c r="H31" s="554"/>
      <c r="I31" s="554"/>
      <c r="J31" s="554"/>
      <c r="K31" s="598"/>
      <c r="L31" s="598"/>
      <c r="M31" s="598"/>
      <c r="N31" s="598"/>
      <c r="O31" s="598"/>
    </row>
    <row r="32" spans="1:15" s="130" customFormat="1" ht="20.100000000000001" customHeight="1">
      <c r="A32" s="554"/>
      <c r="B32" s="554"/>
      <c r="C32" s="554"/>
      <c r="D32" s="554"/>
      <c r="E32" s="554"/>
      <c r="F32" s="554"/>
      <c r="G32" s="554"/>
      <c r="H32" s="554"/>
      <c r="I32" s="554"/>
      <c r="J32" s="554"/>
      <c r="K32" s="598"/>
      <c r="L32" s="598"/>
      <c r="M32" s="598"/>
      <c r="N32" s="598"/>
      <c r="O32" s="598"/>
    </row>
    <row r="33" spans="1:15" s="130" customFormat="1" ht="20.100000000000001" customHeight="1">
      <c r="A33" s="554"/>
      <c r="B33" s="554"/>
      <c r="C33" s="554"/>
      <c r="D33" s="554"/>
      <c r="E33" s="554"/>
      <c r="F33" s="554"/>
      <c r="G33" s="554"/>
      <c r="H33" s="554"/>
      <c r="I33" s="554"/>
      <c r="J33" s="554"/>
      <c r="K33" s="598"/>
      <c r="L33" s="598"/>
      <c r="M33" s="598"/>
      <c r="N33" s="598"/>
      <c r="O33" s="598"/>
    </row>
    <row r="34" spans="1:15" s="130" customFormat="1" ht="20.100000000000001" customHeight="1">
      <c r="A34" s="554"/>
      <c r="B34" s="554"/>
      <c r="C34" s="554"/>
      <c r="D34" s="554"/>
      <c r="E34" s="554"/>
      <c r="F34" s="554"/>
      <c r="G34" s="554"/>
      <c r="H34" s="554"/>
      <c r="I34" s="554"/>
      <c r="J34" s="554"/>
      <c r="K34" s="598"/>
      <c r="L34" s="598"/>
      <c r="M34" s="598"/>
      <c r="N34" s="598"/>
      <c r="O34" s="598"/>
    </row>
    <row r="35" spans="1:15" s="130" customFormat="1" ht="20.100000000000001" customHeight="1">
      <c r="A35" s="554"/>
      <c r="B35" s="554"/>
      <c r="C35" s="554"/>
      <c r="D35" s="554"/>
      <c r="E35" s="554"/>
      <c r="F35" s="554"/>
      <c r="G35" s="554"/>
      <c r="H35" s="554"/>
      <c r="I35" s="554"/>
      <c r="J35" s="554"/>
      <c r="K35" s="598"/>
      <c r="L35" s="598"/>
      <c r="M35" s="598"/>
      <c r="N35" s="598"/>
      <c r="O35" s="598"/>
    </row>
    <row r="36" spans="1:15" s="130" customFormat="1" ht="20.100000000000001" customHeight="1">
      <c r="A36" s="554"/>
      <c r="B36" s="554"/>
      <c r="C36" s="554"/>
      <c r="D36" s="554"/>
      <c r="E36" s="554"/>
      <c r="F36" s="554"/>
      <c r="G36" s="554"/>
      <c r="H36" s="554"/>
      <c r="I36" s="554"/>
      <c r="J36" s="554"/>
      <c r="K36" s="598"/>
      <c r="L36" s="598"/>
      <c r="M36" s="598"/>
      <c r="N36" s="598"/>
      <c r="O36" s="598"/>
    </row>
    <row r="37" spans="1:15" s="130" customFormat="1" ht="26.25" customHeight="1">
      <c r="A37" s="554"/>
      <c r="B37" s="554"/>
      <c r="C37" s="554"/>
      <c r="D37" s="554"/>
      <c r="E37" s="554"/>
      <c r="F37" s="554"/>
      <c r="G37" s="554"/>
      <c r="H37" s="554"/>
      <c r="I37" s="554"/>
      <c r="J37" s="554"/>
      <c r="K37" s="598"/>
      <c r="L37" s="598"/>
      <c r="M37" s="598"/>
      <c r="N37" s="598"/>
      <c r="O37" s="598"/>
    </row>
    <row r="38" spans="1:15" s="130" customFormat="1" ht="20.100000000000001" customHeight="1">
      <c r="A38" s="554"/>
      <c r="B38" s="554"/>
      <c r="C38" s="554"/>
      <c r="D38" s="554"/>
      <c r="E38" s="554"/>
      <c r="F38" s="554"/>
      <c r="G38" s="554"/>
      <c r="H38" s="554"/>
      <c r="I38" s="554"/>
      <c r="J38" s="554"/>
      <c r="K38" s="598"/>
      <c r="L38" s="598"/>
      <c r="M38" s="598"/>
      <c r="N38" s="598"/>
      <c r="O38" s="598"/>
    </row>
    <row r="39" spans="1:15" s="130" customFormat="1" ht="20.100000000000001" customHeight="1">
      <c r="A39" s="554"/>
      <c r="B39" s="554"/>
      <c r="C39" s="554"/>
      <c r="D39" s="554"/>
      <c r="E39" s="554"/>
      <c r="F39" s="554"/>
      <c r="G39" s="554"/>
      <c r="H39" s="554"/>
      <c r="I39" s="554"/>
      <c r="J39" s="554"/>
      <c r="K39" s="598"/>
      <c r="L39" s="598"/>
      <c r="M39" s="598"/>
      <c r="N39" s="598"/>
      <c r="O39" s="598"/>
    </row>
    <row r="40" spans="1:15" s="130" customFormat="1" ht="20.100000000000001" customHeight="1">
      <c r="A40" s="554"/>
      <c r="B40" s="554"/>
      <c r="C40" s="554"/>
      <c r="D40" s="554"/>
      <c r="E40" s="554"/>
      <c r="F40" s="554"/>
      <c r="G40" s="554"/>
      <c r="H40" s="554"/>
      <c r="I40" s="554"/>
      <c r="J40" s="554"/>
      <c r="K40" s="598"/>
      <c r="L40" s="598"/>
      <c r="M40" s="598"/>
      <c r="N40" s="598"/>
      <c r="O40" s="598"/>
    </row>
    <row r="41" spans="1:15" s="130" customFormat="1" ht="20.100000000000001" customHeight="1">
      <c r="A41" s="554"/>
      <c r="B41" s="554"/>
      <c r="C41" s="554"/>
      <c r="D41" s="554"/>
      <c r="E41" s="554"/>
      <c r="F41" s="554"/>
      <c r="G41" s="554"/>
      <c r="H41" s="554"/>
      <c r="I41" s="554"/>
      <c r="J41" s="554"/>
      <c r="K41" s="598"/>
      <c r="L41" s="598"/>
      <c r="M41" s="598"/>
      <c r="N41" s="598"/>
      <c r="O41" s="598"/>
    </row>
    <row r="42" spans="1:15" s="130" customFormat="1" ht="20.100000000000001" customHeight="1">
      <c r="A42" s="554"/>
      <c r="B42" s="554"/>
      <c r="C42" s="554"/>
      <c r="D42" s="554"/>
      <c r="E42" s="554"/>
      <c r="F42" s="554"/>
      <c r="G42" s="554"/>
      <c r="H42" s="554"/>
      <c r="I42" s="554"/>
      <c r="J42" s="554"/>
      <c r="K42" s="598"/>
      <c r="L42" s="598"/>
      <c r="M42" s="598"/>
      <c r="N42" s="598"/>
      <c r="O42" s="598"/>
    </row>
    <row r="43" spans="1:15" s="130" customFormat="1" ht="20.100000000000001" customHeight="1">
      <c r="A43" s="554"/>
      <c r="B43" s="554"/>
      <c r="C43" s="554"/>
      <c r="D43" s="554"/>
      <c r="E43" s="554"/>
      <c r="F43" s="554"/>
      <c r="G43" s="554"/>
      <c r="H43" s="554"/>
      <c r="I43" s="554"/>
      <c r="J43" s="554"/>
      <c r="K43" s="598"/>
      <c r="L43" s="598"/>
      <c r="M43" s="598"/>
      <c r="N43" s="598"/>
      <c r="O43" s="598"/>
    </row>
    <row r="44" spans="1:15" s="130" customFormat="1" ht="20.100000000000001" customHeight="1">
      <c r="A44" s="554"/>
      <c r="B44" s="554"/>
      <c r="C44" s="554"/>
      <c r="D44" s="554"/>
      <c r="E44" s="554"/>
      <c r="F44" s="554"/>
      <c r="G44" s="554"/>
      <c r="H44" s="554"/>
      <c r="I44" s="554"/>
      <c r="J44" s="554"/>
      <c r="K44" s="598"/>
      <c r="L44" s="598"/>
      <c r="M44" s="598"/>
      <c r="N44" s="598"/>
      <c r="O44" s="598"/>
    </row>
    <row r="45" spans="1:15" s="130" customFormat="1" ht="20.100000000000001" customHeight="1">
      <c r="A45" s="554"/>
      <c r="B45" s="554"/>
      <c r="C45" s="554"/>
      <c r="D45" s="554"/>
      <c r="E45" s="554"/>
      <c r="F45" s="554"/>
      <c r="G45" s="554"/>
      <c r="H45" s="554"/>
      <c r="I45" s="554"/>
      <c r="J45" s="554"/>
      <c r="K45" s="598"/>
      <c r="L45" s="598"/>
      <c r="M45" s="598"/>
      <c r="N45" s="598"/>
      <c r="O45" s="598"/>
    </row>
    <row r="46" spans="1:15" s="130" customFormat="1" ht="20.100000000000001" customHeight="1">
      <c r="A46" s="554"/>
      <c r="B46" s="554"/>
      <c r="C46" s="554"/>
      <c r="D46" s="554"/>
      <c r="E46" s="554"/>
      <c r="F46" s="554"/>
      <c r="G46" s="554"/>
      <c r="H46" s="554"/>
      <c r="I46" s="554"/>
      <c r="J46" s="554"/>
      <c r="K46" s="598"/>
      <c r="L46" s="598"/>
      <c r="M46" s="598"/>
      <c r="N46" s="598"/>
      <c r="O46" s="598"/>
    </row>
    <row r="47" spans="1:15" s="130" customFormat="1" ht="20.100000000000001" customHeight="1">
      <c r="A47" s="554"/>
      <c r="B47" s="554"/>
      <c r="C47" s="554"/>
      <c r="D47" s="554"/>
      <c r="E47" s="554"/>
      <c r="F47" s="554"/>
      <c r="G47" s="554"/>
      <c r="H47" s="554"/>
      <c r="I47" s="554"/>
      <c r="J47" s="554"/>
      <c r="K47" s="598"/>
      <c r="L47" s="598"/>
      <c r="M47" s="598"/>
      <c r="N47" s="598"/>
      <c r="O47" s="598"/>
    </row>
    <row r="48" spans="1:15" s="130" customFormat="1" ht="20.100000000000001" customHeight="1">
      <c r="A48" s="554"/>
      <c r="B48" s="554"/>
      <c r="C48" s="554"/>
      <c r="D48" s="554"/>
      <c r="E48" s="554"/>
      <c r="F48" s="554"/>
      <c r="G48" s="554"/>
      <c r="H48" s="554"/>
      <c r="I48" s="554"/>
      <c r="J48" s="554"/>
    </row>
    <row r="49" spans="1:10" s="130" customFormat="1" ht="20.100000000000001" customHeight="1">
      <c r="A49" s="554"/>
      <c r="B49" s="554"/>
      <c r="C49" s="554"/>
      <c r="D49" s="554"/>
      <c r="E49" s="554"/>
      <c r="F49" s="554"/>
      <c r="G49" s="554"/>
      <c r="H49" s="554"/>
      <c r="I49" s="554"/>
      <c r="J49" s="554"/>
    </row>
    <row r="50" spans="1:10" s="130" customFormat="1" ht="20.100000000000001" customHeight="1">
      <c r="A50" s="554"/>
      <c r="B50" s="554"/>
      <c r="C50" s="554"/>
      <c r="D50" s="554"/>
      <c r="E50" s="554"/>
      <c r="F50" s="554"/>
      <c r="G50" s="554"/>
      <c r="H50" s="554"/>
      <c r="I50" s="554"/>
      <c r="J50" s="554"/>
    </row>
  </sheetData>
  <sheetProtection selectLockedCells="1" selectUnlockedCells="1"/>
  <mergeCells count="24">
    <mergeCell ref="A20:B21"/>
    <mergeCell ref="C21:J21"/>
    <mergeCell ref="E22:J22"/>
    <mergeCell ref="A25:B25"/>
    <mergeCell ref="C25:J25"/>
    <mergeCell ref="A22:B24"/>
    <mergeCell ref="C22:D22"/>
    <mergeCell ref="C23:J24"/>
    <mergeCell ref="A14:A17"/>
    <mergeCell ref="F6:J6"/>
    <mergeCell ref="A19:D19"/>
    <mergeCell ref="K1:K4"/>
    <mergeCell ref="A2:B3"/>
    <mergeCell ref="C2:F3"/>
    <mergeCell ref="J3:J4"/>
    <mergeCell ref="A4:B4"/>
    <mergeCell ref="C4:F4"/>
    <mergeCell ref="A1:J1"/>
    <mergeCell ref="K17:O25"/>
    <mergeCell ref="A5:J5"/>
    <mergeCell ref="A6:B7"/>
    <mergeCell ref="C6:E6"/>
    <mergeCell ref="A18:B18"/>
    <mergeCell ref="C20:J20"/>
  </mergeCells>
  <phoneticPr fontId="51" type="noConversion"/>
  <dataValidations count="2">
    <dataValidation allowBlank="1" showErrorMessage="1" sqref="H3">
      <formula1>0</formula1>
      <formula2>0</formula2>
    </dataValidation>
    <dataValidation allowBlank="1" showErrorMessage="1" promptTitle="存在调整事项时" prompt="_x000a_选择 “E”" sqref="E22:J22">
      <formula1>0</formula1>
      <formula2>0</formula2>
    </dataValidation>
  </dataValidations>
  <hyperlinks>
    <hyperlink ref="K7" location="纳税申报数据!A1" display="纳税申报数据"/>
    <hyperlink ref="K8" location="税费缴纳测算!A1" display="税费缴纳测算"/>
    <hyperlink ref="K10" location="主营税金!A1" display="主营税金审核表"/>
    <hyperlink ref="K11" location="收入与申报核对表!A1" display="收入与申报核对表"/>
    <hyperlink ref="K12" location="收入明细表!A1" display="收入明细表"/>
    <hyperlink ref="K13" location="利润!A1" display="利润及利润分配表"/>
    <hyperlink ref="K14" location="企业各税审核汇总表!A1" display="企业各税审核汇总表"/>
    <hyperlink ref="K15" location="成本费用明细表!A1" display="成本费用明细表!A1"/>
  </hyperlinks>
  <pageMargins left="0.78740157480314998" right="0.35433070866141703" top="0.511811023622047" bottom="0.11811023622047198" header="0.511811023622047" footer="0.511811023622047"/>
  <pageSetup paperSize="9" firstPageNumber="0" orientation="landscape" blackAndWhite="1" r:id="rId1"/>
  <headerFooter alignWithMargins="0"/>
</worksheet>
</file>

<file path=xl/worksheets/sheet8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49">
    <pageSetUpPr fitToPage="1"/>
  </sheetPr>
  <dimension ref="A1:N48"/>
  <sheetViews>
    <sheetView workbookViewId="0">
      <selection activeCell="H12" sqref="H12"/>
    </sheetView>
  </sheetViews>
  <sheetFormatPr defaultRowHeight="15.6"/>
  <cols>
    <col min="1" max="1" width="6" style="954" customWidth="1"/>
    <col min="2" max="2" width="4.19921875" style="954" customWidth="1"/>
    <col min="3" max="3" width="26.3984375" style="771" customWidth="1"/>
    <col min="4" max="4" width="8" style="771" customWidth="1"/>
    <col min="5" max="5" width="9.59765625" style="771" customWidth="1"/>
    <col min="6" max="8" width="14.09765625" style="771" customWidth="1"/>
    <col min="9" max="9" width="30.19921875" customWidth="1"/>
    <col min="10" max="10" width="18" customWidth="1"/>
  </cols>
  <sheetData>
    <row r="1" spans="1:14" ht="29.25" customHeight="1">
      <c r="A1" s="3079" t="s">
        <v>320</v>
      </c>
      <c r="B1" s="3079"/>
      <c r="C1" s="3079"/>
      <c r="D1" s="3079"/>
      <c r="E1" s="3079"/>
      <c r="F1" s="3079"/>
      <c r="G1" s="3079"/>
      <c r="H1" s="3079"/>
      <c r="I1" s="3568"/>
      <c r="J1" s="84"/>
      <c r="K1" s="84"/>
      <c r="L1" s="84"/>
    </row>
    <row r="2" spans="1:14" ht="21.75" customHeight="1">
      <c r="A2" s="3024" t="s">
        <v>448</v>
      </c>
      <c r="B2" s="3024"/>
      <c r="C2" s="955">
        <f>基本情况!$B$2</f>
        <v>0</v>
      </c>
      <c r="D2" s="3613" t="s">
        <v>451</v>
      </c>
      <c r="E2" s="3614"/>
      <c r="F2" s="1803">
        <f>基本情况!B12</f>
        <v>0</v>
      </c>
      <c r="G2" s="644" t="str">
        <f>TEXT(基本情况!B21,"yyyy-mm-dd")</f>
        <v>2017-03-16</v>
      </c>
      <c r="H2" s="485" t="s">
        <v>283</v>
      </c>
      <c r="I2" s="3568"/>
      <c r="J2" s="84"/>
      <c r="K2" s="84"/>
      <c r="L2" s="84"/>
    </row>
    <row r="3" spans="1:14" ht="21.75" customHeight="1">
      <c r="A3" s="3147" t="s">
        <v>452</v>
      </c>
      <c r="B3" s="3147"/>
      <c r="C3" s="958" t="str">
        <f>基本情况!$B$7</f>
        <v>2016年01月01日至2016年12月31日</v>
      </c>
      <c r="D3" s="3615" t="s">
        <v>453</v>
      </c>
      <c r="E3" s="3616"/>
      <c r="F3" s="960">
        <f>基本情况!B11</f>
        <v>0</v>
      </c>
      <c r="G3" s="1801" t="str">
        <f>TEXT(基本情况!B22,"yyyy-mm-dd")</f>
        <v>2017-05-04</v>
      </c>
      <c r="H3" s="961" t="str">
        <f>档案索引!D28</f>
        <v>3-7</v>
      </c>
      <c r="I3" s="3568"/>
      <c r="J3" s="84"/>
      <c r="K3" s="84"/>
      <c r="L3" s="84"/>
    </row>
    <row r="4" spans="1:14" ht="6.75" customHeight="1">
      <c r="A4" s="2894"/>
      <c r="B4" s="2894"/>
      <c r="C4" s="2894"/>
      <c r="D4" s="2894"/>
      <c r="E4" s="2894"/>
      <c r="F4" s="2894"/>
      <c r="G4" s="2894"/>
      <c r="H4" s="2894"/>
      <c r="I4" s="3568"/>
      <c r="J4" s="84"/>
      <c r="K4" s="84"/>
      <c r="L4" s="84"/>
    </row>
    <row r="5" spans="1:14" ht="21.75" customHeight="1">
      <c r="A5" s="3021" t="s">
        <v>646</v>
      </c>
      <c r="B5" s="3021"/>
      <c r="C5" s="582" t="s">
        <v>666</v>
      </c>
      <c r="D5" s="3022" t="s">
        <v>1182</v>
      </c>
      <c r="E5" s="3022"/>
      <c r="F5" s="582" t="s">
        <v>907</v>
      </c>
      <c r="G5" s="779" t="s">
        <v>6512</v>
      </c>
      <c r="H5" s="772" t="s">
        <v>503</v>
      </c>
      <c r="I5" s="962" t="s">
        <v>396</v>
      </c>
      <c r="J5" s="812"/>
      <c r="K5" s="84"/>
      <c r="L5" s="84"/>
    </row>
    <row r="6" spans="1:14" ht="16.5" customHeight="1">
      <c r="A6" s="3153">
        <v>1</v>
      </c>
      <c r="B6" s="3153"/>
      <c r="C6" s="963" t="s">
        <v>908</v>
      </c>
      <c r="D6" s="3612">
        <f>SUMIF(余额表!J:J,"销售费用-"&amp;C6,余额表!E:E)</f>
        <v>0</v>
      </c>
      <c r="E6" s="3612"/>
      <c r="F6" s="1118"/>
      <c r="G6" s="1802"/>
      <c r="H6" s="967">
        <f>D6+F6</f>
        <v>0</v>
      </c>
      <c r="I6" s="575" t="s">
        <v>75</v>
      </c>
      <c r="J6" s="84"/>
      <c r="K6" s="84"/>
      <c r="L6" s="84"/>
    </row>
    <row r="7" spans="1:14" ht="16.5" customHeight="1">
      <c r="A7" s="2903">
        <v>2</v>
      </c>
      <c r="B7" s="2903"/>
      <c r="C7" s="494" t="s">
        <v>909</v>
      </c>
      <c r="D7" s="3617">
        <f>SUMIF(余额表!J:J,"销售费用-"&amp;C7,余额表!E:E)</f>
        <v>0</v>
      </c>
      <c r="E7" s="3618"/>
      <c r="F7" s="1120">
        <f>-SUMIFS(凭证检查!G6:G205,凭证检查!E6:E205,"营业费用",凭证检查!F6:F205,"福利费",凭证检查!M6:M205,"&lt;&gt;")-SUMIFS(凭证检查!G6:G205,凭证检查!E6:E205,"销售费用",凭证检查!F6:F205,"福利费",凭证检查!M6:M205,"&lt;&gt;")</f>
        <v>0</v>
      </c>
      <c r="G7" s="1200"/>
      <c r="H7" s="699">
        <f>D7+F7</f>
        <v>0</v>
      </c>
      <c r="I7" s="232" t="s">
        <v>643</v>
      </c>
      <c r="J7" s="84"/>
      <c r="K7" s="84"/>
      <c r="L7" s="84"/>
    </row>
    <row r="8" spans="1:14" ht="16.5" customHeight="1">
      <c r="A8" s="2903">
        <v>3</v>
      </c>
      <c r="B8" s="2903"/>
      <c r="C8" s="494" t="s">
        <v>910</v>
      </c>
      <c r="D8" s="3617">
        <f>SUMIF(余额表!J:J,"销售费用-"&amp;C8,余额表!E:E)</f>
        <v>0</v>
      </c>
      <c r="E8" s="3618"/>
      <c r="F8" s="1120">
        <f>-SUMIFS(凭证检查!G6:G205,凭证检查!E6:E205,"营业费用",凭证检查!F6:F205,"职工教育经费",凭证检查!M6:M205,"&lt;&gt;")-SUMIFS(凭证检查!G6:G205,凭证检查!E6:E205,"销售费用",凭证检查!F6:F205,"职工教育经费",凭证检查!M6:M205,"&lt;&gt;")</f>
        <v>0</v>
      </c>
      <c r="G8" s="1200"/>
      <c r="H8" s="699">
        <f t="shared" ref="H8:H43" si="0">D8+F8</f>
        <v>0</v>
      </c>
      <c r="I8" s="575" t="s">
        <v>1292</v>
      </c>
      <c r="J8" s="84"/>
      <c r="K8" s="84"/>
      <c r="L8" s="84"/>
    </row>
    <row r="9" spans="1:14" ht="16.5" customHeight="1">
      <c r="A9" s="2903">
        <v>4</v>
      </c>
      <c r="B9" s="2903"/>
      <c r="C9" s="494" t="s">
        <v>911</v>
      </c>
      <c r="D9" s="3617">
        <f>SUMIF(余额表!J:J,"销售费用-"&amp;C9,余额表!E:E)</f>
        <v>0</v>
      </c>
      <c r="E9" s="3618"/>
      <c r="F9" s="1120"/>
      <c r="G9" s="1200"/>
      <c r="H9" s="699">
        <f t="shared" si="0"/>
        <v>0</v>
      </c>
      <c r="I9" s="575" t="s">
        <v>620</v>
      </c>
      <c r="J9" s="84"/>
      <c r="K9" s="84"/>
      <c r="L9" s="84"/>
    </row>
    <row r="10" spans="1:14" ht="16.5" customHeight="1">
      <c r="A10" s="2903">
        <v>5</v>
      </c>
      <c r="B10" s="2903"/>
      <c r="C10" s="494" t="s">
        <v>912</v>
      </c>
      <c r="D10" s="3617">
        <f>SUMIF(余额表!J:J,"销售费用-"&amp;C10,余额表!E:E)</f>
        <v>0</v>
      </c>
      <c r="E10" s="3618"/>
      <c r="F10" s="1120">
        <f>-SUMIFS(凭证检查!G6:G205,凭证检查!E6:E205,"营业费用",凭证检查!F6:F205,"业务招待费",凭证检查!M6:M205,"&lt;&gt;")-SUMIFS(凭证检查!G6:G205,凭证检查!E6:E205,"销售费用",凭证检查!F6:F205,"业务招待费",凭证检查!M6:M205,"&lt;&gt;")</f>
        <v>0</v>
      </c>
      <c r="G10" s="1200"/>
      <c r="H10" s="699">
        <f t="shared" si="0"/>
        <v>0</v>
      </c>
      <c r="I10" s="232" t="s">
        <v>1260</v>
      </c>
      <c r="J10" s="84"/>
      <c r="K10" s="84"/>
      <c r="L10" s="84"/>
    </row>
    <row r="11" spans="1:14" ht="16.5" customHeight="1">
      <c r="A11" s="2903">
        <v>6</v>
      </c>
      <c r="B11" s="2903"/>
      <c r="C11" s="494" t="s">
        <v>913</v>
      </c>
      <c r="D11" s="3617">
        <f>SUMIF(余额表!J:J,"销售费用-"&amp;C11,余额表!E:E)</f>
        <v>0</v>
      </c>
      <c r="E11" s="3618"/>
      <c r="F11" s="1120"/>
      <c r="G11" s="1200"/>
      <c r="H11" s="699">
        <f t="shared" si="0"/>
        <v>0</v>
      </c>
      <c r="I11" s="232" t="s">
        <v>880</v>
      </c>
      <c r="J11" s="84"/>
      <c r="K11" s="84"/>
      <c r="L11" s="84"/>
    </row>
    <row r="12" spans="1:14" ht="16.5" customHeight="1">
      <c r="A12" s="2903">
        <v>7</v>
      </c>
      <c r="B12" s="2903"/>
      <c r="C12" s="494" t="s">
        <v>914</v>
      </c>
      <c r="D12" s="3617">
        <f>SUMIF(余额表!J:J,"销售费用-"&amp;C12,余额表!E:E)</f>
        <v>0</v>
      </c>
      <c r="E12" s="3618"/>
      <c r="F12" s="1120"/>
      <c r="G12" s="1200"/>
      <c r="H12" s="699">
        <f t="shared" si="0"/>
        <v>0</v>
      </c>
      <c r="I12" s="575" t="s">
        <v>85</v>
      </c>
      <c r="J12" s="84"/>
      <c r="K12" s="84"/>
      <c r="L12" s="84"/>
    </row>
    <row r="13" spans="1:14" ht="16.5" customHeight="1">
      <c r="A13" s="2903">
        <v>8</v>
      </c>
      <c r="B13" s="2903"/>
      <c r="C13" s="494" t="s">
        <v>1481</v>
      </c>
      <c r="D13" s="3617">
        <f>SUMIF(余额表!J:J,"销售费用-"&amp;C13,余额表!E:E)</f>
        <v>0</v>
      </c>
      <c r="E13" s="3618"/>
      <c r="F13" s="1120"/>
      <c r="G13" s="1200"/>
      <c r="H13" s="699">
        <f t="shared" si="0"/>
        <v>0</v>
      </c>
      <c r="I13" s="232" t="s">
        <v>1156</v>
      </c>
      <c r="J13" s="84"/>
      <c r="K13" s="84"/>
      <c r="L13" s="84"/>
    </row>
    <row r="14" spans="1:14" ht="16.5" customHeight="1">
      <c r="A14" s="2903">
        <v>9</v>
      </c>
      <c r="B14" s="2903"/>
      <c r="C14" s="790" t="s">
        <v>915</v>
      </c>
      <c r="D14" s="3617">
        <f>SUMIF(余额表!J:J,"销售费用-"&amp;C14,余额表!E:E)</f>
        <v>0</v>
      </c>
      <c r="E14" s="3618"/>
      <c r="F14" s="1120"/>
      <c r="G14" s="1200"/>
      <c r="H14" s="699">
        <f t="shared" si="0"/>
        <v>0</v>
      </c>
      <c r="I14" s="232" t="s">
        <v>916</v>
      </c>
      <c r="J14" s="84"/>
      <c r="K14" s="84"/>
      <c r="L14" s="84"/>
    </row>
    <row r="15" spans="1:14" ht="16.5" customHeight="1">
      <c r="A15" s="2903">
        <v>10</v>
      </c>
      <c r="B15" s="2903"/>
      <c r="C15" s="494" t="s">
        <v>572</v>
      </c>
      <c r="D15" s="3617">
        <f>SUMIF(余额表!J:J,"销售费用-"&amp;C15,余额表!E:E)</f>
        <v>0</v>
      </c>
      <c r="E15" s="3618"/>
      <c r="F15" s="1120"/>
      <c r="G15" s="1200"/>
      <c r="H15" s="699">
        <f t="shared" si="0"/>
        <v>0</v>
      </c>
      <c r="I15" s="232" t="s">
        <v>917</v>
      </c>
      <c r="J15" s="84"/>
      <c r="K15" s="84"/>
      <c r="L15" s="84"/>
      <c r="M15" s="673"/>
      <c r="N15" s="673"/>
    </row>
    <row r="16" spans="1:14" ht="16.5" customHeight="1">
      <c r="A16" s="2903">
        <v>11</v>
      </c>
      <c r="B16" s="2903"/>
      <c r="C16" s="494" t="s">
        <v>918</v>
      </c>
      <c r="D16" s="3617">
        <f>SUMIF(余额表!J:J,"销售费用-"&amp;C16,余额表!E:E)</f>
        <v>0</v>
      </c>
      <c r="E16" s="3618"/>
      <c r="F16" s="1120"/>
      <c r="G16" s="1200"/>
      <c r="H16" s="699">
        <f t="shared" si="0"/>
        <v>0</v>
      </c>
      <c r="I16" s="232" t="s">
        <v>919</v>
      </c>
      <c r="J16" s="84"/>
      <c r="K16" s="84"/>
      <c r="L16" s="84"/>
      <c r="M16" s="673"/>
      <c r="N16" s="673"/>
    </row>
    <row r="17" spans="1:14" ht="16.5" customHeight="1">
      <c r="A17" s="2903">
        <v>12</v>
      </c>
      <c r="B17" s="2903"/>
      <c r="C17" s="494" t="s">
        <v>920</v>
      </c>
      <c r="D17" s="3617">
        <f>SUMIF(余额表!J:J,"销售费用-"&amp;C17,余额表!E:E)</f>
        <v>0</v>
      </c>
      <c r="E17" s="3618"/>
      <c r="F17" s="1120"/>
      <c r="G17" s="1200"/>
      <c r="H17" s="699">
        <f t="shared" si="0"/>
        <v>0</v>
      </c>
      <c r="I17" s="2034" t="s">
        <v>6598</v>
      </c>
      <c r="J17" s="84"/>
      <c r="K17" s="84"/>
      <c r="L17" s="84"/>
      <c r="M17" s="673"/>
      <c r="N17" s="673"/>
    </row>
    <row r="18" spans="1:14" ht="16.5" customHeight="1">
      <c r="A18" s="2903">
        <v>13</v>
      </c>
      <c r="B18" s="2903"/>
      <c r="C18" s="494" t="s">
        <v>921</v>
      </c>
      <c r="D18" s="3617">
        <f>SUMIF(余额表!J:J,"销售费用-"&amp;C18,余额表!E:E)</f>
        <v>0</v>
      </c>
      <c r="E18" s="3618"/>
      <c r="F18" s="1120"/>
      <c r="G18" s="1200"/>
      <c r="H18" s="699">
        <f t="shared" si="0"/>
        <v>0</v>
      </c>
      <c r="I18" s="3090" t="s">
        <v>471</v>
      </c>
      <c r="J18" s="3090"/>
      <c r="K18" s="3090"/>
      <c r="L18" s="3090"/>
      <c r="M18" s="673"/>
      <c r="N18" s="673"/>
    </row>
    <row r="19" spans="1:14" ht="16.5" customHeight="1">
      <c r="A19" s="2903">
        <v>14</v>
      </c>
      <c r="B19" s="2903"/>
      <c r="C19" s="494" t="s">
        <v>36</v>
      </c>
      <c r="D19" s="3617">
        <f>SUMIF(余额表!J:J,"销售费用-"&amp;C19,余额表!E:E)</f>
        <v>0</v>
      </c>
      <c r="E19" s="3618"/>
      <c r="F19" s="1120"/>
      <c r="G19" s="1200"/>
      <c r="H19" s="699">
        <f t="shared" si="0"/>
        <v>0</v>
      </c>
      <c r="I19" s="3090"/>
      <c r="J19" s="3090"/>
      <c r="K19" s="3090"/>
      <c r="L19" s="3090"/>
      <c r="M19" s="673"/>
      <c r="N19" s="673"/>
    </row>
    <row r="20" spans="1:14" ht="16.5" customHeight="1">
      <c r="A20" s="2903">
        <v>15</v>
      </c>
      <c r="B20" s="2903"/>
      <c r="C20" s="494" t="s">
        <v>472</v>
      </c>
      <c r="D20" s="3617">
        <f>SUMIF(余额表!J:J,"销售费用-"&amp;C20,余额表!E:E)</f>
        <v>0</v>
      </c>
      <c r="E20" s="3618"/>
      <c r="F20" s="1120"/>
      <c r="G20" s="1200"/>
      <c r="H20" s="699">
        <f t="shared" si="0"/>
        <v>0</v>
      </c>
      <c r="I20" s="3090"/>
      <c r="J20" s="3090"/>
      <c r="K20" s="3090"/>
      <c r="L20" s="3090"/>
      <c r="M20" s="673"/>
      <c r="N20" s="673"/>
    </row>
    <row r="21" spans="1:14" ht="16.5" customHeight="1">
      <c r="A21" s="2903">
        <v>16</v>
      </c>
      <c r="B21" s="2903"/>
      <c r="C21" s="494" t="s">
        <v>473</v>
      </c>
      <c r="D21" s="3617">
        <f>SUMIF(余额表!J:J,"销售费用-"&amp;C21,余额表!E:E)</f>
        <v>0</v>
      </c>
      <c r="E21" s="3618"/>
      <c r="F21" s="1120"/>
      <c r="G21" s="1200"/>
      <c r="H21" s="699">
        <f t="shared" si="0"/>
        <v>0</v>
      </c>
      <c r="I21" s="3090"/>
      <c r="J21" s="3090"/>
      <c r="K21" s="3090"/>
      <c r="L21" s="3090"/>
      <c r="M21" s="673"/>
      <c r="N21" s="673"/>
    </row>
    <row r="22" spans="1:14" ht="16.5" customHeight="1">
      <c r="A22" s="2903">
        <v>17</v>
      </c>
      <c r="B22" s="2903"/>
      <c r="C22" s="2033" t="s">
        <v>6515</v>
      </c>
      <c r="D22" s="3617">
        <f>SUMIF(余额表!J:J,"销售费用-"&amp;C22,余额表!E:E)</f>
        <v>0</v>
      </c>
      <c r="E22" s="3618"/>
      <c r="F22" s="1120"/>
      <c r="G22" s="1200"/>
      <c r="H22" s="699">
        <f t="shared" si="0"/>
        <v>0</v>
      </c>
      <c r="I22" s="3090"/>
      <c r="J22" s="3090"/>
      <c r="K22" s="3090"/>
      <c r="L22" s="3090"/>
      <c r="M22" s="673"/>
      <c r="N22" s="673"/>
    </row>
    <row r="23" spans="1:14" ht="16.5" customHeight="1">
      <c r="A23" s="2903">
        <v>18</v>
      </c>
      <c r="B23" s="2903"/>
      <c r="C23" s="2033" t="s">
        <v>1631</v>
      </c>
      <c r="D23" s="3617">
        <f>SUMIF(余额表!J:J,"销售费用-"&amp;C23,余额表!E:E)</f>
        <v>0</v>
      </c>
      <c r="E23" s="3618"/>
      <c r="F23" s="1120"/>
      <c r="G23" s="1200"/>
      <c r="H23" s="699">
        <f t="shared" si="0"/>
        <v>0</v>
      </c>
      <c r="I23" s="3090"/>
      <c r="J23" s="3090"/>
      <c r="K23" s="3090"/>
      <c r="L23" s="3090"/>
      <c r="M23" s="673"/>
      <c r="N23" s="673"/>
    </row>
    <row r="24" spans="1:14" ht="16.5" customHeight="1">
      <c r="A24" s="2903">
        <v>19</v>
      </c>
      <c r="B24" s="2903"/>
      <c r="C24" s="2033" t="s">
        <v>6516</v>
      </c>
      <c r="D24" s="3617">
        <f>SUMIF(余额表!J:J,"销售费用-"&amp;C24,余额表!E:E)</f>
        <v>0</v>
      </c>
      <c r="E24" s="3618"/>
      <c r="F24" s="1120"/>
      <c r="G24" s="1200"/>
      <c r="H24" s="699">
        <f t="shared" si="0"/>
        <v>0</v>
      </c>
      <c r="I24" s="3090"/>
      <c r="J24" s="3090"/>
      <c r="K24" s="3090"/>
      <c r="L24" s="3090"/>
      <c r="M24" s="673"/>
      <c r="N24" s="673"/>
    </row>
    <row r="25" spans="1:14" ht="16.5" customHeight="1">
      <c r="A25" s="2903">
        <v>20</v>
      </c>
      <c r="B25" s="2903"/>
      <c r="C25" s="2033" t="s">
        <v>1280</v>
      </c>
      <c r="D25" s="3617">
        <f>SUMIF(余额表!J:J,"销售费用-"&amp;C25,余额表!E:E)</f>
        <v>0</v>
      </c>
      <c r="E25" s="3618"/>
      <c r="F25" s="1120"/>
      <c r="G25" s="1200"/>
      <c r="H25" s="699">
        <f t="shared" si="0"/>
        <v>0</v>
      </c>
      <c r="I25" s="3090"/>
      <c r="J25" s="3090"/>
      <c r="K25" s="3090"/>
      <c r="L25" s="3090"/>
    </row>
    <row r="26" spans="1:14" ht="16.5" customHeight="1">
      <c r="A26" s="2903">
        <v>21</v>
      </c>
      <c r="B26" s="2903"/>
      <c r="C26" s="2033" t="s">
        <v>1278</v>
      </c>
      <c r="D26" s="3617">
        <f>SUMIF(余额表!J:J,"销售费用-"&amp;C26,余额表!E:E)</f>
        <v>0</v>
      </c>
      <c r="E26" s="3618"/>
      <c r="F26" s="1120"/>
      <c r="G26" s="1200"/>
      <c r="H26" s="699">
        <f t="shared" si="0"/>
        <v>0</v>
      </c>
      <c r="I26" s="3090" t="s">
        <v>474</v>
      </c>
      <c r="J26" s="3090"/>
      <c r="K26" s="3090"/>
      <c r="L26" s="3090"/>
      <c r="M26" s="607"/>
    </row>
    <row r="27" spans="1:14" ht="16.5" customHeight="1">
      <c r="A27" s="2903">
        <v>22</v>
      </c>
      <c r="B27" s="2903"/>
      <c r="C27" s="2033" t="s">
        <v>1279</v>
      </c>
      <c r="D27" s="3617">
        <f>SUMIF(余额表!J:J,"销售费用-"&amp;C27,余额表!E:E)</f>
        <v>0</v>
      </c>
      <c r="E27" s="3618"/>
      <c r="F27" s="2008"/>
      <c r="G27" s="1200"/>
      <c r="H27" s="699">
        <f t="shared" ref="H27:H32" si="1">D27+F27</f>
        <v>0</v>
      </c>
      <c r="I27" s="3090"/>
      <c r="J27" s="3090"/>
      <c r="K27" s="3090"/>
      <c r="L27" s="3090"/>
      <c r="M27" s="2007"/>
    </row>
    <row r="28" spans="1:14" ht="16.5" customHeight="1">
      <c r="A28" s="2903">
        <v>23</v>
      </c>
      <c r="B28" s="2903"/>
      <c r="C28" s="2033" t="s">
        <v>6517</v>
      </c>
      <c r="D28" s="3617">
        <f>SUMIF(余额表!J:J,"销售费用-"&amp;C28,余额表!E:E)</f>
        <v>0</v>
      </c>
      <c r="E28" s="3618"/>
      <c r="F28" s="2008"/>
      <c r="G28" s="1200"/>
      <c r="H28" s="699">
        <f t="shared" si="1"/>
        <v>0</v>
      </c>
      <c r="I28" s="3090"/>
      <c r="J28" s="3090"/>
      <c r="K28" s="3090"/>
      <c r="L28" s="3090"/>
      <c r="M28" s="2007"/>
    </row>
    <row r="29" spans="1:14" ht="16.5" customHeight="1">
      <c r="A29" s="2903">
        <v>24</v>
      </c>
      <c r="B29" s="2903"/>
      <c r="C29" s="2033" t="s">
        <v>6235</v>
      </c>
      <c r="D29" s="3617">
        <f>SUMIF(余额表!J:J,"销售费用-"&amp;C29,余额表!E:E)</f>
        <v>0</v>
      </c>
      <c r="E29" s="3618"/>
      <c r="F29" s="2008"/>
      <c r="G29" s="1200"/>
      <c r="H29" s="699">
        <f t="shared" si="1"/>
        <v>0</v>
      </c>
      <c r="I29" s="3090"/>
      <c r="J29" s="3090"/>
      <c r="K29" s="3090"/>
      <c r="L29" s="3090"/>
      <c r="M29" s="2007"/>
    </row>
    <row r="30" spans="1:14" ht="16.5" customHeight="1">
      <c r="A30" s="2903">
        <v>25</v>
      </c>
      <c r="B30" s="2903"/>
      <c r="C30" s="2033" t="s">
        <v>6236</v>
      </c>
      <c r="D30" s="3617">
        <f>SUMIF(余额表!J:J,"销售费用-"&amp;C30,余额表!E:E)</f>
        <v>0</v>
      </c>
      <c r="E30" s="3618"/>
      <c r="F30" s="2008"/>
      <c r="G30" s="1200"/>
      <c r="H30" s="699">
        <f t="shared" si="1"/>
        <v>0</v>
      </c>
      <c r="I30" s="3090"/>
      <c r="J30" s="3090"/>
      <c r="K30" s="3090"/>
      <c r="L30" s="3090"/>
      <c r="M30" s="2007"/>
    </row>
    <row r="31" spans="1:14" ht="16.5" customHeight="1">
      <c r="A31" s="2903">
        <v>26</v>
      </c>
      <c r="B31" s="2903"/>
      <c r="C31" s="2033" t="s">
        <v>6239</v>
      </c>
      <c r="D31" s="3617">
        <f>SUMIF(余额表!J:J,"销售费用-"&amp;C31,余额表!E:E)</f>
        <v>0</v>
      </c>
      <c r="E31" s="3618"/>
      <c r="F31" s="2008"/>
      <c r="G31" s="1200"/>
      <c r="H31" s="699">
        <f t="shared" si="1"/>
        <v>0</v>
      </c>
      <c r="I31" s="3090"/>
      <c r="J31" s="3090"/>
      <c r="K31" s="3090"/>
      <c r="L31" s="3090"/>
      <c r="M31" s="2007"/>
    </row>
    <row r="32" spans="1:14" ht="16.5" customHeight="1">
      <c r="A32" s="2903">
        <v>27</v>
      </c>
      <c r="B32" s="2903"/>
      <c r="C32" s="2033" t="s">
        <v>6243</v>
      </c>
      <c r="D32" s="3617">
        <f>SUMIF(余额表!J:J,"销售费用-"&amp;C32,余额表!E:E)</f>
        <v>0</v>
      </c>
      <c r="E32" s="3618"/>
      <c r="F32" s="2008"/>
      <c r="G32" s="1200"/>
      <c r="H32" s="699">
        <f t="shared" si="1"/>
        <v>0</v>
      </c>
      <c r="I32" s="3090"/>
      <c r="J32" s="3090"/>
      <c r="K32" s="3090"/>
      <c r="L32" s="3090"/>
      <c r="M32" s="2007"/>
    </row>
    <row r="33" spans="1:13" ht="16.5" customHeight="1">
      <c r="A33" s="2903">
        <v>28</v>
      </c>
      <c r="B33" s="2903"/>
      <c r="C33" s="2033" t="s">
        <v>6244</v>
      </c>
      <c r="D33" s="3617">
        <f>SUMIF(余额表!J:J,"销售费用-"&amp;C33,余额表!E:E)</f>
        <v>0</v>
      </c>
      <c r="E33" s="3618"/>
      <c r="F33" s="1120"/>
      <c r="G33" s="1200"/>
      <c r="H33" s="699">
        <f t="shared" si="0"/>
        <v>0</v>
      </c>
      <c r="I33" s="3090"/>
      <c r="J33" s="3090"/>
      <c r="K33" s="3090"/>
      <c r="L33" s="3090"/>
      <c r="M33" s="587"/>
    </row>
    <row r="34" spans="1:13" ht="16.5" customHeight="1">
      <c r="A34" s="2903">
        <v>29</v>
      </c>
      <c r="B34" s="2903"/>
      <c r="C34" s="2033" t="s">
        <v>6246</v>
      </c>
      <c r="D34" s="3617">
        <f>SUMIF(余额表!J:J,"销售费用-"&amp;C34,余额表!E:E)</f>
        <v>0</v>
      </c>
      <c r="E34" s="3618"/>
      <c r="F34" s="1120"/>
      <c r="G34" s="1200"/>
      <c r="H34" s="699">
        <f t="shared" si="0"/>
        <v>0</v>
      </c>
      <c r="I34" s="84"/>
      <c r="J34" s="84"/>
      <c r="K34" s="84"/>
      <c r="L34" s="84"/>
      <c r="M34" s="587"/>
    </row>
    <row r="35" spans="1:13" ht="16.5" customHeight="1">
      <c r="A35" s="2903">
        <v>30</v>
      </c>
      <c r="B35" s="2903"/>
      <c r="C35" s="2033" t="s">
        <v>6247</v>
      </c>
      <c r="D35" s="3617">
        <f>SUMIF(余额表!J:J,"销售费用-"&amp;C35,余额表!E:E)</f>
        <v>0</v>
      </c>
      <c r="E35" s="3618"/>
      <c r="F35" s="1120"/>
      <c r="G35" s="1200"/>
      <c r="H35" s="699">
        <f t="shared" si="0"/>
        <v>0</v>
      </c>
      <c r="I35" s="84"/>
      <c r="J35" s="84"/>
      <c r="K35" s="84"/>
      <c r="L35" s="84"/>
      <c r="M35" s="587"/>
    </row>
    <row r="36" spans="1:13" ht="16.5" customHeight="1">
      <c r="A36" s="2903">
        <v>31</v>
      </c>
      <c r="B36" s="2903"/>
      <c r="C36" s="2033" t="s">
        <v>6248</v>
      </c>
      <c r="D36" s="3617">
        <f>SUMIF(余额表!J:J,"销售费用-"&amp;C36,余额表!E:E)</f>
        <v>0</v>
      </c>
      <c r="E36" s="3618"/>
      <c r="F36" s="1120"/>
      <c r="G36" s="1200"/>
      <c r="H36" s="699">
        <f t="shared" si="0"/>
        <v>0</v>
      </c>
      <c r="I36" s="84"/>
      <c r="J36" s="84"/>
      <c r="K36" s="84"/>
      <c r="L36" s="84"/>
      <c r="M36" s="587"/>
    </row>
    <row r="37" spans="1:13" ht="16.5" customHeight="1">
      <c r="A37" s="2903">
        <v>32</v>
      </c>
      <c r="B37" s="2903"/>
      <c r="C37" s="2033" t="s">
        <v>6518</v>
      </c>
      <c r="D37" s="3617">
        <f>SUMIF(余额表!J:J,"销售费用-"&amp;C37,余额表!E:E)</f>
        <v>0</v>
      </c>
      <c r="E37" s="3618"/>
      <c r="F37" s="1120"/>
      <c r="G37" s="1200"/>
      <c r="H37" s="699">
        <f t="shared" si="0"/>
        <v>0</v>
      </c>
      <c r="I37" s="84"/>
      <c r="J37" s="84"/>
      <c r="K37" s="84"/>
      <c r="L37" s="84"/>
      <c r="M37" s="587"/>
    </row>
    <row r="38" spans="1:13" ht="16.5" customHeight="1">
      <c r="A38" s="2903">
        <v>33</v>
      </c>
      <c r="B38" s="2903"/>
      <c r="C38" s="2033" t="s">
        <v>6251</v>
      </c>
      <c r="D38" s="3617">
        <f>SUMIF(余额表!J:J,"销售费用-"&amp;C38,余额表!E:E)</f>
        <v>0</v>
      </c>
      <c r="E38" s="3618"/>
      <c r="F38" s="1120"/>
      <c r="G38" s="1200"/>
      <c r="H38" s="699">
        <f t="shared" si="0"/>
        <v>0</v>
      </c>
      <c r="I38" s="3090" t="s">
        <v>475</v>
      </c>
      <c r="J38" s="3090"/>
      <c r="K38" s="3090"/>
      <c r="L38" s="3090"/>
      <c r="M38" s="587"/>
    </row>
    <row r="39" spans="1:13" ht="16.5" customHeight="1">
      <c r="A39" s="2903">
        <v>34</v>
      </c>
      <c r="B39" s="2903"/>
      <c r="C39" s="2033" t="s">
        <v>6252</v>
      </c>
      <c r="D39" s="3617">
        <f>SUMIF(余额表!J:J,"销售费用-"&amp;C39,余额表!E:E)</f>
        <v>0</v>
      </c>
      <c r="E39" s="3618"/>
      <c r="F39" s="1120"/>
      <c r="G39" s="1200"/>
      <c r="H39" s="699">
        <f t="shared" si="0"/>
        <v>0</v>
      </c>
      <c r="I39" s="3090"/>
      <c r="J39" s="3090"/>
      <c r="K39" s="3090"/>
      <c r="L39" s="3090"/>
      <c r="M39" s="587"/>
    </row>
    <row r="40" spans="1:13" ht="16.5" customHeight="1">
      <c r="A40" s="2903">
        <v>35</v>
      </c>
      <c r="B40" s="2903"/>
      <c r="C40" s="2033" t="s">
        <v>6253</v>
      </c>
      <c r="D40" s="3617">
        <f>SUMIF(余额表!J:J,"销售费用-"&amp;C40,余额表!E:E)</f>
        <v>0</v>
      </c>
      <c r="E40" s="3618"/>
      <c r="F40" s="1120"/>
      <c r="G40" s="1200"/>
      <c r="H40" s="699">
        <f t="shared" si="0"/>
        <v>0</v>
      </c>
      <c r="I40" s="3090" t="s">
        <v>476</v>
      </c>
      <c r="J40" s="3090"/>
      <c r="K40" s="3090"/>
      <c r="L40" s="3090"/>
    </row>
    <row r="41" spans="1:13" ht="16.5" customHeight="1">
      <c r="A41" s="2903">
        <v>36</v>
      </c>
      <c r="B41" s="2903"/>
      <c r="C41" s="2033" t="s">
        <v>6254</v>
      </c>
      <c r="D41" s="3617">
        <f>SUMIF(余额表!J:J,"销售费用-"&amp;C41,余额表!E:E)</f>
        <v>0</v>
      </c>
      <c r="E41" s="3618"/>
      <c r="F41" s="1120"/>
      <c r="G41" s="1200"/>
      <c r="H41" s="699">
        <f t="shared" si="0"/>
        <v>0</v>
      </c>
      <c r="I41" s="3090"/>
      <c r="J41" s="3090"/>
      <c r="K41" s="3090"/>
      <c r="L41" s="3090"/>
    </row>
    <row r="42" spans="1:13" ht="16.5" customHeight="1">
      <c r="A42" s="2903">
        <v>37</v>
      </c>
      <c r="B42" s="2903"/>
      <c r="C42" s="2033" t="s">
        <v>1296</v>
      </c>
      <c r="D42" s="3617">
        <f>SUMIF(余额表!J:J,"销售费用-"&amp;C42,余额表!E:E)</f>
        <v>0</v>
      </c>
      <c r="E42" s="3618"/>
      <c r="F42" s="1120">
        <f>-F7-F8-F10</f>
        <v>0</v>
      </c>
      <c r="G42" s="1200"/>
      <c r="H42" s="699">
        <f t="shared" si="0"/>
        <v>0</v>
      </c>
      <c r="I42" s="3090" t="s">
        <v>477</v>
      </c>
      <c r="J42" s="3090"/>
      <c r="K42" s="3090"/>
      <c r="L42" s="3090"/>
    </row>
    <row r="43" spans="1:13" ht="16.5" customHeight="1">
      <c r="A43" s="3620" t="s">
        <v>6551</v>
      </c>
      <c r="B43" s="3621"/>
      <c r="C43" s="964" t="s">
        <v>6604</v>
      </c>
      <c r="D43" s="3123"/>
      <c r="E43" s="3123"/>
      <c r="F43" s="1120"/>
      <c r="G43" s="1200"/>
      <c r="H43" s="699">
        <f t="shared" si="0"/>
        <v>0</v>
      </c>
      <c r="I43" s="3090"/>
      <c r="J43" s="3090"/>
      <c r="K43" s="3090"/>
      <c r="L43" s="3090"/>
    </row>
    <row r="44" spans="1:13" ht="21.75" customHeight="1">
      <c r="A44" s="2904" t="s">
        <v>703</v>
      </c>
      <c r="B44" s="2904"/>
      <c r="C44" s="2904"/>
      <c r="D44" s="3217">
        <f>SUM(D6:D42)</f>
        <v>0</v>
      </c>
      <c r="E44" s="3217"/>
      <c r="F44" s="721">
        <f>SUM(F6:F42)</f>
        <v>0</v>
      </c>
      <c r="G44" s="721">
        <f>SUM(G6:G42)</f>
        <v>0</v>
      </c>
      <c r="H44" s="702">
        <f>SUM(H6:H42)</f>
        <v>0</v>
      </c>
      <c r="I44" s="3090" t="s">
        <v>478</v>
      </c>
      <c r="J44" s="3090"/>
      <c r="K44" s="3090"/>
      <c r="L44" s="3090"/>
    </row>
    <row r="45" spans="1:13" ht="21.75" customHeight="1">
      <c r="A45" s="3024" t="s">
        <v>642</v>
      </c>
      <c r="B45" s="3024"/>
      <c r="C45" s="3154" t="str">
        <f>IF(D44&lt;&gt;利润!C15,"账载数与报表数相差"&amp;DOLLAR(D44-利润!C15,2)&amp;"元！","账载数与报表数相符！")</f>
        <v>账载数与报表数相符！</v>
      </c>
      <c r="D45" s="3154"/>
      <c r="E45" s="3154"/>
      <c r="F45" s="3154"/>
      <c r="G45" s="3154"/>
      <c r="H45" s="3154"/>
      <c r="I45" s="3090"/>
      <c r="J45" s="3090"/>
      <c r="K45" s="3090"/>
      <c r="L45" s="3090"/>
    </row>
    <row r="46" spans="1:13" ht="15" customHeight="1">
      <c r="A46" s="3058" t="s">
        <v>1324</v>
      </c>
      <c r="B46" s="3058"/>
      <c r="C46" s="965" t="s">
        <v>175</v>
      </c>
      <c r="D46" s="3619" t="str">
        <f>IF(F44&lt;&gt;0,"、E","")</f>
        <v/>
      </c>
      <c r="E46" s="3619"/>
      <c r="F46" s="3619"/>
      <c r="G46" s="3619"/>
      <c r="H46" s="3619"/>
      <c r="I46" s="3090"/>
      <c r="J46" s="3090"/>
      <c r="K46" s="3090"/>
      <c r="L46" s="3090"/>
    </row>
    <row r="47" spans="1:13" ht="49.5" customHeight="1">
      <c r="A47" s="3058"/>
      <c r="B47" s="3058"/>
      <c r="C47" s="3159"/>
      <c r="D47" s="3159"/>
      <c r="E47" s="3159"/>
      <c r="F47" s="3159"/>
      <c r="G47" s="3159"/>
      <c r="H47" s="3159"/>
      <c r="I47" s="84"/>
      <c r="J47" s="84"/>
      <c r="K47" s="84"/>
      <c r="L47" s="84"/>
    </row>
    <row r="48" spans="1:13" ht="18.75" customHeight="1">
      <c r="A48" s="3156" t="s">
        <v>575</v>
      </c>
      <c r="B48" s="3156"/>
      <c r="C48" s="3135" t="str">
        <f>IF(F44=0,"不存在调整事项，认可！","调整后认可！")</f>
        <v>不存在调整事项，认可！</v>
      </c>
      <c r="D48" s="3135"/>
      <c r="E48" s="3135"/>
      <c r="F48" s="3135"/>
      <c r="G48" s="3135"/>
      <c r="H48" s="3135"/>
      <c r="I48" s="84"/>
      <c r="J48" s="84"/>
      <c r="K48" s="84"/>
      <c r="L48" s="84"/>
    </row>
  </sheetData>
  <sheetProtection selectLockedCells="1" selectUnlockedCells="1"/>
  <mergeCells count="100">
    <mergeCell ref="A48:B48"/>
    <mergeCell ref="C48:H48"/>
    <mergeCell ref="D44:E44"/>
    <mergeCell ref="I40:L41"/>
    <mergeCell ref="A41:B41"/>
    <mergeCell ref="D41:E41"/>
    <mergeCell ref="I44:L46"/>
    <mergeCell ref="A45:B45"/>
    <mergeCell ref="C45:H45"/>
    <mergeCell ref="A46:B47"/>
    <mergeCell ref="D46:H46"/>
    <mergeCell ref="C47:H47"/>
    <mergeCell ref="A44:C44"/>
    <mergeCell ref="D42:E42"/>
    <mergeCell ref="I42:L43"/>
    <mergeCell ref="A43:B43"/>
    <mergeCell ref="D43:E43"/>
    <mergeCell ref="A42:B42"/>
    <mergeCell ref="A40:B40"/>
    <mergeCell ref="D40:E40"/>
    <mergeCell ref="A37:B37"/>
    <mergeCell ref="I38:L39"/>
    <mergeCell ref="A39:B39"/>
    <mergeCell ref="D39:E39"/>
    <mergeCell ref="A38:B38"/>
    <mergeCell ref="D38:E38"/>
    <mergeCell ref="I26:L33"/>
    <mergeCell ref="A26:B26"/>
    <mergeCell ref="D26:E26"/>
    <mergeCell ref="A33:B33"/>
    <mergeCell ref="A27:B27"/>
    <mergeCell ref="D27:E27"/>
    <mergeCell ref="A28:B28"/>
    <mergeCell ref="D28:E28"/>
    <mergeCell ref="A29:B29"/>
    <mergeCell ref="D29:E29"/>
    <mergeCell ref="A30:B30"/>
    <mergeCell ref="D30:E30"/>
    <mergeCell ref="A31:B31"/>
    <mergeCell ref="D31:E31"/>
    <mergeCell ref="A32:B32"/>
    <mergeCell ref="D32:E32"/>
    <mergeCell ref="D33:E33"/>
    <mergeCell ref="D37:E37"/>
    <mergeCell ref="A34:B34"/>
    <mergeCell ref="D34:E34"/>
    <mergeCell ref="A36:B36"/>
    <mergeCell ref="D36:E36"/>
    <mergeCell ref="A35:B35"/>
    <mergeCell ref="D35:E35"/>
    <mergeCell ref="I18:L25"/>
    <mergeCell ref="A21:B21"/>
    <mergeCell ref="D21:E21"/>
    <mergeCell ref="A19:B19"/>
    <mergeCell ref="D19:E19"/>
    <mergeCell ref="A20:B20"/>
    <mergeCell ref="A24:B24"/>
    <mergeCell ref="D24:E24"/>
    <mergeCell ref="A25:B25"/>
    <mergeCell ref="D25:E25"/>
    <mergeCell ref="A22:B22"/>
    <mergeCell ref="A23:B23"/>
    <mergeCell ref="D23:E23"/>
    <mergeCell ref="D22:E22"/>
    <mergeCell ref="D20:E20"/>
    <mergeCell ref="A11:B11"/>
    <mergeCell ref="D11:E11"/>
    <mergeCell ref="A8:B8"/>
    <mergeCell ref="D8:E8"/>
    <mergeCell ref="A9:B9"/>
    <mergeCell ref="D9:E9"/>
    <mergeCell ref="A14:B14"/>
    <mergeCell ref="D14:E14"/>
    <mergeCell ref="A15:B15"/>
    <mergeCell ref="A12:B12"/>
    <mergeCell ref="D12:E12"/>
    <mergeCell ref="A13:B13"/>
    <mergeCell ref="D13:E13"/>
    <mergeCell ref="D15:E15"/>
    <mergeCell ref="A16:B16"/>
    <mergeCell ref="D16:E16"/>
    <mergeCell ref="A17:B17"/>
    <mergeCell ref="D17:E17"/>
    <mergeCell ref="A18:B18"/>
    <mergeCell ref="D18:E18"/>
    <mergeCell ref="I1:I4"/>
    <mergeCell ref="A2:B2"/>
    <mergeCell ref="A3:B3"/>
    <mergeCell ref="A4:H4"/>
    <mergeCell ref="A5:B5"/>
    <mergeCell ref="D5:E5"/>
    <mergeCell ref="A1:H1"/>
    <mergeCell ref="D6:E6"/>
    <mergeCell ref="A6:B6"/>
    <mergeCell ref="D2:E2"/>
    <mergeCell ref="D3:E3"/>
    <mergeCell ref="A10:B10"/>
    <mergeCell ref="D10:E10"/>
    <mergeCell ref="A7:B7"/>
    <mergeCell ref="D7:E7"/>
  </mergeCells>
  <phoneticPr fontId="51" type="noConversion"/>
  <dataValidations count="2">
    <dataValidation allowBlank="1" sqref="C22:C43">
      <formula1>0</formula1>
      <formula2>0</formula2>
    </dataValidation>
    <dataValidation type="list" allowBlank="1" sqref="C21">
      <formula1>"办公费,邮电费,交通差旅费,房租,物业水电费,车辆使用费,各种税金,开办费,低值易耗品,运杂费,残保金,其他"</formula1>
      <formula2>0</formula2>
    </dataValidation>
  </dataValidations>
  <hyperlinks>
    <hyperlink ref="I6" location="成本费用明细表!A1" display="成本费用明细表"/>
    <hyperlink ref="I7" location="利润!A1" display="利润及利润分配表"/>
    <hyperlink ref="I8" location="纳税调整明细表!A1" display="纳税调整明细表"/>
    <hyperlink ref="I9" location="资产折旧纳税调整表!A1" display="资产折旧纳税调整表"/>
    <hyperlink ref="I10" location="折旧测算!A1" display="折旧验算表"/>
    <hyperlink ref="I11" location="固资折旧!A1" display="固定资产及折旧审核表"/>
    <hyperlink ref="I12" location="广告费纳税调整表!A1" display="广告费纳税调整表"/>
    <hyperlink ref="I13" location="工资福利!A1" display="工资福利审核表"/>
    <hyperlink ref="I14" location="社保!A1" display="社保公积审核表"/>
    <hyperlink ref="I15" location="招待!A1" display="招待费审核表"/>
    <hyperlink ref="I16" location="捐赠!A1" display="捐赠支出审核表"/>
    <hyperlink ref="I17" location="A104000期间费用明细表!A1" display="A104000期间费用明细表!A1"/>
  </hyperlinks>
  <pageMargins left="0.78740157480314998" right="0.35433070866141703" top="0.511811023622047" bottom="0.11811023622047198" header="0.511811023622047" footer="0.511811023622047"/>
  <pageSetup paperSize="9" scale="88" firstPageNumber="0" fitToHeight="0" orientation="portrait" blackAndWhite="1" r:id="rId1"/>
  <headerFooter alignWithMargins="0"/>
</worksheet>
</file>

<file path=xl/worksheets/sheet8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50">
    <pageSetUpPr fitToPage="1"/>
  </sheetPr>
  <dimension ref="A1:M110"/>
  <sheetViews>
    <sheetView workbookViewId="0">
      <selection activeCell="F8" sqref="F8"/>
    </sheetView>
  </sheetViews>
  <sheetFormatPr defaultRowHeight="15.6"/>
  <cols>
    <col min="1" max="1" width="6" style="954" customWidth="1"/>
    <col min="2" max="2" width="4.19921875" style="954" customWidth="1"/>
    <col min="3" max="3" width="26.3984375" style="771" customWidth="1"/>
    <col min="4" max="4" width="6.09765625" style="771" customWidth="1"/>
    <col min="5" max="5" width="9.59765625" style="771" customWidth="1"/>
    <col min="6" max="8" width="14.09765625" style="771" customWidth="1"/>
    <col min="9" max="9" width="31.5" customWidth="1"/>
    <col min="10" max="10" width="19.59765625" style="131" customWidth="1"/>
  </cols>
  <sheetData>
    <row r="1" spans="1:12" ht="29.25" customHeight="1">
      <c r="A1" s="3079" t="s">
        <v>324</v>
      </c>
      <c r="B1" s="3079"/>
      <c r="C1" s="3079"/>
      <c r="D1" s="3079"/>
      <c r="E1" s="3079"/>
      <c r="F1" s="3079"/>
      <c r="G1" s="3079"/>
      <c r="H1" s="3079"/>
      <c r="I1" s="3568"/>
      <c r="J1" s="812"/>
      <c r="K1" s="84"/>
      <c r="L1" s="84"/>
    </row>
    <row r="2" spans="1:12" ht="21.75" customHeight="1">
      <c r="A2" s="3024" t="s">
        <v>448</v>
      </c>
      <c r="B2" s="3024"/>
      <c r="C2" s="955">
        <f>基本情况!$B$2</f>
        <v>0</v>
      </c>
      <c r="D2" s="3613" t="s">
        <v>451</v>
      </c>
      <c r="E2" s="3614"/>
      <c r="F2" s="1803">
        <f>基本情况!B12</f>
        <v>0</v>
      </c>
      <c r="G2" s="644" t="str">
        <f>TEXT(基本情况!B21,"yyyy-mm-dd")</f>
        <v>2017-03-16</v>
      </c>
      <c r="H2" s="485" t="s">
        <v>283</v>
      </c>
      <c r="I2" s="3568"/>
      <c r="J2" s="812"/>
      <c r="K2" s="84"/>
      <c r="L2" s="84"/>
    </row>
    <row r="3" spans="1:12" ht="21.75" customHeight="1">
      <c r="A3" s="2904" t="s">
        <v>452</v>
      </c>
      <c r="B3" s="2904"/>
      <c r="C3" s="139" t="str">
        <f>基本情况!$B$7</f>
        <v>2016年01月01日至2016年12月31日</v>
      </c>
      <c r="D3" s="3615" t="s">
        <v>453</v>
      </c>
      <c r="E3" s="3616"/>
      <c r="F3" s="960">
        <f>基本情况!B11</f>
        <v>0</v>
      </c>
      <c r="G3" s="1801" t="str">
        <f>TEXT(基本情况!B22,"yyyy-mm-dd")</f>
        <v>2017-05-04</v>
      </c>
      <c r="H3" s="512" t="str">
        <f>档案索引!D29</f>
        <v>3-8</v>
      </c>
      <c r="I3" s="3568"/>
      <c r="J3" s="812"/>
      <c r="K3" s="84"/>
      <c r="L3" s="84"/>
    </row>
    <row r="4" spans="1:12" ht="6.75" customHeight="1">
      <c r="A4" s="2894"/>
      <c r="B4" s="2894"/>
      <c r="C4" s="2894"/>
      <c r="D4" s="2894"/>
      <c r="E4" s="2894"/>
      <c r="F4" s="2894"/>
      <c r="G4" s="2894"/>
      <c r="H4" s="2894"/>
      <c r="I4" s="3568"/>
      <c r="J4" s="812"/>
      <c r="K4" s="84"/>
      <c r="L4" s="84"/>
    </row>
    <row r="5" spans="1:12" ht="21.75" customHeight="1">
      <c r="A5" s="3021" t="s">
        <v>646</v>
      </c>
      <c r="B5" s="3021"/>
      <c r="C5" s="582" t="s">
        <v>666</v>
      </c>
      <c r="D5" s="3022" t="s">
        <v>1182</v>
      </c>
      <c r="E5" s="3022"/>
      <c r="F5" s="582" t="s">
        <v>907</v>
      </c>
      <c r="G5" s="779" t="s">
        <v>6512</v>
      </c>
      <c r="H5" s="772" t="s">
        <v>503</v>
      </c>
      <c r="I5" s="962" t="s">
        <v>396</v>
      </c>
      <c r="J5" s="966"/>
      <c r="K5" s="84"/>
      <c r="L5" s="84"/>
    </row>
    <row r="6" spans="1:12" ht="16.5" customHeight="1">
      <c r="A6" s="3153">
        <v>1</v>
      </c>
      <c r="B6" s="3153"/>
      <c r="C6" s="963" t="s">
        <v>908</v>
      </c>
      <c r="D6" s="3612">
        <f>SUMIF(余额表!J:J,"管理费用-"&amp;C6,余额表!E:E)</f>
        <v>0</v>
      </c>
      <c r="E6" s="3612"/>
      <c r="F6" s="1118"/>
      <c r="G6" s="1802"/>
      <c r="H6" s="967">
        <f>D6+F6</f>
        <v>0</v>
      </c>
      <c r="I6" s="1266" t="s">
        <v>6598</v>
      </c>
      <c r="J6" s="812"/>
      <c r="K6" s="84"/>
      <c r="L6" s="84"/>
    </row>
    <row r="7" spans="1:12" ht="16.5" customHeight="1">
      <c r="A7" s="2903">
        <v>2</v>
      </c>
      <c r="B7" s="2903"/>
      <c r="C7" s="494" t="s">
        <v>909</v>
      </c>
      <c r="D7" s="3617">
        <f>SUMIF(余额表!J:J,"管理费用-"&amp;C7,余额表!E:E)</f>
        <v>0</v>
      </c>
      <c r="E7" s="3618"/>
      <c r="F7" s="1120">
        <f>-SUMIFS(凭证检查!G6:G205,凭证检查!E6:E205,"管理费用",凭证检查!F6:F205,"福利费",凭证检查!M6:M205,"&lt;&gt;")</f>
        <v>0</v>
      </c>
      <c r="G7" s="1200"/>
      <c r="H7" s="699">
        <f>D7+F7</f>
        <v>0</v>
      </c>
      <c r="I7" s="232" t="s">
        <v>643</v>
      </c>
      <c r="J7" s="812"/>
      <c r="K7" s="84"/>
      <c r="L7" s="84"/>
    </row>
    <row r="8" spans="1:12" ht="16.5" customHeight="1">
      <c r="A8" s="2903">
        <v>3</v>
      </c>
      <c r="B8" s="2903"/>
      <c r="C8" s="494" t="s">
        <v>910</v>
      </c>
      <c r="D8" s="3617">
        <f>SUMIF(余额表!J:J,"管理费用-"&amp;C8,余额表!E:E)</f>
        <v>0</v>
      </c>
      <c r="E8" s="3618"/>
      <c r="F8" s="1120">
        <f>-SUMIFS(凭证检查!G6:G205,凭证检查!E6:E205,"管理费用",凭证检查!F6:F205,"职工教育经费",凭证检查!M6:M205,"&lt;&gt;")</f>
        <v>0</v>
      </c>
      <c r="G8" s="1200"/>
      <c r="H8" s="699">
        <f t="shared" ref="H8:H43" si="0">D8+F8</f>
        <v>0</v>
      </c>
      <c r="I8" s="575" t="s">
        <v>1292</v>
      </c>
      <c r="J8" s="812"/>
      <c r="K8" s="84"/>
      <c r="L8" s="84"/>
    </row>
    <row r="9" spans="1:12" ht="16.5" customHeight="1">
      <c r="A9" s="2903">
        <v>4</v>
      </c>
      <c r="B9" s="2903"/>
      <c r="C9" s="494" t="s">
        <v>911</v>
      </c>
      <c r="D9" s="3617">
        <f>SUMIF(余额表!J:J,"管理费用-"&amp;C9,余额表!E:E)</f>
        <v>0</v>
      </c>
      <c r="E9" s="3618"/>
      <c r="F9" s="1120"/>
      <c r="G9" s="1200"/>
      <c r="H9" s="699">
        <f t="shared" si="0"/>
        <v>0</v>
      </c>
      <c r="I9" s="575" t="s">
        <v>620</v>
      </c>
      <c r="J9" s="812"/>
      <c r="K9" s="84"/>
      <c r="L9" s="84"/>
    </row>
    <row r="10" spans="1:12" ht="16.5" customHeight="1">
      <c r="A10" s="2903">
        <v>5</v>
      </c>
      <c r="B10" s="2903"/>
      <c r="C10" s="494" t="s">
        <v>912</v>
      </c>
      <c r="D10" s="3617">
        <f>SUMIF(余额表!J:J,"管理费用-"&amp;C10,余额表!E:E)</f>
        <v>0</v>
      </c>
      <c r="E10" s="3618"/>
      <c r="F10" s="1120">
        <f>-SUMIFS(凭证检查!G6:G205,凭证检查!E6:E205,"管理费用",凭证检查!F6:F205,"业务招待费",凭证检查!M6:M205,"&lt;&gt;")</f>
        <v>0</v>
      </c>
      <c r="G10" s="1200"/>
      <c r="H10" s="699">
        <f t="shared" si="0"/>
        <v>0</v>
      </c>
      <c r="I10" s="232" t="s">
        <v>1260</v>
      </c>
      <c r="J10" s="812"/>
      <c r="K10" s="84"/>
      <c r="L10" s="84"/>
    </row>
    <row r="11" spans="1:12" ht="16.5" customHeight="1">
      <c r="A11" s="2903">
        <v>6</v>
      </c>
      <c r="B11" s="2903"/>
      <c r="C11" s="494" t="s">
        <v>913</v>
      </c>
      <c r="D11" s="3617">
        <f>SUMIF(余额表!J:J,"管理费用-"&amp;C11,余额表!E:E)</f>
        <v>0</v>
      </c>
      <c r="E11" s="3618"/>
      <c r="F11" s="1120"/>
      <c r="G11" s="1200"/>
      <c r="H11" s="699">
        <f t="shared" si="0"/>
        <v>0</v>
      </c>
      <c r="I11" s="232" t="s">
        <v>880</v>
      </c>
      <c r="J11" s="812"/>
      <c r="K11" s="84"/>
      <c r="L11" s="84"/>
    </row>
    <row r="12" spans="1:12" ht="16.5" customHeight="1">
      <c r="A12" s="2903">
        <v>7</v>
      </c>
      <c r="B12" s="2903"/>
      <c r="C12" s="494" t="s">
        <v>914</v>
      </c>
      <c r="D12" s="3617">
        <f>SUMIF(余额表!J:J,"管理费用-"&amp;C12,余额表!E:E)</f>
        <v>0</v>
      </c>
      <c r="E12" s="3618"/>
      <c r="F12" s="1120"/>
      <c r="G12" s="1200"/>
      <c r="H12" s="699">
        <f t="shared" si="0"/>
        <v>0</v>
      </c>
      <c r="I12" s="575" t="s">
        <v>85</v>
      </c>
      <c r="J12" s="812"/>
      <c r="K12" s="84"/>
      <c r="L12" s="84"/>
    </row>
    <row r="13" spans="1:12" ht="16.5" customHeight="1">
      <c r="A13" s="2903">
        <v>8</v>
      </c>
      <c r="B13" s="2903"/>
      <c r="C13" s="494" t="s">
        <v>1481</v>
      </c>
      <c r="D13" s="3617">
        <f>SUMIF(余额表!J:J,"管理费用-"&amp;C13,余额表!E:E)</f>
        <v>0</v>
      </c>
      <c r="E13" s="3618"/>
      <c r="F13" s="1120"/>
      <c r="G13" s="1200"/>
      <c r="H13" s="699">
        <f t="shared" si="0"/>
        <v>0</v>
      </c>
      <c r="I13" s="232" t="s">
        <v>1156</v>
      </c>
      <c r="J13" s="812"/>
      <c r="K13" s="84"/>
      <c r="L13" s="84"/>
    </row>
    <row r="14" spans="1:12" ht="16.5" customHeight="1">
      <c r="A14" s="2903">
        <v>9</v>
      </c>
      <c r="B14" s="2903"/>
      <c r="C14" s="790" t="s">
        <v>915</v>
      </c>
      <c r="D14" s="3617">
        <f>SUMIF(余额表!J:J,"管理费用-"&amp;C14,余额表!E:E)</f>
        <v>0</v>
      </c>
      <c r="E14" s="3618"/>
      <c r="F14" s="1120"/>
      <c r="G14" s="1200"/>
      <c r="H14" s="699">
        <f t="shared" si="0"/>
        <v>0</v>
      </c>
      <c r="I14" s="232" t="s">
        <v>916</v>
      </c>
      <c r="J14" s="812"/>
      <c r="K14" s="84"/>
      <c r="L14" s="84"/>
    </row>
    <row r="15" spans="1:12" ht="16.5" customHeight="1">
      <c r="A15" s="2903">
        <v>10</v>
      </c>
      <c r="B15" s="2903"/>
      <c r="C15" s="492" t="s">
        <v>572</v>
      </c>
      <c r="D15" s="3617">
        <f>SUMIF(余额表!J:J,"管理费用-"&amp;C15,余额表!E:E)</f>
        <v>0</v>
      </c>
      <c r="E15" s="3618"/>
      <c r="F15" s="1120"/>
      <c r="G15" s="1200"/>
      <c r="H15" s="699">
        <f t="shared" si="0"/>
        <v>0</v>
      </c>
      <c r="I15" s="232" t="s">
        <v>917</v>
      </c>
      <c r="J15" s="812"/>
      <c r="K15" s="84"/>
      <c r="L15" s="84"/>
    </row>
    <row r="16" spans="1:12" ht="16.5" customHeight="1">
      <c r="A16" s="2903">
        <v>11</v>
      </c>
      <c r="B16" s="2903"/>
      <c r="C16" s="494" t="s">
        <v>918</v>
      </c>
      <c r="D16" s="3617">
        <f>SUMIF(余额表!J:J,"管理费用-"&amp;C16,余额表!E:E)</f>
        <v>0</v>
      </c>
      <c r="E16" s="3618"/>
      <c r="F16" s="1120"/>
      <c r="G16" s="1200"/>
      <c r="H16" s="699">
        <f t="shared" si="0"/>
        <v>0</v>
      </c>
      <c r="I16" s="232" t="s">
        <v>932</v>
      </c>
      <c r="J16" s="812"/>
      <c r="K16" s="84"/>
      <c r="L16" s="84"/>
    </row>
    <row r="17" spans="1:13" ht="16.5" customHeight="1">
      <c r="A17" s="2903">
        <v>12</v>
      </c>
      <c r="B17" s="2903"/>
      <c r="C17" s="494" t="s">
        <v>920</v>
      </c>
      <c r="D17" s="3617">
        <f>SUMIF(余额表!J:J,"管理费用-"&amp;C17,余额表!E:E)</f>
        <v>0</v>
      </c>
      <c r="E17" s="3618"/>
      <c r="F17" s="1120"/>
      <c r="G17" s="1200"/>
      <c r="H17" s="699">
        <f t="shared" si="0"/>
        <v>0</v>
      </c>
      <c r="I17" s="232" t="s">
        <v>919</v>
      </c>
      <c r="J17" s="812"/>
      <c r="K17" s="84"/>
      <c r="L17" s="84"/>
    </row>
    <row r="18" spans="1:13" ht="16.5" customHeight="1">
      <c r="A18" s="2903">
        <v>13</v>
      </c>
      <c r="B18" s="2903"/>
      <c r="C18" s="494" t="s">
        <v>921</v>
      </c>
      <c r="D18" s="3617">
        <f>SUMIF(余额表!J:J,"管理费用-"&amp;C18,余额表!E:E)</f>
        <v>0</v>
      </c>
      <c r="E18" s="3618"/>
      <c r="F18" s="1120"/>
      <c r="G18" s="1200"/>
      <c r="H18" s="699">
        <f t="shared" si="0"/>
        <v>0</v>
      </c>
      <c r="I18" s="3090" t="s">
        <v>479</v>
      </c>
      <c r="J18" s="3090"/>
      <c r="K18" s="3090"/>
      <c r="L18" s="3090"/>
    </row>
    <row r="19" spans="1:13" ht="16.5" customHeight="1">
      <c r="A19" s="2903">
        <v>14</v>
      </c>
      <c r="B19" s="2903"/>
      <c r="C19" s="494" t="s">
        <v>36</v>
      </c>
      <c r="D19" s="3617">
        <f>SUMIF(余额表!J:J,"管理费用-"&amp;C19,余额表!E:E)</f>
        <v>0</v>
      </c>
      <c r="E19" s="3618"/>
      <c r="F19" s="1120"/>
      <c r="G19" s="1200"/>
      <c r="H19" s="699">
        <f t="shared" si="0"/>
        <v>0</v>
      </c>
      <c r="I19" s="3090"/>
      <c r="J19" s="3090"/>
      <c r="K19" s="3090"/>
      <c r="L19" s="3090"/>
      <c r="M19" s="673"/>
    </row>
    <row r="20" spans="1:13" ht="16.5" customHeight="1">
      <c r="A20" s="2903">
        <v>15</v>
      </c>
      <c r="B20" s="2903"/>
      <c r="C20" s="494" t="s">
        <v>472</v>
      </c>
      <c r="D20" s="3617">
        <f>SUMIF(余额表!J:J,"管理费用-"&amp;C20,余额表!E:E)</f>
        <v>0</v>
      </c>
      <c r="E20" s="3618"/>
      <c r="F20" s="1120"/>
      <c r="G20" s="1200"/>
      <c r="H20" s="699">
        <f t="shared" si="0"/>
        <v>0</v>
      </c>
      <c r="I20" s="3090"/>
      <c r="J20" s="3090"/>
      <c r="K20" s="3090"/>
      <c r="L20" s="3090"/>
      <c r="M20" s="673"/>
    </row>
    <row r="21" spans="1:13" ht="16.5" customHeight="1">
      <c r="A21" s="2903">
        <v>16</v>
      </c>
      <c r="B21" s="2903"/>
      <c r="C21" s="494" t="s">
        <v>473</v>
      </c>
      <c r="D21" s="3617">
        <f>SUMIF(余额表!J:J,"管理费用-"&amp;C21,余额表!E:E)</f>
        <v>0</v>
      </c>
      <c r="E21" s="3618"/>
      <c r="F21" s="1120"/>
      <c r="G21" s="1200"/>
      <c r="H21" s="699">
        <f t="shared" si="0"/>
        <v>0</v>
      </c>
      <c r="I21" s="3090"/>
      <c r="J21" s="3090"/>
      <c r="K21" s="3090"/>
      <c r="L21" s="3090"/>
      <c r="M21" s="673"/>
    </row>
    <row r="22" spans="1:13" ht="16.5" customHeight="1">
      <c r="A22" s="2903">
        <v>17</v>
      </c>
      <c r="B22" s="2903"/>
      <c r="C22" s="2033" t="s">
        <v>6515</v>
      </c>
      <c r="D22" s="3617">
        <f>SUMIF(余额表!J:J,"管理费用-"&amp;C22,余额表!E:E)</f>
        <v>0</v>
      </c>
      <c r="E22" s="3618"/>
      <c r="F22" s="1120"/>
      <c r="G22" s="1200"/>
      <c r="H22" s="699">
        <f t="shared" si="0"/>
        <v>0</v>
      </c>
      <c r="I22" s="3090"/>
      <c r="J22" s="3090"/>
      <c r="K22" s="3090"/>
      <c r="L22" s="3090"/>
      <c r="M22" s="673"/>
    </row>
    <row r="23" spans="1:13" ht="16.5" customHeight="1">
      <c r="A23" s="2903">
        <v>18</v>
      </c>
      <c r="B23" s="2903"/>
      <c r="C23" s="2033" t="s">
        <v>1631</v>
      </c>
      <c r="D23" s="3617">
        <f>SUMIF(余额表!J:J,"管理费用-"&amp;C23,余额表!E:E)</f>
        <v>0</v>
      </c>
      <c r="E23" s="3618"/>
      <c r="F23" s="1120"/>
      <c r="G23" s="1200"/>
      <c r="H23" s="699">
        <f t="shared" si="0"/>
        <v>0</v>
      </c>
      <c r="I23" s="3090"/>
      <c r="J23" s="3090"/>
      <c r="K23" s="3090"/>
      <c r="L23" s="3090"/>
      <c r="M23" s="673"/>
    </row>
    <row r="24" spans="1:13" ht="16.5" customHeight="1">
      <c r="A24" s="2903">
        <v>19</v>
      </c>
      <c r="B24" s="2903"/>
      <c r="C24" s="2033" t="s">
        <v>6516</v>
      </c>
      <c r="D24" s="3617">
        <f>SUMIF(余额表!J:J,"管理费用-"&amp;C24,余额表!E:E)</f>
        <v>0</v>
      </c>
      <c r="E24" s="3618"/>
      <c r="F24" s="1120"/>
      <c r="G24" s="1200"/>
      <c r="H24" s="699">
        <f t="shared" si="0"/>
        <v>0</v>
      </c>
      <c r="I24" s="3090"/>
      <c r="J24" s="3090"/>
      <c r="K24" s="3090"/>
      <c r="L24" s="3090"/>
      <c r="M24" s="673"/>
    </row>
    <row r="25" spans="1:13" ht="16.5" customHeight="1">
      <c r="A25" s="2903">
        <v>20</v>
      </c>
      <c r="B25" s="2903"/>
      <c r="C25" s="2033" t="s">
        <v>1280</v>
      </c>
      <c r="D25" s="3617">
        <f>SUMIF(余额表!J:J,"管理费用-"&amp;C25,余额表!E:E)</f>
        <v>0</v>
      </c>
      <c r="E25" s="3618"/>
      <c r="F25" s="1120"/>
      <c r="G25" s="1200"/>
      <c r="H25" s="699">
        <f t="shared" si="0"/>
        <v>0</v>
      </c>
      <c r="I25" s="3090"/>
      <c r="J25" s="3090"/>
      <c r="K25" s="3090"/>
      <c r="L25" s="3090"/>
      <c r="M25" s="673"/>
    </row>
    <row r="26" spans="1:13" ht="16.5" customHeight="1">
      <c r="A26" s="2903">
        <v>21</v>
      </c>
      <c r="B26" s="2903"/>
      <c r="C26" s="2033" t="s">
        <v>1278</v>
      </c>
      <c r="D26" s="3617">
        <f>SUMIF(余额表!J:J,"管理费用-"&amp;C26,余额表!E:E)</f>
        <v>0</v>
      </c>
      <c r="E26" s="3618"/>
      <c r="F26" s="1120"/>
      <c r="G26" s="1200"/>
      <c r="H26" s="699">
        <f t="shared" si="0"/>
        <v>0</v>
      </c>
      <c r="I26" s="523"/>
      <c r="J26" s="748"/>
      <c r="K26" s="748"/>
      <c r="L26" s="748"/>
      <c r="M26" s="673"/>
    </row>
    <row r="27" spans="1:13" ht="16.5" customHeight="1">
      <c r="A27" s="2903">
        <v>22</v>
      </c>
      <c r="B27" s="2903"/>
      <c r="C27" s="2033" t="s">
        <v>1279</v>
      </c>
      <c r="D27" s="3617">
        <f>SUMIF(余额表!J:J,"管理费用-"&amp;C27,余额表!E:E)</f>
        <v>0</v>
      </c>
      <c r="E27" s="3618"/>
      <c r="F27" s="1120"/>
      <c r="G27" s="1200"/>
      <c r="H27" s="699">
        <f t="shared" si="0"/>
        <v>0</v>
      </c>
      <c r="I27" s="84"/>
      <c r="J27" s="812"/>
      <c r="K27" s="84"/>
      <c r="L27" s="84"/>
      <c r="M27" s="673"/>
    </row>
    <row r="28" spans="1:13" ht="16.5" customHeight="1">
      <c r="A28" s="2903">
        <v>23</v>
      </c>
      <c r="B28" s="2903"/>
      <c r="C28" s="2033" t="s">
        <v>6517</v>
      </c>
      <c r="D28" s="3617">
        <f>SUMIF(余额表!J:J,"管理费用-"&amp;C28,余额表!E:E)</f>
        <v>0</v>
      </c>
      <c r="E28" s="3618"/>
      <c r="F28" s="1120"/>
      <c r="G28" s="1200"/>
      <c r="H28" s="699">
        <f t="shared" si="0"/>
        <v>0</v>
      </c>
      <c r="I28" s="84"/>
      <c r="J28" s="812"/>
      <c r="K28" s="84"/>
      <c r="L28" s="84"/>
      <c r="M28" s="673"/>
    </row>
    <row r="29" spans="1:13" ht="16.5" customHeight="1">
      <c r="A29" s="2903">
        <v>24</v>
      </c>
      <c r="B29" s="2903"/>
      <c r="C29" s="2033" t="s">
        <v>6235</v>
      </c>
      <c r="D29" s="3617">
        <f>SUMIF(余额表!J:J,"管理费用-"&amp;C29,余额表!E:E)</f>
        <v>0</v>
      </c>
      <c r="E29" s="3618"/>
      <c r="F29" s="1120"/>
      <c r="G29" s="1200"/>
      <c r="H29" s="699">
        <f t="shared" si="0"/>
        <v>0</v>
      </c>
      <c r="I29" s="3090" t="s">
        <v>480</v>
      </c>
      <c r="J29" s="3090"/>
      <c r="K29" s="3090"/>
      <c r="L29" s="3090"/>
    </row>
    <row r="30" spans="1:13" ht="16.5" customHeight="1">
      <c r="A30" s="2903">
        <v>25</v>
      </c>
      <c r="B30" s="2903"/>
      <c r="C30" s="2033" t="s">
        <v>6236</v>
      </c>
      <c r="D30" s="3617">
        <f>SUMIF(余额表!J:J,"管理费用-"&amp;C30,余额表!E:E)</f>
        <v>0</v>
      </c>
      <c r="E30" s="3618"/>
      <c r="F30" s="1120"/>
      <c r="G30" s="1200"/>
      <c r="H30" s="699">
        <f t="shared" si="0"/>
        <v>0</v>
      </c>
      <c r="I30" s="3090"/>
      <c r="J30" s="3090"/>
      <c r="K30" s="3090"/>
      <c r="L30" s="3090"/>
    </row>
    <row r="31" spans="1:13" ht="16.5" customHeight="1">
      <c r="A31" s="2903">
        <v>26</v>
      </c>
      <c r="B31" s="2903"/>
      <c r="C31" s="2033" t="s">
        <v>6239</v>
      </c>
      <c r="D31" s="3617">
        <f>SUMIF(余额表!J:J,"管理费用-"&amp;C31,余额表!E:E)</f>
        <v>0</v>
      </c>
      <c r="E31" s="3618"/>
      <c r="F31" s="1120"/>
      <c r="G31" s="1200"/>
      <c r="H31" s="699">
        <f t="shared" si="0"/>
        <v>0</v>
      </c>
      <c r="I31" s="3090" t="s">
        <v>481</v>
      </c>
      <c r="J31" s="3090"/>
      <c r="K31" s="3090"/>
      <c r="L31" s="3090"/>
    </row>
    <row r="32" spans="1:13" ht="16.5" customHeight="1">
      <c r="A32" s="2903">
        <v>27</v>
      </c>
      <c r="B32" s="2903"/>
      <c r="C32" s="2033" t="s">
        <v>6243</v>
      </c>
      <c r="D32" s="3617">
        <f>SUMIF(余额表!J:J,"管理费用-"&amp;C32,余额表!E:E)</f>
        <v>0</v>
      </c>
      <c r="E32" s="3618"/>
      <c r="F32" s="1120"/>
      <c r="G32" s="1200"/>
      <c r="H32" s="699">
        <f t="shared" si="0"/>
        <v>0</v>
      </c>
      <c r="I32" s="3090"/>
      <c r="J32" s="3090"/>
      <c r="K32" s="3090"/>
      <c r="L32" s="3090"/>
    </row>
    <row r="33" spans="1:12" ht="16.5" customHeight="1">
      <c r="A33" s="2903">
        <v>28</v>
      </c>
      <c r="B33" s="2903"/>
      <c r="C33" s="2033" t="s">
        <v>6244</v>
      </c>
      <c r="D33" s="3617">
        <f>SUMIF(余额表!J:J,"管理费用-"&amp;C33,余额表!E:E)</f>
        <v>0</v>
      </c>
      <c r="E33" s="3618"/>
      <c r="F33" s="1120"/>
      <c r="G33" s="1200"/>
      <c r="H33" s="699">
        <f t="shared" si="0"/>
        <v>0</v>
      </c>
      <c r="I33" s="3090" t="s">
        <v>477</v>
      </c>
      <c r="J33" s="3090"/>
      <c r="K33" s="3090"/>
      <c r="L33" s="3090"/>
    </row>
    <row r="34" spans="1:12" ht="16.5" customHeight="1">
      <c r="A34" s="2903">
        <v>29</v>
      </c>
      <c r="B34" s="2903"/>
      <c r="C34" s="2033" t="s">
        <v>6246</v>
      </c>
      <c r="D34" s="3617">
        <f>SUMIF(余额表!J:J,"管理费用-"&amp;C34,余额表!E:E)</f>
        <v>0</v>
      </c>
      <c r="E34" s="3618"/>
      <c r="F34" s="2008"/>
      <c r="G34" s="1200"/>
      <c r="H34" s="699">
        <f t="shared" si="0"/>
        <v>0</v>
      </c>
      <c r="I34" s="3090"/>
      <c r="J34" s="3090"/>
      <c r="K34" s="3090"/>
      <c r="L34" s="3090"/>
    </row>
    <row r="35" spans="1:12" ht="16.5" customHeight="1">
      <c r="A35" s="2903">
        <v>30</v>
      </c>
      <c r="B35" s="2903"/>
      <c r="C35" s="2033" t="s">
        <v>6247</v>
      </c>
      <c r="D35" s="3617">
        <f>SUMIF(余额表!J:J,"管理费用-"&amp;C35,余额表!E:E)</f>
        <v>0</v>
      </c>
      <c r="E35" s="3618"/>
      <c r="F35" s="2008"/>
      <c r="G35" s="1200"/>
      <c r="H35" s="699">
        <f t="shared" si="0"/>
        <v>0</v>
      </c>
      <c r="I35" s="3090"/>
      <c r="J35" s="3090"/>
      <c r="K35" s="3090"/>
      <c r="L35" s="3090"/>
    </row>
    <row r="36" spans="1:12" ht="16.5" customHeight="1">
      <c r="A36" s="2903">
        <v>31</v>
      </c>
      <c r="B36" s="2903"/>
      <c r="C36" s="2033" t="s">
        <v>6248</v>
      </c>
      <c r="D36" s="3617">
        <f>SUMIF(余额表!J:J,"管理费用-"&amp;C36,余额表!E:E)</f>
        <v>0</v>
      </c>
      <c r="E36" s="3618"/>
      <c r="F36" s="2008"/>
      <c r="G36" s="1200"/>
      <c r="H36" s="699">
        <f t="shared" si="0"/>
        <v>0</v>
      </c>
      <c r="I36" s="3090"/>
      <c r="J36" s="3090"/>
      <c r="K36" s="3090"/>
      <c r="L36" s="3090"/>
    </row>
    <row r="37" spans="1:12" ht="16.5" customHeight="1">
      <c r="A37" s="2903">
        <v>32</v>
      </c>
      <c r="B37" s="2903"/>
      <c r="C37" s="2033" t="s">
        <v>6518</v>
      </c>
      <c r="D37" s="3617">
        <f>SUMIF(余额表!J:J,"管理费用-"&amp;C37,余额表!E:E)</f>
        <v>0</v>
      </c>
      <c r="E37" s="3618"/>
      <c r="F37" s="2008"/>
      <c r="G37" s="1200"/>
      <c r="H37" s="699">
        <f t="shared" si="0"/>
        <v>0</v>
      </c>
      <c r="I37" s="3090"/>
      <c r="J37" s="3090"/>
      <c r="K37" s="3090"/>
      <c r="L37" s="3090"/>
    </row>
    <row r="38" spans="1:12" ht="16.5" customHeight="1">
      <c r="A38" s="2903">
        <v>33</v>
      </c>
      <c r="B38" s="2903"/>
      <c r="C38" s="2033" t="s">
        <v>6251</v>
      </c>
      <c r="D38" s="3617">
        <f>SUMIF(余额表!J:J,"管理费用-"&amp;C38,余额表!E:E)</f>
        <v>0</v>
      </c>
      <c r="E38" s="3618"/>
      <c r="F38" s="1120"/>
      <c r="G38" s="1200"/>
      <c r="H38" s="699">
        <f t="shared" si="0"/>
        <v>0</v>
      </c>
      <c r="I38" s="3090"/>
      <c r="J38" s="3090"/>
      <c r="K38" s="3090"/>
      <c r="L38" s="3090"/>
    </row>
    <row r="39" spans="1:12" ht="16.5" customHeight="1">
      <c r="A39" s="2903">
        <v>34</v>
      </c>
      <c r="B39" s="2903"/>
      <c r="C39" s="2033" t="s">
        <v>6252</v>
      </c>
      <c r="D39" s="3617">
        <f>SUMIF(余额表!J:J,"管理费用-"&amp;C39,余额表!E:E)</f>
        <v>0</v>
      </c>
      <c r="E39" s="3618"/>
      <c r="F39" s="1120"/>
      <c r="G39" s="1200"/>
      <c r="H39" s="699">
        <f t="shared" si="0"/>
        <v>0</v>
      </c>
      <c r="I39" s="3090" t="s">
        <v>482</v>
      </c>
      <c r="J39" s="3090"/>
      <c r="K39" s="3090"/>
      <c r="L39" s="3090"/>
    </row>
    <row r="40" spans="1:12" ht="16.5" customHeight="1">
      <c r="A40" s="2903">
        <v>35</v>
      </c>
      <c r="B40" s="2903"/>
      <c r="C40" s="2033" t="s">
        <v>6253</v>
      </c>
      <c r="D40" s="3617">
        <f>SUMIF(余额表!J:J,"管理费用-"&amp;C40,余额表!E:E)</f>
        <v>0</v>
      </c>
      <c r="E40" s="3618"/>
      <c r="F40" s="1120"/>
      <c r="G40" s="1200"/>
      <c r="H40" s="699">
        <f t="shared" si="0"/>
        <v>0</v>
      </c>
      <c r="I40" s="3090"/>
      <c r="J40" s="3090"/>
      <c r="K40" s="3090"/>
      <c r="L40" s="3090"/>
    </row>
    <row r="41" spans="1:12" ht="16.5" customHeight="1">
      <c r="A41" s="2903">
        <v>36</v>
      </c>
      <c r="B41" s="2903"/>
      <c r="C41" s="2033" t="s">
        <v>6254</v>
      </c>
      <c r="D41" s="3617">
        <f>SUMIF(余额表!J:J,"管理费用-"&amp;C41,余额表!E:E)</f>
        <v>0</v>
      </c>
      <c r="E41" s="3618"/>
      <c r="F41" s="2008"/>
      <c r="G41" s="1200"/>
      <c r="H41" s="699">
        <f t="shared" si="0"/>
        <v>0</v>
      </c>
      <c r="I41" s="3090"/>
      <c r="J41" s="3090"/>
      <c r="K41" s="3090"/>
      <c r="L41" s="3090"/>
    </row>
    <row r="42" spans="1:12" ht="16.5" customHeight="1">
      <c r="A42" s="2903">
        <v>37</v>
      </c>
      <c r="B42" s="2903"/>
      <c r="C42" s="2033" t="s">
        <v>1296</v>
      </c>
      <c r="D42" s="3617">
        <f>SUMIF(余额表!J:J,"管理费用-"&amp;C42,余额表!E:E)</f>
        <v>0</v>
      </c>
      <c r="E42" s="3618"/>
      <c r="F42" s="2639">
        <f>-F7-F8-F10</f>
        <v>0</v>
      </c>
      <c r="G42" s="1200"/>
      <c r="H42" s="699">
        <f t="shared" si="0"/>
        <v>0</v>
      </c>
      <c r="I42" s="3090"/>
      <c r="J42" s="3090"/>
      <c r="K42" s="3090"/>
      <c r="L42" s="3090"/>
    </row>
    <row r="43" spans="1:12" ht="16.5" customHeight="1">
      <c r="A43" s="3620" t="s">
        <v>6551</v>
      </c>
      <c r="B43" s="3621"/>
      <c r="C43" s="964" t="s">
        <v>6603</v>
      </c>
      <c r="D43" s="3123"/>
      <c r="E43" s="3123"/>
      <c r="F43" s="1120"/>
      <c r="G43" s="1200"/>
      <c r="H43" s="699">
        <f t="shared" si="0"/>
        <v>0</v>
      </c>
      <c r="I43" s="3090"/>
      <c r="J43" s="3090"/>
      <c r="K43" s="3090"/>
      <c r="L43" s="3090"/>
    </row>
    <row r="44" spans="1:12" ht="21.75" customHeight="1">
      <c r="A44" s="2904" t="s">
        <v>703</v>
      </c>
      <c r="B44" s="2904"/>
      <c r="C44" s="2904"/>
      <c r="D44" s="3217">
        <f>SUM(D6:D42)</f>
        <v>0</v>
      </c>
      <c r="E44" s="3217"/>
      <c r="F44" s="721">
        <f>SUM(F6:F42)</f>
        <v>0</v>
      </c>
      <c r="G44" s="721">
        <f>SUM(G6:G42)</f>
        <v>0</v>
      </c>
      <c r="H44" s="596">
        <f>SUM(H6:H42)</f>
        <v>0</v>
      </c>
      <c r="I44" s="84"/>
      <c r="J44" s="812"/>
      <c r="K44" s="84"/>
      <c r="L44" s="84"/>
    </row>
    <row r="45" spans="1:12" ht="21.75" customHeight="1">
      <c r="A45" s="3024" t="s">
        <v>642</v>
      </c>
      <c r="B45" s="3024"/>
      <c r="C45" s="3154" t="str">
        <f>IF(D44&lt;&gt;利润!C18,"账载数与报表数相差"&amp;DOLLAR(D44-利润!C18,2)&amp;"元！","账载数与报表数相符！")</f>
        <v>账载数与报表数相符！</v>
      </c>
      <c r="D45" s="3154"/>
      <c r="E45" s="3154"/>
      <c r="F45" s="3154"/>
      <c r="G45" s="3154"/>
      <c r="H45" s="3154"/>
      <c r="I45" s="84"/>
      <c r="J45" s="812"/>
      <c r="K45" s="84"/>
      <c r="L45" s="84"/>
    </row>
    <row r="46" spans="1:12" ht="15" customHeight="1">
      <c r="A46" s="3058" t="s">
        <v>1324</v>
      </c>
      <c r="B46" s="3058"/>
      <c r="C46" s="965" t="s">
        <v>175</v>
      </c>
      <c r="D46" s="3619" t="str">
        <f>IF(F44&lt;&gt;0,"、E","")</f>
        <v/>
      </c>
      <c r="E46" s="3619"/>
      <c r="F46" s="3619"/>
      <c r="G46" s="3619"/>
      <c r="H46" s="3619"/>
      <c r="I46" s="84"/>
      <c r="J46" s="812"/>
      <c r="K46" s="84"/>
      <c r="L46" s="84"/>
    </row>
    <row r="47" spans="1:12" ht="33.75" customHeight="1">
      <c r="A47" s="3058"/>
      <c r="B47" s="3058"/>
      <c r="C47" s="3159"/>
      <c r="D47" s="3159"/>
      <c r="E47" s="3159"/>
      <c r="F47" s="3159"/>
      <c r="G47" s="3159"/>
      <c r="H47" s="3159"/>
      <c r="I47" s="84"/>
      <c r="J47" s="812"/>
      <c r="K47" s="84"/>
      <c r="L47" s="84"/>
    </row>
    <row r="48" spans="1:12" ht="18.75" customHeight="1">
      <c r="A48" s="3156" t="s">
        <v>575</v>
      </c>
      <c r="B48" s="3156"/>
      <c r="C48" s="3135" t="str">
        <f>IF(F44=0,"不存在调整事项，认可！","调整后认可！")</f>
        <v>不存在调整事项，认可！</v>
      </c>
      <c r="D48" s="3135"/>
      <c r="E48" s="3135"/>
      <c r="F48" s="3135"/>
      <c r="G48" s="3135"/>
      <c r="H48" s="3135"/>
      <c r="I48" s="84"/>
      <c r="J48" s="812"/>
      <c r="K48" s="84"/>
      <c r="L48" s="84"/>
    </row>
    <row r="49" spans="1:8">
      <c r="A49" s="969"/>
      <c r="B49" s="969"/>
      <c r="C49" s="502"/>
      <c r="D49" s="502"/>
      <c r="E49" s="502"/>
      <c r="F49" s="502"/>
      <c r="G49" s="502"/>
      <c r="H49" s="502"/>
    </row>
    <row r="50" spans="1:8">
      <c r="A50" s="969"/>
      <c r="B50" s="969"/>
      <c r="C50" s="502"/>
      <c r="D50" s="502"/>
      <c r="E50" s="502"/>
      <c r="F50" s="502"/>
      <c r="G50" s="502"/>
      <c r="H50" s="502"/>
    </row>
    <row r="51" spans="1:8">
      <c r="A51" s="969"/>
      <c r="B51" s="969"/>
      <c r="C51" s="502"/>
      <c r="D51" s="502"/>
      <c r="E51" s="502"/>
      <c r="F51" s="502"/>
      <c r="G51" s="502"/>
      <c r="H51" s="502"/>
    </row>
    <row r="52" spans="1:8">
      <c r="A52" s="969"/>
      <c r="B52" s="969"/>
      <c r="C52" s="502"/>
      <c r="D52" s="502"/>
      <c r="E52" s="502"/>
      <c r="F52" s="502"/>
      <c r="G52" s="502"/>
      <c r="H52" s="502"/>
    </row>
    <row r="53" spans="1:8">
      <c r="A53" s="969"/>
      <c r="B53" s="969"/>
      <c r="C53" s="502"/>
      <c r="D53" s="502"/>
      <c r="E53" s="502"/>
      <c r="F53" s="502"/>
      <c r="G53" s="502"/>
      <c r="H53" s="502"/>
    </row>
    <row r="54" spans="1:8">
      <c r="A54" s="969"/>
      <c r="B54" s="969"/>
      <c r="C54" s="502"/>
      <c r="D54" s="502"/>
      <c r="E54" s="502"/>
      <c r="F54" s="502"/>
      <c r="G54" s="502"/>
      <c r="H54" s="502"/>
    </row>
    <row r="55" spans="1:8">
      <c r="A55" s="969"/>
      <c r="B55" s="969"/>
      <c r="C55" s="502"/>
      <c r="D55" s="502"/>
      <c r="E55" s="502"/>
      <c r="F55" s="502"/>
      <c r="G55" s="502"/>
      <c r="H55" s="502"/>
    </row>
    <row r="56" spans="1:8">
      <c r="A56" s="969"/>
      <c r="B56" s="969"/>
      <c r="C56" s="502"/>
      <c r="D56" s="502"/>
      <c r="E56" s="502"/>
      <c r="F56" s="502"/>
      <c r="G56" s="502"/>
      <c r="H56" s="502"/>
    </row>
    <row r="57" spans="1:8">
      <c r="A57" s="969"/>
      <c r="B57" s="969"/>
      <c r="C57" s="502"/>
      <c r="D57" s="502"/>
      <c r="E57" s="502"/>
      <c r="F57" s="502"/>
      <c r="G57" s="502"/>
      <c r="H57" s="502"/>
    </row>
    <row r="58" spans="1:8">
      <c r="A58" s="969"/>
      <c r="B58" s="969"/>
      <c r="C58" s="502"/>
      <c r="D58" s="502"/>
      <c r="E58" s="502"/>
      <c r="F58" s="502"/>
      <c r="G58" s="502"/>
      <c r="H58" s="502"/>
    </row>
    <row r="59" spans="1:8">
      <c r="A59" s="969"/>
      <c r="B59" s="969"/>
      <c r="C59" s="502"/>
      <c r="D59" s="502"/>
      <c r="E59" s="502"/>
      <c r="F59" s="502"/>
      <c r="G59" s="502"/>
      <c r="H59" s="502"/>
    </row>
    <row r="60" spans="1:8">
      <c r="A60" s="969"/>
      <c r="B60" s="969"/>
      <c r="C60" s="502"/>
      <c r="D60" s="502"/>
      <c r="E60" s="502"/>
      <c r="F60" s="502"/>
      <c r="G60" s="502"/>
      <c r="H60" s="502"/>
    </row>
    <row r="61" spans="1:8">
      <c r="A61" s="969"/>
      <c r="B61" s="969"/>
      <c r="C61" s="502"/>
      <c r="D61" s="502"/>
      <c r="E61" s="502"/>
      <c r="F61" s="502"/>
      <c r="G61" s="502"/>
      <c r="H61" s="502"/>
    </row>
    <row r="62" spans="1:8">
      <c r="A62" s="969"/>
      <c r="B62" s="969"/>
      <c r="C62" s="502"/>
      <c r="D62" s="502"/>
      <c r="E62" s="502"/>
      <c r="F62" s="502"/>
      <c r="G62" s="502"/>
      <c r="H62" s="502"/>
    </row>
    <row r="63" spans="1:8">
      <c r="A63" s="969"/>
      <c r="B63" s="969"/>
      <c r="C63" s="502"/>
      <c r="D63" s="502"/>
      <c r="E63" s="502"/>
      <c r="F63" s="502"/>
      <c r="G63" s="502"/>
      <c r="H63" s="502"/>
    </row>
    <row r="64" spans="1:8">
      <c r="A64" s="969"/>
      <c r="B64" s="969"/>
      <c r="C64" s="502"/>
      <c r="D64" s="502"/>
      <c r="E64" s="502"/>
      <c r="F64" s="502"/>
      <c r="G64" s="502"/>
      <c r="H64" s="502"/>
    </row>
    <row r="65" spans="1:8">
      <c r="A65" s="969"/>
      <c r="B65" s="969"/>
      <c r="C65" s="502"/>
      <c r="D65" s="502"/>
      <c r="E65" s="502"/>
      <c r="F65" s="502"/>
      <c r="G65" s="502"/>
      <c r="H65" s="502"/>
    </row>
    <row r="66" spans="1:8">
      <c r="A66" s="969"/>
      <c r="B66" s="969"/>
      <c r="C66" s="502"/>
      <c r="D66" s="502"/>
      <c r="E66" s="502"/>
      <c r="F66" s="502"/>
      <c r="G66" s="502"/>
      <c r="H66" s="502"/>
    </row>
    <row r="67" spans="1:8">
      <c r="A67" s="969"/>
      <c r="B67" s="969"/>
      <c r="C67" s="502"/>
      <c r="D67" s="502"/>
      <c r="E67" s="502"/>
      <c r="F67" s="502"/>
      <c r="G67" s="502"/>
      <c r="H67" s="502"/>
    </row>
    <row r="68" spans="1:8">
      <c r="A68" s="969"/>
      <c r="B68" s="969"/>
      <c r="C68" s="502"/>
      <c r="D68" s="502"/>
      <c r="E68" s="502"/>
      <c r="F68" s="502"/>
      <c r="G68" s="502"/>
      <c r="H68" s="502"/>
    </row>
    <row r="69" spans="1:8">
      <c r="A69" s="969"/>
      <c r="B69" s="969"/>
      <c r="C69" s="502"/>
      <c r="D69" s="502"/>
      <c r="E69" s="502"/>
      <c r="F69" s="502"/>
      <c r="G69" s="502"/>
      <c r="H69" s="502"/>
    </row>
    <row r="70" spans="1:8">
      <c r="A70" s="969"/>
      <c r="B70" s="969"/>
      <c r="C70" s="502"/>
      <c r="D70" s="502"/>
      <c r="E70" s="502"/>
      <c r="F70" s="502"/>
      <c r="G70" s="502"/>
      <c r="H70" s="502"/>
    </row>
    <row r="71" spans="1:8">
      <c r="A71" s="969"/>
      <c r="B71" s="969"/>
      <c r="C71" s="502"/>
      <c r="D71" s="502"/>
      <c r="E71" s="502"/>
      <c r="F71" s="502"/>
      <c r="G71" s="502"/>
      <c r="H71" s="502"/>
    </row>
    <row r="72" spans="1:8">
      <c r="A72" s="969"/>
      <c r="B72" s="969"/>
      <c r="C72" s="502"/>
      <c r="D72" s="502"/>
      <c r="E72" s="502"/>
      <c r="F72" s="502"/>
      <c r="G72" s="502"/>
      <c r="H72" s="502"/>
    </row>
    <row r="73" spans="1:8">
      <c r="A73" s="969"/>
      <c r="B73" s="969"/>
      <c r="C73" s="502"/>
      <c r="D73" s="502"/>
      <c r="E73" s="502"/>
      <c r="F73" s="502"/>
      <c r="G73" s="502"/>
      <c r="H73" s="502"/>
    </row>
    <row r="74" spans="1:8">
      <c r="A74" s="969"/>
      <c r="B74" s="969"/>
      <c r="C74" s="502"/>
      <c r="D74" s="502"/>
      <c r="E74" s="502"/>
      <c r="F74" s="502"/>
      <c r="G74" s="502"/>
      <c r="H74" s="502"/>
    </row>
    <row r="75" spans="1:8">
      <c r="A75" s="969"/>
      <c r="B75" s="969"/>
      <c r="C75" s="502"/>
      <c r="D75" s="502"/>
      <c r="E75" s="502"/>
      <c r="F75" s="502"/>
      <c r="G75" s="502"/>
      <c r="H75" s="502"/>
    </row>
    <row r="76" spans="1:8">
      <c r="A76" s="969"/>
      <c r="B76" s="969"/>
      <c r="C76" s="502"/>
      <c r="D76" s="502"/>
      <c r="E76" s="502"/>
      <c r="F76" s="502"/>
      <c r="G76" s="502"/>
      <c r="H76" s="502"/>
    </row>
    <row r="77" spans="1:8">
      <c r="A77" s="969"/>
      <c r="B77" s="969"/>
      <c r="C77" s="502"/>
      <c r="D77" s="502"/>
      <c r="E77" s="502"/>
      <c r="F77" s="502"/>
      <c r="G77" s="502"/>
      <c r="H77" s="502"/>
    </row>
    <row r="78" spans="1:8">
      <c r="A78" s="969"/>
      <c r="B78" s="969"/>
      <c r="C78" s="502"/>
      <c r="D78" s="502"/>
      <c r="E78" s="502"/>
      <c r="F78" s="502"/>
      <c r="G78" s="502"/>
      <c r="H78" s="502"/>
    </row>
    <row r="79" spans="1:8">
      <c r="A79" s="969"/>
      <c r="B79" s="969"/>
      <c r="C79" s="502"/>
      <c r="D79" s="502"/>
      <c r="E79" s="502"/>
      <c r="F79" s="502"/>
      <c r="G79" s="502"/>
      <c r="H79" s="502"/>
    </row>
    <row r="80" spans="1:8">
      <c r="A80" s="969"/>
      <c r="B80" s="969"/>
      <c r="C80" s="502"/>
      <c r="D80" s="502"/>
      <c r="E80" s="502"/>
      <c r="F80" s="502"/>
      <c r="G80" s="502"/>
      <c r="H80" s="502"/>
    </row>
    <row r="81" spans="1:8">
      <c r="A81" s="969"/>
      <c r="B81" s="969"/>
      <c r="C81" s="502"/>
      <c r="D81" s="502"/>
      <c r="E81" s="502"/>
      <c r="F81" s="502"/>
      <c r="G81" s="502"/>
      <c r="H81" s="502"/>
    </row>
    <row r="82" spans="1:8">
      <c r="A82" s="969"/>
      <c r="B82" s="969"/>
      <c r="C82" s="502"/>
      <c r="D82" s="502"/>
      <c r="E82" s="502"/>
      <c r="F82" s="502"/>
      <c r="G82" s="502"/>
      <c r="H82" s="502"/>
    </row>
    <row r="83" spans="1:8">
      <c r="A83" s="969"/>
      <c r="B83" s="969"/>
      <c r="C83" s="502"/>
      <c r="D83" s="502"/>
      <c r="E83" s="502"/>
      <c r="F83" s="502"/>
      <c r="G83" s="502"/>
      <c r="H83" s="502"/>
    </row>
    <row r="84" spans="1:8">
      <c r="A84" s="969"/>
      <c r="B84" s="969"/>
      <c r="C84" s="502"/>
      <c r="D84" s="502"/>
      <c r="E84" s="502"/>
      <c r="F84" s="502"/>
      <c r="G84" s="502"/>
      <c r="H84" s="502"/>
    </row>
    <row r="85" spans="1:8">
      <c r="A85" s="969"/>
      <c r="B85" s="969"/>
      <c r="C85" s="502"/>
      <c r="D85" s="502"/>
      <c r="E85" s="502"/>
      <c r="F85" s="502"/>
      <c r="G85" s="502"/>
      <c r="H85" s="502"/>
    </row>
    <row r="86" spans="1:8">
      <c r="A86" s="969"/>
      <c r="B86" s="969"/>
      <c r="C86" s="502"/>
      <c r="D86" s="502"/>
      <c r="E86" s="502"/>
      <c r="F86" s="502"/>
      <c r="G86" s="502"/>
      <c r="H86" s="502"/>
    </row>
    <row r="87" spans="1:8">
      <c r="A87" s="969"/>
      <c r="B87" s="969"/>
      <c r="C87" s="502"/>
      <c r="D87" s="502"/>
      <c r="E87" s="502"/>
      <c r="F87" s="502"/>
      <c r="G87" s="502"/>
      <c r="H87" s="502"/>
    </row>
    <row r="88" spans="1:8">
      <c r="A88" s="969"/>
      <c r="B88" s="969"/>
      <c r="C88" s="502"/>
      <c r="D88" s="502"/>
      <c r="E88" s="502"/>
      <c r="F88" s="502"/>
      <c r="G88" s="502"/>
      <c r="H88" s="502"/>
    </row>
    <row r="89" spans="1:8">
      <c r="A89" s="969"/>
      <c r="B89" s="969"/>
      <c r="C89" s="502"/>
      <c r="D89" s="502"/>
      <c r="E89" s="502"/>
      <c r="F89" s="502"/>
      <c r="G89" s="502"/>
      <c r="H89" s="502"/>
    </row>
    <row r="90" spans="1:8">
      <c r="A90" s="969"/>
      <c r="B90" s="969"/>
      <c r="C90" s="502"/>
      <c r="D90" s="502"/>
      <c r="E90" s="502"/>
      <c r="F90" s="502"/>
      <c r="G90" s="502"/>
      <c r="H90" s="502"/>
    </row>
    <row r="91" spans="1:8">
      <c r="A91" s="969"/>
      <c r="B91" s="969"/>
      <c r="C91" s="502"/>
      <c r="D91" s="502"/>
      <c r="E91" s="502"/>
      <c r="F91" s="502"/>
      <c r="G91" s="502"/>
      <c r="H91" s="502"/>
    </row>
    <row r="92" spans="1:8">
      <c r="A92" s="969"/>
      <c r="B92" s="969"/>
      <c r="C92" s="502"/>
      <c r="D92" s="502"/>
      <c r="E92" s="502"/>
      <c r="F92" s="502"/>
      <c r="G92" s="502"/>
      <c r="H92" s="502"/>
    </row>
    <row r="93" spans="1:8">
      <c r="A93" s="969"/>
      <c r="B93" s="969"/>
      <c r="C93" s="502"/>
      <c r="D93" s="502"/>
      <c r="E93" s="502"/>
      <c r="F93" s="502"/>
      <c r="G93" s="502"/>
      <c r="H93" s="502"/>
    </row>
    <row r="94" spans="1:8">
      <c r="A94" s="969"/>
      <c r="B94" s="969"/>
      <c r="C94" s="502"/>
      <c r="D94" s="502"/>
      <c r="E94" s="502"/>
      <c r="F94" s="502"/>
      <c r="G94" s="502"/>
      <c r="H94" s="502"/>
    </row>
    <row r="95" spans="1:8">
      <c r="A95" s="969"/>
      <c r="B95" s="969"/>
      <c r="C95" s="502"/>
      <c r="D95" s="502"/>
      <c r="E95" s="502"/>
      <c r="F95" s="502"/>
      <c r="G95" s="502"/>
      <c r="H95" s="502"/>
    </row>
    <row r="96" spans="1:8">
      <c r="A96" s="969"/>
      <c r="B96" s="969"/>
      <c r="C96" s="502"/>
      <c r="D96" s="502"/>
      <c r="E96" s="502"/>
      <c r="F96" s="502"/>
      <c r="G96" s="502"/>
      <c r="H96" s="502"/>
    </row>
    <row r="97" spans="1:8">
      <c r="A97" s="969"/>
      <c r="B97" s="969"/>
      <c r="C97" s="502"/>
      <c r="D97" s="502"/>
      <c r="E97" s="502"/>
      <c r="F97" s="502"/>
      <c r="G97" s="502"/>
      <c r="H97" s="502"/>
    </row>
    <row r="98" spans="1:8">
      <c r="A98" s="969"/>
      <c r="B98" s="969"/>
      <c r="C98" s="502"/>
      <c r="D98" s="502"/>
      <c r="E98" s="502"/>
      <c r="F98" s="502"/>
      <c r="G98" s="502"/>
      <c r="H98" s="502"/>
    </row>
    <row r="99" spans="1:8">
      <c r="A99" s="969"/>
      <c r="B99" s="969"/>
      <c r="C99" s="502"/>
      <c r="D99" s="502"/>
      <c r="E99" s="502"/>
      <c r="F99" s="502"/>
      <c r="G99" s="502"/>
      <c r="H99" s="502"/>
    </row>
    <row r="100" spans="1:8">
      <c r="A100" s="969"/>
      <c r="B100" s="969"/>
      <c r="C100" s="502"/>
      <c r="D100" s="502"/>
      <c r="E100" s="502"/>
      <c r="F100" s="502"/>
      <c r="G100" s="502"/>
      <c r="H100" s="502"/>
    </row>
    <row r="101" spans="1:8">
      <c r="A101" s="969"/>
      <c r="B101" s="969"/>
      <c r="C101" s="502"/>
      <c r="D101" s="502"/>
      <c r="E101" s="502"/>
      <c r="F101" s="502"/>
      <c r="G101" s="502"/>
      <c r="H101" s="502"/>
    </row>
    <row r="102" spans="1:8">
      <c r="A102" s="969"/>
      <c r="B102" s="969"/>
      <c r="C102" s="502"/>
      <c r="D102" s="502"/>
      <c r="E102" s="502"/>
      <c r="F102" s="502"/>
      <c r="G102" s="502"/>
      <c r="H102" s="502"/>
    </row>
    <row r="103" spans="1:8">
      <c r="A103" s="969"/>
      <c r="B103" s="969"/>
      <c r="C103" s="502"/>
      <c r="D103" s="502"/>
      <c r="E103" s="502"/>
      <c r="F103" s="502"/>
      <c r="G103" s="502"/>
      <c r="H103" s="502"/>
    </row>
    <row r="104" spans="1:8">
      <c r="A104" s="969"/>
      <c r="B104" s="969"/>
      <c r="C104" s="502"/>
      <c r="D104" s="502"/>
      <c r="E104" s="502"/>
      <c r="F104" s="502"/>
      <c r="G104" s="502"/>
      <c r="H104" s="502"/>
    </row>
    <row r="105" spans="1:8">
      <c r="A105" s="969"/>
      <c r="B105" s="969"/>
      <c r="C105" s="502"/>
      <c r="D105" s="502"/>
      <c r="E105" s="502"/>
      <c r="F105" s="502"/>
      <c r="G105" s="502"/>
      <c r="H105" s="502"/>
    </row>
    <row r="106" spans="1:8">
      <c r="A106" s="969"/>
      <c r="B106" s="969"/>
      <c r="C106" s="502"/>
      <c r="D106" s="502"/>
      <c r="E106" s="502"/>
      <c r="F106" s="502"/>
      <c r="G106" s="502"/>
      <c r="H106" s="502"/>
    </row>
    <row r="107" spans="1:8">
      <c r="A107" s="969"/>
      <c r="B107" s="969"/>
      <c r="C107" s="502"/>
      <c r="D107" s="502"/>
      <c r="E107" s="502"/>
      <c r="F107" s="502"/>
      <c r="G107" s="502"/>
      <c r="H107" s="502"/>
    </row>
    <row r="108" spans="1:8">
      <c r="A108" s="969"/>
      <c r="B108" s="969"/>
      <c r="C108" s="502"/>
      <c r="D108" s="502"/>
      <c r="E108" s="502"/>
      <c r="F108" s="502"/>
      <c r="G108" s="502"/>
      <c r="H108" s="502"/>
    </row>
    <row r="109" spans="1:8">
      <c r="A109" s="969"/>
      <c r="B109" s="969"/>
      <c r="C109" s="502"/>
      <c r="D109" s="502"/>
      <c r="E109" s="502"/>
      <c r="F109" s="502"/>
      <c r="G109" s="502"/>
      <c r="H109" s="502"/>
    </row>
    <row r="110" spans="1:8">
      <c r="A110" s="969"/>
      <c r="B110" s="969"/>
      <c r="C110" s="502"/>
      <c r="D110" s="502"/>
      <c r="E110" s="502"/>
      <c r="F110" s="502"/>
      <c r="G110" s="502"/>
      <c r="H110" s="502"/>
    </row>
  </sheetData>
  <sheetProtection selectLockedCells="1" selectUnlockedCells="1"/>
  <mergeCells count="99">
    <mergeCell ref="D37:E37"/>
    <mergeCell ref="A41:B41"/>
    <mergeCell ref="D41:E41"/>
    <mergeCell ref="A42:B42"/>
    <mergeCell ref="D42:E42"/>
    <mergeCell ref="D2:E2"/>
    <mergeCell ref="D3:E3"/>
    <mergeCell ref="A48:B48"/>
    <mergeCell ref="C48:H48"/>
    <mergeCell ref="A45:B45"/>
    <mergeCell ref="A43:B43"/>
    <mergeCell ref="D43:E43"/>
    <mergeCell ref="A44:C44"/>
    <mergeCell ref="A46:B47"/>
    <mergeCell ref="D46:H46"/>
    <mergeCell ref="C47:H47"/>
    <mergeCell ref="D44:E44"/>
    <mergeCell ref="C45:H45"/>
    <mergeCell ref="A33:B33"/>
    <mergeCell ref="A28:B28"/>
    <mergeCell ref="D28:E28"/>
    <mergeCell ref="I39:L43"/>
    <mergeCell ref="D38:E38"/>
    <mergeCell ref="A40:B40"/>
    <mergeCell ref="D40:E40"/>
    <mergeCell ref="D33:E33"/>
    <mergeCell ref="I33:L38"/>
    <mergeCell ref="A38:B38"/>
    <mergeCell ref="A39:B39"/>
    <mergeCell ref="D39:E39"/>
    <mergeCell ref="A34:B34"/>
    <mergeCell ref="D34:E34"/>
    <mergeCell ref="A35:B35"/>
    <mergeCell ref="D35:E35"/>
    <mergeCell ref="A36:B36"/>
    <mergeCell ref="D36:E36"/>
    <mergeCell ref="A37:B37"/>
    <mergeCell ref="I29:L30"/>
    <mergeCell ref="A30:B30"/>
    <mergeCell ref="D32:E32"/>
    <mergeCell ref="A31:B31"/>
    <mergeCell ref="D31:E31"/>
    <mergeCell ref="I31:L32"/>
    <mergeCell ref="A32:B32"/>
    <mergeCell ref="D30:E30"/>
    <mergeCell ref="A26:B26"/>
    <mergeCell ref="D26:E26"/>
    <mergeCell ref="A29:B29"/>
    <mergeCell ref="D29:E29"/>
    <mergeCell ref="D27:E27"/>
    <mergeCell ref="A27:B27"/>
    <mergeCell ref="I18:L25"/>
    <mergeCell ref="A19:B19"/>
    <mergeCell ref="D19:E19"/>
    <mergeCell ref="A20:B20"/>
    <mergeCell ref="D20:E20"/>
    <mergeCell ref="A23:B23"/>
    <mergeCell ref="D23:E23"/>
    <mergeCell ref="A24:B24"/>
    <mergeCell ref="D24:E24"/>
    <mergeCell ref="A25:B25"/>
    <mergeCell ref="D25:E25"/>
    <mergeCell ref="A22:B22"/>
    <mergeCell ref="D22:E22"/>
    <mergeCell ref="A13:B13"/>
    <mergeCell ref="D13:E13"/>
    <mergeCell ref="D14:E14"/>
    <mergeCell ref="A21:B21"/>
    <mergeCell ref="D21:E21"/>
    <mergeCell ref="A18:B18"/>
    <mergeCell ref="D18:E18"/>
    <mergeCell ref="D17:E17"/>
    <mergeCell ref="A14:B14"/>
    <mergeCell ref="A15:B15"/>
    <mergeCell ref="D15:E15"/>
    <mergeCell ref="A16:B16"/>
    <mergeCell ref="D16:E16"/>
    <mergeCell ref="A17:B17"/>
    <mergeCell ref="I1:I4"/>
    <mergeCell ref="A2:B2"/>
    <mergeCell ref="A3:B3"/>
    <mergeCell ref="A4:H4"/>
    <mergeCell ref="A12:B12"/>
    <mergeCell ref="D12:E12"/>
    <mergeCell ref="A5:B5"/>
    <mergeCell ref="A7:B7"/>
    <mergeCell ref="D7:E7"/>
    <mergeCell ref="D5:E5"/>
    <mergeCell ref="A6:B6"/>
    <mergeCell ref="D6:E6"/>
    <mergeCell ref="A9:B9"/>
    <mergeCell ref="D9:E9"/>
    <mergeCell ref="A1:H1"/>
    <mergeCell ref="A11:B11"/>
    <mergeCell ref="A10:B10"/>
    <mergeCell ref="D10:E10"/>
    <mergeCell ref="D11:E11"/>
    <mergeCell ref="A8:B8"/>
    <mergeCell ref="D8:E8"/>
  </mergeCells>
  <phoneticPr fontId="51" type="noConversion"/>
  <dataValidations count="2">
    <dataValidation allowBlank="1" sqref="C20 C22:C43">
      <formula1>0</formula1>
      <formula2>0</formula2>
    </dataValidation>
    <dataValidation type="list" allowBlank="1" sqref="C21">
      <formula1>"办公费,邮电费,交通差旅费,房租,物业水电费,车辆使用费,各种税金,开办费,低值易耗品,运杂费,残保金,其他"</formula1>
      <formula2>0</formula2>
    </dataValidation>
  </dataValidations>
  <hyperlinks>
    <hyperlink ref="I7" location="利润!A1" display="利润及利润分配表"/>
    <hyperlink ref="I8" location="纳税调整明细表!A1" display="纳税调整明细表"/>
    <hyperlink ref="I9" location="资产折旧纳税调整表!A1" display="资产折旧纳税调整表"/>
    <hyperlink ref="I10" location="折旧测算!A1" display="折旧验算表"/>
    <hyperlink ref="I11" location="固资折旧!A1" display="固定资产及折旧审核表"/>
    <hyperlink ref="I12" location="广告费纳税调整表!A1" display="广告费纳税调整表"/>
    <hyperlink ref="I13" location="工资福利!A1" display="工资福利审核表"/>
    <hyperlink ref="I14" location="社保!A1" display="社保公积审核表"/>
    <hyperlink ref="I15" location="招待!A1" display="招待费审核表"/>
    <hyperlink ref="I16" location="实收公积!A1" display="实收公积审核表"/>
    <hyperlink ref="I17" location="捐赠!A1" display="捐赠支出审核表"/>
    <hyperlink ref="I6" location="A104000期间费用明细表!A1" display="A104000期间费用明细表!A1"/>
  </hyperlinks>
  <pageMargins left="0.78740157480314998" right="0.35433070866141703" top="0.511811023622047" bottom="0.11811023622047198" header="0.511811023622047" footer="0.511811023622047"/>
  <pageSetup paperSize="9" scale="90" firstPageNumber="0" fitToHeight="0" orientation="portrait" blackAndWhite="1" r:id="rId1"/>
  <headerFooter alignWithMargins="0"/>
</worksheet>
</file>

<file path=xl/worksheets/sheet8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51">
    <pageSetUpPr fitToPage="1"/>
  </sheetPr>
  <dimension ref="A1:P90"/>
  <sheetViews>
    <sheetView workbookViewId="0">
      <selection activeCell="H9" sqref="H9"/>
    </sheetView>
  </sheetViews>
  <sheetFormatPr defaultRowHeight="15.6"/>
  <cols>
    <col min="1" max="1" width="6" style="954" customWidth="1"/>
    <col min="2" max="2" width="1.5" style="954" customWidth="1"/>
    <col min="3" max="3" width="31" style="771" customWidth="1"/>
    <col min="4" max="4" width="6.3984375" style="771" customWidth="1"/>
    <col min="5" max="5" width="8.5" style="771" customWidth="1"/>
    <col min="6" max="8" width="14.09765625" style="771" customWidth="1"/>
    <col min="9" max="9" width="28.09765625" customWidth="1"/>
    <col min="10" max="10" width="19.59765625" customWidth="1"/>
  </cols>
  <sheetData>
    <row r="1" spans="1:13" ht="29.25" customHeight="1">
      <c r="A1" s="3079" t="s">
        <v>328</v>
      </c>
      <c r="B1" s="3079"/>
      <c r="C1" s="3079"/>
      <c r="D1" s="3079"/>
      <c r="E1" s="3079"/>
      <c r="F1" s="3079"/>
      <c r="G1" s="3079"/>
      <c r="H1" s="3079"/>
      <c r="I1" s="3568"/>
      <c r="J1" s="84"/>
      <c r="K1" s="84"/>
      <c r="L1" s="84"/>
    </row>
    <row r="2" spans="1:13" ht="21.75" customHeight="1">
      <c r="A2" s="3024" t="s">
        <v>448</v>
      </c>
      <c r="B2" s="3024"/>
      <c r="C2" s="955">
        <f>基本情况!$B$2</f>
        <v>0</v>
      </c>
      <c r="D2" s="3613" t="s">
        <v>451</v>
      </c>
      <c r="E2" s="3614"/>
      <c r="F2" s="1803">
        <f>基本情况!B12</f>
        <v>0</v>
      </c>
      <c r="G2" s="644" t="str">
        <f>TEXT(基本情况!B21,"yyyy-mm-dd")</f>
        <v>2017-03-16</v>
      </c>
      <c r="H2" s="485" t="s">
        <v>283</v>
      </c>
      <c r="I2" s="3568"/>
      <c r="J2" s="84"/>
      <c r="K2" s="84"/>
      <c r="L2" s="84"/>
    </row>
    <row r="3" spans="1:13" ht="21.75" customHeight="1">
      <c r="A3" s="3147" t="s">
        <v>452</v>
      </c>
      <c r="B3" s="3147"/>
      <c r="C3" s="958" t="str">
        <f>基本情况!$B$7</f>
        <v>2016年01月01日至2016年12月31日</v>
      </c>
      <c r="D3" s="3615" t="s">
        <v>453</v>
      </c>
      <c r="E3" s="3616"/>
      <c r="F3" s="960">
        <f>基本情况!B11</f>
        <v>0</v>
      </c>
      <c r="G3" s="1801" t="str">
        <f>TEXT(基本情况!B22,"yyyy-mm-dd")</f>
        <v>2017-05-04</v>
      </c>
      <c r="H3" s="961" t="str">
        <f>档案索引!D30</f>
        <v>3-9</v>
      </c>
      <c r="I3" s="3568"/>
      <c r="J3" s="84"/>
      <c r="K3" s="84"/>
      <c r="L3" s="84"/>
    </row>
    <row r="4" spans="1:13" ht="6.75" customHeight="1">
      <c r="A4" s="2894"/>
      <c r="B4" s="2894"/>
      <c r="C4" s="2894"/>
      <c r="D4" s="2894"/>
      <c r="E4" s="2894"/>
      <c r="F4" s="2894"/>
      <c r="G4" s="2894"/>
      <c r="H4" s="2894"/>
      <c r="I4" s="3568"/>
      <c r="J4" s="84"/>
      <c r="K4" s="84"/>
      <c r="L4" s="84"/>
    </row>
    <row r="5" spans="1:13" ht="21.75" customHeight="1">
      <c r="A5" s="3021" t="s">
        <v>646</v>
      </c>
      <c r="B5" s="3021"/>
      <c r="C5" s="582" t="s">
        <v>666</v>
      </c>
      <c r="D5" s="3022" t="s">
        <v>1182</v>
      </c>
      <c r="E5" s="3022"/>
      <c r="F5" s="582" t="s">
        <v>907</v>
      </c>
      <c r="G5" s="779" t="s">
        <v>6512</v>
      </c>
      <c r="H5" s="772" t="s">
        <v>503</v>
      </c>
      <c r="I5" s="962" t="s">
        <v>396</v>
      </c>
      <c r="J5" s="966"/>
      <c r="K5" s="84"/>
      <c r="L5" s="84"/>
    </row>
    <row r="6" spans="1:13" ht="23.25" customHeight="1">
      <c r="A6" s="3153">
        <v>1</v>
      </c>
      <c r="B6" s="3153"/>
      <c r="C6" s="963" t="s">
        <v>483</v>
      </c>
      <c r="D6" s="3612">
        <f>SUMIF(余额表!J:J,"财务费用-"&amp;C6,余额表!E:E)</f>
        <v>0</v>
      </c>
      <c r="E6" s="3612"/>
      <c r="F6" s="1118"/>
      <c r="G6" s="1802"/>
      <c r="H6" s="967">
        <f>D6+F6</f>
        <v>0</v>
      </c>
      <c r="I6" s="1266" t="s">
        <v>6598</v>
      </c>
      <c r="J6" s="84"/>
      <c r="K6" s="84"/>
      <c r="L6" s="84"/>
    </row>
    <row r="7" spans="1:13" ht="23.25" customHeight="1">
      <c r="A7" s="2903">
        <v>2</v>
      </c>
      <c r="B7" s="2903"/>
      <c r="C7" s="494" t="s">
        <v>484</v>
      </c>
      <c r="D7" s="3617">
        <f>SUMIF(余额表!J:J,"财务费用-"&amp;C7,余额表!E:E)</f>
        <v>0</v>
      </c>
      <c r="E7" s="3618"/>
      <c r="F7" s="1120"/>
      <c r="G7" s="1200"/>
      <c r="H7" s="699">
        <f>D7+F7</f>
        <v>0</v>
      </c>
      <c r="I7" s="232" t="s">
        <v>643</v>
      </c>
      <c r="J7" s="84"/>
      <c r="K7" s="84"/>
      <c r="L7" s="84"/>
    </row>
    <row r="8" spans="1:13" ht="23.25" customHeight="1">
      <c r="A8" s="2903">
        <v>3</v>
      </c>
      <c r="B8" s="2903"/>
      <c r="C8" s="970" t="s">
        <v>485</v>
      </c>
      <c r="D8" s="3123"/>
      <c r="E8" s="3123"/>
      <c r="F8" s="1120"/>
      <c r="G8" s="1200"/>
      <c r="H8" s="699">
        <f t="shared" ref="H8:H26" si="0">D8+F8</f>
        <v>0</v>
      </c>
      <c r="I8" s="575" t="s">
        <v>1292</v>
      </c>
      <c r="J8" s="84"/>
      <c r="K8" s="84"/>
      <c r="L8" s="84"/>
    </row>
    <row r="9" spans="1:13" ht="23.25" customHeight="1">
      <c r="A9" s="2903">
        <v>4</v>
      </c>
      <c r="B9" s="2903"/>
      <c r="C9" s="494" t="s">
        <v>486</v>
      </c>
      <c r="D9" s="3617">
        <f>SUMIF(余额表!J:J,"财务费用-"&amp;C9,余额表!E:E)</f>
        <v>0</v>
      </c>
      <c r="E9" s="3618"/>
      <c r="F9" s="1120"/>
      <c r="G9" s="1200"/>
      <c r="H9" s="699">
        <f t="shared" si="0"/>
        <v>0</v>
      </c>
      <c r="I9" s="575" t="s">
        <v>72</v>
      </c>
      <c r="J9" s="84"/>
      <c r="K9" s="84"/>
      <c r="L9" s="84"/>
    </row>
    <row r="10" spans="1:13" ht="23.25" customHeight="1">
      <c r="A10" s="2903">
        <v>5</v>
      </c>
      <c r="B10" s="2903"/>
      <c r="C10" s="2031" t="s">
        <v>6559</v>
      </c>
      <c r="D10" s="3617">
        <f>SUMIF(余额表!J:J,"财务费用-"&amp;C10,余额表!E:E)</f>
        <v>0</v>
      </c>
      <c r="E10" s="3618"/>
      <c r="F10" s="1120"/>
      <c r="G10" s="1200"/>
      <c r="H10" s="699">
        <f t="shared" si="0"/>
        <v>0</v>
      </c>
      <c r="I10" s="575" t="s">
        <v>1486</v>
      </c>
      <c r="J10" s="84"/>
      <c r="K10" s="84"/>
      <c r="L10" s="84"/>
    </row>
    <row r="11" spans="1:13" ht="23.25" customHeight="1">
      <c r="A11" s="2903">
        <v>6</v>
      </c>
      <c r="B11" s="2903"/>
      <c r="C11" s="2031" t="s">
        <v>487</v>
      </c>
      <c r="D11" s="3617">
        <f>-SUMIF(余额表!J:J,"财务费用-利息收入",余额表!E:E)</f>
        <v>0</v>
      </c>
      <c r="E11" s="3618"/>
      <c r="F11" s="1120"/>
      <c r="G11" s="1200"/>
      <c r="H11" s="699">
        <f t="shared" si="0"/>
        <v>0</v>
      </c>
      <c r="I11" s="232" t="s">
        <v>488</v>
      </c>
      <c r="J11" s="84"/>
      <c r="K11" s="84"/>
      <c r="L11" s="84"/>
    </row>
    <row r="12" spans="1:13" ht="23.25" customHeight="1">
      <c r="A12" s="2903">
        <v>7</v>
      </c>
      <c r="B12" s="2903"/>
      <c r="C12" s="2031" t="s">
        <v>489</v>
      </c>
      <c r="D12" s="3123"/>
      <c r="E12" s="3123"/>
      <c r="F12" s="1120"/>
      <c r="G12" s="1200"/>
      <c r="H12" s="699">
        <f t="shared" si="0"/>
        <v>0</v>
      </c>
      <c r="I12" s="232" t="s">
        <v>932</v>
      </c>
      <c r="J12" s="84"/>
      <c r="K12" s="84"/>
      <c r="L12" s="84"/>
    </row>
    <row r="13" spans="1:13" ht="23.25" customHeight="1">
      <c r="A13" s="2903">
        <v>8</v>
      </c>
      <c r="B13" s="2903"/>
      <c r="C13" s="2031" t="s">
        <v>490</v>
      </c>
      <c r="D13" s="3617">
        <f>-SUMIF(余额表!J:J,"财务费用-汇兑收益",余额表!E:E)</f>
        <v>0</v>
      </c>
      <c r="E13" s="3618"/>
      <c r="F13" s="1120"/>
      <c r="G13" s="1200"/>
      <c r="H13" s="699">
        <f t="shared" si="0"/>
        <v>0</v>
      </c>
      <c r="I13" s="232" t="s">
        <v>919</v>
      </c>
      <c r="J13" s="84"/>
      <c r="K13" s="84"/>
      <c r="L13" s="84"/>
    </row>
    <row r="14" spans="1:13" ht="23.25" customHeight="1">
      <c r="A14" s="2903">
        <v>9</v>
      </c>
      <c r="B14" s="2903"/>
      <c r="C14" s="2031" t="s">
        <v>6560</v>
      </c>
      <c r="D14" s="3617">
        <f>SUMIF(余额表!J:J,"财务费用-其他",余额表!E:E)</f>
        <v>0</v>
      </c>
      <c r="E14" s="3618"/>
      <c r="F14" s="1120"/>
      <c r="G14" s="1200"/>
      <c r="H14" s="699">
        <f t="shared" si="0"/>
        <v>0</v>
      </c>
      <c r="I14" s="1235" t="s">
        <v>368</v>
      </c>
      <c r="J14" s="84"/>
      <c r="K14" s="84"/>
      <c r="L14" s="84"/>
    </row>
    <row r="15" spans="1:13" ht="23.25" customHeight="1">
      <c r="A15" s="2903">
        <v>10</v>
      </c>
      <c r="B15" s="2903"/>
      <c r="C15" s="2040" t="s">
        <v>6552</v>
      </c>
      <c r="D15" s="3123"/>
      <c r="E15" s="3123"/>
      <c r="F15" s="1120"/>
      <c r="G15" s="1200"/>
      <c r="H15" s="699">
        <f t="shared" si="0"/>
        <v>0</v>
      </c>
      <c r="I15" s="3090" t="s">
        <v>491</v>
      </c>
      <c r="J15" s="3090"/>
      <c r="K15" s="3090"/>
      <c r="L15" s="3090"/>
      <c r="M15" s="673"/>
    </row>
    <row r="16" spans="1:13" ht="23.25" customHeight="1">
      <c r="A16" s="2903">
        <v>11</v>
      </c>
      <c r="B16" s="2903"/>
      <c r="C16" s="971"/>
      <c r="D16" s="3123"/>
      <c r="E16" s="3123"/>
      <c r="F16" s="1120"/>
      <c r="G16" s="1200"/>
      <c r="H16" s="699">
        <f t="shared" si="0"/>
        <v>0</v>
      </c>
      <c r="I16" s="3090"/>
      <c r="J16" s="3090"/>
      <c r="K16" s="3090"/>
      <c r="L16" s="3090"/>
      <c r="M16" s="673"/>
    </row>
    <row r="17" spans="1:16" ht="23.25" customHeight="1">
      <c r="A17" s="2903">
        <v>12</v>
      </c>
      <c r="B17" s="2903"/>
      <c r="C17" s="964"/>
      <c r="D17" s="3123"/>
      <c r="E17" s="3123"/>
      <c r="F17" s="1120"/>
      <c r="G17" s="1200"/>
      <c r="H17" s="699">
        <f t="shared" si="0"/>
        <v>0</v>
      </c>
      <c r="I17" s="3090"/>
      <c r="J17" s="3090"/>
      <c r="K17" s="3090"/>
      <c r="L17" s="3090"/>
      <c r="M17" s="673"/>
    </row>
    <row r="18" spans="1:16" ht="23.25" customHeight="1">
      <c r="A18" s="2903">
        <v>13</v>
      </c>
      <c r="B18" s="2903"/>
      <c r="C18" s="964"/>
      <c r="D18" s="3123"/>
      <c r="E18" s="3123"/>
      <c r="F18" s="1120"/>
      <c r="G18" s="1200"/>
      <c r="H18" s="699">
        <f t="shared" si="0"/>
        <v>0</v>
      </c>
      <c r="I18" s="3090"/>
      <c r="J18" s="3090"/>
      <c r="K18" s="3090"/>
      <c r="L18" s="3090"/>
      <c r="M18" s="673"/>
    </row>
    <row r="19" spans="1:16" ht="23.25" customHeight="1">
      <c r="A19" s="2903">
        <v>14</v>
      </c>
      <c r="B19" s="2903"/>
      <c r="C19" s="964"/>
      <c r="D19" s="3123"/>
      <c r="E19" s="3123"/>
      <c r="F19" s="1120"/>
      <c r="G19" s="1200"/>
      <c r="H19" s="699">
        <f t="shared" si="0"/>
        <v>0</v>
      </c>
      <c r="I19" s="3090"/>
      <c r="J19" s="3090"/>
      <c r="K19" s="3090"/>
      <c r="L19" s="3090"/>
      <c r="M19" s="673"/>
    </row>
    <row r="20" spans="1:16" ht="23.25" customHeight="1">
      <c r="A20" s="2903">
        <v>15</v>
      </c>
      <c r="B20" s="2903"/>
      <c r="C20" s="964"/>
      <c r="D20" s="3123"/>
      <c r="E20" s="3123"/>
      <c r="F20" s="1120"/>
      <c r="G20" s="1200"/>
      <c r="H20" s="699">
        <f t="shared" si="0"/>
        <v>0</v>
      </c>
      <c r="I20" s="3090"/>
      <c r="J20" s="3090"/>
      <c r="K20" s="3090"/>
      <c r="L20" s="3090"/>
      <c r="M20" s="673"/>
    </row>
    <row r="21" spans="1:16" ht="23.25" customHeight="1">
      <c r="A21" s="2903">
        <v>16</v>
      </c>
      <c r="B21" s="2903"/>
      <c r="C21" s="968"/>
      <c r="D21" s="3123"/>
      <c r="E21" s="3123"/>
      <c r="F21" s="1120"/>
      <c r="G21" s="1200"/>
      <c r="H21" s="699">
        <f t="shared" si="0"/>
        <v>0</v>
      </c>
      <c r="I21" s="3090" t="s">
        <v>492</v>
      </c>
      <c r="J21" s="3090"/>
      <c r="K21" s="3090"/>
      <c r="L21" s="3090"/>
      <c r="M21" s="673"/>
    </row>
    <row r="22" spans="1:16" ht="23.25" customHeight="1">
      <c r="A22" s="2903">
        <v>17</v>
      </c>
      <c r="B22" s="2903"/>
      <c r="C22" s="968"/>
      <c r="D22" s="3123"/>
      <c r="E22" s="3123"/>
      <c r="F22" s="1120"/>
      <c r="G22" s="1200"/>
      <c r="H22" s="699">
        <f t="shared" si="0"/>
        <v>0</v>
      </c>
      <c r="I22" s="3090"/>
      <c r="J22" s="3090"/>
      <c r="K22" s="3090"/>
      <c r="L22" s="3090"/>
    </row>
    <row r="23" spans="1:16" ht="23.25" customHeight="1">
      <c r="A23" s="2903">
        <v>18</v>
      </c>
      <c r="B23" s="2903"/>
      <c r="C23" s="968"/>
      <c r="D23" s="3123"/>
      <c r="E23" s="3123"/>
      <c r="F23" s="1120"/>
      <c r="G23" s="1200"/>
      <c r="H23" s="699">
        <f t="shared" si="0"/>
        <v>0</v>
      </c>
      <c r="I23" s="3090"/>
      <c r="J23" s="3090"/>
      <c r="K23" s="3090"/>
      <c r="L23" s="3090"/>
    </row>
    <row r="24" spans="1:16" ht="23.25" customHeight="1">
      <c r="A24" s="2903">
        <v>19</v>
      </c>
      <c r="B24" s="2903"/>
      <c r="C24" s="968"/>
      <c r="D24" s="3123"/>
      <c r="E24" s="3123"/>
      <c r="F24" s="1120"/>
      <c r="G24" s="1200"/>
      <c r="H24" s="699">
        <f t="shared" si="0"/>
        <v>0</v>
      </c>
      <c r="I24" s="3090"/>
      <c r="J24" s="3090"/>
      <c r="K24" s="3090"/>
      <c r="L24" s="3090"/>
    </row>
    <row r="25" spans="1:16" ht="23.25" customHeight="1">
      <c r="A25" s="2903">
        <v>20</v>
      </c>
      <c r="B25" s="2903"/>
      <c r="C25" s="968"/>
      <c r="D25" s="3123"/>
      <c r="E25" s="3123"/>
      <c r="F25" s="1120"/>
      <c r="G25" s="1200"/>
      <c r="H25" s="699">
        <f t="shared" si="0"/>
        <v>0</v>
      </c>
      <c r="I25" s="3090"/>
      <c r="J25" s="3090"/>
      <c r="K25" s="3090"/>
      <c r="L25" s="3090"/>
    </row>
    <row r="26" spans="1:16" ht="23.25" customHeight="1">
      <c r="A26" s="2903">
        <v>21</v>
      </c>
      <c r="B26" s="2903"/>
      <c r="C26" s="968"/>
      <c r="D26" s="3123"/>
      <c r="E26" s="3123"/>
      <c r="F26" s="1120"/>
      <c r="G26" s="1200"/>
      <c r="H26" s="699">
        <f t="shared" si="0"/>
        <v>0</v>
      </c>
      <c r="I26" s="3622" t="s">
        <v>1354</v>
      </c>
      <c r="J26" s="3622"/>
      <c r="K26" s="3622"/>
      <c r="L26" s="3622"/>
      <c r="M26" s="502"/>
      <c r="N26" s="502"/>
      <c r="O26" s="502"/>
      <c r="P26" s="502"/>
    </row>
    <row r="27" spans="1:16" ht="23.25" customHeight="1">
      <c r="A27" s="2904" t="s">
        <v>703</v>
      </c>
      <c r="B27" s="2904"/>
      <c r="C27" s="2904"/>
      <c r="D27" s="3217">
        <f>D6+D7+D9+D10-D11-D13+D14</f>
        <v>0</v>
      </c>
      <c r="E27" s="3217"/>
      <c r="F27" s="721">
        <f>F6+F7+F9+F10-F11-F13+F14</f>
        <v>0</v>
      </c>
      <c r="G27" s="721">
        <f>G6+G7+G9+G10-G11-G13+G14</f>
        <v>0</v>
      </c>
      <c r="H27" s="702">
        <f>H6+H7+H9+H10-H11-H13+H14</f>
        <v>0</v>
      </c>
      <c r="I27" s="3622"/>
      <c r="J27" s="3622"/>
      <c r="K27" s="3622"/>
      <c r="L27" s="3622"/>
      <c r="M27" s="502"/>
      <c r="N27" s="502"/>
      <c r="O27" s="502"/>
      <c r="P27" s="502"/>
    </row>
    <row r="28" spans="1:16" ht="23.25" customHeight="1">
      <c r="A28" s="3141" t="s">
        <v>642</v>
      </c>
      <c r="B28" s="3141"/>
      <c r="C28" s="3154" t="str">
        <f>IF(D27&lt;&gt;利润!C22,"账载数与报表数相差"&amp;DOLLAR(D27-利润!C22,2)&amp;"元！","账载数与报表数相符！")</f>
        <v>账载数与报表数相符！</v>
      </c>
      <c r="D28" s="3154"/>
      <c r="E28" s="3154"/>
      <c r="F28" s="3154"/>
      <c r="G28" s="3154"/>
      <c r="H28" s="3154"/>
      <c r="I28" s="3622"/>
      <c r="J28" s="3622"/>
      <c r="K28" s="3622"/>
      <c r="L28" s="3622"/>
      <c r="M28" s="502"/>
      <c r="N28" s="502"/>
      <c r="O28" s="502"/>
      <c r="P28" s="502"/>
    </row>
    <row r="29" spans="1:16" ht="15" customHeight="1">
      <c r="A29" s="3058" t="s">
        <v>1324</v>
      </c>
      <c r="B29" s="3058"/>
      <c r="C29" s="965" t="s">
        <v>175</v>
      </c>
      <c r="D29" s="3619" t="str">
        <f>IF(F27&lt;&gt;0,"、E","")</f>
        <v/>
      </c>
      <c r="E29" s="3619"/>
      <c r="F29" s="3619"/>
      <c r="G29" s="3619"/>
      <c r="H29" s="3619"/>
      <c r="I29" s="3622"/>
      <c r="J29" s="3622"/>
      <c r="K29" s="3622"/>
      <c r="L29" s="3622"/>
      <c r="M29" s="502"/>
      <c r="N29" s="502"/>
      <c r="O29" s="502"/>
      <c r="P29" s="502"/>
    </row>
    <row r="30" spans="1:16" ht="70.5" customHeight="1">
      <c r="A30" s="3058"/>
      <c r="B30" s="3058"/>
      <c r="C30" s="3159"/>
      <c r="D30" s="3159"/>
      <c r="E30" s="3159"/>
      <c r="F30" s="3159"/>
      <c r="G30" s="3159"/>
      <c r="H30" s="3159"/>
      <c r="I30" s="3622"/>
      <c r="J30" s="3622"/>
      <c r="K30" s="3622"/>
      <c r="L30" s="3622"/>
      <c r="M30" s="502"/>
      <c r="N30" s="502"/>
      <c r="O30" s="502"/>
      <c r="P30" s="502"/>
    </row>
    <row r="31" spans="1:16" ht="23.25" customHeight="1">
      <c r="A31" s="3156" t="s">
        <v>575</v>
      </c>
      <c r="B31" s="3156"/>
      <c r="C31" s="3135" t="str">
        <f>IF(F27=0,"不存在调整事项，认可！","调整后认可！")</f>
        <v>不存在调整事项，认可！</v>
      </c>
      <c r="D31" s="3135"/>
      <c r="E31" s="3135"/>
      <c r="F31" s="3135"/>
      <c r="G31" s="3135"/>
      <c r="H31" s="3135"/>
      <c r="I31" s="3623" t="s">
        <v>1355</v>
      </c>
      <c r="J31" s="3623"/>
      <c r="K31" s="3623"/>
      <c r="L31" s="3623"/>
      <c r="M31" s="502"/>
      <c r="N31" s="502"/>
      <c r="O31" s="502"/>
      <c r="P31" s="502"/>
    </row>
    <row r="32" spans="1:16">
      <c r="A32" s="969"/>
      <c r="B32" s="969"/>
      <c r="C32" s="502"/>
      <c r="D32" s="502"/>
      <c r="E32" s="502"/>
      <c r="F32" s="502"/>
      <c r="G32" s="502"/>
      <c r="H32" s="502"/>
      <c r="I32" s="3623"/>
      <c r="J32" s="3623"/>
      <c r="K32" s="3623"/>
      <c r="L32" s="3623"/>
      <c r="M32" s="502"/>
      <c r="N32" s="502"/>
      <c r="O32" s="502"/>
      <c r="P32" s="502"/>
    </row>
    <row r="33" spans="1:16">
      <c r="A33" s="969"/>
      <c r="B33" s="969"/>
      <c r="C33" s="502"/>
      <c r="D33" s="502"/>
      <c r="E33" s="502"/>
      <c r="F33" s="502"/>
      <c r="G33" s="502"/>
      <c r="H33" s="502"/>
      <c r="I33" s="3623"/>
      <c r="J33" s="3623"/>
      <c r="K33" s="3623"/>
      <c r="L33" s="3623"/>
      <c r="M33" s="502"/>
      <c r="N33" s="502"/>
      <c r="O33" s="502"/>
      <c r="P33" s="502"/>
    </row>
    <row r="34" spans="1:16" ht="14.25" customHeight="1">
      <c r="A34" s="969"/>
      <c r="B34" s="969"/>
      <c r="C34" s="502"/>
      <c r="D34" s="502"/>
      <c r="E34" s="502"/>
      <c r="F34" s="502"/>
      <c r="G34" s="502"/>
      <c r="H34" s="502"/>
      <c r="I34" s="3136" t="s">
        <v>1356</v>
      </c>
      <c r="J34" s="3136"/>
      <c r="K34" s="3136"/>
      <c r="L34" s="3136"/>
      <c r="M34" s="502"/>
      <c r="N34" s="502"/>
      <c r="O34" s="502"/>
      <c r="P34" s="502"/>
    </row>
    <row r="35" spans="1:16">
      <c r="A35" s="969"/>
      <c r="B35" s="969"/>
      <c r="C35" s="502"/>
      <c r="D35" s="502"/>
      <c r="E35" s="502"/>
      <c r="F35" s="502"/>
      <c r="G35" s="502"/>
      <c r="H35" s="502"/>
      <c r="I35" s="3136"/>
      <c r="J35" s="3136"/>
      <c r="K35" s="3136"/>
      <c r="L35" s="3136"/>
      <c r="M35" s="502"/>
      <c r="N35" s="502"/>
      <c r="O35" s="502"/>
      <c r="P35" s="502"/>
    </row>
    <row r="36" spans="1:16" ht="15.15" customHeight="1">
      <c r="A36" s="969"/>
      <c r="B36" s="969"/>
      <c r="C36" s="502"/>
      <c r="D36" s="502"/>
      <c r="E36" s="502"/>
      <c r="F36" s="502"/>
      <c r="G36" s="502"/>
      <c r="H36" s="502"/>
      <c r="I36" s="3136" t="s">
        <v>1357</v>
      </c>
      <c r="J36" s="3136"/>
      <c r="K36" s="3136"/>
      <c r="L36" s="3136"/>
      <c r="M36" s="502"/>
      <c r="N36" s="502"/>
      <c r="O36" s="502"/>
      <c r="P36" s="502"/>
    </row>
    <row r="37" spans="1:16" ht="14.25" customHeight="1">
      <c r="A37" s="969"/>
      <c r="B37" s="969"/>
      <c r="C37" s="502"/>
      <c r="D37" s="502"/>
      <c r="E37" s="502"/>
      <c r="F37" s="502"/>
      <c r="G37" s="502"/>
      <c r="H37" s="502"/>
      <c r="I37" s="3136" t="s">
        <v>477</v>
      </c>
      <c r="J37" s="3136"/>
      <c r="K37" s="3136"/>
      <c r="L37" s="3136"/>
      <c r="M37" s="502"/>
      <c r="N37" s="502"/>
      <c r="O37" s="502"/>
      <c r="P37" s="502"/>
    </row>
    <row r="38" spans="1:16">
      <c r="A38" s="969"/>
      <c r="B38" s="969"/>
      <c r="C38" s="502"/>
      <c r="D38" s="502"/>
      <c r="E38" s="502"/>
      <c r="F38" s="502"/>
      <c r="G38" s="502"/>
      <c r="H38" s="502"/>
      <c r="I38" s="3136"/>
      <c r="J38" s="3136"/>
      <c r="K38" s="3136"/>
      <c r="L38" s="3136"/>
      <c r="M38" s="502"/>
      <c r="N38" s="502"/>
      <c r="O38" s="502"/>
      <c r="P38" s="502"/>
    </row>
    <row r="39" spans="1:16" ht="14.25" customHeight="1">
      <c r="A39" s="969"/>
      <c r="B39" s="969"/>
      <c r="C39" s="502"/>
      <c r="D39" s="502"/>
      <c r="E39" s="502"/>
      <c r="F39" s="502"/>
      <c r="G39" s="502"/>
      <c r="H39" s="502"/>
      <c r="I39" s="3136" t="s">
        <v>1358</v>
      </c>
      <c r="J39" s="3136"/>
      <c r="K39" s="3136"/>
      <c r="L39" s="3136"/>
      <c r="M39" s="502"/>
      <c r="N39" s="502"/>
      <c r="O39" s="502"/>
      <c r="P39" s="502"/>
    </row>
    <row r="40" spans="1:16">
      <c r="A40" s="969"/>
      <c r="B40" s="969"/>
      <c r="C40" s="502"/>
      <c r="D40" s="502"/>
      <c r="E40" s="502"/>
      <c r="F40" s="502"/>
      <c r="G40" s="502"/>
      <c r="H40" s="502"/>
      <c r="I40" s="3136"/>
      <c r="J40" s="3136"/>
      <c r="K40" s="3136"/>
      <c r="L40" s="3136"/>
      <c r="M40" s="502"/>
      <c r="N40" s="502"/>
      <c r="O40" s="502"/>
      <c r="P40" s="502"/>
    </row>
    <row r="41" spans="1:16">
      <c r="A41" s="969"/>
      <c r="B41" s="969"/>
      <c r="C41" s="502"/>
      <c r="D41" s="502"/>
      <c r="E41" s="502"/>
      <c r="F41" s="502"/>
      <c r="G41" s="502"/>
      <c r="H41" s="502"/>
      <c r="I41" s="3136"/>
      <c r="J41" s="3136"/>
      <c r="K41" s="3136"/>
      <c r="L41" s="3136"/>
      <c r="M41" s="502"/>
      <c r="N41" s="502"/>
      <c r="O41" s="502"/>
      <c r="P41" s="502"/>
    </row>
    <row r="42" spans="1:16">
      <c r="A42" s="969"/>
      <c r="B42" s="969"/>
      <c r="C42" s="502"/>
      <c r="D42" s="502"/>
      <c r="E42" s="502"/>
      <c r="F42" s="502"/>
      <c r="G42" s="502"/>
      <c r="H42" s="502"/>
      <c r="I42" s="3136"/>
      <c r="J42" s="3136"/>
      <c r="K42" s="3136"/>
      <c r="L42" s="3136"/>
      <c r="M42" s="502"/>
      <c r="N42" s="502"/>
      <c r="O42" s="502"/>
      <c r="P42" s="502"/>
    </row>
    <row r="43" spans="1:16">
      <c r="A43" s="969"/>
      <c r="B43" s="969"/>
      <c r="C43" s="502"/>
      <c r="D43" s="502"/>
      <c r="E43" s="502"/>
      <c r="F43" s="502"/>
      <c r="G43" s="502"/>
      <c r="H43" s="502"/>
      <c r="I43" s="502"/>
      <c r="J43" s="502"/>
      <c r="K43" s="502"/>
      <c r="L43" s="502"/>
      <c r="M43" s="502"/>
      <c r="N43" s="502"/>
      <c r="O43" s="502"/>
      <c r="P43" s="502"/>
    </row>
    <row r="44" spans="1:16">
      <c r="A44" s="969"/>
      <c r="B44" s="969"/>
      <c r="C44" s="502"/>
      <c r="D44" s="502"/>
      <c r="E44" s="502"/>
      <c r="F44" s="502"/>
      <c r="G44" s="502"/>
      <c r="H44" s="502"/>
      <c r="I44" s="502"/>
      <c r="J44" s="502"/>
      <c r="K44" s="502"/>
      <c r="L44" s="502"/>
      <c r="M44" s="502"/>
      <c r="N44" s="502"/>
      <c r="O44" s="502"/>
      <c r="P44" s="502"/>
    </row>
    <row r="45" spans="1:16">
      <c r="A45" s="969"/>
      <c r="B45" s="969"/>
      <c r="C45" s="502"/>
      <c r="D45" s="502"/>
      <c r="E45" s="502"/>
      <c r="F45" s="502"/>
      <c r="G45" s="502"/>
      <c r="H45" s="502"/>
      <c r="I45" s="502"/>
      <c r="J45" s="502"/>
      <c r="K45" s="502"/>
      <c r="L45" s="502"/>
      <c r="M45" s="502"/>
      <c r="N45" s="502"/>
      <c r="O45" s="502"/>
      <c r="P45" s="502"/>
    </row>
    <row r="46" spans="1:16">
      <c r="A46" s="969"/>
      <c r="B46" s="969"/>
      <c r="C46" s="502"/>
      <c r="D46" s="502"/>
      <c r="E46" s="502"/>
      <c r="F46" s="502"/>
      <c r="G46" s="502"/>
      <c r="H46" s="502"/>
      <c r="M46" s="502"/>
      <c r="N46" s="502"/>
      <c r="O46" s="502"/>
      <c r="P46" s="502"/>
    </row>
    <row r="47" spans="1:16">
      <c r="A47" s="969"/>
      <c r="B47" s="969"/>
      <c r="C47" s="502"/>
      <c r="D47" s="502"/>
      <c r="E47" s="502"/>
      <c r="F47" s="502"/>
      <c r="G47" s="502"/>
      <c r="H47" s="502"/>
      <c r="M47" s="502"/>
      <c r="N47" s="502"/>
      <c r="O47" s="502"/>
      <c r="P47" s="502"/>
    </row>
    <row r="48" spans="1:16">
      <c r="A48" s="969"/>
      <c r="B48" s="969"/>
      <c r="C48" s="502"/>
      <c r="D48" s="502"/>
      <c r="E48" s="502"/>
      <c r="F48" s="502"/>
      <c r="G48" s="502"/>
      <c r="H48" s="502"/>
      <c r="M48" s="502"/>
      <c r="N48" s="502"/>
      <c r="O48" s="502"/>
      <c r="P48" s="502"/>
    </row>
    <row r="49" spans="1:16">
      <c r="A49" s="969"/>
      <c r="B49" s="969"/>
      <c r="C49" s="502"/>
      <c r="D49" s="502"/>
      <c r="E49" s="502"/>
      <c r="F49" s="502"/>
      <c r="G49" s="502"/>
      <c r="H49" s="502"/>
      <c r="M49" s="502"/>
      <c r="N49" s="502"/>
      <c r="O49" s="502"/>
      <c r="P49" s="502"/>
    </row>
    <row r="50" spans="1:16">
      <c r="A50" s="969"/>
      <c r="B50" s="969"/>
      <c r="C50" s="502"/>
      <c r="D50" s="502"/>
      <c r="E50" s="502"/>
      <c r="F50" s="502"/>
      <c r="G50" s="502"/>
      <c r="H50" s="502"/>
      <c r="M50" s="502"/>
      <c r="N50" s="502"/>
      <c r="O50" s="502"/>
      <c r="P50" s="502"/>
    </row>
    <row r="51" spans="1:16">
      <c r="A51" s="969"/>
      <c r="B51" s="969"/>
      <c r="C51" s="502"/>
      <c r="D51" s="502"/>
      <c r="E51" s="502"/>
      <c r="F51" s="502"/>
      <c r="G51" s="502"/>
      <c r="H51" s="502"/>
      <c r="I51" s="502"/>
      <c r="J51" s="502"/>
      <c r="K51" s="502"/>
      <c r="L51" s="502"/>
      <c r="M51" s="502"/>
      <c r="N51" s="502"/>
      <c r="O51" s="502"/>
      <c r="P51" s="502"/>
    </row>
    <row r="52" spans="1:16">
      <c r="A52" s="969"/>
      <c r="B52" s="969"/>
      <c r="C52" s="502"/>
      <c r="D52" s="502"/>
      <c r="E52" s="502"/>
      <c r="F52" s="502"/>
      <c r="G52" s="502"/>
      <c r="H52" s="502"/>
      <c r="I52" s="502"/>
      <c r="J52" s="502"/>
      <c r="K52" s="502"/>
      <c r="L52" s="502"/>
      <c r="M52" s="502"/>
      <c r="N52" s="502"/>
      <c r="O52" s="502"/>
      <c r="P52" s="502"/>
    </row>
    <row r="53" spans="1:16">
      <c r="A53" s="969"/>
      <c r="B53" s="969"/>
      <c r="C53" s="502"/>
      <c r="D53" s="502"/>
      <c r="E53" s="502"/>
      <c r="F53" s="502"/>
      <c r="G53" s="502"/>
      <c r="H53" s="502"/>
      <c r="I53" s="502"/>
      <c r="J53" s="502"/>
      <c r="K53" s="502"/>
      <c r="L53" s="502"/>
      <c r="M53" s="502"/>
      <c r="N53" s="502"/>
      <c r="O53" s="502"/>
      <c r="P53" s="502"/>
    </row>
    <row r="54" spans="1:16">
      <c r="A54" s="969"/>
      <c r="B54" s="969"/>
      <c r="C54" s="502"/>
      <c r="D54" s="502"/>
      <c r="E54" s="502"/>
      <c r="F54" s="502"/>
      <c r="G54" s="502"/>
      <c r="H54" s="502"/>
      <c r="I54" s="502"/>
      <c r="J54" s="502"/>
      <c r="K54" s="502"/>
      <c r="L54" s="502"/>
      <c r="M54" s="502"/>
      <c r="N54" s="502"/>
      <c r="O54" s="502"/>
      <c r="P54" s="502"/>
    </row>
    <row r="55" spans="1:16">
      <c r="A55" s="969"/>
      <c r="B55" s="969"/>
      <c r="C55" s="502"/>
      <c r="D55" s="502"/>
      <c r="E55" s="502"/>
      <c r="F55" s="502"/>
      <c r="G55" s="502"/>
      <c r="H55" s="502"/>
      <c r="I55" s="502"/>
      <c r="J55" s="502"/>
      <c r="K55" s="502"/>
      <c r="L55" s="502"/>
      <c r="M55" s="502"/>
      <c r="N55" s="502"/>
      <c r="O55" s="502"/>
      <c r="P55" s="502"/>
    </row>
    <row r="56" spans="1:16">
      <c r="A56" s="969"/>
      <c r="B56" s="969"/>
      <c r="C56" s="502"/>
      <c r="D56" s="502"/>
      <c r="E56" s="502"/>
      <c r="F56" s="502"/>
      <c r="G56" s="502"/>
      <c r="H56" s="502"/>
      <c r="I56" s="502"/>
      <c r="J56" s="502"/>
      <c r="K56" s="502"/>
      <c r="L56" s="502"/>
      <c r="M56" s="502"/>
      <c r="N56" s="502"/>
      <c r="O56" s="502"/>
      <c r="P56" s="502"/>
    </row>
    <row r="57" spans="1:16">
      <c r="A57" s="969"/>
      <c r="B57" s="969"/>
      <c r="C57" s="502"/>
      <c r="D57" s="502"/>
      <c r="E57" s="502"/>
      <c r="F57" s="502"/>
      <c r="G57" s="502"/>
      <c r="H57" s="502"/>
      <c r="I57" s="502"/>
      <c r="J57" s="502"/>
      <c r="K57" s="502"/>
      <c r="L57" s="502"/>
      <c r="M57" s="502"/>
      <c r="N57" s="502"/>
      <c r="O57" s="502"/>
      <c r="P57" s="502"/>
    </row>
    <row r="58" spans="1:16">
      <c r="A58" s="969"/>
      <c r="B58" s="969"/>
      <c r="C58" s="502"/>
      <c r="D58" s="502"/>
      <c r="E58" s="502"/>
      <c r="F58" s="502"/>
      <c r="G58" s="502"/>
      <c r="H58" s="502"/>
      <c r="I58" s="502"/>
      <c r="J58" s="502"/>
      <c r="K58" s="502"/>
      <c r="L58" s="502"/>
      <c r="M58" s="502"/>
      <c r="N58" s="502"/>
      <c r="O58" s="502"/>
      <c r="P58" s="502"/>
    </row>
    <row r="59" spans="1:16">
      <c r="A59" s="969"/>
      <c r="B59" s="969"/>
      <c r="C59" s="502"/>
      <c r="D59" s="502"/>
      <c r="E59" s="502"/>
      <c r="F59" s="502"/>
      <c r="G59" s="502"/>
      <c r="H59" s="502"/>
      <c r="I59" s="502"/>
      <c r="J59" s="502"/>
      <c r="K59" s="502"/>
      <c r="L59" s="502"/>
      <c r="M59" s="502"/>
      <c r="N59" s="502"/>
      <c r="O59" s="502"/>
      <c r="P59" s="502"/>
    </row>
    <row r="60" spans="1:16">
      <c r="A60" s="969"/>
      <c r="B60" s="969"/>
      <c r="C60" s="502"/>
      <c r="D60" s="502"/>
      <c r="E60" s="502"/>
      <c r="F60" s="502"/>
      <c r="G60" s="502"/>
      <c r="H60" s="502"/>
      <c r="I60" s="502"/>
      <c r="J60" s="502"/>
      <c r="K60" s="502"/>
      <c r="L60" s="502"/>
      <c r="M60" s="502"/>
      <c r="N60" s="502"/>
      <c r="O60" s="502"/>
      <c r="P60" s="502"/>
    </row>
    <row r="61" spans="1:16">
      <c r="A61" s="969"/>
      <c r="B61" s="969"/>
      <c r="C61" s="502"/>
      <c r="D61" s="502"/>
      <c r="E61" s="502"/>
      <c r="F61" s="502"/>
      <c r="G61" s="502"/>
      <c r="H61" s="502"/>
      <c r="I61" s="502"/>
      <c r="J61" s="502"/>
      <c r="K61" s="502"/>
      <c r="L61" s="502"/>
      <c r="M61" s="502"/>
      <c r="N61" s="502"/>
      <c r="O61" s="502"/>
      <c r="P61" s="502"/>
    </row>
    <row r="62" spans="1:16">
      <c r="A62" s="969"/>
      <c r="B62" s="969"/>
      <c r="C62" s="502"/>
      <c r="D62" s="502"/>
      <c r="E62" s="502"/>
      <c r="F62" s="502"/>
      <c r="G62" s="502"/>
      <c r="H62" s="502"/>
      <c r="I62" s="502"/>
      <c r="J62" s="502"/>
      <c r="K62" s="502"/>
      <c r="L62" s="502"/>
      <c r="M62" s="502"/>
      <c r="N62" s="502"/>
      <c r="O62" s="502"/>
      <c r="P62" s="502"/>
    </row>
    <row r="63" spans="1:16">
      <c r="A63" s="969"/>
      <c r="B63" s="969"/>
      <c r="C63" s="502"/>
      <c r="D63" s="502"/>
      <c r="E63" s="502"/>
      <c r="F63" s="502"/>
      <c r="G63" s="502"/>
      <c r="H63" s="502"/>
      <c r="I63" s="502"/>
      <c r="J63" s="502"/>
      <c r="K63" s="502"/>
      <c r="L63" s="502"/>
      <c r="M63" s="502"/>
      <c r="N63" s="502"/>
      <c r="O63" s="502"/>
      <c r="P63" s="502"/>
    </row>
    <row r="64" spans="1:16">
      <c r="A64" s="969"/>
      <c r="B64" s="969"/>
      <c r="C64" s="502"/>
      <c r="D64" s="502"/>
      <c r="E64" s="502"/>
      <c r="F64" s="502"/>
      <c r="G64" s="502"/>
      <c r="H64" s="502"/>
      <c r="I64" s="502"/>
      <c r="J64" s="502"/>
      <c r="K64" s="502"/>
      <c r="L64" s="502"/>
      <c r="M64" s="502"/>
      <c r="N64" s="502"/>
      <c r="O64" s="502"/>
      <c r="P64" s="502"/>
    </row>
    <row r="65" spans="1:16">
      <c r="A65" s="969"/>
      <c r="B65" s="969"/>
      <c r="C65" s="502"/>
      <c r="D65" s="502"/>
      <c r="E65" s="502"/>
      <c r="F65" s="502"/>
      <c r="G65" s="502"/>
      <c r="H65" s="502"/>
      <c r="I65" s="502"/>
      <c r="J65" s="502"/>
      <c r="K65" s="502"/>
      <c r="L65" s="502"/>
      <c r="M65" s="502"/>
      <c r="N65" s="502"/>
      <c r="O65" s="502"/>
      <c r="P65" s="502"/>
    </row>
    <row r="66" spans="1:16">
      <c r="A66" s="969"/>
      <c r="B66" s="969"/>
      <c r="C66" s="502"/>
      <c r="D66" s="502"/>
      <c r="E66" s="502"/>
      <c r="F66" s="502"/>
      <c r="G66" s="502"/>
      <c r="H66" s="502"/>
      <c r="I66" s="502"/>
      <c r="J66" s="502"/>
      <c r="K66" s="502"/>
      <c r="L66" s="502"/>
      <c r="M66" s="502"/>
      <c r="N66" s="502"/>
      <c r="O66" s="502"/>
      <c r="P66" s="502"/>
    </row>
    <row r="67" spans="1:16">
      <c r="A67" s="969"/>
      <c r="B67" s="969"/>
      <c r="C67" s="502"/>
      <c r="D67" s="502"/>
      <c r="E67" s="502"/>
      <c r="F67" s="502"/>
      <c r="G67" s="502"/>
      <c r="H67" s="502"/>
      <c r="I67" s="502"/>
      <c r="J67" s="502"/>
      <c r="K67" s="502"/>
      <c r="L67" s="502"/>
      <c r="M67" s="502"/>
      <c r="N67" s="502"/>
      <c r="O67" s="502"/>
      <c r="P67" s="502"/>
    </row>
    <row r="68" spans="1:16">
      <c r="A68" s="969"/>
      <c r="B68" s="969"/>
      <c r="C68" s="502"/>
      <c r="D68" s="502"/>
      <c r="E68" s="502"/>
      <c r="F68" s="502"/>
      <c r="G68" s="502"/>
      <c r="H68" s="502"/>
      <c r="I68" s="502"/>
      <c r="J68" s="502"/>
      <c r="K68" s="502"/>
      <c r="L68" s="502"/>
      <c r="M68" s="502"/>
      <c r="N68" s="502"/>
      <c r="O68" s="502"/>
      <c r="P68" s="502"/>
    </row>
    <row r="69" spans="1:16">
      <c r="A69" s="969"/>
      <c r="B69" s="969"/>
      <c r="C69" s="502"/>
      <c r="D69" s="502"/>
      <c r="E69" s="502"/>
      <c r="F69" s="502"/>
      <c r="G69" s="502"/>
      <c r="H69" s="502"/>
      <c r="I69" s="502"/>
      <c r="J69" s="502"/>
      <c r="K69" s="502"/>
      <c r="L69" s="502"/>
      <c r="M69" s="502"/>
      <c r="N69" s="502"/>
      <c r="O69" s="502"/>
      <c r="P69" s="502"/>
    </row>
    <row r="70" spans="1:16">
      <c r="A70" s="969"/>
      <c r="B70" s="969"/>
      <c r="C70" s="502"/>
      <c r="D70" s="502"/>
      <c r="E70" s="502"/>
      <c r="F70" s="502"/>
      <c r="G70" s="502"/>
      <c r="H70" s="502"/>
      <c r="I70" s="502"/>
      <c r="J70" s="502"/>
      <c r="K70" s="502"/>
      <c r="L70" s="502"/>
      <c r="M70" s="502"/>
      <c r="N70" s="502"/>
      <c r="O70" s="502"/>
      <c r="P70" s="502"/>
    </row>
    <row r="71" spans="1:16">
      <c r="A71" s="969"/>
      <c r="B71" s="969"/>
      <c r="C71" s="502"/>
      <c r="D71" s="502"/>
      <c r="E71" s="502"/>
      <c r="F71" s="502"/>
      <c r="G71" s="502"/>
      <c r="H71" s="502"/>
      <c r="I71" s="502"/>
      <c r="J71" s="502"/>
      <c r="K71" s="502"/>
      <c r="L71" s="502"/>
      <c r="M71" s="502"/>
      <c r="N71" s="502"/>
      <c r="O71" s="502"/>
      <c r="P71" s="502"/>
    </row>
    <row r="72" spans="1:16">
      <c r="A72" s="969"/>
      <c r="B72" s="969"/>
      <c r="C72" s="502"/>
      <c r="D72" s="502"/>
      <c r="E72" s="502"/>
      <c r="F72" s="502"/>
      <c r="G72" s="502"/>
      <c r="H72" s="502"/>
      <c r="I72" s="502"/>
      <c r="J72" s="502"/>
      <c r="K72" s="502"/>
      <c r="L72" s="502"/>
      <c r="M72" s="502"/>
      <c r="N72" s="502"/>
      <c r="O72" s="502"/>
      <c r="P72" s="502"/>
    </row>
    <row r="73" spans="1:16">
      <c r="A73" s="969"/>
      <c r="B73" s="969"/>
      <c r="C73" s="502"/>
      <c r="D73" s="502"/>
      <c r="E73" s="502"/>
      <c r="F73" s="502"/>
      <c r="G73" s="502"/>
      <c r="H73" s="502"/>
      <c r="I73" s="502"/>
      <c r="J73" s="502"/>
      <c r="K73" s="502"/>
      <c r="L73" s="502"/>
      <c r="M73" s="502"/>
      <c r="N73" s="502"/>
      <c r="O73" s="502"/>
      <c r="P73" s="502"/>
    </row>
    <row r="74" spans="1:16">
      <c r="I74" s="502"/>
      <c r="J74" s="502"/>
      <c r="K74" s="502"/>
      <c r="L74" s="502"/>
      <c r="M74" s="502"/>
      <c r="N74" s="502"/>
      <c r="O74" s="502"/>
      <c r="P74" s="502"/>
    </row>
    <row r="75" spans="1:16">
      <c r="I75" s="502"/>
      <c r="J75" s="502"/>
      <c r="K75" s="502"/>
      <c r="L75" s="502"/>
      <c r="M75" s="502"/>
      <c r="N75" s="502"/>
      <c r="O75" s="502"/>
      <c r="P75" s="502"/>
    </row>
    <row r="76" spans="1:16">
      <c r="I76" s="502"/>
      <c r="J76" s="502"/>
      <c r="K76" s="502"/>
      <c r="L76" s="502"/>
      <c r="M76" s="502"/>
      <c r="N76" s="502"/>
      <c r="O76" s="502"/>
      <c r="P76" s="502"/>
    </row>
    <row r="77" spans="1:16">
      <c r="I77" s="502"/>
      <c r="J77" s="502"/>
      <c r="K77" s="502"/>
      <c r="L77" s="502"/>
      <c r="M77" s="502"/>
      <c r="N77" s="502"/>
      <c r="O77" s="502"/>
      <c r="P77" s="502"/>
    </row>
    <row r="78" spans="1:16">
      <c r="I78" s="502"/>
      <c r="J78" s="502"/>
      <c r="K78" s="502"/>
      <c r="L78" s="502"/>
      <c r="M78" s="502"/>
      <c r="N78" s="502"/>
      <c r="O78" s="502"/>
      <c r="P78" s="502"/>
    </row>
    <row r="79" spans="1:16">
      <c r="I79" s="502"/>
      <c r="J79" s="502"/>
      <c r="K79" s="502"/>
      <c r="L79" s="502"/>
      <c r="M79" s="502"/>
      <c r="N79" s="502"/>
      <c r="O79" s="502"/>
      <c r="P79" s="502"/>
    </row>
    <row r="80" spans="1:16">
      <c r="I80" s="502"/>
      <c r="J80" s="502"/>
      <c r="K80" s="502"/>
      <c r="L80" s="502"/>
      <c r="M80" s="502"/>
      <c r="N80" s="502"/>
      <c r="O80" s="502"/>
      <c r="P80" s="502"/>
    </row>
    <row r="81" spans="9:16">
      <c r="I81" s="502"/>
      <c r="J81" s="502"/>
      <c r="K81" s="502"/>
      <c r="L81" s="502"/>
      <c r="M81" s="502"/>
      <c r="N81" s="502"/>
      <c r="O81" s="502"/>
      <c r="P81" s="502"/>
    </row>
    <row r="82" spans="9:16">
      <c r="I82" s="502"/>
      <c r="J82" s="502"/>
      <c r="K82" s="502"/>
      <c r="L82" s="502"/>
      <c r="M82" s="502"/>
      <c r="N82" s="502"/>
      <c r="O82" s="502"/>
      <c r="P82" s="502"/>
    </row>
    <row r="83" spans="9:16">
      <c r="I83" s="502"/>
      <c r="J83" s="502"/>
      <c r="K83" s="502"/>
      <c r="L83" s="502"/>
      <c r="M83" s="502"/>
      <c r="N83" s="502"/>
      <c r="O83" s="502"/>
      <c r="P83" s="502"/>
    </row>
    <row r="84" spans="9:16">
      <c r="I84" s="502"/>
      <c r="J84" s="502"/>
      <c r="K84" s="502"/>
      <c r="L84" s="502"/>
      <c r="M84" s="502"/>
      <c r="N84" s="502"/>
      <c r="O84" s="502"/>
      <c r="P84" s="502"/>
    </row>
    <row r="85" spans="9:16">
      <c r="I85" s="502"/>
      <c r="J85" s="502"/>
      <c r="K85" s="502"/>
      <c r="L85" s="502"/>
      <c r="M85" s="502"/>
      <c r="N85" s="502"/>
      <c r="O85" s="502"/>
      <c r="P85" s="502"/>
    </row>
    <row r="86" spans="9:16">
      <c r="I86" s="502"/>
      <c r="J86" s="502"/>
      <c r="K86" s="502"/>
      <c r="L86" s="502"/>
      <c r="M86" s="502"/>
      <c r="N86" s="502"/>
      <c r="O86" s="502"/>
      <c r="P86" s="502"/>
    </row>
    <row r="87" spans="9:16">
      <c r="I87" s="502"/>
      <c r="J87" s="502"/>
      <c r="K87" s="502"/>
      <c r="L87" s="502"/>
      <c r="M87" s="502"/>
      <c r="N87" s="502"/>
      <c r="O87" s="502"/>
      <c r="P87" s="502"/>
    </row>
    <row r="88" spans="9:16">
      <c r="I88" s="502"/>
      <c r="J88" s="502"/>
      <c r="K88" s="502"/>
      <c r="L88" s="502"/>
      <c r="M88" s="502"/>
      <c r="N88" s="502"/>
      <c r="O88" s="502"/>
      <c r="P88" s="502"/>
    </row>
    <row r="89" spans="9:16">
      <c r="I89" s="502"/>
      <c r="J89" s="502"/>
      <c r="K89" s="502"/>
      <c r="L89" s="502"/>
      <c r="M89" s="502"/>
      <c r="N89" s="502"/>
      <c r="O89" s="502"/>
      <c r="P89" s="502"/>
    </row>
    <row r="90" spans="9:16">
      <c r="I90" s="502"/>
      <c r="J90" s="502"/>
      <c r="K90" s="502"/>
      <c r="L90" s="502"/>
      <c r="M90" s="502"/>
      <c r="N90" s="502"/>
      <c r="O90" s="502"/>
      <c r="P90" s="502"/>
    </row>
  </sheetData>
  <sheetProtection selectLockedCells="1" selectUnlockedCells="1"/>
  <mergeCells count="68">
    <mergeCell ref="I39:L42"/>
    <mergeCell ref="A31:B31"/>
    <mergeCell ref="C31:H31"/>
    <mergeCell ref="I31:L33"/>
    <mergeCell ref="I34:L35"/>
    <mergeCell ref="I36:L36"/>
    <mergeCell ref="I37:L38"/>
    <mergeCell ref="I26:L30"/>
    <mergeCell ref="A27:C27"/>
    <mergeCell ref="D27:E27"/>
    <mergeCell ref="A28:B28"/>
    <mergeCell ref="C28:H28"/>
    <mergeCell ref="A29:B30"/>
    <mergeCell ref="D29:H29"/>
    <mergeCell ref="C30:H30"/>
    <mergeCell ref="A26:B26"/>
    <mergeCell ref="D26:E26"/>
    <mergeCell ref="I21:L25"/>
    <mergeCell ref="A22:B22"/>
    <mergeCell ref="D22:E22"/>
    <mergeCell ref="A23:B23"/>
    <mergeCell ref="D23:E23"/>
    <mergeCell ref="A21:B21"/>
    <mergeCell ref="D21:E21"/>
    <mergeCell ref="A25:B25"/>
    <mergeCell ref="D25:E25"/>
    <mergeCell ref="D13:E13"/>
    <mergeCell ref="A14:B14"/>
    <mergeCell ref="A12:B12"/>
    <mergeCell ref="D12:E12"/>
    <mergeCell ref="A24:B24"/>
    <mergeCell ref="D24:E24"/>
    <mergeCell ref="D14:E14"/>
    <mergeCell ref="A13:B13"/>
    <mergeCell ref="D20:E20"/>
    <mergeCell ref="A15:B15"/>
    <mergeCell ref="D15:E15"/>
    <mergeCell ref="A20:B20"/>
    <mergeCell ref="A18:B18"/>
    <mergeCell ref="D18:E18"/>
    <mergeCell ref="I15:L20"/>
    <mergeCell ref="A16:B16"/>
    <mergeCell ref="D16:E16"/>
    <mergeCell ref="A17:B17"/>
    <mergeCell ref="D17:E17"/>
    <mergeCell ref="A19:B19"/>
    <mergeCell ref="D19:E19"/>
    <mergeCell ref="A7:B7"/>
    <mergeCell ref="D7:E7"/>
    <mergeCell ref="A11:B11"/>
    <mergeCell ref="D11:E11"/>
    <mergeCell ref="A9:B9"/>
    <mergeCell ref="D9:E9"/>
    <mergeCell ref="A10:B10"/>
    <mergeCell ref="A8:B8"/>
    <mergeCell ref="D8:E8"/>
    <mergeCell ref="D10:E10"/>
    <mergeCell ref="A5:B5"/>
    <mergeCell ref="D5:E5"/>
    <mergeCell ref="A6:B6"/>
    <mergeCell ref="A1:H1"/>
    <mergeCell ref="I1:I4"/>
    <mergeCell ref="A2:B2"/>
    <mergeCell ref="A3:B3"/>
    <mergeCell ref="A4:H4"/>
    <mergeCell ref="D6:E6"/>
    <mergeCell ref="D2:E2"/>
    <mergeCell ref="D3:E3"/>
  </mergeCells>
  <phoneticPr fontId="51" type="noConversion"/>
  <dataValidations count="1">
    <dataValidation allowBlank="1" sqref="C20:C26">
      <formula1>0</formula1>
      <formula2>0</formula2>
    </dataValidation>
  </dataValidations>
  <hyperlinks>
    <hyperlink ref="I7" location="利润!A1" display="利润及利润分配表"/>
    <hyperlink ref="I8" location="纳税调整明细表!A1" display="纳税调整明细表"/>
    <hyperlink ref="I9" location="收入明细表!A1" display="收入明细表"/>
    <hyperlink ref="I10" location="税收优惠明细表!A1" display="税收优惠明细表"/>
    <hyperlink ref="I11" location="其他事项!A1" display="其他事项!A1"/>
    <hyperlink ref="I12" location="实收公积!A1" display="实收公积审核表"/>
    <hyperlink ref="I13" location="捐赠!A1" display="捐赠支出审核表"/>
    <hyperlink ref="I14" location="利息!A1" display="利息支出审核表"/>
    <hyperlink ref="I6" location="A104000期间费用明细表!A1" display="A104000期间费用明细表!A1"/>
  </hyperlinks>
  <pageMargins left="0.78740157480314998" right="0.35433070866141703" top="0.511811023622047" bottom="0.11811023622047198" header="0.511811023622047" footer="0.511811023622047"/>
  <pageSetup paperSize="9" scale="89" firstPageNumber="0" fitToHeight="0" orientation="portrait" blackAndWhite="1" r:id="rId1"/>
  <headerFooter alignWithMargins="0"/>
</worksheet>
</file>

<file path=xl/worksheets/sheet8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52"/>
  <dimension ref="A1:M192"/>
  <sheetViews>
    <sheetView workbookViewId="0">
      <selection activeCell="H10" sqref="H10"/>
    </sheetView>
  </sheetViews>
  <sheetFormatPr defaultRowHeight="15.6"/>
  <cols>
    <col min="1" max="1" width="5.69921875" style="954" customWidth="1"/>
    <col min="2" max="2" width="24.5" style="954" customWidth="1"/>
    <col min="3" max="3" width="12.5" style="954" customWidth="1"/>
    <col min="4" max="4" width="11.69921875" style="954" customWidth="1"/>
    <col min="5" max="5" width="7.8984375" style="954" customWidth="1"/>
    <col min="6" max="6" width="9.8984375" style="954" customWidth="1"/>
    <col min="7" max="7" width="9.3984375" style="954" customWidth="1"/>
    <col min="8" max="8" width="54" customWidth="1"/>
    <col min="11" max="11" width="9" style="131"/>
    <col min="12" max="13" width="9" style="973"/>
  </cols>
  <sheetData>
    <row r="1" spans="1:12" ht="30" customHeight="1">
      <c r="A1" s="2742" t="s">
        <v>332</v>
      </c>
      <c r="B1" s="2742"/>
      <c r="C1" s="2742"/>
      <c r="D1" s="2742"/>
      <c r="E1" s="2742"/>
      <c r="F1" s="2742"/>
      <c r="G1" s="2742"/>
      <c r="H1" s="3568"/>
      <c r="I1" s="84"/>
      <c r="J1" s="84"/>
      <c r="K1" s="812"/>
    </row>
    <row r="2" spans="1:12" ht="21" customHeight="1">
      <c r="A2" s="3163" t="str">
        <f>"委托单位："&amp;基本情况!B2</f>
        <v>委托单位：0</v>
      </c>
      <c r="B2" s="3163"/>
      <c r="C2" s="3163"/>
      <c r="D2" s="136" t="s">
        <v>451</v>
      </c>
      <c r="E2" s="603">
        <f>基本情况!B12</f>
        <v>0</v>
      </c>
      <c r="F2" s="957" t="str">
        <f>TEXT(基本情况!B21,"yyyy-mm-dd")</f>
        <v>2017-03-16</v>
      </c>
      <c r="G2" s="485" t="s">
        <v>283</v>
      </c>
      <c r="H2" s="3568"/>
      <c r="I2" s="84"/>
      <c r="J2" s="84"/>
      <c r="K2" s="812"/>
    </row>
    <row r="3" spans="1:12" ht="21" customHeight="1">
      <c r="A3" s="3161" t="str">
        <f>"会计期间："&amp;基本情况!B7</f>
        <v>会计期间：2016年01月01日至2016年12月31日</v>
      </c>
      <c r="B3" s="3161"/>
      <c r="C3" s="3161"/>
      <c r="D3" s="140" t="s">
        <v>453</v>
      </c>
      <c r="E3" s="974">
        <f>基本情况!B11</f>
        <v>0</v>
      </c>
      <c r="F3" s="960" t="str">
        <f>TEXT(基本情况!B22,"yyyy-mm-dd")</f>
        <v>2017-05-04</v>
      </c>
      <c r="G3" s="512" t="str">
        <f>档案索引!D31</f>
        <v>3-10</v>
      </c>
      <c r="H3" s="3568"/>
      <c r="I3" s="84"/>
      <c r="J3" s="84"/>
      <c r="K3" s="812"/>
    </row>
    <row r="4" spans="1:12" ht="7.5" customHeight="1">
      <c r="A4" s="2894"/>
      <c r="B4" s="2894"/>
      <c r="C4" s="2894"/>
      <c r="D4" s="2894"/>
      <c r="E4" s="2894"/>
      <c r="F4" s="2894"/>
      <c r="G4" s="2894"/>
      <c r="H4" s="3568"/>
      <c r="I4" s="84"/>
      <c r="J4" s="84"/>
      <c r="K4" s="812"/>
    </row>
    <row r="5" spans="1:12" ht="30.75" customHeight="1">
      <c r="A5" s="532" t="s">
        <v>454</v>
      </c>
      <c r="B5" s="582" t="s">
        <v>666</v>
      </c>
      <c r="C5" s="582" t="s">
        <v>1182</v>
      </c>
      <c r="D5" s="582" t="s">
        <v>981</v>
      </c>
      <c r="E5" s="3022" t="s">
        <v>503</v>
      </c>
      <c r="F5" s="3022"/>
      <c r="G5" s="772" t="s">
        <v>456</v>
      </c>
      <c r="H5" s="962" t="s">
        <v>396</v>
      </c>
      <c r="I5" s="84"/>
      <c r="J5" s="84"/>
      <c r="K5" s="812"/>
    </row>
    <row r="6" spans="1:12" ht="14.25" customHeight="1">
      <c r="A6" s="135">
        <v>1</v>
      </c>
      <c r="B6" s="975" t="s">
        <v>4887</v>
      </c>
      <c r="C6" s="1161"/>
      <c r="D6" s="1161"/>
      <c r="E6" s="3210">
        <f t="shared" ref="E6:E20" si="0">C6+D6</f>
        <v>0</v>
      </c>
      <c r="F6" s="3210"/>
      <c r="G6" s="976"/>
      <c r="H6" s="232" t="s">
        <v>654</v>
      </c>
      <c r="I6" s="84"/>
      <c r="J6" s="84"/>
      <c r="K6" s="812"/>
      <c r="L6" s="977"/>
    </row>
    <row r="7" spans="1:12" ht="14.25" customHeight="1">
      <c r="A7" s="143">
        <v>2</v>
      </c>
      <c r="B7" s="978" t="s">
        <v>4888</v>
      </c>
      <c r="C7" s="1120"/>
      <c r="D7" s="1120"/>
      <c r="E7" s="3124">
        <f t="shared" si="0"/>
        <v>0</v>
      </c>
      <c r="F7" s="3124"/>
      <c r="G7" s="164"/>
      <c r="H7" s="232" t="s">
        <v>252</v>
      </c>
      <c r="I7" s="84"/>
      <c r="J7" s="84"/>
      <c r="K7" s="812"/>
      <c r="L7" s="979"/>
    </row>
    <row r="8" spans="1:12" ht="14.25" customHeight="1">
      <c r="A8" s="143">
        <v>3</v>
      </c>
      <c r="B8" s="978" t="s">
        <v>4889</v>
      </c>
      <c r="C8" s="1120"/>
      <c r="D8" s="1120"/>
      <c r="E8" s="3124">
        <f t="shared" si="0"/>
        <v>0</v>
      </c>
      <c r="F8" s="3124"/>
      <c r="G8" s="164"/>
      <c r="H8" s="493" t="s">
        <v>674</v>
      </c>
      <c r="I8" s="84"/>
      <c r="J8" s="84"/>
      <c r="K8" s="812"/>
      <c r="L8" s="979"/>
    </row>
    <row r="9" spans="1:12" ht="14.25" customHeight="1">
      <c r="A9" s="143">
        <v>4</v>
      </c>
      <c r="B9" s="978" t="s">
        <v>4890</v>
      </c>
      <c r="C9" s="1120"/>
      <c r="D9" s="1120"/>
      <c r="E9" s="3124">
        <f t="shared" si="0"/>
        <v>0</v>
      </c>
      <c r="F9" s="3124"/>
      <c r="G9" s="164"/>
      <c r="H9" s="493" t="s">
        <v>670</v>
      </c>
      <c r="I9" s="84"/>
      <c r="J9" s="84"/>
      <c r="K9" s="812"/>
      <c r="L9" s="979"/>
    </row>
    <row r="10" spans="1:12" ht="14.25" customHeight="1">
      <c r="A10" s="143">
        <v>5</v>
      </c>
      <c r="B10" s="978" t="s">
        <v>4891</v>
      </c>
      <c r="C10" s="1120"/>
      <c r="D10" s="1120"/>
      <c r="E10" s="3124">
        <f t="shared" si="0"/>
        <v>0</v>
      </c>
      <c r="F10" s="3124"/>
      <c r="G10" s="164"/>
      <c r="H10" s="493" t="s">
        <v>643</v>
      </c>
      <c r="I10" s="84"/>
      <c r="J10" s="84"/>
      <c r="K10" s="812"/>
      <c r="L10" s="979"/>
    </row>
    <row r="11" spans="1:12" ht="14.25" customHeight="1">
      <c r="A11" s="143">
        <v>6</v>
      </c>
      <c r="B11" s="978" t="s">
        <v>4892</v>
      </c>
      <c r="C11" s="1120"/>
      <c r="D11" s="1120"/>
      <c r="E11" s="3124">
        <f t="shared" si="0"/>
        <v>0</v>
      </c>
      <c r="F11" s="3124"/>
      <c r="G11" s="164"/>
      <c r="H11" s="493" t="s">
        <v>677</v>
      </c>
      <c r="I11" s="84"/>
      <c r="J11" s="84"/>
      <c r="K11" s="812"/>
      <c r="L11" s="979"/>
    </row>
    <row r="12" spans="1:12" ht="14.25" customHeight="1">
      <c r="A12" s="143">
        <v>7</v>
      </c>
      <c r="B12" s="978" t="s">
        <v>4893</v>
      </c>
      <c r="C12" s="1120"/>
      <c r="D12" s="1120"/>
      <c r="E12" s="3124">
        <f t="shared" si="0"/>
        <v>0</v>
      </c>
      <c r="F12" s="3124"/>
      <c r="G12" s="164"/>
      <c r="H12" s="493" t="s">
        <v>72</v>
      </c>
      <c r="I12" s="84"/>
      <c r="J12" s="84"/>
      <c r="K12" s="812"/>
      <c r="L12" s="977"/>
    </row>
    <row r="13" spans="1:12" ht="14.25" customHeight="1">
      <c r="A13" s="143">
        <v>8</v>
      </c>
      <c r="B13" s="978" t="s">
        <v>4894</v>
      </c>
      <c r="C13" s="1120"/>
      <c r="D13" s="1120"/>
      <c r="E13" s="3124">
        <f t="shared" si="0"/>
        <v>0</v>
      </c>
      <c r="F13" s="3124"/>
      <c r="G13" s="164"/>
      <c r="H13" s="493" t="s">
        <v>75</v>
      </c>
      <c r="I13" s="84"/>
      <c r="J13" s="84"/>
      <c r="K13" s="812"/>
    </row>
    <row r="14" spans="1:12" ht="14.25" customHeight="1">
      <c r="A14" s="143">
        <v>9</v>
      </c>
      <c r="B14" s="978" t="s">
        <v>4895</v>
      </c>
      <c r="C14" s="1632"/>
      <c r="D14" s="1632"/>
      <c r="E14" s="3124">
        <f t="shared" si="0"/>
        <v>0</v>
      </c>
      <c r="F14" s="3124"/>
      <c r="G14" s="164"/>
      <c r="H14" s="232" t="s">
        <v>1487</v>
      </c>
      <c r="I14" s="84"/>
      <c r="J14" s="84"/>
      <c r="K14" s="812"/>
    </row>
    <row r="15" spans="1:12" ht="14.25" customHeight="1">
      <c r="A15" s="143"/>
      <c r="B15" s="978" t="s">
        <v>4896</v>
      </c>
      <c r="C15" s="525">
        <f>SUM(C16:C20)</f>
        <v>0</v>
      </c>
      <c r="D15" s="525">
        <f>SUM(D16:D20)</f>
        <v>0</v>
      </c>
      <c r="E15" s="3124">
        <f t="shared" si="0"/>
        <v>0</v>
      </c>
      <c r="F15" s="3124"/>
      <c r="G15" s="164"/>
      <c r="H15" s="232" t="s">
        <v>488</v>
      </c>
      <c r="I15" s="84"/>
      <c r="J15" s="84"/>
      <c r="K15" s="812"/>
    </row>
    <row r="16" spans="1:12" ht="14.25" customHeight="1">
      <c r="A16" s="143"/>
      <c r="B16" s="980" t="s">
        <v>1359</v>
      </c>
      <c r="C16" s="1120"/>
      <c r="D16" s="1120"/>
      <c r="E16" s="3124">
        <f t="shared" si="0"/>
        <v>0</v>
      </c>
      <c r="F16" s="3124"/>
      <c r="G16" s="164"/>
      <c r="H16" s="232" t="s">
        <v>1361</v>
      </c>
      <c r="I16" s="84"/>
      <c r="J16" s="84"/>
      <c r="K16" s="812"/>
    </row>
    <row r="17" spans="1:11" ht="14.25" customHeight="1">
      <c r="A17" s="143"/>
      <c r="B17" s="980" t="s">
        <v>1360</v>
      </c>
      <c r="C17" s="1120"/>
      <c r="D17" s="1120"/>
      <c r="E17" s="3124">
        <f t="shared" si="0"/>
        <v>0</v>
      </c>
      <c r="F17" s="3124"/>
      <c r="G17" s="164"/>
      <c r="H17" s="836"/>
      <c r="I17" s="84"/>
      <c r="J17" s="84"/>
      <c r="K17" s="812"/>
    </row>
    <row r="18" spans="1:11" ht="14.25" customHeight="1">
      <c r="A18" s="143"/>
      <c r="B18" s="980" t="s">
        <v>1362</v>
      </c>
      <c r="C18" s="1120"/>
      <c r="D18" s="1120"/>
      <c r="E18" s="3124">
        <f t="shared" si="0"/>
        <v>0</v>
      </c>
      <c r="F18" s="3124"/>
      <c r="G18" s="164"/>
      <c r="H18" s="3513"/>
      <c r="I18" s="3513"/>
      <c r="J18" s="84"/>
      <c r="K18" s="812"/>
    </row>
    <row r="19" spans="1:11" ht="14.25" customHeight="1">
      <c r="A19" s="143"/>
      <c r="B19" s="980"/>
      <c r="C19" s="1120"/>
      <c r="D19" s="1120"/>
      <c r="E19" s="3124">
        <f t="shared" si="0"/>
        <v>0</v>
      </c>
      <c r="F19" s="3124"/>
      <c r="G19" s="164"/>
      <c r="H19" s="3513"/>
      <c r="I19" s="3513"/>
      <c r="J19" s="84"/>
      <c r="K19" s="812"/>
    </row>
    <row r="20" spans="1:11" ht="14.25" customHeight="1">
      <c r="A20" s="138"/>
      <c r="B20" s="981"/>
      <c r="C20" s="1125"/>
      <c r="D20" s="1125"/>
      <c r="E20" s="3124">
        <f t="shared" si="0"/>
        <v>0</v>
      </c>
      <c r="F20" s="3124"/>
      <c r="G20" s="167"/>
      <c r="H20" s="3513"/>
      <c r="I20" s="3513"/>
      <c r="J20" s="84"/>
      <c r="K20" s="812"/>
    </row>
    <row r="21" spans="1:11" ht="14.25" customHeight="1">
      <c r="A21" s="3021" t="s">
        <v>1363</v>
      </c>
      <c r="B21" s="3021"/>
      <c r="C21" s="590">
        <f>SUM(C6:C15)</f>
        <v>0</v>
      </c>
      <c r="D21" s="590">
        <f>SUM(D6:D15)</f>
        <v>0</v>
      </c>
      <c r="E21" s="3624">
        <f>SUM(E6:F15)</f>
        <v>0</v>
      </c>
      <c r="F21" s="3624"/>
      <c r="G21" s="982"/>
      <c r="H21" s="983" t="str">
        <f>"账载营业外收入与报表数相差"&amp;DOLLAR(C21-利润!C28,2)</f>
        <v>账载营业外收入与报表数相差¥0.00</v>
      </c>
      <c r="I21" s="84"/>
      <c r="J21" s="84"/>
      <c r="K21" s="812"/>
    </row>
    <row r="22" spans="1:11" ht="14.25" customHeight="1">
      <c r="A22" s="135">
        <v>1</v>
      </c>
      <c r="B22" s="975" t="s">
        <v>4964</v>
      </c>
      <c r="C22" s="1161"/>
      <c r="D22" s="1161"/>
      <c r="E22" s="3124">
        <f>C22+D22</f>
        <v>0</v>
      </c>
      <c r="F22" s="3124"/>
      <c r="G22" s="976"/>
      <c r="H22" s="3136" t="s">
        <v>1347</v>
      </c>
      <c r="I22" s="3136"/>
      <c r="J22" s="3136"/>
      <c r="K22" s="3136"/>
    </row>
    <row r="23" spans="1:11" ht="14.25" customHeight="1">
      <c r="A23" s="143">
        <v>2</v>
      </c>
      <c r="B23" s="978" t="s">
        <v>4965</v>
      </c>
      <c r="C23" s="1120"/>
      <c r="D23" s="1120"/>
      <c r="E23" s="3124">
        <f>C23+D23</f>
        <v>0</v>
      </c>
      <c r="F23" s="3124"/>
      <c r="G23" s="164"/>
      <c r="H23" s="3136"/>
      <c r="I23" s="3136"/>
      <c r="J23" s="3136"/>
      <c r="K23" s="3136"/>
    </row>
    <row r="24" spans="1:11" ht="14.25" customHeight="1">
      <c r="A24" s="143">
        <v>3</v>
      </c>
      <c r="B24" s="978" t="s">
        <v>4966</v>
      </c>
      <c r="C24" s="1120"/>
      <c r="D24" s="1120"/>
      <c r="E24" s="3124">
        <f t="shared" ref="E24:E35" si="1">C24+D24</f>
        <v>0</v>
      </c>
      <c r="F24" s="3124"/>
      <c r="G24" s="164"/>
      <c r="H24" s="3136"/>
      <c r="I24" s="3136"/>
      <c r="J24" s="3136"/>
      <c r="K24" s="3136"/>
    </row>
    <row r="25" spans="1:11" ht="14.25" customHeight="1">
      <c r="A25" s="143">
        <v>4</v>
      </c>
      <c r="B25" s="978" t="s">
        <v>4967</v>
      </c>
      <c r="C25" s="1120"/>
      <c r="D25" s="1120"/>
      <c r="E25" s="3124">
        <f t="shared" si="1"/>
        <v>0</v>
      </c>
      <c r="F25" s="3124"/>
      <c r="G25" s="164"/>
      <c r="H25" s="3136"/>
      <c r="I25" s="3136"/>
      <c r="J25" s="3136"/>
      <c r="K25" s="3136"/>
    </row>
    <row r="26" spans="1:11" ht="14.25" customHeight="1">
      <c r="A26" s="143">
        <v>5</v>
      </c>
      <c r="B26" s="978" t="s">
        <v>4968</v>
      </c>
      <c r="C26" s="1120"/>
      <c r="D26" s="1120"/>
      <c r="E26" s="3124">
        <f t="shared" si="1"/>
        <v>0</v>
      </c>
      <c r="F26" s="3124"/>
      <c r="G26" s="164"/>
      <c r="H26" s="3136"/>
      <c r="I26" s="3136"/>
      <c r="J26" s="3136"/>
      <c r="K26" s="3136"/>
    </row>
    <row r="27" spans="1:11" ht="14.25" customHeight="1">
      <c r="A27" s="143">
        <v>6</v>
      </c>
      <c r="B27" s="978" t="s">
        <v>4969</v>
      </c>
      <c r="C27" s="1120"/>
      <c r="D27" s="1120"/>
      <c r="E27" s="3124">
        <f t="shared" ref="E27:E33" si="2">C27+D27</f>
        <v>0</v>
      </c>
      <c r="F27" s="3124"/>
      <c r="G27" s="164"/>
      <c r="H27" s="3136"/>
      <c r="I27" s="3136"/>
      <c r="J27" s="3136"/>
      <c r="K27" s="3136"/>
    </row>
    <row r="28" spans="1:11" ht="14.25" customHeight="1">
      <c r="A28" s="143">
        <v>7</v>
      </c>
      <c r="B28" s="978" t="s">
        <v>4970</v>
      </c>
      <c r="C28" s="1120"/>
      <c r="D28" s="1120"/>
      <c r="E28" s="3124">
        <f t="shared" si="2"/>
        <v>0</v>
      </c>
      <c r="F28" s="3124"/>
      <c r="G28" s="164"/>
      <c r="H28" s="3136"/>
      <c r="I28" s="3136"/>
      <c r="J28" s="3136"/>
      <c r="K28" s="3136"/>
    </row>
    <row r="29" spans="1:11" ht="14.25" customHeight="1">
      <c r="A29" s="143">
        <v>8</v>
      </c>
      <c r="B29" s="978" t="s">
        <v>4971</v>
      </c>
      <c r="E29" s="3124">
        <f t="shared" si="2"/>
        <v>0</v>
      </c>
      <c r="F29" s="3124"/>
      <c r="G29" s="164"/>
      <c r="H29" s="3136"/>
      <c r="I29" s="3136"/>
      <c r="J29" s="3136"/>
      <c r="K29" s="3136"/>
    </row>
    <row r="30" spans="1:11" ht="14.25" customHeight="1">
      <c r="A30" s="143">
        <v>9</v>
      </c>
      <c r="B30" s="978" t="s">
        <v>4972</v>
      </c>
      <c r="C30" s="1120"/>
      <c r="D30" s="1120"/>
      <c r="E30" s="3124">
        <f t="shared" si="2"/>
        <v>0</v>
      </c>
      <c r="F30" s="3124"/>
      <c r="G30" s="164"/>
      <c r="H30" s="3136"/>
      <c r="I30" s="3136"/>
      <c r="J30" s="3136"/>
      <c r="K30" s="3136"/>
    </row>
    <row r="31" spans="1:11" ht="14.25" customHeight="1">
      <c r="A31" s="143">
        <v>10</v>
      </c>
      <c r="B31" s="978" t="s">
        <v>4896</v>
      </c>
      <c r="C31" s="525">
        <f>SUM(C32:C35)</f>
        <v>0</v>
      </c>
      <c r="D31" s="525">
        <f>SUM(D32:D35)</f>
        <v>0</v>
      </c>
      <c r="E31" s="3124">
        <f t="shared" si="2"/>
        <v>0</v>
      </c>
      <c r="F31" s="3124"/>
      <c r="G31" s="164"/>
      <c r="H31" s="3136"/>
      <c r="I31" s="3136"/>
      <c r="J31" s="3136"/>
      <c r="K31" s="3136"/>
    </row>
    <row r="32" spans="1:11" ht="14.25" customHeight="1">
      <c r="A32" s="143">
        <v>11</v>
      </c>
      <c r="B32" s="2061" t="s">
        <v>6627</v>
      </c>
      <c r="C32" s="1120"/>
      <c r="D32" s="1120"/>
      <c r="E32" s="3124">
        <f t="shared" si="2"/>
        <v>0</v>
      </c>
      <c r="F32" s="3124"/>
      <c r="G32" s="164"/>
      <c r="H32" s="3136"/>
      <c r="I32" s="3136"/>
      <c r="J32" s="3136"/>
      <c r="K32" s="3136"/>
    </row>
    <row r="33" spans="1:11" ht="14.25" customHeight="1">
      <c r="A33" s="143">
        <v>12</v>
      </c>
      <c r="B33" s="980"/>
      <c r="C33" s="1120"/>
      <c r="D33" s="1120"/>
      <c r="E33" s="3124">
        <f t="shared" si="2"/>
        <v>0</v>
      </c>
      <c r="F33" s="3124"/>
      <c r="G33" s="164"/>
      <c r="H33" s="3136"/>
      <c r="I33" s="3136"/>
      <c r="J33" s="3136"/>
      <c r="K33" s="3136"/>
    </row>
    <row r="34" spans="1:11" ht="14.25" customHeight="1">
      <c r="A34" s="143"/>
      <c r="B34" s="980"/>
      <c r="C34" s="1120"/>
      <c r="D34" s="1120"/>
      <c r="E34" s="3124">
        <f t="shared" si="1"/>
        <v>0</v>
      </c>
      <c r="F34" s="3124"/>
      <c r="G34" s="164"/>
      <c r="H34" s="3136"/>
      <c r="I34" s="3136"/>
      <c r="J34" s="3136"/>
      <c r="K34" s="3136"/>
    </row>
    <row r="35" spans="1:11" ht="14.25" customHeight="1">
      <c r="A35" s="138"/>
      <c r="B35" s="981"/>
      <c r="C35" s="1125"/>
      <c r="D35" s="1125"/>
      <c r="E35" s="3124">
        <f t="shared" si="1"/>
        <v>0</v>
      </c>
      <c r="F35" s="3124"/>
      <c r="G35" s="167"/>
      <c r="H35" s="3136"/>
      <c r="I35" s="3136"/>
      <c r="J35" s="3136"/>
      <c r="K35" s="3136"/>
    </row>
    <row r="36" spans="1:11" ht="14.25" customHeight="1">
      <c r="A36" s="3021" t="s">
        <v>1366</v>
      </c>
      <c r="B36" s="3021"/>
      <c r="C36" s="590">
        <f>SUM(C22:C31)</f>
        <v>0</v>
      </c>
      <c r="D36" s="590">
        <f>SUM(D22:D31)</f>
        <v>0</v>
      </c>
      <c r="E36" s="3624">
        <f>SUM(E22:E29)</f>
        <v>0</v>
      </c>
      <c r="F36" s="3624"/>
      <c r="G36" s="982"/>
      <c r="H36" s="983" t="str">
        <f>"账载营业外支出与报表数相差"&amp;DOLLAR(C36-利润!C30,2)</f>
        <v>账载营业外支出与报表数相差¥0.00</v>
      </c>
      <c r="I36" s="84"/>
      <c r="J36" s="84"/>
      <c r="K36" s="812"/>
    </row>
    <row r="37" spans="1:11" ht="30" customHeight="1">
      <c r="A37" s="566" t="s">
        <v>642</v>
      </c>
      <c r="B37" s="3625" t="str">
        <f>IF(C21&lt;&gt;利润!C28,"营业外收入账载数与报表数相差"&amp;DOLLAR(C21-利润!C28,2)&amp;"元！","营业外收入账载数与报表数一致！")</f>
        <v>营业外收入账载数与报表数一致！</v>
      </c>
      <c r="C37" s="3625"/>
      <c r="D37" s="3626" t="str">
        <f>IF(C36&lt;&gt;利润!C30,"营业外支出账载数与报表数相差"&amp;DOLLAR(C36-利润!C30,2)&amp;"元！","营业外支出账载数与报表数一致！")</f>
        <v>营业外支出账载数与报表数一致！</v>
      </c>
      <c r="E37" s="3626"/>
      <c r="F37" s="3626"/>
      <c r="G37" s="3626"/>
      <c r="H37" s="836" t="s">
        <v>457</v>
      </c>
      <c r="I37" s="84"/>
      <c r="J37" s="84"/>
      <c r="K37" s="812"/>
    </row>
    <row r="38" spans="1:11" ht="15" customHeight="1">
      <c r="A38" s="3141" t="s">
        <v>1367</v>
      </c>
      <c r="B38" s="550" t="s">
        <v>1368</v>
      </c>
      <c r="C38" s="3109" t="str">
        <f>IF(OR(D21&lt;&gt;0,D36&lt;&gt;0),"、E","")</f>
        <v/>
      </c>
      <c r="D38" s="3109"/>
      <c r="E38" s="3109"/>
      <c r="F38" s="3109"/>
      <c r="G38" s="3109"/>
      <c r="H38" s="3513" t="s">
        <v>1369</v>
      </c>
      <c r="I38" s="3513"/>
      <c r="J38" s="84"/>
      <c r="K38" s="812"/>
    </row>
    <row r="39" spans="1:11" ht="18" customHeight="1">
      <c r="A39" s="3141"/>
      <c r="B39" s="3576"/>
      <c r="C39" s="3159"/>
      <c r="D39" s="3159"/>
      <c r="E39" s="3159"/>
      <c r="F39" s="3159"/>
      <c r="G39" s="3159"/>
      <c r="H39" s="3513"/>
      <c r="I39" s="3513"/>
      <c r="J39" s="84"/>
      <c r="K39" s="812"/>
    </row>
    <row r="40" spans="1:11" ht="18" customHeight="1">
      <c r="A40" s="3141"/>
      <c r="B40" s="3159"/>
      <c r="C40" s="3159"/>
      <c r="D40" s="3159"/>
      <c r="E40" s="3159"/>
      <c r="F40" s="3159"/>
      <c r="G40" s="3159"/>
      <c r="H40" s="3513"/>
      <c r="I40" s="3513"/>
      <c r="J40" s="84"/>
      <c r="K40" s="812"/>
    </row>
    <row r="41" spans="1:11" ht="15.75" customHeight="1">
      <c r="A41" s="3141"/>
      <c r="B41" s="3159"/>
      <c r="C41" s="3159"/>
      <c r="D41" s="3159"/>
      <c r="E41" s="3159"/>
      <c r="F41" s="3159"/>
      <c r="G41" s="3159"/>
      <c r="H41" s="3136" t="s">
        <v>1370</v>
      </c>
      <c r="I41" s="3136"/>
      <c r="J41" s="84"/>
      <c r="K41" s="812"/>
    </row>
    <row r="42" spans="1:11" ht="18" customHeight="1">
      <c r="A42" s="3141"/>
      <c r="B42" s="3159"/>
      <c r="C42" s="3159"/>
      <c r="D42" s="3159"/>
      <c r="E42" s="3159"/>
      <c r="F42" s="3159"/>
      <c r="G42" s="3159"/>
      <c r="H42" s="3136"/>
      <c r="I42" s="3136"/>
      <c r="J42" s="84"/>
      <c r="K42" s="812"/>
    </row>
    <row r="43" spans="1:11" ht="24" customHeight="1">
      <c r="A43" s="3141"/>
      <c r="B43" s="3159"/>
      <c r="C43" s="3159"/>
      <c r="D43" s="3159"/>
      <c r="E43" s="3159"/>
      <c r="F43" s="3159"/>
      <c r="G43" s="3159"/>
      <c r="H43" s="3136"/>
      <c r="I43" s="3136"/>
      <c r="J43" s="84"/>
      <c r="K43" s="812"/>
    </row>
    <row r="44" spans="1:11" ht="30" customHeight="1">
      <c r="A44" s="528" t="s">
        <v>15</v>
      </c>
      <c r="B44" s="3135" t="str">
        <f>IF(AND(D21=0,D36=0),"没有调整事项，且勾稽关系正确，认可！","调整后，认可！")</f>
        <v>没有调整事项，且勾稽关系正确，认可！</v>
      </c>
      <c r="C44" s="3135"/>
      <c r="D44" s="3135"/>
      <c r="E44" s="3135"/>
      <c r="F44" s="3135"/>
      <c r="G44" s="3135"/>
      <c r="H44" s="3136"/>
      <c r="I44" s="3136"/>
      <c r="J44" s="84"/>
      <c r="K44" s="812"/>
    </row>
    <row r="45" spans="1:11" ht="25.5" customHeight="1">
      <c r="H45" s="3136"/>
      <c r="I45" s="3136"/>
      <c r="J45" s="84"/>
      <c r="K45" s="812"/>
    </row>
    <row r="46" spans="1:11" ht="25.5" customHeight="1">
      <c r="H46" s="84"/>
      <c r="I46" s="84"/>
      <c r="J46" s="84"/>
      <c r="K46" s="812"/>
    </row>
    <row r="47" spans="1:11" ht="25.5" customHeight="1">
      <c r="H47" s="84"/>
      <c r="I47" s="84"/>
      <c r="J47" s="84"/>
      <c r="K47" s="812"/>
    </row>
    <row r="48" spans="1:11" ht="25.5" customHeight="1">
      <c r="H48" s="84"/>
      <c r="I48" s="84"/>
      <c r="J48" s="84"/>
      <c r="K48" s="812"/>
    </row>
    <row r="49" spans="8:11" ht="46.5" customHeight="1">
      <c r="H49" s="84"/>
      <c r="I49" s="84"/>
      <c r="J49" s="84"/>
      <c r="K49" s="812"/>
    </row>
    <row r="50" spans="8:11" ht="25.5" customHeight="1">
      <c r="H50" s="84"/>
      <c r="I50" s="84"/>
      <c r="J50" s="84"/>
      <c r="K50" s="812"/>
    </row>
    <row r="51" spans="8:11" ht="25.5" customHeight="1">
      <c r="H51" s="84"/>
      <c r="I51" s="84"/>
      <c r="J51" s="84"/>
      <c r="K51" s="812"/>
    </row>
    <row r="52" spans="8:11" ht="25.5" customHeight="1">
      <c r="H52" s="84"/>
      <c r="I52" s="84"/>
      <c r="J52" s="84"/>
      <c r="K52" s="812"/>
    </row>
    <row r="53" spans="8:11" ht="25.5" customHeight="1">
      <c r="H53" s="84"/>
      <c r="I53" s="84"/>
      <c r="J53" s="84"/>
      <c r="K53" s="812"/>
    </row>
    <row r="54" spans="8:11" ht="25.5" customHeight="1">
      <c r="H54" s="84"/>
      <c r="I54" s="84"/>
      <c r="J54" s="84"/>
      <c r="K54" s="812"/>
    </row>
    <row r="55" spans="8:11" ht="25.5" customHeight="1">
      <c r="H55" s="84"/>
      <c r="I55" s="84"/>
      <c r="J55" s="84"/>
      <c r="K55" s="812"/>
    </row>
    <row r="56" spans="8:11" ht="25.5" customHeight="1">
      <c r="H56" s="84"/>
      <c r="I56" s="84"/>
      <c r="J56" s="84"/>
      <c r="K56" s="812"/>
    </row>
    <row r="57" spans="8:11" ht="25.5" customHeight="1">
      <c r="H57" s="84"/>
      <c r="I57" s="84"/>
      <c r="J57" s="84"/>
      <c r="K57" s="812"/>
    </row>
    <row r="58" spans="8:11" ht="25.5" customHeight="1">
      <c r="H58" s="84"/>
      <c r="I58" s="84"/>
      <c r="J58" s="84"/>
      <c r="K58" s="812"/>
    </row>
    <row r="59" spans="8:11" ht="25.5" customHeight="1">
      <c r="H59" s="84"/>
      <c r="I59" s="84"/>
      <c r="J59" s="84"/>
      <c r="K59" s="812"/>
    </row>
    <row r="60" spans="8:11" ht="25.5" customHeight="1">
      <c r="H60" s="84"/>
      <c r="I60" s="84"/>
      <c r="J60" s="84"/>
      <c r="K60" s="812"/>
    </row>
    <row r="61" spans="8:11" ht="25.5" customHeight="1">
      <c r="H61" s="84"/>
      <c r="I61" s="84"/>
      <c r="J61" s="84"/>
      <c r="K61" s="812"/>
    </row>
    <row r="62" spans="8:11" ht="25.5" customHeight="1">
      <c r="H62" s="84"/>
      <c r="I62" s="84"/>
      <c r="J62" s="84"/>
      <c r="K62" s="812"/>
    </row>
    <row r="63" spans="8:11" ht="25.5" customHeight="1">
      <c r="H63" s="84"/>
      <c r="I63" s="84"/>
      <c r="J63" s="84"/>
      <c r="K63" s="812"/>
    </row>
    <row r="64" spans="8:11" ht="25.5" customHeight="1">
      <c r="H64" s="84"/>
      <c r="I64" s="84"/>
      <c r="J64" s="84"/>
      <c r="K64" s="812"/>
    </row>
    <row r="65" ht="25.5" customHeight="1"/>
    <row r="66" ht="25.5" customHeight="1"/>
    <row r="67" ht="25.5" customHeight="1"/>
    <row r="68" ht="25.5" customHeight="1"/>
    <row r="69" ht="25.5" customHeight="1"/>
    <row r="70" ht="25.5" customHeight="1"/>
    <row r="71" ht="25.5" customHeight="1"/>
    <row r="72" ht="25.5" customHeight="1"/>
    <row r="73" ht="25.5" customHeight="1"/>
    <row r="74" ht="25.5" customHeight="1"/>
    <row r="75" ht="25.5" customHeight="1"/>
    <row r="76" ht="25.5" customHeight="1"/>
    <row r="77" ht="25.5" customHeight="1"/>
    <row r="78" ht="25.5" customHeight="1"/>
    <row r="79" ht="25.5" customHeight="1"/>
    <row r="80" ht="25.5" customHeight="1"/>
    <row r="81" ht="25.5" customHeight="1"/>
    <row r="82" ht="25.5" customHeight="1"/>
    <row r="83" ht="25.5" customHeight="1"/>
    <row r="84" ht="25.5" customHeight="1"/>
    <row r="85" ht="25.5" customHeight="1"/>
    <row r="86" ht="25.5" customHeight="1"/>
    <row r="87" ht="25.5" customHeight="1"/>
    <row r="88" ht="25.5" customHeight="1"/>
    <row r="89" ht="25.5" customHeight="1"/>
    <row r="90" ht="25.5" customHeight="1"/>
    <row r="91" ht="25.5" customHeight="1"/>
    <row r="92" ht="25.5" customHeight="1"/>
    <row r="93" ht="25.5" customHeight="1"/>
    <row r="94" ht="25.5" customHeight="1"/>
    <row r="95" ht="25.5" customHeight="1"/>
    <row r="96" ht="25.5" customHeight="1"/>
    <row r="97" ht="25.5" customHeight="1"/>
    <row r="98" ht="25.5" customHeight="1"/>
    <row r="99" ht="25.5" customHeight="1"/>
    <row r="100" ht="25.5" customHeight="1"/>
    <row r="101" ht="25.5" customHeight="1"/>
    <row r="102" ht="25.5" customHeight="1"/>
    <row r="103" ht="25.5" customHeight="1"/>
    <row r="104" ht="25.5" customHeight="1"/>
    <row r="105" ht="25.5" customHeight="1"/>
    <row r="106" ht="25.5" customHeight="1"/>
    <row r="107" ht="25.5" customHeight="1"/>
    <row r="108" ht="25.5" customHeight="1"/>
    <row r="109" ht="25.5" customHeight="1"/>
    <row r="110" ht="25.5" customHeight="1"/>
    <row r="111" ht="25.5" customHeight="1"/>
    <row r="112" ht="25.5" customHeight="1"/>
    <row r="113" ht="25.5" customHeight="1"/>
    <row r="114" ht="25.5" customHeight="1"/>
    <row r="115" ht="25.5" customHeight="1"/>
    <row r="116" ht="25.5" customHeight="1"/>
    <row r="117" ht="25.5" customHeight="1"/>
    <row r="118" ht="25.5" customHeight="1"/>
    <row r="119" ht="25.5" customHeight="1"/>
    <row r="120" ht="25.5" customHeight="1"/>
    <row r="121" ht="25.5" customHeight="1"/>
    <row r="122" ht="25.5" customHeight="1"/>
    <row r="123" ht="25.5" customHeight="1"/>
    <row r="124" ht="25.5" customHeight="1"/>
    <row r="125" ht="25.5" customHeight="1"/>
    <row r="126" ht="25.5" customHeight="1"/>
    <row r="127" ht="25.5" customHeight="1"/>
    <row r="128" ht="25.5" customHeight="1"/>
    <row r="129" ht="25.5" customHeight="1"/>
    <row r="130" ht="25.5" customHeight="1"/>
    <row r="131" ht="25.5" customHeight="1"/>
    <row r="132" ht="25.5" customHeight="1"/>
    <row r="133" ht="25.5" customHeight="1"/>
    <row r="134" ht="25.5" customHeight="1"/>
    <row r="135" ht="25.5" customHeight="1"/>
    <row r="136" ht="25.5" customHeight="1"/>
    <row r="137" ht="25.5" customHeight="1"/>
    <row r="138" ht="25.5" customHeight="1"/>
    <row r="139" ht="25.5" customHeight="1"/>
    <row r="140" ht="25.5" customHeight="1"/>
    <row r="141" ht="25.5" customHeight="1"/>
    <row r="142" ht="25.5" customHeight="1"/>
    <row r="143" ht="25.5" customHeight="1"/>
    <row r="144" ht="25.5" customHeight="1"/>
    <row r="145" ht="25.5" customHeight="1"/>
    <row r="146" ht="25.5" customHeight="1"/>
    <row r="147" ht="25.5" customHeight="1"/>
    <row r="148" ht="25.5" customHeight="1"/>
    <row r="149" ht="25.5" customHeight="1"/>
    <row r="150" ht="25.5" customHeight="1"/>
    <row r="151" ht="25.5" customHeight="1"/>
    <row r="152" ht="25.5" customHeight="1"/>
    <row r="153" ht="25.5" customHeight="1"/>
    <row r="154" ht="25.5" customHeight="1"/>
    <row r="155" ht="25.5" customHeight="1"/>
    <row r="156" ht="25.5" customHeight="1"/>
    <row r="157" ht="25.5" customHeight="1"/>
    <row r="158" ht="25.5" customHeight="1"/>
    <row r="159" ht="25.5" customHeight="1"/>
    <row r="160" ht="25.5" customHeight="1"/>
    <row r="161" ht="25.5" customHeight="1"/>
    <row r="162" ht="25.5" customHeight="1"/>
    <row r="163" ht="25.5" customHeight="1"/>
    <row r="164" ht="25.5" customHeight="1"/>
    <row r="165" ht="25.5" customHeight="1"/>
    <row r="166" ht="25.5" customHeight="1"/>
    <row r="167" ht="25.5" customHeight="1"/>
    <row r="168" ht="25.5" customHeight="1"/>
    <row r="169" ht="25.5" customHeight="1"/>
    <row r="170" ht="25.5" customHeight="1"/>
    <row r="171" ht="25.5" customHeight="1"/>
    <row r="172" ht="25.5" customHeight="1"/>
    <row r="173" ht="25.5" customHeight="1"/>
    <row r="174" ht="25.5" customHeight="1"/>
    <row r="175" ht="25.5" customHeight="1"/>
    <row r="176" ht="25.5" customHeight="1"/>
    <row r="177" ht="25.5" customHeight="1"/>
    <row r="178" ht="25.5" customHeight="1"/>
    <row r="179" ht="25.5" customHeight="1"/>
    <row r="180" ht="25.5" customHeight="1"/>
    <row r="181" ht="25.5" customHeight="1"/>
    <row r="182" ht="25.5" customHeight="1"/>
    <row r="183" ht="25.5" customHeight="1"/>
    <row r="184" ht="25.5" customHeight="1"/>
    <row r="185" ht="25.5" customHeight="1"/>
    <row r="186" ht="25.5" customHeight="1"/>
    <row r="187" ht="25.5" customHeight="1"/>
    <row r="188" ht="25.5" customHeight="1"/>
    <row r="189" ht="25.5" customHeight="1"/>
    <row r="190" ht="25.5" customHeight="1"/>
    <row r="191" ht="25.5" customHeight="1"/>
    <row r="192" ht="25.5" customHeight="1"/>
  </sheetData>
  <sheetProtection selectLockedCells="1" selectUnlockedCells="1"/>
  <mergeCells count="49">
    <mergeCell ref="H41:I45"/>
    <mergeCell ref="B44:G44"/>
    <mergeCell ref="B39:G43"/>
    <mergeCell ref="H38:I40"/>
    <mergeCell ref="B37:C37"/>
    <mergeCell ref="D37:G37"/>
    <mergeCell ref="A36:B36"/>
    <mergeCell ref="E36:F36"/>
    <mergeCell ref="A38:A43"/>
    <mergeCell ref="C38:G38"/>
    <mergeCell ref="A21:B21"/>
    <mergeCell ref="E21:F21"/>
    <mergeCell ref="E22:F22"/>
    <mergeCell ref="E34:F34"/>
    <mergeCell ref="E35:F35"/>
    <mergeCell ref="E32:F32"/>
    <mergeCell ref="E31:F31"/>
    <mergeCell ref="E8:F8"/>
    <mergeCell ref="E9:F9"/>
    <mergeCell ref="E10:F10"/>
    <mergeCell ref="E18:F18"/>
    <mergeCell ref="E11:F11"/>
    <mergeCell ref="E12:F12"/>
    <mergeCell ref="E17:F17"/>
    <mergeCell ref="E13:F13"/>
    <mergeCell ref="E14:F14"/>
    <mergeCell ref="E15:F15"/>
    <mergeCell ref="E16:F16"/>
    <mergeCell ref="H18:I20"/>
    <mergeCell ref="E19:F19"/>
    <mergeCell ref="E20:F20"/>
    <mergeCell ref="H22:K35"/>
    <mergeCell ref="E29:F29"/>
    <mergeCell ref="E30:F30"/>
    <mergeCell ref="E24:F24"/>
    <mergeCell ref="E25:F25"/>
    <mergeCell ref="E33:F33"/>
    <mergeCell ref="E26:F26"/>
    <mergeCell ref="E27:F27"/>
    <mergeCell ref="E23:F23"/>
    <mergeCell ref="E28:F28"/>
    <mergeCell ref="E6:F6"/>
    <mergeCell ref="E7:F7"/>
    <mergeCell ref="A1:G1"/>
    <mergeCell ref="H1:H4"/>
    <mergeCell ref="A2:C2"/>
    <mergeCell ref="A3:C3"/>
    <mergeCell ref="A4:G4"/>
    <mergeCell ref="E5:F5"/>
  </mergeCells>
  <phoneticPr fontId="51" type="noConversion"/>
  <dataValidations count="1">
    <dataValidation allowBlank="1" showErrorMessage="1" promptTitle="存在调整事项时" prompt="_x000a_选择 “E”" sqref="C38:G38">
      <formula1>0</formula1>
      <formula2>0</formula2>
    </dataValidation>
  </dataValidations>
  <hyperlinks>
    <hyperlink ref="H6" location="纳税申报数据!A1" display="纳税申报数据"/>
    <hyperlink ref="H7" location="税费缴纳测算!A1" display="税费缴纳测算"/>
    <hyperlink ref="H8" location="主营税金!A1" display="主营税金审核表"/>
    <hyperlink ref="H9" location="收入与申报核对表!A1" display="收入与申报核对表"/>
    <hyperlink ref="H10" location="利润!A1" display="利润及利润分配表"/>
    <hyperlink ref="H11" location="企业各税审核汇总表!A1" display="企业各税审核汇总表"/>
    <hyperlink ref="H12" location="收入明细表!A1" display="收入明细表"/>
    <hyperlink ref="H13" location="成本费用明细表!A1" display="成本费用明细表"/>
    <hyperlink ref="H14" location="纳税调整明细表!A1" display="纳税调整明细表!A1"/>
    <hyperlink ref="H15" location="其他事项!A1" display="其他事项!A1"/>
    <hyperlink ref="H16" location="捐赠!A1" display="捐赠"/>
  </hyperlinks>
  <pageMargins left="0.78740157480314998" right="0.35433070866141703" top="0.511811023622047" bottom="0.11811023622047198" header="0.511811023622047" footer="0.511811023622047"/>
  <pageSetup paperSize="9" firstPageNumber="0" orientation="portrait" blackAndWhite="1" r:id="rId1"/>
  <headerFooter alignWithMargins="0"/>
</worksheet>
</file>

<file path=xl/worksheets/sheet8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53"/>
  <dimension ref="A1:M28"/>
  <sheetViews>
    <sheetView workbookViewId="0">
      <selection activeCell="I7" sqref="I7"/>
    </sheetView>
  </sheetViews>
  <sheetFormatPr defaultRowHeight="15.6"/>
  <cols>
    <col min="1" max="1" width="3.5" style="130" customWidth="1"/>
    <col min="2" max="2" width="23.3984375" style="130" customWidth="1"/>
    <col min="3" max="3" width="18.5" style="130" customWidth="1"/>
    <col min="4" max="5" width="14.3984375" style="130" customWidth="1"/>
    <col min="6" max="6" width="12.09765625" style="130" customWidth="1"/>
    <col min="7" max="8" width="14.3984375" style="130" customWidth="1"/>
    <col min="9" max="9" width="30.3984375" customWidth="1"/>
  </cols>
  <sheetData>
    <row r="1" spans="1:13" ht="31.5" customHeight="1">
      <c r="A1" s="3150" t="s">
        <v>339</v>
      </c>
      <c r="B1" s="3150"/>
      <c r="C1" s="3150"/>
      <c r="D1" s="3150"/>
      <c r="E1" s="3150"/>
      <c r="F1" s="3150"/>
      <c r="G1" s="3150"/>
      <c r="H1" s="3150"/>
      <c r="I1" s="3568"/>
      <c r="J1" s="84"/>
      <c r="K1" s="84"/>
      <c r="L1" s="84"/>
      <c r="M1" s="84"/>
    </row>
    <row r="2" spans="1:13" ht="15.75" customHeight="1">
      <c r="A2" s="3627" t="str">
        <f>"委托单位："&amp;基本情况!B2</f>
        <v>委托单位：0</v>
      </c>
      <c r="B2" s="3627"/>
      <c r="C2" s="3627"/>
      <c r="D2" s="956" t="s">
        <v>451</v>
      </c>
      <c r="E2" s="984">
        <f>基本情况!B12</f>
        <v>0</v>
      </c>
      <c r="F2" s="593" t="s">
        <v>1456</v>
      </c>
      <c r="G2" s="957" t="str">
        <f>TEXT(基本情况!B21,"yyyy-mm-dd")</f>
        <v>2017-03-16</v>
      </c>
      <c r="H2" s="594" t="s">
        <v>283</v>
      </c>
      <c r="I2" s="3568"/>
      <c r="J2" s="84"/>
      <c r="K2" s="84"/>
      <c r="L2" s="84"/>
      <c r="M2" s="84"/>
    </row>
    <row r="3" spans="1:13" ht="15.75" customHeight="1">
      <c r="A3" s="3297" t="str">
        <f>"会计期间："&amp;基本情况!B7</f>
        <v>会计期间：2016年01月01日至2016年12月31日</v>
      </c>
      <c r="B3" s="3297"/>
      <c r="C3" s="3297"/>
      <c r="D3" s="140" t="s">
        <v>453</v>
      </c>
      <c r="E3" s="959">
        <f>基本情况!B11</f>
        <v>0</v>
      </c>
      <c r="F3" s="140" t="s">
        <v>1456</v>
      </c>
      <c r="G3" s="513" t="str">
        <f>TEXT(基本情况!B22,"yyyy-mm-dd")</f>
        <v>2017-05-04</v>
      </c>
      <c r="H3" s="512" t="str">
        <f>档案索引!D34</f>
        <v>4-1</v>
      </c>
      <c r="I3" s="3568"/>
      <c r="J3" s="84"/>
      <c r="K3" s="84"/>
      <c r="L3" s="84"/>
      <c r="M3" s="84"/>
    </row>
    <row r="4" spans="1:13" ht="7.5" customHeight="1">
      <c r="A4" s="2894"/>
      <c r="B4" s="2894"/>
      <c r="C4" s="2894"/>
      <c r="D4" s="2894"/>
      <c r="E4" s="2894"/>
      <c r="F4" s="2894"/>
      <c r="G4" s="2894"/>
      <c r="H4" s="2894"/>
      <c r="I4" s="3568"/>
      <c r="J4" s="84"/>
      <c r="K4" s="84"/>
      <c r="L4" s="84"/>
      <c r="M4" s="84"/>
    </row>
    <row r="5" spans="1:13" ht="15.75" customHeight="1">
      <c r="A5" s="3539" t="s">
        <v>1371</v>
      </c>
      <c r="B5" s="3539"/>
      <c r="C5" s="3539"/>
      <c r="D5" s="582" t="s">
        <v>1182</v>
      </c>
      <c r="E5" s="3022" t="s">
        <v>1372</v>
      </c>
      <c r="F5" s="3022"/>
      <c r="G5" s="582" t="s">
        <v>981</v>
      </c>
      <c r="H5" s="772" t="s">
        <v>503</v>
      </c>
      <c r="I5" s="3568"/>
      <c r="J5" s="84"/>
      <c r="K5" s="84"/>
      <c r="L5" s="84"/>
      <c r="M5" s="84"/>
    </row>
    <row r="6" spans="1:13" ht="15.75" customHeight="1">
      <c r="A6" s="3128" t="s">
        <v>1373</v>
      </c>
      <c r="B6" s="3628" t="s">
        <v>1374</v>
      </c>
      <c r="C6" s="3628"/>
      <c r="D6" s="1175"/>
      <c r="E6" s="3629">
        <f>D6</f>
        <v>0</v>
      </c>
      <c r="F6" s="3629"/>
      <c r="G6" s="985">
        <f>E6-D6</f>
        <v>0</v>
      </c>
      <c r="H6" s="986">
        <f>IF(D6-E6=0,D6,E6)</f>
        <v>0</v>
      </c>
      <c r="I6" s="84" t="s">
        <v>396</v>
      </c>
      <c r="J6" s="84"/>
      <c r="K6" s="84"/>
      <c r="L6" s="84"/>
      <c r="M6" s="84"/>
    </row>
    <row r="7" spans="1:13" ht="15.75" customHeight="1">
      <c r="A7" s="3128"/>
      <c r="B7" s="3630" t="s">
        <v>1375</v>
      </c>
      <c r="C7" s="3630"/>
      <c r="D7" s="1110"/>
      <c r="E7" s="3631">
        <f>D7</f>
        <v>0</v>
      </c>
      <c r="F7" s="3631"/>
      <c r="G7" s="524">
        <f>E7-D7</f>
        <v>0</v>
      </c>
      <c r="H7" s="736">
        <f>IF(D7-E7=0,D7,E7)</f>
        <v>0</v>
      </c>
      <c r="I7" s="493" t="s">
        <v>1289</v>
      </c>
      <c r="J7" s="84"/>
      <c r="K7" s="84"/>
      <c r="L7" s="84"/>
      <c r="M7" s="84"/>
    </row>
    <row r="8" spans="1:13" ht="15.75" customHeight="1">
      <c r="A8" s="3128"/>
      <c r="B8" s="3632" t="s">
        <v>1376</v>
      </c>
      <c r="C8" s="3632"/>
      <c r="D8" s="1113"/>
      <c r="E8" s="3631">
        <f>D8</f>
        <v>0</v>
      </c>
      <c r="F8" s="3631"/>
      <c r="G8" s="524">
        <f>E8-D8</f>
        <v>0</v>
      </c>
      <c r="H8" s="736">
        <f>IF(D8-E8=0,D8,E8)</f>
        <v>0</v>
      </c>
      <c r="I8" s="493"/>
      <c r="J8" s="84"/>
      <c r="K8" s="84"/>
      <c r="L8" s="84"/>
      <c r="M8" s="84"/>
    </row>
    <row r="9" spans="1:13" ht="15.75" customHeight="1">
      <c r="A9" s="3128"/>
      <c r="B9" s="987"/>
      <c r="C9" s="988"/>
      <c r="D9" s="1113"/>
      <c r="E9" s="3218"/>
      <c r="F9" s="3218"/>
      <c r="G9" s="524">
        <f>E9-D9</f>
        <v>0</v>
      </c>
      <c r="H9" s="736">
        <f>IF(D9-E9=0,D9,E9)</f>
        <v>0</v>
      </c>
      <c r="I9" s="493"/>
      <c r="J9" s="84"/>
      <c r="K9" s="84"/>
      <c r="L9" s="84"/>
      <c r="M9" s="84"/>
    </row>
    <row r="10" spans="1:13" ht="15.75" customHeight="1">
      <c r="A10" s="3128"/>
      <c r="B10" s="3633" t="s">
        <v>1377</v>
      </c>
      <c r="C10" s="3633"/>
      <c r="D10" s="529">
        <f>SUM(D6:D9)</f>
        <v>0</v>
      </c>
      <c r="E10" s="3217">
        <f>SUM(E6:E9)</f>
        <v>0</v>
      </c>
      <c r="F10" s="3217"/>
      <c r="G10" s="529">
        <f>SUM(G6:G9)</f>
        <v>0</v>
      </c>
      <c r="H10" s="989">
        <f>SUM(H6:H9)</f>
        <v>0</v>
      </c>
      <c r="I10" s="84"/>
      <c r="J10" s="84"/>
      <c r="K10" s="84"/>
      <c r="L10" s="84"/>
      <c r="M10" s="84"/>
    </row>
    <row r="11" spans="1:13" ht="26.25" customHeight="1">
      <c r="A11" s="3128" t="s">
        <v>1378</v>
      </c>
      <c r="B11" s="136" t="s">
        <v>425</v>
      </c>
      <c r="C11" s="136" t="s">
        <v>427</v>
      </c>
      <c r="D11" s="990" t="s">
        <v>1182</v>
      </c>
      <c r="E11" s="990" t="s">
        <v>1379</v>
      </c>
      <c r="F11" s="608" t="s">
        <v>1380</v>
      </c>
      <c r="G11" s="990" t="s">
        <v>981</v>
      </c>
      <c r="H11" s="991" t="s">
        <v>503</v>
      </c>
      <c r="I11" s="992" t="s">
        <v>1381</v>
      </c>
      <c r="J11" s="84"/>
      <c r="K11" s="84"/>
      <c r="L11" s="84"/>
      <c r="M11" s="84"/>
    </row>
    <row r="12" spans="1:13" ht="15.75" customHeight="1">
      <c r="A12" s="3128"/>
      <c r="B12" s="1479" t="s">
        <v>6562</v>
      </c>
      <c r="C12" s="1480" t="str">
        <f>IFERROR(基本情况!B40,"")</f>
        <v/>
      </c>
      <c r="D12" s="1190"/>
      <c r="E12" s="993">
        <f t="shared" ref="E12:E18" si="0">D12</f>
        <v>0</v>
      </c>
      <c r="F12" s="1191"/>
      <c r="G12" s="524">
        <f>H12-D12</f>
        <v>0</v>
      </c>
      <c r="H12" s="736">
        <f>IF(F12="否",E12,D12)</f>
        <v>0</v>
      </c>
      <c r="I12" s="84"/>
      <c r="J12" s="84"/>
      <c r="K12" s="84"/>
      <c r="L12" s="84"/>
      <c r="M12" s="84"/>
    </row>
    <row r="13" spans="1:13" ht="15.75" customHeight="1">
      <c r="A13" s="3128"/>
      <c r="B13" s="1323" t="s">
        <v>6563</v>
      </c>
      <c r="C13" s="994"/>
      <c r="D13" s="1190"/>
      <c r="E13" s="993">
        <f t="shared" si="0"/>
        <v>0</v>
      </c>
      <c r="F13" s="1191"/>
      <c r="G13" s="524">
        <f t="shared" ref="G13:G18" si="1">H13-D13</f>
        <v>0</v>
      </c>
      <c r="H13" s="736">
        <f t="shared" ref="H13:H18" si="2">IF(F13="否",E13,D13)</f>
        <v>0</v>
      </c>
      <c r="I13" s="84"/>
      <c r="J13" s="84"/>
      <c r="K13" s="84"/>
      <c r="L13" s="84"/>
      <c r="M13" s="84"/>
    </row>
    <row r="14" spans="1:13" ht="15.75" customHeight="1">
      <c r="A14" s="3128"/>
      <c r="B14" s="1323" t="s">
        <v>6564</v>
      </c>
      <c r="C14" s="994"/>
      <c r="D14" s="1190"/>
      <c r="E14" s="993">
        <f t="shared" si="0"/>
        <v>0</v>
      </c>
      <c r="F14" s="1191"/>
      <c r="G14" s="524">
        <f t="shared" si="1"/>
        <v>0</v>
      </c>
      <c r="H14" s="736">
        <f t="shared" si="2"/>
        <v>0</v>
      </c>
      <c r="I14" s="3090" t="s">
        <v>1382</v>
      </c>
      <c r="J14" s="3090"/>
      <c r="K14" s="3090"/>
      <c r="L14" s="3090"/>
      <c r="M14" s="3090"/>
    </row>
    <row r="15" spans="1:13" ht="15.75" customHeight="1">
      <c r="A15" s="3128"/>
      <c r="B15" s="1323" t="s">
        <v>6565</v>
      </c>
      <c r="C15" s="994"/>
      <c r="D15" s="1190"/>
      <c r="E15" s="993">
        <f t="shared" si="0"/>
        <v>0</v>
      </c>
      <c r="F15" s="1191"/>
      <c r="G15" s="524">
        <f t="shared" si="1"/>
        <v>0</v>
      </c>
      <c r="H15" s="736">
        <f t="shared" si="2"/>
        <v>0</v>
      </c>
      <c r="I15" s="3090"/>
      <c r="J15" s="3090"/>
      <c r="K15" s="3090"/>
      <c r="L15" s="3090"/>
      <c r="M15" s="3090"/>
    </row>
    <row r="16" spans="1:13" ht="15.75" customHeight="1">
      <c r="A16" s="3128"/>
      <c r="B16" s="1323" t="s">
        <v>6566</v>
      </c>
      <c r="C16" s="994"/>
      <c r="D16" s="1190"/>
      <c r="E16" s="993">
        <f t="shared" si="0"/>
        <v>0</v>
      </c>
      <c r="F16" s="1191"/>
      <c r="G16" s="524">
        <f t="shared" si="1"/>
        <v>0</v>
      </c>
      <c r="H16" s="736">
        <f t="shared" si="2"/>
        <v>0</v>
      </c>
      <c r="I16" s="3090"/>
      <c r="J16" s="3090"/>
      <c r="K16" s="3090"/>
      <c r="L16" s="3090"/>
      <c r="M16" s="3090"/>
    </row>
    <row r="17" spans="1:13" ht="15.75" customHeight="1">
      <c r="A17" s="3128"/>
      <c r="B17" s="1323" t="s">
        <v>6567</v>
      </c>
      <c r="C17" s="994"/>
      <c r="D17" s="1190"/>
      <c r="E17" s="993">
        <f t="shared" si="0"/>
        <v>0</v>
      </c>
      <c r="F17" s="1191"/>
      <c r="G17" s="524">
        <f t="shared" si="1"/>
        <v>0</v>
      </c>
      <c r="H17" s="736">
        <f t="shared" si="2"/>
        <v>0</v>
      </c>
      <c r="I17" s="3090"/>
      <c r="J17" s="3090"/>
      <c r="K17" s="3090"/>
      <c r="L17" s="3090"/>
      <c r="M17" s="3090"/>
    </row>
    <row r="18" spans="1:13" ht="15.75" customHeight="1">
      <c r="A18" s="3128"/>
      <c r="B18" s="1323" t="s">
        <v>6568</v>
      </c>
      <c r="C18" s="994"/>
      <c r="D18" s="1190"/>
      <c r="E18" s="993">
        <f t="shared" si="0"/>
        <v>0</v>
      </c>
      <c r="F18" s="1191"/>
      <c r="G18" s="524">
        <f t="shared" si="1"/>
        <v>0</v>
      </c>
      <c r="H18" s="736">
        <f t="shared" si="2"/>
        <v>0</v>
      </c>
      <c r="I18" s="3090"/>
      <c r="J18" s="3090"/>
      <c r="K18" s="3090"/>
      <c r="L18" s="3090"/>
      <c r="M18" s="3090"/>
    </row>
    <row r="19" spans="1:13" ht="15.75" customHeight="1">
      <c r="A19" s="3128"/>
      <c r="B19" s="2900" t="s">
        <v>1383</v>
      </c>
      <c r="C19" s="2900"/>
      <c r="D19" s="529">
        <f>SUM(D12:D18)</f>
        <v>0</v>
      </c>
      <c r="E19" s="529">
        <f>SUM(E12:E18)</f>
        <v>0</v>
      </c>
      <c r="F19" s="1192"/>
      <c r="G19" s="529">
        <f>SUM(G12:G18)</f>
        <v>0</v>
      </c>
      <c r="H19" s="989">
        <f>SUM(H12:H18)</f>
        <v>0</v>
      </c>
      <c r="I19" s="3090"/>
      <c r="J19" s="3090"/>
      <c r="K19" s="3090"/>
      <c r="L19" s="3090"/>
      <c r="M19" s="3090"/>
    </row>
    <row r="20" spans="1:13" ht="15.75" customHeight="1">
      <c r="A20" s="3128" t="s">
        <v>1384</v>
      </c>
      <c r="B20" s="3634"/>
      <c r="C20" s="3634"/>
      <c r="D20" s="1193"/>
      <c r="E20" s="1194"/>
      <c r="F20" s="1194"/>
      <c r="G20" s="1193"/>
      <c r="H20" s="986">
        <f>D20+G20</f>
        <v>0</v>
      </c>
      <c r="I20" s="3090"/>
      <c r="J20" s="3090"/>
      <c r="K20" s="3090"/>
      <c r="L20" s="3090"/>
      <c r="M20" s="3090"/>
    </row>
    <row r="21" spans="1:13" ht="15.75" customHeight="1">
      <c r="A21" s="3128"/>
      <c r="B21" s="3635"/>
      <c r="C21" s="3635"/>
      <c r="D21" s="1190"/>
      <c r="E21" s="1108"/>
      <c r="F21" s="1108"/>
      <c r="G21" s="1190"/>
      <c r="H21" s="736">
        <f>D21+G21</f>
        <v>0</v>
      </c>
      <c r="I21" s="3090"/>
      <c r="J21" s="3090"/>
      <c r="K21" s="3090"/>
      <c r="L21" s="3090"/>
      <c r="M21" s="3090"/>
    </row>
    <row r="22" spans="1:13" ht="15.75" customHeight="1">
      <c r="A22" s="3128"/>
      <c r="B22" s="3635"/>
      <c r="C22" s="3635"/>
      <c r="D22" s="1190"/>
      <c r="E22" s="1108"/>
      <c r="F22" s="1108"/>
      <c r="G22" s="1190"/>
      <c r="H22" s="736">
        <f>D22+G22</f>
        <v>0</v>
      </c>
      <c r="I22" s="3090"/>
      <c r="J22" s="3090"/>
      <c r="K22" s="3090"/>
      <c r="L22" s="3090"/>
      <c r="M22" s="3090"/>
    </row>
    <row r="23" spans="1:13" ht="15.75" customHeight="1">
      <c r="A23" s="3128"/>
      <c r="B23" s="2900" t="s">
        <v>1385</v>
      </c>
      <c r="C23" s="2900"/>
      <c r="D23" s="529">
        <f>SUM(D20:D22)</f>
        <v>0</v>
      </c>
      <c r="E23" s="529">
        <f>SUM(E20:E22)</f>
        <v>0</v>
      </c>
      <c r="F23" s="529">
        <f>SUM(F20:F22)</f>
        <v>0</v>
      </c>
      <c r="G23" s="529">
        <f>SUM(G20:G22)</f>
        <v>0</v>
      </c>
      <c r="H23" s="989">
        <f>SUM(H20:H22)</f>
        <v>0</v>
      </c>
      <c r="I23" s="3090" t="s">
        <v>1386</v>
      </c>
      <c r="J23" s="3090"/>
      <c r="K23" s="3090"/>
      <c r="L23" s="3090"/>
      <c r="M23" s="3090"/>
    </row>
    <row r="24" spans="1:13" ht="15.75" customHeight="1">
      <c r="A24" s="3134" t="s">
        <v>1387</v>
      </c>
      <c r="B24" s="3134"/>
      <c r="C24" s="3134"/>
      <c r="D24" s="995">
        <f>D10+D19+D23</f>
        <v>0</v>
      </c>
      <c r="E24" s="996"/>
      <c r="F24" s="996"/>
      <c r="G24" s="995">
        <f>G10+G19+G23</f>
        <v>0</v>
      </c>
      <c r="H24" s="997">
        <f>H10+H19+H23</f>
        <v>0</v>
      </c>
      <c r="I24" s="3090"/>
      <c r="J24" s="3090"/>
      <c r="K24" s="3090"/>
      <c r="L24" s="3090"/>
      <c r="M24" s="3090"/>
    </row>
    <row r="25" spans="1:13" ht="27.75" customHeight="1">
      <c r="A25" s="3021" t="s">
        <v>642</v>
      </c>
      <c r="B25" s="3021"/>
      <c r="C25" s="3250" t="str">
        <f>IF(D24&lt;&gt;资产负债!D5,"货币资金账载数与报表数相差"&amp;DOLLAR(D24-资产负债!D5,2)&amp;"元，请查明原因！","货币资金账载数与报表数相符！")</f>
        <v>货币资金账载数与报表数相符！</v>
      </c>
      <c r="D25" s="3250"/>
      <c r="E25" s="3250"/>
      <c r="F25" s="3250"/>
      <c r="G25" s="3250"/>
      <c r="H25" s="3250"/>
      <c r="I25" s="3090"/>
      <c r="J25" s="3090"/>
      <c r="K25" s="3090"/>
      <c r="L25" s="3090"/>
      <c r="M25" s="3090"/>
    </row>
    <row r="26" spans="1:13" ht="15" customHeight="1">
      <c r="A26" s="3024" t="s">
        <v>1324</v>
      </c>
      <c r="B26" s="3024"/>
      <c r="C26" s="550" t="s">
        <v>1388</v>
      </c>
      <c r="D26" s="3109" t="str">
        <f>IF(G24&lt;&gt;0,"、E","")</f>
        <v/>
      </c>
      <c r="E26" s="3109"/>
      <c r="F26" s="3109"/>
      <c r="G26" s="3109"/>
      <c r="H26" s="3109"/>
      <c r="I26" s="523"/>
      <c r="J26" s="748"/>
      <c r="K26" s="748"/>
      <c r="L26" s="748"/>
      <c r="M26" s="748"/>
    </row>
    <row r="27" spans="1:13" ht="25.5" customHeight="1">
      <c r="A27" s="3024"/>
      <c r="B27" s="3024"/>
      <c r="C27" s="3636"/>
      <c r="D27" s="3636"/>
      <c r="E27" s="3636"/>
      <c r="F27" s="3636"/>
      <c r="G27" s="3636"/>
      <c r="H27" s="3636"/>
    </row>
    <row r="28" spans="1:13" ht="21" customHeight="1">
      <c r="A28" s="3156" t="s">
        <v>575</v>
      </c>
      <c r="B28" s="3156"/>
      <c r="C28" s="3135" t="str">
        <f>IF(H24&lt;&gt;D24,"货币资金调整后认可！","货币资金与相关文件相符,认可！")</f>
        <v>货币资金与相关文件相符,认可！</v>
      </c>
      <c r="D28" s="3135"/>
      <c r="E28" s="3135"/>
      <c r="F28" s="3135"/>
      <c r="G28" s="3135"/>
      <c r="H28" s="3135"/>
    </row>
  </sheetData>
  <sheetProtection selectLockedCells="1" selectUnlockedCells="1"/>
  <mergeCells count="34">
    <mergeCell ref="A26:B27"/>
    <mergeCell ref="D26:H26"/>
    <mergeCell ref="C27:H27"/>
    <mergeCell ref="A28:B28"/>
    <mergeCell ref="C28:H28"/>
    <mergeCell ref="A11:A19"/>
    <mergeCell ref="I14:M22"/>
    <mergeCell ref="B19:C19"/>
    <mergeCell ref="A20:A23"/>
    <mergeCell ref="B20:C20"/>
    <mergeCell ref="B21:C21"/>
    <mergeCell ref="B22:C22"/>
    <mergeCell ref="B23:C23"/>
    <mergeCell ref="I23:M25"/>
    <mergeCell ref="A24:C24"/>
    <mergeCell ref="A25:B25"/>
    <mergeCell ref="C25:H25"/>
    <mergeCell ref="A6:A10"/>
    <mergeCell ref="B6:C6"/>
    <mergeCell ref="E6:F6"/>
    <mergeCell ref="B7:C7"/>
    <mergeCell ref="E7:F7"/>
    <mergeCell ref="B8:C8"/>
    <mergeCell ref="E8:F8"/>
    <mergeCell ref="E9:F9"/>
    <mergeCell ref="B10:C10"/>
    <mergeCell ref="E10:F10"/>
    <mergeCell ref="A1:H1"/>
    <mergeCell ref="I1:I5"/>
    <mergeCell ref="A2:C2"/>
    <mergeCell ref="A3:C3"/>
    <mergeCell ref="A4:H4"/>
    <mergeCell ref="A5:C5"/>
    <mergeCell ref="E5:F5"/>
  </mergeCells>
  <phoneticPr fontId="51" type="noConversion"/>
  <dataValidations count="2">
    <dataValidation allowBlank="1" showErrorMessage="1" promptTitle="存在调整事项时" prompt="_x000a_选择 “E”" sqref="D26:H26">
      <formula1>0</formula1>
      <formula2>0</formula2>
    </dataValidation>
    <dataValidation type="list" allowBlank="1" showErrorMessage="1" sqref="F12:F18">
      <formula1>"是,否"</formula1>
      <formula2>0</formula2>
    </dataValidation>
  </dataValidations>
  <hyperlinks>
    <hyperlink ref="I7" location="资产负债!A1" display="资产负债表"/>
    <hyperlink ref="I11" location="现金证明!A1" display="现金证明"/>
  </hyperlinks>
  <pageMargins left="0.78740157480314998" right="0.35433070866141703" top="0.511811023622047" bottom="0.11811023622047198" header="0.511811023622047" footer="0.511811023622047"/>
  <pageSetup paperSize="9" firstPageNumber="0" orientation="landscape" blackAndWhite="1" r:id="rId1"/>
  <headerFooter alignWithMargins="0"/>
</worksheet>
</file>

<file path=xl/worksheets/sheet8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7"/>
  <dimension ref="A1:L24"/>
  <sheetViews>
    <sheetView workbookViewId="0"/>
  </sheetViews>
  <sheetFormatPr defaultColWidth="9" defaultRowHeight="15.6"/>
  <cols>
    <col min="1" max="1" width="14.69921875" style="92" customWidth="1"/>
    <col min="2" max="2" width="35" style="92" customWidth="1"/>
    <col min="3" max="3" width="6" style="92" customWidth="1"/>
    <col min="4" max="4" width="17.59765625" style="92" customWidth="1"/>
    <col min="5" max="5" width="2.19921875" style="92" customWidth="1"/>
    <col min="6" max="16384" width="9" style="92"/>
  </cols>
  <sheetData>
    <row r="1" spans="1:12" s="317" customFormat="1" ht="44.25" customHeight="1">
      <c r="A1" s="315"/>
      <c r="B1" s="2707" t="s">
        <v>516</v>
      </c>
      <c r="C1" s="2707"/>
      <c r="D1" s="2707"/>
      <c r="E1" s="2707"/>
      <c r="F1" s="316"/>
      <c r="G1" s="316"/>
      <c r="H1" s="316"/>
      <c r="I1" s="316"/>
      <c r="J1" s="316"/>
      <c r="K1" s="316"/>
      <c r="L1" s="316"/>
    </row>
    <row r="2" spans="1:12" ht="18.75" customHeight="1">
      <c r="A2" s="318"/>
      <c r="B2" s="3007"/>
      <c r="C2" s="3007"/>
      <c r="D2" s="3007"/>
      <c r="E2" s="3007"/>
      <c r="F2" s="98"/>
      <c r="G2" s="98"/>
      <c r="H2" s="98"/>
      <c r="I2" s="98"/>
      <c r="J2" s="98"/>
      <c r="K2" s="98"/>
      <c r="L2" s="98"/>
    </row>
    <row r="3" spans="1:12" ht="33" customHeight="1">
      <c r="A3" s="319" t="s">
        <v>517</v>
      </c>
      <c r="B3" s="3638">
        <f>基本情况!B2</f>
        <v>0</v>
      </c>
      <c r="C3" s="3638"/>
      <c r="D3" s="3638"/>
      <c r="E3" s="3638"/>
      <c r="F3" s="98"/>
      <c r="G3" s="98"/>
      <c r="H3" s="98"/>
      <c r="I3" s="98"/>
      <c r="J3" s="98"/>
      <c r="K3" s="98"/>
      <c r="L3" s="98"/>
    </row>
    <row r="4" spans="1:12" ht="33" customHeight="1">
      <c r="A4" s="320"/>
      <c r="B4" s="3639"/>
      <c r="C4" s="3639"/>
      <c r="D4" s="3639"/>
      <c r="E4" s="3639"/>
      <c r="F4" s="98"/>
      <c r="G4" s="98"/>
      <c r="H4" s="98"/>
      <c r="I4" s="98"/>
      <c r="J4" s="98"/>
      <c r="K4" s="98"/>
      <c r="L4" s="98"/>
    </row>
    <row r="5" spans="1:12" ht="33" customHeight="1">
      <c r="A5" s="3637" t="str">
        <f>"兹证明上述公司在以下结算日  "&amp;本年度&amp;"年"&amp;截止月&amp;"月"&amp;截止日&amp;"日"&amp;"  持有现金额为："</f>
        <v>兹证明上述公司在以下结算日  2016年12月31日  持有现金额为：</v>
      </c>
      <c r="B5" s="3637"/>
      <c r="C5" s="3637"/>
      <c r="D5" s="3637"/>
      <c r="E5" s="3637"/>
      <c r="F5" s="2893" t="s">
        <v>396</v>
      </c>
      <c r="G5" s="2893"/>
      <c r="H5" s="98"/>
      <c r="I5" s="321"/>
      <c r="J5" s="98"/>
      <c r="K5" s="98"/>
      <c r="L5" s="98"/>
    </row>
    <row r="6" spans="1:12" ht="33" customHeight="1">
      <c r="A6" s="318" t="s">
        <v>518</v>
      </c>
      <c r="B6" s="322" t="str">
        <f>IF(D6&lt;0,"負","")&amp;TEXT(TRUNC(ABS(ROUND(D6,2))),"[DBNum2]")&amp;"元"&amp;IF(ISERR(FIND(".",ROUND(D6,2))),"",TEXT(RIGHT(TRUNC(ROUND(D6,2)*10)),"[DBNum2]"))&amp;IF(ISERR(FIND(".0",TEXT(D6,"0.00"))),"角","")&amp;IF(LEFT(RIGHT(ROUND(D6,2),3))=".",TEXT(RIGHT(ROUND(D6,2)),"[DBNum2]")&amp;"分","整")</f>
        <v>零元整</v>
      </c>
      <c r="C6" s="318" t="s">
        <v>519</v>
      </c>
      <c r="D6" s="323">
        <f>货币资金!E6</f>
        <v>0</v>
      </c>
      <c r="E6" s="324" t="s">
        <v>520</v>
      </c>
      <c r="F6" s="3641" t="s">
        <v>339</v>
      </c>
      <c r="G6" s="3641"/>
      <c r="H6" s="98"/>
      <c r="I6" s="98"/>
      <c r="J6" s="98"/>
      <c r="K6" s="98"/>
      <c r="L6" s="98"/>
    </row>
    <row r="7" spans="1:12" ht="33" customHeight="1">
      <c r="A7" s="318" t="s">
        <v>521</v>
      </c>
      <c r="B7" s="322" t="str">
        <f>IF(D7&lt;0,"負","")&amp;TEXT(TRUNC(ABS(ROUND(D7,2))),"[DBNum2]")&amp;"元"&amp;IF(ISERR(FIND(".",ROUND(D7,2))),"",TEXT(RIGHT(TRUNC(ROUND(D7,2)*10)),"[DBNum2]"))&amp;IF(ISERR(FIND(".0",TEXT(D7,"0.00"))),"角","")&amp;IF(LEFT(RIGHT(ROUND(D7,2),3))=".",TEXT(RIGHT(ROUND(D7,2)),"[DBNum2]")&amp;"分","整")</f>
        <v>零元整</v>
      </c>
      <c r="C7" s="318" t="s">
        <v>522</v>
      </c>
      <c r="D7" s="323">
        <f>货币资金!E7</f>
        <v>0</v>
      </c>
      <c r="E7" s="324" t="s">
        <v>520</v>
      </c>
      <c r="F7" s="98"/>
      <c r="G7" s="98"/>
      <c r="H7" s="98"/>
      <c r="I7" s="98"/>
      <c r="J7" s="98"/>
      <c r="K7" s="98"/>
      <c r="L7" s="98"/>
    </row>
    <row r="8" spans="1:12" ht="33" customHeight="1">
      <c r="A8" s="318" t="s">
        <v>523</v>
      </c>
      <c r="B8" s="322" t="str">
        <f>IF(D8&lt;0,"負","")&amp;TEXT(TRUNC(ABS(ROUND(D8,2))),"[DBNum2]")&amp;"元"&amp;IF(ISERR(FIND(".",ROUND(D8,2))),"",TEXT(RIGHT(TRUNC(ROUND(D8,2)*10)),"[DBNum2]"))&amp;IF(ISERR(FIND(".0",TEXT(D8,"0.00"))),"角","")&amp;IF(LEFT(RIGHT(ROUND(D8,2),3))=".",TEXT(RIGHT(ROUND(D8,2)),"[DBNum2]")&amp;"分","整")</f>
        <v>零元整</v>
      </c>
      <c r="C8" s="318" t="s">
        <v>524</v>
      </c>
      <c r="D8" s="323">
        <f>货币资金!E8</f>
        <v>0</v>
      </c>
      <c r="E8" s="324" t="s">
        <v>525</v>
      </c>
      <c r="F8" s="98"/>
      <c r="G8" s="98"/>
      <c r="H8" s="98"/>
      <c r="I8" s="98"/>
      <c r="J8" s="98"/>
      <c r="K8" s="98"/>
      <c r="L8" s="98"/>
    </row>
    <row r="9" spans="1:12" ht="33" customHeight="1">
      <c r="A9" s="318"/>
      <c r="B9" s="325"/>
      <c r="C9" s="318"/>
      <c r="D9" s="1093"/>
      <c r="E9" s="324"/>
      <c r="F9" s="98"/>
      <c r="G9" s="98"/>
      <c r="H9" s="98"/>
      <c r="I9" s="98"/>
      <c r="J9" s="98"/>
      <c r="K9" s="98"/>
      <c r="L9" s="98"/>
    </row>
    <row r="10" spans="1:12" ht="33" customHeight="1">
      <c r="A10" s="318"/>
      <c r="B10" s="325"/>
      <c r="C10" s="318"/>
      <c r="D10" s="1093"/>
      <c r="E10" s="324"/>
      <c r="F10" s="98"/>
      <c r="G10" s="98"/>
      <c r="H10" s="98"/>
      <c r="I10" s="98"/>
      <c r="J10" s="98"/>
      <c r="K10" s="98"/>
      <c r="L10" s="98"/>
    </row>
    <row r="11" spans="1:12" ht="33" customHeight="1">
      <c r="A11" s="318"/>
      <c r="B11" s="318" t="s">
        <v>526</v>
      </c>
      <c r="C11" s="3642" t="s">
        <v>527</v>
      </c>
      <c r="D11" s="3642"/>
      <c r="E11" s="3642"/>
      <c r="F11" s="98"/>
      <c r="G11" s="98"/>
      <c r="H11" s="98"/>
      <c r="I11" s="98"/>
      <c r="J11" s="98"/>
      <c r="K11" s="98"/>
      <c r="L11" s="98"/>
    </row>
    <row r="12" spans="1:12" ht="40.5" customHeight="1">
      <c r="A12" s="318"/>
      <c r="B12" s="318"/>
      <c r="C12" s="3643"/>
      <c r="D12" s="3643"/>
      <c r="E12" s="3643"/>
      <c r="F12" s="98"/>
      <c r="G12" s="98"/>
      <c r="H12" s="98"/>
      <c r="I12" s="98"/>
      <c r="J12" s="98"/>
      <c r="K12" s="98"/>
      <c r="L12" s="98"/>
    </row>
    <row r="13" spans="1:12" s="329" customFormat="1" ht="33" customHeight="1">
      <c r="A13" s="326"/>
      <c r="B13" s="327" t="s">
        <v>528</v>
      </c>
      <c r="C13" s="3642"/>
      <c r="D13" s="3642"/>
      <c r="E13" s="3642"/>
      <c r="F13" s="328"/>
      <c r="G13" s="328"/>
      <c r="H13" s="328"/>
      <c r="I13" s="328"/>
      <c r="J13" s="328"/>
      <c r="K13" s="328"/>
      <c r="L13" s="328"/>
    </row>
    <row r="14" spans="1:12" s="329" customFormat="1" ht="40.5" customHeight="1">
      <c r="A14" s="326"/>
      <c r="B14" s="327" t="s">
        <v>529</v>
      </c>
      <c r="C14" s="3642"/>
      <c r="D14" s="3642"/>
      <c r="E14" s="3642"/>
      <c r="F14" s="328"/>
      <c r="G14" s="328"/>
      <c r="H14" s="328"/>
      <c r="I14" s="328"/>
      <c r="J14" s="328"/>
      <c r="K14" s="328"/>
      <c r="L14" s="328"/>
    </row>
    <row r="15" spans="1:12" s="329" customFormat="1" ht="40.5" customHeight="1">
      <c r="A15" s="326"/>
      <c r="B15" s="327" t="s">
        <v>530</v>
      </c>
      <c r="C15" s="3642"/>
      <c r="D15" s="3642"/>
      <c r="E15" s="3642"/>
      <c r="F15" s="328"/>
      <c r="G15" s="328"/>
      <c r="H15" s="328"/>
      <c r="I15" s="328"/>
      <c r="J15" s="328"/>
      <c r="K15" s="328"/>
      <c r="L15" s="328"/>
    </row>
    <row r="16" spans="1:12" s="329" customFormat="1" ht="33" customHeight="1">
      <c r="A16" s="326"/>
      <c r="B16" s="327" t="s">
        <v>1456</v>
      </c>
      <c r="C16" s="3640" t="str">
        <f>基本情况!B21</f>
        <v>2017年3月16日</v>
      </c>
      <c r="D16" s="3640"/>
      <c r="E16" s="3640"/>
      <c r="F16" s="328"/>
      <c r="G16" s="328"/>
      <c r="H16" s="328"/>
      <c r="I16" s="328"/>
      <c r="J16" s="328"/>
      <c r="K16" s="328"/>
      <c r="L16" s="328"/>
    </row>
    <row r="17" spans="5:5">
      <c r="E17" s="330"/>
    </row>
    <row r="18" spans="5:5">
      <c r="E18" s="330"/>
    </row>
    <row r="19" spans="5:5">
      <c r="E19" s="330"/>
    </row>
    <row r="20" spans="5:5">
      <c r="E20" s="330"/>
    </row>
    <row r="21" spans="5:5">
      <c r="E21" s="330"/>
    </row>
    <row r="22" spans="5:5">
      <c r="E22" s="330"/>
    </row>
    <row r="23" spans="5:5">
      <c r="E23" s="330"/>
    </row>
    <row r="24" spans="5:5">
      <c r="E24" s="330"/>
    </row>
  </sheetData>
  <sheetProtection selectLockedCells="1" selectUnlockedCells="1"/>
  <mergeCells count="13">
    <mergeCell ref="C16:E16"/>
    <mergeCell ref="F6:G6"/>
    <mergeCell ref="C11:E11"/>
    <mergeCell ref="C12:E12"/>
    <mergeCell ref="C13:E13"/>
    <mergeCell ref="C14:E14"/>
    <mergeCell ref="C15:E15"/>
    <mergeCell ref="A5:E5"/>
    <mergeCell ref="F5:G5"/>
    <mergeCell ref="B1:E1"/>
    <mergeCell ref="B2:E2"/>
    <mergeCell ref="B3:E3"/>
    <mergeCell ref="B4:E4"/>
  </mergeCells>
  <phoneticPr fontId="51" type="noConversion"/>
  <hyperlinks>
    <hyperlink ref="F6" location="货币资金!A1" display="货币资金审核表"/>
  </hyperlinks>
  <pageMargins left="0.78740157480314998" right="0.35433070866141703" top="0.511811023622047" bottom="0.11811023622047198" header="0.511811023622047" footer="0.511811023622047"/>
  <pageSetup paperSize="9" firstPageNumber="0" orientation="portrait" blackAndWhite="1" r:id="rId1"/>
  <headerFooter alignWithMargins="0"/>
</worksheet>
</file>

<file path=xl/worksheets/sheet8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54"/>
  <dimension ref="A1:G34"/>
  <sheetViews>
    <sheetView workbookViewId="0">
      <selection sqref="A1:B1"/>
    </sheetView>
  </sheetViews>
  <sheetFormatPr defaultColWidth="9" defaultRowHeight="15.6"/>
  <cols>
    <col min="1" max="2" width="37.3984375" style="317" customWidth="1"/>
    <col min="3" max="16384" width="9" style="317"/>
  </cols>
  <sheetData>
    <row r="1" spans="1:7" ht="26.25" customHeight="1">
      <c r="A1" s="3645" t="s">
        <v>61</v>
      </c>
      <c r="B1" s="3646"/>
      <c r="C1" s="316"/>
      <c r="D1" s="316"/>
      <c r="E1" s="316"/>
      <c r="F1" s="316"/>
      <c r="G1" s="316"/>
    </row>
    <row r="2" spans="1:7">
      <c r="A2" s="3647"/>
      <c r="B2" s="3648"/>
      <c r="C2" s="316"/>
      <c r="D2" s="316"/>
      <c r="E2" s="316"/>
      <c r="F2" s="316"/>
      <c r="G2" s="316"/>
    </row>
    <row r="3" spans="1:7">
      <c r="A3" s="1951" t="s">
        <v>1389</v>
      </c>
      <c r="B3" s="1950" t="str">
        <f>本年度&amp;"年"&amp;截止月&amp;"月"&amp;截止日&amp;"日"</f>
        <v>2016年12月31日</v>
      </c>
      <c r="C3" s="316"/>
      <c r="D3" s="316"/>
      <c r="E3" s="316"/>
      <c r="F3" s="316"/>
      <c r="G3" s="316"/>
    </row>
    <row r="4" spans="1:7">
      <c r="A4" s="3647"/>
      <c r="B4" s="3648"/>
      <c r="C4" s="316"/>
      <c r="D4" s="316"/>
      <c r="E4" s="316"/>
      <c r="F4" s="316"/>
      <c r="G4" s="316"/>
    </row>
    <row r="5" spans="1:7" ht="21" customHeight="1">
      <c r="A5" s="998" t="str">
        <f>"编制单位："&amp;基本情况!B2</f>
        <v>编制单位：0</v>
      </c>
      <c r="B5" s="1953" t="s">
        <v>1390</v>
      </c>
      <c r="C5" s="316"/>
      <c r="D5" s="316"/>
      <c r="E5" s="316"/>
      <c r="F5" s="316"/>
      <c r="G5" s="316"/>
    </row>
    <row r="6" spans="1:7" ht="21" customHeight="1">
      <c r="A6" s="999" t="s">
        <v>1391</v>
      </c>
      <c r="B6" s="1952" t="s">
        <v>1392</v>
      </c>
      <c r="C6" s="316"/>
      <c r="D6" s="316"/>
      <c r="E6" s="316"/>
      <c r="F6" s="316"/>
      <c r="G6" s="316"/>
    </row>
    <row r="7" spans="1:7" ht="21" customHeight="1">
      <c r="A7" s="1000" t="s">
        <v>1393</v>
      </c>
      <c r="B7" s="1000" t="s">
        <v>1394</v>
      </c>
      <c r="C7" s="316"/>
      <c r="D7" s="316"/>
      <c r="E7" s="316"/>
      <c r="F7" s="316"/>
      <c r="G7" s="316"/>
    </row>
    <row r="8" spans="1:7" ht="18" customHeight="1">
      <c r="A8" s="1001" t="s">
        <v>1395</v>
      </c>
      <c r="B8" s="1001" t="s">
        <v>1395</v>
      </c>
      <c r="C8" s="316"/>
      <c r="D8" s="316"/>
      <c r="E8" s="316"/>
      <c r="F8" s="316"/>
      <c r="G8" s="316"/>
    </row>
    <row r="9" spans="1:7" ht="18" customHeight="1">
      <c r="A9" s="1001" t="s">
        <v>1396</v>
      </c>
      <c r="B9" s="1001" t="s">
        <v>1396</v>
      </c>
      <c r="C9" s="316"/>
      <c r="D9" s="316"/>
      <c r="E9" s="316"/>
      <c r="F9" s="316"/>
      <c r="G9" s="316"/>
    </row>
    <row r="10" spans="1:7" ht="18" customHeight="1">
      <c r="A10" s="1001" t="s">
        <v>1397</v>
      </c>
      <c r="B10" s="1001" t="s">
        <v>1397</v>
      </c>
      <c r="C10" s="316"/>
      <c r="D10" s="316"/>
      <c r="E10" s="316"/>
      <c r="F10" s="316"/>
      <c r="G10" s="316"/>
    </row>
    <row r="11" spans="1:7" ht="18" customHeight="1">
      <c r="A11" s="1001" t="s">
        <v>1396</v>
      </c>
      <c r="B11" s="1001" t="s">
        <v>1396</v>
      </c>
      <c r="C11" s="316"/>
      <c r="D11" s="316"/>
      <c r="E11" s="316"/>
      <c r="F11" s="316"/>
      <c r="G11" s="316"/>
    </row>
    <row r="12" spans="1:7" ht="18" customHeight="1">
      <c r="A12" s="1001" t="s">
        <v>1398</v>
      </c>
      <c r="B12" s="1001" t="s">
        <v>1398</v>
      </c>
      <c r="C12" s="316"/>
      <c r="D12" s="316"/>
      <c r="E12" s="316"/>
      <c r="F12" s="316"/>
      <c r="G12" s="316"/>
    </row>
    <row r="13" spans="1:7" ht="18" customHeight="1">
      <c r="A13" s="1001" t="s">
        <v>1396</v>
      </c>
      <c r="B13" s="1001" t="s">
        <v>1396</v>
      </c>
      <c r="C13" s="316"/>
      <c r="D13" s="316"/>
      <c r="E13" s="316"/>
      <c r="F13" s="316"/>
      <c r="G13" s="316"/>
    </row>
    <row r="14" spans="1:7" ht="18" customHeight="1">
      <c r="A14" s="1001" t="s">
        <v>1399</v>
      </c>
      <c r="B14" s="1001" t="s">
        <v>1399</v>
      </c>
      <c r="C14" s="316"/>
      <c r="D14" s="316"/>
      <c r="E14" s="316"/>
      <c r="F14" s="316"/>
      <c r="G14" s="316"/>
    </row>
    <row r="15" spans="1:7" ht="18" customHeight="1">
      <c r="A15" s="1001" t="s">
        <v>1396</v>
      </c>
      <c r="B15" s="1001" t="s">
        <v>1396</v>
      </c>
      <c r="C15" s="316"/>
      <c r="D15" s="316"/>
      <c r="E15" s="316"/>
      <c r="F15" s="316"/>
      <c r="G15" s="316"/>
    </row>
    <row r="16" spans="1:7" ht="18" customHeight="1">
      <c r="A16" s="1002"/>
      <c r="B16" s="1002"/>
      <c r="C16" s="316"/>
      <c r="D16" s="316"/>
      <c r="E16" s="316"/>
      <c r="F16" s="316"/>
      <c r="G16" s="316"/>
    </row>
    <row r="17" spans="1:7" ht="18" customHeight="1">
      <c r="A17" s="1002"/>
      <c r="B17" s="1002"/>
      <c r="C17" s="316"/>
      <c r="D17" s="316"/>
      <c r="E17" s="316"/>
      <c r="F17" s="316"/>
      <c r="G17" s="316"/>
    </row>
    <row r="18" spans="1:7" ht="21" customHeight="1">
      <c r="A18" s="1000" t="s">
        <v>1400</v>
      </c>
      <c r="B18" s="1000" t="s">
        <v>1401</v>
      </c>
      <c r="C18" s="316"/>
      <c r="D18" s="316"/>
      <c r="E18" s="316"/>
      <c r="F18" s="316"/>
      <c r="G18" s="316"/>
    </row>
    <row r="19" spans="1:7" ht="18" customHeight="1">
      <c r="A19" s="1001" t="s">
        <v>1395</v>
      </c>
      <c r="B19" s="1001" t="s">
        <v>1395</v>
      </c>
      <c r="C19" s="316"/>
      <c r="D19" s="316"/>
      <c r="E19" s="316"/>
      <c r="F19" s="316"/>
      <c r="G19" s="316"/>
    </row>
    <row r="20" spans="1:7" ht="18" customHeight="1">
      <c r="A20" s="1001" t="s">
        <v>1396</v>
      </c>
      <c r="B20" s="1001" t="s">
        <v>1396</v>
      </c>
      <c r="C20" s="316"/>
      <c r="D20" s="316"/>
      <c r="E20" s="316"/>
      <c r="F20" s="316"/>
      <c r="G20" s="316"/>
    </row>
    <row r="21" spans="1:7" ht="18" customHeight="1">
      <c r="A21" s="1001" t="s">
        <v>1397</v>
      </c>
      <c r="B21" s="1001" t="s">
        <v>1397</v>
      </c>
      <c r="C21" s="316"/>
      <c r="D21" s="316"/>
      <c r="E21" s="316"/>
      <c r="F21" s="316"/>
      <c r="G21" s="316"/>
    </row>
    <row r="22" spans="1:7" ht="18" customHeight="1">
      <c r="A22" s="1001" t="s">
        <v>1396</v>
      </c>
      <c r="B22" s="1001" t="s">
        <v>1396</v>
      </c>
      <c r="C22" s="316"/>
      <c r="D22" s="316"/>
      <c r="E22" s="316"/>
      <c r="F22" s="316"/>
      <c r="G22" s="316"/>
    </row>
    <row r="23" spans="1:7" ht="18" customHeight="1">
      <c r="A23" s="1001" t="s">
        <v>1398</v>
      </c>
      <c r="B23" s="1001" t="s">
        <v>1398</v>
      </c>
      <c r="C23" s="316"/>
      <c r="D23" s="316"/>
      <c r="E23" s="316"/>
      <c r="F23" s="316"/>
      <c r="G23" s="316"/>
    </row>
    <row r="24" spans="1:7" ht="18" customHeight="1">
      <c r="A24" s="1001" t="s">
        <v>1396</v>
      </c>
      <c r="B24" s="1001" t="s">
        <v>1396</v>
      </c>
      <c r="C24" s="316"/>
      <c r="D24" s="316"/>
      <c r="E24" s="316"/>
      <c r="F24" s="316"/>
      <c r="G24" s="316"/>
    </row>
    <row r="25" spans="1:7" ht="18" customHeight="1">
      <c r="A25" s="1001" t="s">
        <v>1399</v>
      </c>
      <c r="B25" s="1001" t="s">
        <v>1399</v>
      </c>
      <c r="C25" s="316"/>
      <c r="D25" s="316"/>
      <c r="E25" s="316"/>
      <c r="F25" s="316"/>
      <c r="G25" s="316"/>
    </row>
    <row r="26" spans="1:7" ht="18" customHeight="1">
      <c r="A26" s="1001" t="s">
        <v>1396</v>
      </c>
      <c r="B26" s="1001" t="s">
        <v>1396</v>
      </c>
      <c r="C26" s="316"/>
      <c r="D26" s="316"/>
      <c r="E26" s="316"/>
      <c r="F26" s="316"/>
      <c r="G26" s="316"/>
    </row>
    <row r="27" spans="1:7" ht="18" customHeight="1">
      <c r="A27" s="1002"/>
      <c r="B27" s="1002"/>
      <c r="C27" s="316"/>
      <c r="D27" s="316"/>
      <c r="E27" s="316"/>
      <c r="F27" s="316"/>
      <c r="G27" s="316"/>
    </row>
    <row r="28" spans="1:7" ht="18" customHeight="1">
      <c r="A28" s="1002"/>
      <c r="B28" s="1002"/>
      <c r="C28" s="316"/>
      <c r="D28" s="316"/>
      <c r="E28" s="316"/>
      <c r="F28" s="316"/>
      <c r="G28" s="316"/>
    </row>
    <row r="29" spans="1:7" ht="21" customHeight="1">
      <c r="A29" s="1003" t="s">
        <v>1402</v>
      </c>
      <c r="B29" s="1004" t="s">
        <v>1403</v>
      </c>
      <c r="C29" s="316"/>
      <c r="D29" s="316"/>
      <c r="E29" s="316"/>
      <c r="F29" s="316"/>
      <c r="G29" s="316"/>
    </row>
    <row r="30" spans="1:7">
      <c r="A30" s="1005" t="s">
        <v>1404</v>
      </c>
      <c r="B30" s="316"/>
      <c r="C30" s="316"/>
      <c r="D30" s="316"/>
      <c r="E30" s="316"/>
      <c r="F30" s="316"/>
      <c r="G30" s="316"/>
    </row>
    <row r="31" spans="1:7">
      <c r="A31" s="1006" t="s">
        <v>1405</v>
      </c>
    </row>
    <row r="32" spans="1:7" ht="21" customHeight="1">
      <c r="A32" s="3649" t="s">
        <v>1406</v>
      </c>
      <c r="B32" s="3649"/>
    </row>
    <row r="33" spans="1:2" ht="21" customHeight="1">
      <c r="A33" s="1007" t="s">
        <v>1407</v>
      </c>
    </row>
    <row r="34" spans="1:2" ht="21" customHeight="1">
      <c r="A34" s="3644" t="str">
        <f>基本情况!B21</f>
        <v>2017年3月16日</v>
      </c>
      <c r="B34" s="3644"/>
    </row>
  </sheetData>
  <sheetProtection selectLockedCells="1" selectUnlockedCells="1"/>
  <mergeCells count="5">
    <mergeCell ref="A34:B34"/>
    <mergeCell ref="A1:B1"/>
    <mergeCell ref="A2:B2"/>
    <mergeCell ref="A4:B4"/>
    <mergeCell ref="A32:B32"/>
  </mergeCells>
  <phoneticPr fontId="51" type="noConversion"/>
  <pageMargins left="0.78740157480314998" right="0.35433070866141703" top="0.511811023622047" bottom="0.11811023622047198" header="0.511811023622047" footer="0.511811023622047"/>
  <pageSetup paperSize="9" firstPageNumber="0" orientation="portrait" blackAndWhite="1" r:id="rId1"/>
  <headerFooter alignWithMargins="0"/>
</worksheet>
</file>

<file path=xl/worksheets/sheet8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55"/>
  <dimension ref="A1:H392"/>
  <sheetViews>
    <sheetView workbookViewId="0">
      <selection sqref="A1:F1"/>
    </sheetView>
  </sheetViews>
  <sheetFormatPr defaultColWidth="9" defaultRowHeight="15.6"/>
  <cols>
    <col min="1" max="1" width="23.09765625" style="130" customWidth="1"/>
    <col min="2" max="3" width="13.69921875" style="130" customWidth="1"/>
    <col min="4" max="4" width="9.09765625" style="130" customWidth="1"/>
    <col min="5" max="5" width="13.69921875" style="130" customWidth="1"/>
    <col min="6" max="6" width="9.69921875" style="130" customWidth="1"/>
    <col min="7" max="7" width="65.09765625" style="444" customWidth="1"/>
    <col min="8" max="16384" width="9" style="554"/>
  </cols>
  <sheetData>
    <row r="1" spans="1:8" ht="30" customHeight="1">
      <c r="A1" s="2707" t="s">
        <v>343</v>
      </c>
      <c r="B1" s="2707"/>
      <c r="C1" s="2707"/>
      <c r="D1" s="2707"/>
      <c r="E1" s="2707"/>
      <c r="F1" s="2707"/>
      <c r="G1" s="3239"/>
    </row>
    <row r="2" spans="1:8" s="558" customFormat="1" ht="20.25" customHeight="1">
      <c r="A2" s="3190" t="str">
        <f>"委托单位："&amp;基本情况!B2</f>
        <v>委托单位：0</v>
      </c>
      <c r="B2" s="3190"/>
      <c r="C2" s="509"/>
      <c r="D2" s="136" t="s">
        <v>1283</v>
      </c>
      <c r="E2" s="136" t="s">
        <v>1054</v>
      </c>
      <c r="F2" s="485" t="s">
        <v>283</v>
      </c>
      <c r="G2" s="3239"/>
    </row>
    <row r="3" spans="1:8" s="558" customFormat="1" ht="20.25" customHeight="1">
      <c r="A3" s="3190"/>
      <c r="B3" s="3190"/>
      <c r="C3" s="158" t="s">
        <v>451</v>
      </c>
      <c r="D3" s="510">
        <f>基本情况!B12</f>
        <v>0</v>
      </c>
      <c r="E3" s="559" t="str">
        <f>TEXT(基本情况!B21,"yyyy-mm-dd")</f>
        <v>2017-03-16</v>
      </c>
      <c r="F3" s="3081" t="str">
        <f>档案索引!D35</f>
        <v>4-2</v>
      </c>
      <c r="G3" s="3239"/>
    </row>
    <row r="4" spans="1:8" s="558" customFormat="1" ht="20.25" customHeight="1">
      <c r="A4" s="3161" t="str">
        <f>"会计期间："&amp;基本情况!B7</f>
        <v>会计期间：2016年01月01日至2016年12月31日</v>
      </c>
      <c r="B4" s="3161"/>
      <c r="C4" s="140" t="s">
        <v>453</v>
      </c>
      <c r="D4" s="513">
        <f>基本情况!B11</f>
        <v>0</v>
      </c>
      <c r="E4" s="513" t="str">
        <f>TEXT(基本情况!B22,"yyyy-mm-dd")</f>
        <v>2017-05-04</v>
      </c>
      <c r="F4" s="3081"/>
      <c r="G4" s="3239"/>
    </row>
    <row r="5" spans="1:8" s="565" customFormat="1" ht="7.5" customHeight="1">
      <c r="A5" s="2894"/>
      <c r="B5" s="2894"/>
      <c r="C5" s="2894"/>
      <c r="D5" s="2894"/>
      <c r="E5" s="2894"/>
      <c r="F5" s="2894"/>
      <c r="G5" s="1008"/>
    </row>
    <row r="6" spans="1:8" s="649" customFormat="1" ht="20.25" customHeight="1">
      <c r="A6" s="532" t="s">
        <v>642</v>
      </c>
      <c r="B6" s="3654" t="str">
        <f>IF(基本情况!B29="否",IF(B14-C14-F11&lt;&gt;资产负债!D8,"账载数与报表数相差"&amp;DOLLAR(B14-C14-F11-资产负债!D8,2)&amp;"元！","账载数与报表数相符！"),IF(B13-F11&lt;&gt;资产负债!D8,"账载数与报表数相差"&amp;DOLLAR(B13-F11-资产负债!D8,2)&amp;"元！","账载数与报表数相符！"))</f>
        <v>账载数与报表数相符！</v>
      </c>
      <c r="C6" s="3654"/>
      <c r="D6" s="3654"/>
      <c r="E6" s="3654"/>
      <c r="F6" s="3654"/>
      <c r="G6" s="1009" t="s">
        <v>396</v>
      </c>
      <c r="H6" s="607"/>
    </row>
    <row r="7" spans="1:8" s="649" customFormat="1" ht="15" customHeight="1">
      <c r="A7" s="3024" t="s">
        <v>1324</v>
      </c>
      <c r="B7" s="3142" t="s">
        <v>1408</v>
      </c>
      <c r="C7" s="3142"/>
      <c r="D7" s="3142"/>
      <c r="E7" s="3109" t="str">
        <f>IF(OR(D14&lt;&gt;0,D13&lt;&gt;0),"、E","")</f>
        <v/>
      </c>
      <c r="F7" s="3109"/>
      <c r="G7" s="470"/>
      <c r="H7" s="607"/>
    </row>
    <row r="8" spans="1:8" s="649" customFormat="1" ht="61.5" customHeight="1">
      <c r="A8" s="3024"/>
      <c r="B8" s="3653"/>
      <c r="C8" s="3653"/>
      <c r="D8" s="3653"/>
      <c r="E8" s="3653"/>
      <c r="F8" s="3653"/>
      <c r="G8" s="1010" t="s">
        <v>1289</v>
      </c>
      <c r="H8" s="607"/>
    </row>
    <row r="9" spans="1:8" s="649" customFormat="1" ht="20.25" customHeight="1">
      <c r="A9" s="528" t="s">
        <v>575</v>
      </c>
      <c r="B9" s="3135" t="str">
        <f>IF(OR(D14&lt;&gt;0,D13&lt;&gt;0),"调整后认可！","不存在调整事项,认可！")</f>
        <v>不存在调整事项,认可！</v>
      </c>
      <c r="C9" s="3135"/>
      <c r="D9" s="3135"/>
      <c r="E9" s="3135"/>
      <c r="F9" s="3135"/>
      <c r="G9" s="3650"/>
      <c r="H9" s="607"/>
    </row>
    <row r="10" spans="1:8" s="649" customFormat="1" ht="20.25" customHeight="1">
      <c r="A10" s="3128" t="s">
        <v>1409</v>
      </c>
      <c r="B10" s="1011" t="s">
        <v>1252</v>
      </c>
      <c r="C10" s="2898" t="s">
        <v>1253</v>
      </c>
      <c r="D10" s="2898"/>
      <c r="E10" s="136" t="s">
        <v>1254</v>
      </c>
      <c r="F10" s="485" t="s">
        <v>1255</v>
      </c>
      <c r="G10" s="3650"/>
    </row>
    <row r="11" spans="1:8" s="649" customFormat="1" ht="20.25" customHeight="1">
      <c r="A11" s="3128"/>
      <c r="B11" s="1195"/>
      <c r="C11" s="3651"/>
      <c r="D11" s="3651"/>
      <c r="E11" s="1196"/>
      <c r="F11" s="596">
        <f>B11+C11-E11</f>
        <v>0</v>
      </c>
      <c r="G11" s="1012"/>
    </row>
    <row r="12" spans="1:8" s="649" customFormat="1" ht="20.25" customHeight="1">
      <c r="A12" s="135" t="s">
        <v>666</v>
      </c>
      <c r="B12" s="1011" t="s">
        <v>1410</v>
      </c>
      <c r="C12" s="136" t="s">
        <v>1411</v>
      </c>
      <c r="D12" s="136" t="s">
        <v>981</v>
      </c>
      <c r="E12" s="136" t="s">
        <v>503</v>
      </c>
      <c r="F12" s="485" t="s">
        <v>1412</v>
      </c>
      <c r="G12" s="1012"/>
    </row>
    <row r="13" spans="1:8" s="649" customFormat="1" ht="20.25" customHeight="1">
      <c r="A13" s="1013" t="s">
        <v>1413</v>
      </c>
      <c r="B13" s="1014">
        <f>IF(基本情况!B29="否",0,B14+预收!B12)</f>
        <v>0</v>
      </c>
      <c r="C13" s="1014">
        <f>IF(基本情况!B29="否",0,C14+预收!C12)</f>
        <v>0</v>
      </c>
      <c r="D13" s="1197"/>
      <c r="E13" s="1015">
        <f>B13+D13</f>
        <v>0</v>
      </c>
      <c r="F13" s="1016">
        <f>IF(基本情况!B29="否",0,F14+预收!F12)</f>
        <v>0</v>
      </c>
      <c r="G13" s="1012"/>
    </row>
    <row r="14" spans="1:8" s="649" customFormat="1" ht="20.25" customHeight="1">
      <c r="A14" s="528" t="s">
        <v>1414</v>
      </c>
      <c r="B14" s="1017">
        <f>SUM(B15:B3004)</f>
        <v>0</v>
      </c>
      <c r="C14" s="1017">
        <f>SUM(C15:C3004)</f>
        <v>0</v>
      </c>
      <c r="D14" s="529">
        <f>SUM(D15:D304)</f>
        <v>0</v>
      </c>
      <c r="E14" s="529">
        <f>SUM(E15:E304)</f>
        <v>0</v>
      </c>
      <c r="F14" s="989">
        <f>SUM(F15:F304)</f>
        <v>0</v>
      </c>
      <c r="G14" s="752"/>
    </row>
    <row r="15" spans="1:8" s="558" customFormat="1" ht="15" customHeight="1">
      <c r="A15" s="1018"/>
      <c r="B15" s="1198"/>
      <c r="C15" s="1161"/>
      <c r="D15" s="1161"/>
      <c r="E15" s="1019">
        <f>B15-C15+D15</f>
        <v>0</v>
      </c>
      <c r="F15" s="1199"/>
      <c r="G15" s="3652" t="s">
        <v>1415</v>
      </c>
    </row>
    <row r="16" spans="1:8" s="558" customFormat="1" ht="15" customHeight="1">
      <c r="A16" s="680"/>
      <c r="B16" s="1200"/>
      <c r="C16" s="1120"/>
      <c r="D16" s="1120"/>
      <c r="E16" s="1015">
        <f>B16-C16+D16</f>
        <v>0</v>
      </c>
      <c r="F16" s="1201"/>
      <c r="G16" s="3652"/>
    </row>
    <row r="17" spans="1:7" s="558" customFormat="1" ht="15" customHeight="1">
      <c r="A17" s="680"/>
      <c r="B17" s="1200"/>
      <c r="C17" s="1120"/>
      <c r="D17" s="1120"/>
      <c r="E17" s="1015">
        <f t="shared" ref="E17:E80" si="0">B17-C17+D17</f>
        <v>0</v>
      </c>
      <c r="F17" s="1201"/>
      <c r="G17" s="3652"/>
    </row>
    <row r="18" spans="1:7" s="558" customFormat="1" ht="15" customHeight="1">
      <c r="A18" s="680"/>
      <c r="B18" s="1200"/>
      <c r="C18" s="1120"/>
      <c r="D18" s="1120"/>
      <c r="E18" s="1015">
        <f t="shared" si="0"/>
        <v>0</v>
      </c>
      <c r="F18" s="1201"/>
      <c r="G18" s="3652"/>
    </row>
    <row r="19" spans="1:7" s="558" customFormat="1" ht="15" customHeight="1">
      <c r="A19" s="680"/>
      <c r="B19" s="1200"/>
      <c r="C19" s="1120"/>
      <c r="D19" s="1120"/>
      <c r="E19" s="1015">
        <f t="shared" si="0"/>
        <v>0</v>
      </c>
      <c r="F19" s="1201"/>
      <c r="G19" s="3652"/>
    </row>
    <row r="20" spans="1:7" s="558" customFormat="1" ht="15" customHeight="1">
      <c r="A20" s="680"/>
      <c r="B20" s="1200"/>
      <c r="C20" s="1120"/>
      <c r="D20" s="1120"/>
      <c r="E20" s="1015">
        <f t="shared" si="0"/>
        <v>0</v>
      </c>
      <c r="F20" s="1201"/>
      <c r="G20" s="3652"/>
    </row>
    <row r="21" spans="1:7" s="558" customFormat="1" ht="15" customHeight="1">
      <c r="A21" s="680"/>
      <c r="B21" s="1200"/>
      <c r="C21" s="1120"/>
      <c r="D21" s="1120"/>
      <c r="E21" s="1015">
        <f t="shared" si="0"/>
        <v>0</v>
      </c>
      <c r="F21" s="1201"/>
      <c r="G21" s="3652"/>
    </row>
    <row r="22" spans="1:7" s="558" customFormat="1" ht="15" customHeight="1">
      <c r="A22" s="680"/>
      <c r="B22" s="1200"/>
      <c r="C22" s="1120"/>
      <c r="D22" s="1120"/>
      <c r="E22" s="1015">
        <f t="shared" si="0"/>
        <v>0</v>
      </c>
      <c r="F22" s="1201"/>
      <c r="G22" s="3652"/>
    </row>
    <row r="23" spans="1:7" s="558" customFormat="1" ht="15" customHeight="1">
      <c r="A23" s="680"/>
      <c r="B23" s="1200"/>
      <c r="C23" s="1120"/>
      <c r="D23" s="1120"/>
      <c r="E23" s="1015">
        <f t="shared" si="0"/>
        <v>0</v>
      </c>
      <c r="F23" s="1201"/>
      <c r="G23" s="3650" t="s">
        <v>1416</v>
      </c>
    </row>
    <row r="24" spans="1:7" s="558" customFormat="1" ht="15" customHeight="1">
      <c r="A24" s="680"/>
      <c r="B24" s="1200"/>
      <c r="C24" s="1120"/>
      <c r="D24" s="1120"/>
      <c r="E24" s="1015">
        <f t="shared" si="0"/>
        <v>0</v>
      </c>
      <c r="F24" s="1201"/>
      <c r="G24" s="3650"/>
    </row>
    <row r="25" spans="1:7" s="558" customFormat="1" ht="15" customHeight="1">
      <c r="A25" s="680"/>
      <c r="B25" s="1200"/>
      <c r="C25" s="1120"/>
      <c r="D25" s="1120"/>
      <c r="E25" s="1015">
        <f t="shared" si="0"/>
        <v>0</v>
      </c>
      <c r="F25" s="1201"/>
      <c r="G25" s="1012" t="s">
        <v>1417</v>
      </c>
    </row>
    <row r="26" spans="1:7" s="558" customFormat="1" ht="15" customHeight="1">
      <c r="A26" s="680"/>
      <c r="B26" s="1200"/>
      <c r="C26" s="1120"/>
      <c r="D26" s="1120"/>
      <c r="E26" s="1015">
        <f t="shared" si="0"/>
        <v>0</v>
      </c>
      <c r="F26" s="1201"/>
      <c r="G26" s="470"/>
    </row>
    <row r="27" spans="1:7" s="558" customFormat="1" ht="15" customHeight="1">
      <c r="A27" s="680"/>
      <c r="B27" s="1200"/>
      <c r="C27" s="1120"/>
      <c r="D27" s="1120"/>
      <c r="E27" s="1015">
        <f t="shared" si="0"/>
        <v>0</v>
      </c>
      <c r="F27" s="1201"/>
      <c r="G27" s="470"/>
    </row>
    <row r="28" spans="1:7" s="558" customFormat="1" ht="15" customHeight="1">
      <c r="A28" s="680"/>
      <c r="B28" s="1200"/>
      <c r="C28" s="1120"/>
      <c r="D28" s="1120"/>
      <c r="E28" s="1015">
        <f t="shared" si="0"/>
        <v>0</v>
      </c>
      <c r="F28" s="1201"/>
      <c r="G28" s="470"/>
    </row>
    <row r="29" spans="1:7" s="558" customFormat="1" ht="15" customHeight="1">
      <c r="A29" s="680"/>
      <c r="B29" s="1200"/>
      <c r="C29" s="1120"/>
      <c r="D29" s="1120"/>
      <c r="E29" s="1015">
        <f t="shared" si="0"/>
        <v>0</v>
      </c>
      <c r="F29" s="1201"/>
      <c r="G29" s="470"/>
    </row>
    <row r="30" spans="1:7" s="558" customFormat="1" ht="15" customHeight="1">
      <c r="A30" s="680"/>
      <c r="B30" s="1200"/>
      <c r="C30" s="1120"/>
      <c r="D30" s="1120"/>
      <c r="E30" s="1015">
        <f t="shared" si="0"/>
        <v>0</v>
      </c>
      <c r="F30" s="1201"/>
      <c r="G30" s="470"/>
    </row>
    <row r="31" spans="1:7" s="558" customFormat="1" ht="15" customHeight="1">
      <c r="A31" s="680"/>
      <c r="B31" s="1200"/>
      <c r="C31" s="1120"/>
      <c r="D31" s="1120"/>
      <c r="E31" s="1015">
        <f t="shared" si="0"/>
        <v>0</v>
      </c>
      <c r="F31" s="1201"/>
      <c r="G31" s="470"/>
    </row>
    <row r="32" spans="1:7" s="558" customFormat="1" ht="15" customHeight="1">
      <c r="A32" s="680"/>
      <c r="B32" s="1200"/>
      <c r="C32" s="1120"/>
      <c r="D32" s="1120"/>
      <c r="E32" s="1015">
        <f t="shared" si="0"/>
        <v>0</v>
      </c>
      <c r="F32" s="1201"/>
      <c r="G32" s="470"/>
    </row>
    <row r="33" spans="1:7" s="558" customFormat="1" ht="15" customHeight="1">
      <c r="A33" s="680"/>
      <c r="B33" s="1200"/>
      <c r="C33" s="1120"/>
      <c r="D33" s="1120"/>
      <c r="E33" s="1015">
        <f t="shared" si="0"/>
        <v>0</v>
      </c>
      <c r="F33" s="1201"/>
      <c r="G33" s="470"/>
    </row>
    <row r="34" spans="1:7" s="558" customFormat="1" ht="15" customHeight="1">
      <c r="A34" s="680"/>
      <c r="B34" s="1200"/>
      <c r="C34" s="1120"/>
      <c r="D34" s="1120"/>
      <c r="E34" s="1015">
        <f t="shared" si="0"/>
        <v>0</v>
      </c>
      <c r="F34" s="1201"/>
      <c r="G34" s="470"/>
    </row>
    <row r="35" spans="1:7" s="558" customFormat="1" ht="15" customHeight="1">
      <c r="A35" s="680"/>
      <c r="B35" s="1200"/>
      <c r="C35" s="1120"/>
      <c r="D35" s="1120"/>
      <c r="E35" s="1015">
        <f t="shared" si="0"/>
        <v>0</v>
      </c>
      <c r="F35" s="1201"/>
      <c r="G35" s="470"/>
    </row>
    <row r="36" spans="1:7" s="558" customFormat="1" ht="15" customHeight="1">
      <c r="A36" s="680"/>
      <c r="B36" s="1200"/>
      <c r="C36" s="1120"/>
      <c r="D36" s="1120"/>
      <c r="E36" s="1015">
        <f t="shared" si="0"/>
        <v>0</v>
      </c>
      <c r="F36" s="1201"/>
      <c r="G36" s="470"/>
    </row>
    <row r="37" spans="1:7" s="558" customFormat="1" ht="15" customHeight="1">
      <c r="A37" s="680"/>
      <c r="B37" s="1200"/>
      <c r="C37" s="1120"/>
      <c r="D37" s="1120"/>
      <c r="E37" s="1015">
        <f t="shared" si="0"/>
        <v>0</v>
      </c>
      <c r="F37" s="1201"/>
      <c r="G37" s="470"/>
    </row>
    <row r="38" spans="1:7" s="558" customFormat="1" ht="15" customHeight="1">
      <c r="A38" s="680"/>
      <c r="B38" s="1200"/>
      <c r="C38" s="1120"/>
      <c r="D38" s="1120"/>
      <c r="E38" s="1015">
        <f t="shared" si="0"/>
        <v>0</v>
      </c>
      <c r="F38" s="1201"/>
      <c r="G38" s="470"/>
    </row>
    <row r="39" spans="1:7" s="558" customFormat="1" ht="15" customHeight="1">
      <c r="A39" s="680"/>
      <c r="B39" s="1200"/>
      <c r="C39" s="1120"/>
      <c r="D39" s="1120"/>
      <c r="E39" s="1015">
        <f t="shared" si="0"/>
        <v>0</v>
      </c>
      <c r="F39" s="1201"/>
      <c r="G39" s="470"/>
    </row>
    <row r="40" spans="1:7" s="558" customFormat="1" ht="15" customHeight="1">
      <c r="A40" s="680"/>
      <c r="B40" s="1200"/>
      <c r="C40" s="1120"/>
      <c r="D40" s="1120"/>
      <c r="E40" s="1015">
        <f t="shared" si="0"/>
        <v>0</v>
      </c>
      <c r="F40" s="1201"/>
      <c r="G40" s="470"/>
    </row>
    <row r="41" spans="1:7" s="558" customFormat="1" ht="15" customHeight="1">
      <c r="A41" s="680"/>
      <c r="B41" s="1200"/>
      <c r="C41" s="1120"/>
      <c r="D41" s="1120"/>
      <c r="E41" s="1015">
        <f t="shared" si="0"/>
        <v>0</v>
      </c>
      <c r="F41" s="1201"/>
      <c r="G41" s="470"/>
    </row>
    <row r="42" spans="1:7" s="558" customFormat="1" ht="15" customHeight="1">
      <c r="A42" s="680"/>
      <c r="B42" s="1200"/>
      <c r="C42" s="1120"/>
      <c r="D42" s="1120"/>
      <c r="E42" s="1015">
        <f t="shared" si="0"/>
        <v>0</v>
      </c>
      <c r="F42" s="1201"/>
      <c r="G42" s="470"/>
    </row>
    <row r="43" spans="1:7" s="558" customFormat="1" ht="15" customHeight="1">
      <c r="A43" s="680"/>
      <c r="B43" s="1200"/>
      <c r="C43" s="1120"/>
      <c r="D43" s="1120"/>
      <c r="E43" s="1015">
        <f t="shared" si="0"/>
        <v>0</v>
      </c>
      <c r="F43" s="1201"/>
      <c r="G43" s="470"/>
    </row>
    <row r="44" spans="1:7" s="558" customFormat="1" ht="15" customHeight="1">
      <c r="A44" s="680"/>
      <c r="B44" s="1200"/>
      <c r="C44" s="1120"/>
      <c r="D44" s="1120"/>
      <c r="E44" s="1015">
        <f t="shared" si="0"/>
        <v>0</v>
      </c>
      <c r="F44" s="1201"/>
      <c r="G44" s="470"/>
    </row>
    <row r="45" spans="1:7" s="558" customFormat="1" ht="15" customHeight="1">
      <c r="A45" s="680"/>
      <c r="B45" s="1200"/>
      <c r="C45" s="1120"/>
      <c r="D45" s="1120"/>
      <c r="E45" s="1015">
        <f t="shared" si="0"/>
        <v>0</v>
      </c>
      <c r="F45" s="1201"/>
      <c r="G45" s="470"/>
    </row>
    <row r="46" spans="1:7" s="558" customFormat="1" ht="15" customHeight="1">
      <c r="A46" s="680"/>
      <c r="B46" s="1200"/>
      <c r="C46" s="1120"/>
      <c r="D46" s="1120"/>
      <c r="E46" s="1015">
        <f t="shared" si="0"/>
        <v>0</v>
      </c>
      <c r="F46" s="1201"/>
      <c r="G46" s="470"/>
    </row>
    <row r="47" spans="1:7" s="558" customFormat="1" ht="15" customHeight="1">
      <c r="A47" s="680"/>
      <c r="B47" s="1200"/>
      <c r="C47" s="1120"/>
      <c r="D47" s="1120"/>
      <c r="E47" s="1015">
        <f t="shared" si="0"/>
        <v>0</v>
      </c>
      <c r="F47" s="1201"/>
      <c r="G47" s="470"/>
    </row>
    <row r="48" spans="1:7" s="558" customFormat="1" ht="15" customHeight="1">
      <c r="A48" s="680"/>
      <c r="B48" s="1200"/>
      <c r="C48" s="1120"/>
      <c r="D48" s="1120"/>
      <c r="E48" s="1015">
        <f t="shared" si="0"/>
        <v>0</v>
      </c>
      <c r="F48" s="1201"/>
      <c r="G48" s="470"/>
    </row>
    <row r="49" spans="1:7" s="558" customFormat="1" ht="15" customHeight="1">
      <c r="A49" s="680"/>
      <c r="B49" s="1200"/>
      <c r="C49" s="1120"/>
      <c r="D49" s="1120"/>
      <c r="E49" s="1015">
        <f t="shared" si="0"/>
        <v>0</v>
      </c>
      <c r="F49" s="1201"/>
      <c r="G49" s="470"/>
    </row>
    <row r="50" spans="1:7" s="502" customFormat="1" ht="15" customHeight="1">
      <c r="A50" s="680"/>
      <c r="B50" s="1200"/>
      <c r="C50" s="1120"/>
      <c r="D50" s="1120"/>
      <c r="E50" s="1015">
        <f t="shared" si="0"/>
        <v>0</v>
      </c>
      <c r="F50" s="1201"/>
      <c r="G50" s="470"/>
    </row>
    <row r="51" spans="1:7" s="502" customFormat="1" ht="15" customHeight="1">
      <c r="A51" s="680"/>
      <c r="B51" s="1200"/>
      <c r="C51" s="1120"/>
      <c r="D51" s="1120"/>
      <c r="E51" s="1015">
        <f t="shared" si="0"/>
        <v>0</v>
      </c>
      <c r="F51" s="1201"/>
      <c r="G51" s="470"/>
    </row>
    <row r="52" spans="1:7" s="502" customFormat="1" ht="15" customHeight="1">
      <c r="A52" s="680"/>
      <c r="B52" s="1200"/>
      <c r="C52" s="1120"/>
      <c r="D52" s="1120"/>
      <c r="E52" s="1015">
        <f t="shared" si="0"/>
        <v>0</v>
      </c>
      <c r="F52" s="1201"/>
      <c r="G52" s="470"/>
    </row>
    <row r="53" spans="1:7" s="502" customFormat="1" ht="15" customHeight="1">
      <c r="A53" s="680"/>
      <c r="B53" s="1200"/>
      <c r="C53" s="1120"/>
      <c r="D53" s="1120"/>
      <c r="E53" s="1015">
        <f t="shared" si="0"/>
        <v>0</v>
      </c>
      <c r="F53" s="1201"/>
      <c r="G53" s="470"/>
    </row>
    <row r="54" spans="1:7" s="502" customFormat="1" ht="15" customHeight="1">
      <c r="A54" s="680"/>
      <c r="B54" s="1200"/>
      <c r="C54" s="1120"/>
      <c r="D54" s="1120"/>
      <c r="E54" s="1015">
        <f t="shared" si="0"/>
        <v>0</v>
      </c>
      <c r="F54" s="1201"/>
      <c r="G54" s="470"/>
    </row>
    <row r="55" spans="1:7" ht="15" customHeight="1">
      <c r="A55" s="680"/>
      <c r="B55" s="1200"/>
      <c r="C55" s="1120"/>
      <c r="D55" s="1120"/>
      <c r="E55" s="1015">
        <f t="shared" si="0"/>
        <v>0</v>
      </c>
      <c r="F55" s="1201"/>
      <c r="G55" s="470"/>
    </row>
    <row r="56" spans="1:7" ht="15" customHeight="1">
      <c r="A56" s="680"/>
      <c r="B56" s="1200"/>
      <c r="C56" s="1120"/>
      <c r="D56" s="1120"/>
      <c r="E56" s="1015">
        <f t="shared" si="0"/>
        <v>0</v>
      </c>
      <c r="F56" s="1201"/>
      <c r="G56" s="470"/>
    </row>
    <row r="57" spans="1:7" ht="15" customHeight="1">
      <c r="A57" s="680"/>
      <c r="B57" s="1200"/>
      <c r="C57" s="1120"/>
      <c r="D57" s="1120"/>
      <c r="E57" s="1015">
        <f t="shared" si="0"/>
        <v>0</v>
      </c>
      <c r="F57" s="1201"/>
      <c r="G57" s="470"/>
    </row>
    <row r="58" spans="1:7" ht="15" customHeight="1">
      <c r="A58" s="680"/>
      <c r="B58" s="1200"/>
      <c r="C58" s="1120"/>
      <c r="D58" s="1120"/>
      <c r="E58" s="1015">
        <f t="shared" si="0"/>
        <v>0</v>
      </c>
      <c r="F58" s="1201"/>
      <c r="G58" s="470"/>
    </row>
    <row r="59" spans="1:7" ht="15" customHeight="1">
      <c r="A59" s="680"/>
      <c r="B59" s="1200"/>
      <c r="C59" s="1120"/>
      <c r="D59" s="1120"/>
      <c r="E59" s="1015">
        <f t="shared" si="0"/>
        <v>0</v>
      </c>
      <c r="F59" s="1201"/>
      <c r="G59" s="470"/>
    </row>
    <row r="60" spans="1:7" ht="15" customHeight="1">
      <c r="A60" s="680"/>
      <c r="B60" s="1200"/>
      <c r="C60" s="1120"/>
      <c r="D60" s="1120"/>
      <c r="E60" s="1015">
        <f t="shared" si="0"/>
        <v>0</v>
      </c>
      <c r="F60" s="1201"/>
      <c r="G60" s="470"/>
    </row>
    <row r="61" spans="1:7" ht="15" customHeight="1">
      <c r="A61" s="680"/>
      <c r="B61" s="1200"/>
      <c r="C61" s="1120"/>
      <c r="D61" s="1120"/>
      <c r="E61" s="1015">
        <f t="shared" si="0"/>
        <v>0</v>
      </c>
      <c r="F61" s="1201"/>
      <c r="G61" s="470"/>
    </row>
    <row r="62" spans="1:7" ht="15" customHeight="1">
      <c r="A62" s="680"/>
      <c r="B62" s="1200"/>
      <c r="C62" s="1120"/>
      <c r="D62" s="1120"/>
      <c r="E62" s="1015">
        <f t="shared" si="0"/>
        <v>0</v>
      </c>
      <c r="F62" s="1201"/>
      <c r="G62" s="470"/>
    </row>
    <row r="63" spans="1:7" ht="15" customHeight="1">
      <c r="A63" s="680"/>
      <c r="B63" s="1200"/>
      <c r="C63" s="1120"/>
      <c r="D63" s="1120"/>
      <c r="E63" s="1015">
        <f t="shared" si="0"/>
        <v>0</v>
      </c>
      <c r="F63" s="1201"/>
      <c r="G63" s="470"/>
    </row>
    <row r="64" spans="1:7" ht="15" customHeight="1">
      <c r="A64" s="680"/>
      <c r="B64" s="1200"/>
      <c r="C64" s="1120"/>
      <c r="D64" s="1120"/>
      <c r="E64" s="1015">
        <f t="shared" si="0"/>
        <v>0</v>
      </c>
      <c r="F64" s="1201"/>
      <c r="G64" s="470"/>
    </row>
    <row r="65" spans="1:7" ht="15" customHeight="1">
      <c r="A65" s="680"/>
      <c r="B65" s="1200"/>
      <c r="C65" s="1120"/>
      <c r="D65" s="1120"/>
      <c r="E65" s="1015">
        <f t="shared" si="0"/>
        <v>0</v>
      </c>
      <c r="F65" s="1201"/>
      <c r="G65" s="470"/>
    </row>
    <row r="66" spans="1:7" ht="15" customHeight="1">
      <c r="A66" s="680"/>
      <c r="B66" s="1200"/>
      <c r="C66" s="1120"/>
      <c r="D66" s="1120"/>
      <c r="E66" s="1015">
        <f t="shared" si="0"/>
        <v>0</v>
      </c>
      <c r="F66" s="1201"/>
      <c r="G66" s="470"/>
    </row>
    <row r="67" spans="1:7" ht="15" customHeight="1">
      <c r="A67" s="680"/>
      <c r="B67" s="1200"/>
      <c r="C67" s="1120"/>
      <c r="D67" s="1120"/>
      <c r="E67" s="1015">
        <f t="shared" si="0"/>
        <v>0</v>
      </c>
      <c r="F67" s="1201"/>
      <c r="G67" s="470"/>
    </row>
    <row r="68" spans="1:7" ht="15" customHeight="1">
      <c r="A68" s="680"/>
      <c r="B68" s="1200"/>
      <c r="C68" s="1120"/>
      <c r="D68" s="1120"/>
      <c r="E68" s="1015">
        <f t="shared" si="0"/>
        <v>0</v>
      </c>
      <c r="F68" s="1201"/>
      <c r="G68" s="470"/>
    </row>
    <row r="69" spans="1:7" ht="15" customHeight="1">
      <c r="A69" s="680"/>
      <c r="B69" s="1200"/>
      <c r="C69" s="1120"/>
      <c r="D69" s="1120"/>
      <c r="E69" s="1015">
        <f t="shared" si="0"/>
        <v>0</v>
      </c>
      <c r="F69" s="1201"/>
      <c r="G69" s="470"/>
    </row>
    <row r="70" spans="1:7" ht="15" customHeight="1">
      <c r="A70" s="680"/>
      <c r="B70" s="1200"/>
      <c r="C70" s="1120"/>
      <c r="D70" s="1120"/>
      <c r="E70" s="1015">
        <f t="shared" si="0"/>
        <v>0</v>
      </c>
      <c r="F70" s="1201"/>
      <c r="G70" s="470"/>
    </row>
    <row r="71" spans="1:7" ht="15" customHeight="1">
      <c r="A71" s="680"/>
      <c r="B71" s="1200"/>
      <c r="C71" s="1120"/>
      <c r="D71" s="1120"/>
      <c r="E71" s="1015">
        <f t="shared" si="0"/>
        <v>0</v>
      </c>
      <c r="F71" s="1201"/>
      <c r="G71" s="470"/>
    </row>
    <row r="72" spans="1:7" ht="15" customHeight="1">
      <c r="A72" s="680"/>
      <c r="B72" s="1200"/>
      <c r="C72" s="1120"/>
      <c r="D72" s="1120"/>
      <c r="E72" s="1015">
        <f t="shared" si="0"/>
        <v>0</v>
      </c>
      <c r="F72" s="1201"/>
      <c r="G72" s="470"/>
    </row>
    <row r="73" spans="1:7" ht="15" customHeight="1">
      <c r="A73" s="680"/>
      <c r="B73" s="1200"/>
      <c r="C73" s="1120"/>
      <c r="D73" s="1120"/>
      <c r="E73" s="1015">
        <f t="shared" si="0"/>
        <v>0</v>
      </c>
      <c r="F73" s="1201"/>
      <c r="G73" s="470"/>
    </row>
    <row r="74" spans="1:7" ht="15" customHeight="1">
      <c r="A74" s="680"/>
      <c r="B74" s="1200"/>
      <c r="C74" s="1120"/>
      <c r="D74" s="1120"/>
      <c r="E74" s="1015">
        <f t="shared" si="0"/>
        <v>0</v>
      </c>
      <c r="F74" s="1201"/>
      <c r="G74" s="470"/>
    </row>
    <row r="75" spans="1:7" ht="15" customHeight="1">
      <c r="A75" s="680"/>
      <c r="B75" s="1200"/>
      <c r="C75" s="1120"/>
      <c r="D75" s="1120"/>
      <c r="E75" s="1015">
        <f t="shared" si="0"/>
        <v>0</v>
      </c>
      <c r="F75" s="1201"/>
      <c r="G75" s="470"/>
    </row>
    <row r="76" spans="1:7" ht="15" customHeight="1">
      <c r="A76" s="680"/>
      <c r="B76" s="1200"/>
      <c r="C76" s="1120"/>
      <c r="D76" s="1120"/>
      <c r="E76" s="1015">
        <f t="shared" si="0"/>
        <v>0</v>
      </c>
      <c r="F76" s="1201"/>
      <c r="G76" s="470"/>
    </row>
    <row r="77" spans="1:7" ht="15" customHeight="1">
      <c r="A77" s="680"/>
      <c r="B77" s="1200"/>
      <c r="C77" s="1120"/>
      <c r="D77" s="1120"/>
      <c r="E77" s="1015">
        <f t="shared" si="0"/>
        <v>0</v>
      </c>
      <c r="F77" s="1201"/>
      <c r="G77" s="470"/>
    </row>
    <row r="78" spans="1:7" ht="15" customHeight="1">
      <c r="A78" s="680"/>
      <c r="B78" s="1200"/>
      <c r="C78" s="1120"/>
      <c r="D78" s="1120"/>
      <c r="E78" s="1015">
        <f t="shared" si="0"/>
        <v>0</v>
      </c>
      <c r="F78" s="1201"/>
      <c r="G78" s="470"/>
    </row>
    <row r="79" spans="1:7" ht="15" customHeight="1">
      <c r="A79" s="680"/>
      <c r="B79" s="1200"/>
      <c r="C79" s="1120"/>
      <c r="D79" s="1120"/>
      <c r="E79" s="1015">
        <f t="shared" si="0"/>
        <v>0</v>
      </c>
      <c r="F79" s="1201"/>
      <c r="G79" s="470"/>
    </row>
    <row r="80" spans="1:7" ht="15" customHeight="1">
      <c r="A80" s="680"/>
      <c r="B80" s="1200"/>
      <c r="C80" s="1120"/>
      <c r="D80" s="1120"/>
      <c r="E80" s="1015">
        <f t="shared" si="0"/>
        <v>0</v>
      </c>
      <c r="F80" s="1201"/>
      <c r="G80" s="470"/>
    </row>
    <row r="81" spans="1:7" ht="15" customHeight="1">
      <c r="A81" s="680"/>
      <c r="B81" s="1200"/>
      <c r="C81" s="1120"/>
      <c r="D81" s="1120"/>
      <c r="E81" s="1015">
        <f t="shared" ref="E81:E144" si="1">B81-C81+D81</f>
        <v>0</v>
      </c>
      <c r="F81" s="1201"/>
      <c r="G81" s="470"/>
    </row>
    <row r="82" spans="1:7" ht="15" customHeight="1">
      <c r="A82" s="680"/>
      <c r="B82" s="1200"/>
      <c r="C82" s="1120"/>
      <c r="D82" s="1120"/>
      <c r="E82" s="1015">
        <f t="shared" si="1"/>
        <v>0</v>
      </c>
      <c r="F82" s="1201"/>
      <c r="G82" s="470"/>
    </row>
    <row r="83" spans="1:7" ht="15" customHeight="1">
      <c r="A83" s="680"/>
      <c r="B83" s="1200"/>
      <c r="C83" s="1120"/>
      <c r="D83" s="1120"/>
      <c r="E83" s="1015">
        <f t="shared" si="1"/>
        <v>0</v>
      </c>
      <c r="F83" s="1201"/>
      <c r="G83" s="470"/>
    </row>
    <row r="84" spans="1:7" ht="15" customHeight="1">
      <c r="A84" s="680"/>
      <c r="B84" s="1200"/>
      <c r="C84" s="1120"/>
      <c r="D84" s="1120"/>
      <c r="E84" s="1015">
        <f t="shared" si="1"/>
        <v>0</v>
      </c>
      <c r="F84" s="1201"/>
      <c r="G84" s="470"/>
    </row>
    <row r="85" spans="1:7" ht="15" customHeight="1">
      <c r="A85" s="680"/>
      <c r="B85" s="1200"/>
      <c r="C85" s="1120"/>
      <c r="D85" s="1120"/>
      <c r="E85" s="1015">
        <f t="shared" si="1"/>
        <v>0</v>
      </c>
      <c r="F85" s="1201"/>
      <c r="G85" s="470"/>
    </row>
    <row r="86" spans="1:7" ht="15" customHeight="1">
      <c r="A86" s="680"/>
      <c r="B86" s="1200"/>
      <c r="C86" s="1120"/>
      <c r="D86" s="1120"/>
      <c r="E86" s="1015">
        <f t="shared" si="1"/>
        <v>0</v>
      </c>
      <c r="F86" s="1201"/>
      <c r="G86" s="470"/>
    </row>
    <row r="87" spans="1:7" ht="15" customHeight="1">
      <c r="A87" s="680"/>
      <c r="B87" s="1200"/>
      <c r="C87" s="1120"/>
      <c r="D87" s="1120"/>
      <c r="E87" s="1015">
        <f t="shared" si="1"/>
        <v>0</v>
      </c>
      <c r="F87" s="1201"/>
      <c r="G87" s="470"/>
    </row>
    <row r="88" spans="1:7" ht="15" customHeight="1">
      <c r="A88" s="680"/>
      <c r="B88" s="1200"/>
      <c r="C88" s="1120"/>
      <c r="D88" s="1120"/>
      <c r="E88" s="1015">
        <f t="shared" si="1"/>
        <v>0</v>
      </c>
      <c r="F88" s="1201"/>
      <c r="G88" s="470"/>
    </row>
    <row r="89" spans="1:7" ht="15" customHeight="1">
      <c r="A89" s="680"/>
      <c r="B89" s="1200"/>
      <c r="C89" s="1120"/>
      <c r="D89" s="1120"/>
      <c r="E89" s="1015">
        <f t="shared" si="1"/>
        <v>0</v>
      </c>
      <c r="F89" s="1201"/>
      <c r="G89" s="470"/>
    </row>
    <row r="90" spans="1:7" ht="15" customHeight="1">
      <c r="A90" s="680"/>
      <c r="B90" s="1200"/>
      <c r="C90" s="1120"/>
      <c r="D90" s="1120"/>
      <c r="E90" s="1015">
        <f t="shared" si="1"/>
        <v>0</v>
      </c>
      <c r="F90" s="1201"/>
      <c r="G90" s="470"/>
    </row>
    <row r="91" spans="1:7" ht="15" customHeight="1">
      <c r="A91" s="680"/>
      <c r="B91" s="1200"/>
      <c r="C91" s="1120"/>
      <c r="D91" s="1120"/>
      <c r="E91" s="1015">
        <f t="shared" si="1"/>
        <v>0</v>
      </c>
      <c r="F91" s="1201"/>
      <c r="G91" s="470"/>
    </row>
    <row r="92" spans="1:7" ht="15" customHeight="1">
      <c r="A92" s="680"/>
      <c r="B92" s="1200"/>
      <c r="C92" s="1120"/>
      <c r="D92" s="1120"/>
      <c r="E92" s="1015">
        <f t="shared" si="1"/>
        <v>0</v>
      </c>
      <c r="F92" s="1201"/>
      <c r="G92" s="470"/>
    </row>
    <row r="93" spans="1:7" ht="15" customHeight="1">
      <c r="A93" s="680"/>
      <c r="B93" s="1200"/>
      <c r="C93" s="1120"/>
      <c r="D93" s="1120"/>
      <c r="E93" s="1015">
        <f t="shared" si="1"/>
        <v>0</v>
      </c>
      <c r="F93" s="1201"/>
      <c r="G93" s="470"/>
    </row>
    <row r="94" spans="1:7" ht="15" customHeight="1">
      <c r="A94" s="680"/>
      <c r="B94" s="1200"/>
      <c r="C94" s="1120"/>
      <c r="D94" s="1120"/>
      <c r="E94" s="1015">
        <f t="shared" si="1"/>
        <v>0</v>
      </c>
      <c r="F94" s="1201"/>
      <c r="G94" s="470"/>
    </row>
    <row r="95" spans="1:7" ht="15" customHeight="1">
      <c r="A95" s="680"/>
      <c r="B95" s="1200"/>
      <c r="C95" s="1120"/>
      <c r="D95" s="1120"/>
      <c r="E95" s="1015">
        <f t="shared" si="1"/>
        <v>0</v>
      </c>
      <c r="F95" s="1201"/>
      <c r="G95" s="470"/>
    </row>
    <row r="96" spans="1:7" ht="15" customHeight="1">
      <c r="A96" s="680"/>
      <c r="B96" s="1200"/>
      <c r="C96" s="1120"/>
      <c r="D96" s="1120"/>
      <c r="E96" s="1015">
        <f t="shared" si="1"/>
        <v>0</v>
      </c>
      <c r="F96" s="1201"/>
      <c r="G96" s="470"/>
    </row>
    <row r="97" spans="1:7" ht="15" customHeight="1">
      <c r="A97" s="680"/>
      <c r="B97" s="1200"/>
      <c r="C97" s="1120"/>
      <c r="D97" s="1120"/>
      <c r="E97" s="1015">
        <f t="shared" si="1"/>
        <v>0</v>
      </c>
      <c r="F97" s="1201"/>
      <c r="G97" s="470"/>
    </row>
    <row r="98" spans="1:7" ht="15" customHeight="1">
      <c r="A98" s="680"/>
      <c r="B98" s="1200"/>
      <c r="C98" s="1120"/>
      <c r="D98" s="1120"/>
      <c r="E98" s="1015">
        <f t="shared" si="1"/>
        <v>0</v>
      </c>
      <c r="F98" s="1201"/>
      <c r="G98" s="470"/>
    </row>
    <row r="99" spans="1:7" ht="15" customHeight="1">
      <c r="A99" s="680"/>
      <c r="B99" s="1200"/>
      <c r="C99" s="1120"/>
      <c r="D99" s="1120"/>
      <c r="E99" s="1015">
        <f t="shared" si="1"/>
        <v>0</v>
      </c>
      <c r="F99" s="1201"/>
      <c r="G99" s="470"/>
    </row>
    <row r="100" spans="1:7" ht="15" customHeight="1">
      <c r="A100" s="680"/>
      <c r="B100" s="1200"/>
      <c r="C100" s="1120"/>
      <c r="D100" s="1120"/>
      <c r="E100" s="1015">
        <f t="shared" si="1"/>
        <v>0</v>
      </c>
      <c r="F100" s="1201"/>
      <c r="G100" s="470"/>
    </row>
    <row r="101" spans="1:7" ht="15" customHeight="1">
      <c r="A101" s="680"/>
      <c r="B101" s="1200"/>
      <c r="C101" s="1120"/>
      <c r="D101" s="1120"/>
      <c r="E101" s="1015">
        <f t="shared" si="1"/>
        <v>0</v>
      </c>
      <c r="F101" s="1201"/>
      <c r="G101" s="470"/>
    </row>
    <row r="102" spans="1:7" ht="15" customHeight="1">
      <c r="A102" s="680"/>
      <c r="B102" s="1200"/>
      <c r="C102" s="1120"/>
      <c r="D102" s="1120"/>
      <c r="E102" s="1015">
        <f t="shared" si="1"/>
        <v>0</v>
      </c>
      <c r="F102" s="1201"/>
      <c r="G102" s="470"/>
    </row>
    <row r="103" spans="1:7" ht="15" customHeight="1">
      <c r="A103" s="680"/>
      <c r="B103" s="1200"/>
      <c r="C103" s="1120"/>
      <c r="D103" s="1120"/>
      <c r="E103" s="1015">
        <f t="shared" si="1"/>
        <v>0</v>
      </c>
      <c r="F103" s="1201"/>
      <c r="G103" s="470"/>
    </row>
    <row r="104" spans="1:7" ht="15" customHeight="1">
      <c r="A104" s="680"/>
      <c r="B104" s="1200"/>
      <c r="C104" s="1120"/>
      <c r="D104" s="1120"/>
      <c r="E104" s="1015">
        <f t="shared" si="1"/>
        <v>0</v>
      </c>
      <c r="F104" s="1201"/>
      <c r="G104" s="470"/>
    </row>
    <row r="105" spans="1:7" ht="15" customHeight="1">
      <c r="A105" s="680"/>
      <c r="B105" s="1200"/>
      <c r="C105" s="1120"/>
      <c r="D105" s="1120"/>
      <c r="E105" s="1015">
        <f t="shared" si="1"/>
        <v>0</v>
      </c>
      <c r="F105" s="1201"/>
      <c r="G105" s="470"/>
    </row>
    <row r="106" spans="1:7" ht="15" customHeight="1">
      <c r="A106" s="680"/>
      <c r="B106" s="1200"/>
      <c r="C106" s="1120"/>
      <c r="D106" s="1120"/>
      <c r="E106" s="1015">
        <f t="shared" si="1"/>
        <v>0</v>
      </c>
      <c r="F106" s="1201"/>
      <c r="G106" s="470"/>
    </row>
    <row r="107" spans="1:7" ht="15" customHeight="1">
      <c r="A107" s="680"/>
      <c r="B107" s="1200"/>
      <c r="C107" s="1120"/>
      <c r="D107" s="1120"/>
      <c r="E107" s="1015">
        <f t="shared" si="1"/>
        <v>0</v>
      </c>
      <c r="F107" s="1201"/>
      <c r="G107" s="470"/>
    </row>
    <row r="108" spans="1:7" ht="15" customHeight="1">
      <c r="A108" s="680"/>
      <c r="B108" s="1200"/>
      <c r="C108" s="1120"/>
      <c r="D108" s="1120"/>
      <c r="E108" s="1015">
        <f t="shared" si="1"/>
        <v>0</v>
      </c>
      <c r="F108" s="1201"/>
      <c r="G108" s="470"/>
    </row>
    <row r="109" spans="1:7" ht="15" customHeight="1">
      <c r="A109" s="680"/>
      <c r="B109" s="1200"/>
      <c r="C109" s="1120"/>
      <c r="D109" s="1120"/>
      <c r="E109" s="1015">
        <f t="shared" si="1"/>
        <v>0</v>
      </c>
      <c r="F109" s="1201"/>
      <c r="G109" s="470"/>
    </row>
    <row r="110" spans="1:7" ht="15" customHeight="1">
      <c r="A110" s="680"/>
      <c r="B110" s="1200"/>
      <c r="C110" s="1120"/>
      <c r="D110" s="1120"/>
      <c r="E110" s="1015">
        <f t="shared" si="1"/>
        <v>0</v>
      </c>
      <c r="F110" s="1201"/>
      <c r="G110" s="470"/>
    </row>
    <row r="111" spans="1:7" ht="15" customHeight="1">
      <c r="A111" s="680"/>
      <c r="B111" s="1200"/>
      <c r="C111" s="1120"/>
      <c r="D111" s="1120"/>
      <c r="E111" s="1015">
        <f t="shared" si="1"/>
        <v>0</v>
      </c>
      <c r="F111" s="1201"/>
      <c r="G111" s="470"/>
    </row>
    <row r="112" spans="1:7" ht="15" customHeight="1">
      <c r="A112" s="680"/>
      <c r="B112" s="1200"/>
      <c r="C112" s="1120"/>
      <c r="D112" s="1120"/>
      <c r="E112" s="1015">
        <f t="shared" si="1"/>
        <v>0</v>
      </c>
      <c r="F112" s="1201"/>
      <c r="G112" s="470"/>
    </row>
    <row r="113" spans="1:7" ht="15" customHeight="1">
      <c r="A113" s="680"/>
      <c r="B113" s="1200"/>
      <c r="C113" s="1120"/>
      <c r="D113" s="1120"/>
      <c r="E113" s="1015">
        <f t="shared" si="1"/>
        <v>0</v>
      </c>
      <c r="F113" s="1201"/>
      <c r="G113" s="470"/>
    </row>
    <row r="114" spans="1:7" ht="15" customHeight="1">
      <c r="A114" s="680"/>
      <c r="B114" s="1200"/>
      <c r="C114" s="1120"/>
      <c r="D114" s="1120"/>
      <c r="E114" s="1015">
        <f t="shared" si="1"/>
        <v>0</v>
      </c>
      <c r="F114" s="1201"/>
      <c r="G114" s="470"/>
    </row>
    <row r="115" spans="1:7" ht="15" customHeight="1">
      <c r="A115" s="680"/>
      <c r="B115" s="1200"/>
      <c r="C115" s="1120"/>
      <c r="D115" s="1120"/>
      <c r="E115" s="1015">
        <f t="shared" si="1"/>
        <v>0</v>
      </c>
      <c r="F115" s="1201"/>
      <c r="G115" s="470"/>
    </row>
    <row r="116" spans="1:7" ht="15" customHeight="1">
      <c r="A116" s="680"/>
      <c r="B116" s="1200"/>
      <c r="C116" s="1120"/>
      <c r="D116" s="1120"/>
      <c r="E116" s="1015">
        <f t="shared" si="1"/>
        <v>0</v>
      </c>
      <c r="F116" s="1201"/>
      <c r="G116" s="470"/>
    </row>
    <row r="117" spans="1:7" ht="15" customHeight="1">
      <c r="A117" s="680"/>
      <c r="B117" s="1200"/>
      <c r="C117" s="1120"/>
      <c r="D117" s="1120"/>
      <c r="E117" s="1015">
        <f t="shared" si="1"/>
        <v>0</v>
      </c>
      <c r="F117" s="1201"/>
      <c r="G117" s="470"/>
    </row>
    <row r="118" spans="1:7" ht="15" customHeight="1">
      <c r="A118" s="680"/>
      <c r="B118" s="1200"/>
      <c r="C118" s="1120"/>
      <c r="D118" s="1120"/>
      <c r="E118" s="1015">
        <f t="shared" si="1"/>
        <v>0</v>
      </c>
      <c r="F118" s="1201"/>
      <c r="G118" s="470"/>
    </row>
    <row r="119" spans="1:7" ht="15" customHeight="1">
      <c r="A119" s="680"/>
      <c r="B119" s="1200"/>
      <c r="C119" s="1120"/>
      <c r="D119" s="1120"/>
      <c r="E119" s="1015">
        <f t="shared" si="1"/>
        <v>0</v>
      </c>
      <c r="F119" s="1201"/>
      <c r="G119" s="470"/>
    </row>
    <row r="120" spans="1:7" ht="15" customHeight="1">
      <c r="A120" s="680"/>
      <c r="B120" s="1200"/>
      <c r="C120" s="1120"/>
      <c r="D120" s="1120"/>
      <c r="E120" s="1015">
        <f t="shared" si="1"/>
        <v>0</v>
      </c>
      <c r="F120" s="1201"/>
      <c r="G120" s="470"/>
    </row>
    <row r="121" spans="1:7" ht="15" customHeight="1">
      <c r="A121" s="680"/>
      <c r="B121" s="1200"/>
      <c r="C121" s="1120"/>
      <c r="D121" s="1120"/>
      <c r="E121" s="1015">
        <f t="shared" si="1"/>
        <v>0</v>
      </c>
      <c r="F121" s="1201"/>
      <c r="G121" s="470"/>
    </row>
    <row r="122" spans="1:7" ht="15" customHeight="1">
      <c r="A122" s="680"/>
      <c r="B122" s="1200"/>
      <c r="C122" s="1120"/>
      <c r="D122" s="1120"/>
      <c r="E122" s="1015">
        <f t="shared" si="1"/>
        <v>0</v>
      </c>
      <c r="F122" s="1201"/>
      <c r="G122" s="470"/>
    </row>
    <row r="123" spans="1:7" ht="15" customHeight="1">
      <c r="A123" s="680"/>
      <c r="B123" s="1200"/>
      <c r="C123" s="1120"/>
      <c r="D123" s="1120"/>
      <c r="E123" s="1015">
        <f t="shared" si="1"/>
        <v>0</v>
      </c>
      <c r="F123" s="1201"/>
      <c r="G123" s="470"/>
    </row>
    <row r="124" spans="1:7" ht="15" customHeight="1">
      <c r="A124" s="680"/>
      <c r="B124" s="1200"/>
      <c r="C124" s="1120"/>
      <c r="D124" s="1120"/>
      <c r="E124" s="1015">
        <f t="shared" si="1"/>
        <v>0</v>
      </c>
      <c r="F124" s="1201"/>
      <c r="G124" s="470"/>
    </row>
    <row r="125" spans="1:7" ht="15" customHeight="1">
      <c r="A125" s="680"/>
      <c r="B125" s="1200"/>
      <c r="C125" s="1120"/>
      <c r="D125" s="1120"/>
      <c r="E125" s="1015">
        <f t="shared" si="1"/>
        <v>0</v>
      </c>
      <c r="F125" s="1201"/>
      <c r="G125" s="470"/>
    </row>
    <row r="126" spans="1:7" ht="15" customHeight="1">
      <c r="A126" s="680"/>
      <c r="B126" s="1200"/>
      <c r="C126" s="1120"/>
      <c r="D126" s="1120"/>
      <c r="E126" s="1015">
        <f t="shared" si="1"/>
        <v>0</v>
      </c>
      <c r="F126" s="1201"/>
      <c r="G126" s="470"/>
    </row>
    <row r="127" spans="1:7" ht="15" customHeight="1">
      <c r="A127" s="680"/>
      <c r="B127" s="1200"/>
      <c r="C127" s="1120"/>
      <c r="D127" s="1120"/>
      <c r="E127" s="1015">
        <f t="shared" si="1"/>
        <v>0</v>
      </c>
      <c r="F127" s="1201"/>
      <c r="G127" s="470"/>
    </row>
    <row r="128" spans="1:7" ht="15" customHeight="1">
      <c r="A128" s="680"/>
      <c r="B128" s="1200"/>
      <c r="C128" s="1120"/>
      <c r="D128" s="1120"/>
      <c r="E128" s="1015">
        <f t="shared" si="1"/>
        <v>0</v>
      </c>
      <c r="F128" s="1201"/>
      <c r="G128" s="470"/>
    </row>
    <row r="129" spans="1:7" ht="15" customHeight="1">
      <c r="A129" s="680"/>
      <c r="B129" s="1200"/>
      <c r="C129" s="1120"/>
      <c r="D129" s="1120"/>
      <c r="E129" s="1015">
        <f t="shared" si="1"/>
        <v>0</v>
      </c>
      <c r="F129" s="1201"/>
      <c r="G129" s="470"/>
    </row>
    <row r="130" spans="1:7" ht="15" customHeight="1">
      <c r="A130" s="680"/>
      <c r="B130" s="1200"/>
      <c r="C130" s="1120"/>
      <c r="D130" s="1120"/>
      <c r="E130" s="1015">
        <f t="shared" si="1"/>
        <v>0</v>
      </c>
      <c r="F130" s="1201"/>
      <c r="G130" s="470"/>
    </row>
    <row r="131" spans="1:7" ht="15" customHeight="1">
      <c r="A131" s="680"/>
      <c r="B131" s="1200"/>
      <c r="C131" s="1120"/>
      <c r="D131" s="1120"/>
      <c r="E131" s="1015">
        <f t="shared" si="1"/>
        <v>0</v>
      </c>
      <c r="F131" s="1201"/>
      <c r="G131" s="470"/>
    </row>
    <row r="132" spans="1:7" ht="15" customHeight="1">
      <c r="A132" s="680"/>
      <c r="B132" s="1200"/>
      <c r="C132" s="1120"/>
      <c r="D132" s="1120"/>
      <c r="E132" s="1015">
        <f t="shared" si="1"/>
        <v>0</v>
      </c>
      <c r="F132" s="1201"/>
      <c r="G132" s="470"/>
    </row>
    <row r="133" spans="1:7" ht="15" customHeight="1">
      <c r="A133" s="680"/>
      <c r="B133" s="1200"/>
      <c r="C133" s="1120"/>
      <c r="D133" s="1120"/>
      <c r="E133" s="1015">
        <f t="shared" si="1"/>
        <v>0</v>
      </c>
      <c r="F133" s="1201"/>
      <c r="G133" s="470"/>
    </row>
    <row r="134" spans="1:7" ht="15" customHeight="1">
      <c r="A134" s="680"/>
      <c r="B134" s="1200"/>
      <c r="C134" s="1120"/>
      <c r="D134" s="1120"/>
      <c r="E134" s="1015">
        <f t="shared" si="1"/>
        <v>0</v>
      </c>
      <c r="F134" s="1201"/>
      <c r="G134" s="470"/>
    </row>
    <row r="135" spans="1:7" ht="15" customHeight="1">
      <c r="A135" s="680"/>
      <c r="B135" s="1200"/>
      <c r="C135" s="1120"/>
      <c r="D135" s="1120"/>
      <c r="E135" s="1015">
        <f t="shared" si="1"/>
        <v>0</v>
      </c>
      <c r="F135" s="1201"/>
      <c r="G135" s="470"/>
    </row>
    <row r="136" spans="1:7" ht="15" customHeight="1">
      <c r="A136" s="680"/>
      <c r="B136" s="1200"/>
      <c r="C136" s="1120"/>
      <c r="D136" s="1120"/>
      <c r="E136" s="1015">
        <f t="shared" si="1"/>
        <v>0</v>
      </c>
      <c r="F136" s="1201"/>
      <c r="G136" s="470"/>
    </row>
    <row r="137" spans="1:7" ht="15" customHeight="1">
      <c r="A137" s="680"/>
      <c r="B137" s="1200"/>
      <c r="C137" s="1120"/>
      <c r="D137" s="1120"/>
      <c r="E137" s="1015">
        <f t="shared" si="1"/>
        <v>0</v>
      </c>
      <c r="F137" s="1201"/>
      <c r="G137" s="470"/>
    </row>
    <row r="138" spans="1:7" ht="15" customHeight="1">
      <c r="A138" s="680"/>
      <c r="B138" s="1200"/>
      <c r="C138" s="1120"/>
      <c r="D138" s="1120"/>
      <c r="E138" s="1015">
        <f t="shared" si="1"/>
        <v>0</v>
      </c>
      <c r="F138" s="1201"/>
      <c r="G138" s="470"/>
    </row>
    <row r="139" spans="1:7" ht="15" customHeight="1">
      <c r="A139" s="680"/>
      <c r="B139" s="1200"/>
      <c r="C139" s="1120"/>
      <c r="D139" s="1120"/>
      <c r="E139" s="1015">
        <f t="shared" si="1"/>
        <v>0</v>
      </c>
      <c r="F139" s="1201"/>
      <c r="G139" s="470"/>
    </row>
    <row r="140" spans="1:7" ht="15" customHeight="1">
      <c r="A140" s="680"/>
      <c r="B140" s="1200"/>
      <c r="C140" s="1120"/>
      <c r="D140" s="1120"/>
      <c r="E140" s="1015">
        <f t="shared" si="1"/>
        <v>0</v>
      </c>
      <c r="F140" s="1201"/>
      <c r="G140" s="470"/>
    </row>
    <row r="141" spans="1:7" ht="15" customHeight="1">
      <c r="A141" s="680"/>
      <c r="B141" s="1200"/>
      <c r="C141" s="1120"/>
      <c r="D141" s="1120"/>
      <c r="E141" s="1015">
        <f t="shared" si="1"/>
        <v>0</v>
      </c>
      <c r="F141" s="1201"/>
      <c r="G141" s="470"/>
    </row>
    <row r="142" spans="1:7" ht="15" customHeight="1">
      <c r="A142" s="680"/>
      <c r="B142" s="1200"/>
      <c r="C142" s="1120"/>
      <c r="D142" s="1120"/>
      <c r="E142" s="1015">
        <f t="shared" si="1"/>
        <v>0</v>
      </c>
      <c r="F142" s="1201"/>
      <c r="G142" s="470"/>
    </row>
    <row r="143" spans="1:7" ht="15" customHeight="1">
      <c r="A143" s="680"/>
      <c r="B143" s="1200"/>
      <c r="C143" s="1120"/>
      <c r="D143" s="1120"/>
      <c r="E143" s="1015">
        <f t="shared" si="1"/>
        <v>0</v>
      </c>
      <c r="F143" s="1201"/>
      <c r="G143" s="470"/>
    </row>
    <row r="144" spans="1:7" ht="15" customHeight="1">
      <c r="A144" s="680"/>
      <c r="B144" s="1200"/>
      <c r="C144" s="1120"/>
      <c r="D144" s="1120"/>
      <c r="E144" s="1015">
        <f t="shared" si="1"/>
        <v>0</v>
      </c>
      <c r="F144" s="1201"/>
      <c r="G144" s="470"/>
    </row>
    <row r="145" spans="1:7" ht="15" customHeight="1">
      <c r="A145" s="680"/>
      <c r="B145" s="1200"/>
      <c r="C145" s="1120"/>
      <c r="D145" s="1120"/>
      <c r="E145" s="1015">
        <f t="shared" ref="E145:E208" si="2">B145-C145+D145</f>
        <v>0</v>
      </c>
      <c r="F145" s="1201"/>
      <c r="G145" s="470"/>
    </row>
    <row r="146" spans="1:7" ht="15" customHeight="1">
      <c r="A146" s="680"/>
      <c r="B146" s="1200"/>
      <c r="C146" s="1120"/>
      <c r="D146" s="1120"/>
      <c r="E146" s="1015">
        <f t="shared" si="2"/>
        <v>0</v>
      </c>
      <c r="F146" s="1201"/>
      <c r="G146" s="470"/>
    </row>
    <row r="147" spans="1:7" ht="15" customHeight="1">
      <c r="A147" s="680"/>
      <c r="B147" s="1200"/>
      <c r="C147" s="1120"/>
      <c r="D147" s="1120"/>
      <c r="E147" s="1015">
        <f t="shared" si="2"/>
        <v>0</v>
      </c>
      <c r="F147" s="1201"/>
      <c r="G147" s="470"/>
    </row>
    <row r="148" spans="1:7" ht="15" customHeight="1">
      <c r="A148" s="680"/>
      <c r="B148" s="1200"/>
      <c r="C148" s="1120"/>
      <c r="D148" s="1120"/>
      <c r="E148" s="1015">
        <f t="shared" si="2"/>
        <v>0</v>
      </c>
      <c r="F148" s="1201"/>
      <c r="G148" s="470"/>
    </row>
    <row r="149" spans="1:7" ht="15" customHeight="1">
      <c r="A149" s="680"/>
      <c r="B149" s="1200"/>
      <c r="C149" s="1120"/>
      <c r="D149" s="1120"/>
      <c r="E149" s="1015">
        <f t="shared" si="2"/>
        <v>0</v>
      </c>
      <c r="F149" s="1201"/>
      <c r="G149" s="470"/>
    </row>
    <row r="150" spans="1:7" ht="15" customHeight="1">
      <c r="A150" s="680"/>
      <c r="B150" s="1200"/>
      <c r="C150" s="1120"/>
      <c r="D150" s="1120"/>
      <c r="E150" s="1015">
        <f t="shared" si="2"/>
        <v>0</v>
      </c>
      <c r="F150" s="1201"/>
      <c r="G150" s="470"/>
    </row>
    <row r="151" spans="1:7" ht="15" customHeight="1">
      <c r="A151" s="680"/>
      <c r="B151" s="1200"/>
      <c r="C151" s="1120"/>
      <c r="D151" s="1120"/>
      <c r="E151" s="1015">
        <f t="shared" si="2"/>
        <v>0</v>
      </c>
      <c r="F151" s="1201"/>
      <c r="G151" s="470"/>
    </row>
    <row r="152" spans="1:7" ht="15" customHeight="1">
      <c r="A152" s="680"/>
      <c r="B152" s="1200"/>
      <c r="C152" s="1120"/>
      <c r="D152" s="1120"/>
      <c r="E152" s="1015">
        <f t="shared" si="2"/>
        <v>0</v>
      </c>
      <c r="F152" s="1201"/>
      <c r="G152" s="470"/>
    </row>
    <row r="153" spans="1:7" ht="15" customHeight="1">
      <c r="A153" s="680"/>
      <c r="B153" s="1200"/>
      <c r="C153" s="1120"/>
      <c r="D153" s="1120"/>
      <c r="E153" s="1015">
        <f t="shared" si="2"/>
        <v>0</v>
      </c>
      <c r="F153" s="1201"/>
      <c r="G153" s="470"/>
    </row>
    <row r="154" spans="1:7" ht="15" customHeight="1">
      <c r="A154" s="680"/>
      <c r="B154" s="1200"/>
      <c r="C154" s="1120"/>
      <c r="D154" s="1120"/>
      <c r="E154" s="1015">
        <f t="shared" si="2"/>
        <v>0</v>
      </c>
      <c r="F154" s="1201"/>
      <c r="G154" s="470"/>
    </row>
    <row r="155" spans="1:7" ht="15" customHeight="1">
      <c r="A155" s="680"/>
      <c r="B155" s="1200"/>
      <c r="C155" s="1120"/>
      <c r="D155" s="1120"/>
      <c r="E155" s="1015">
        <f t="shared" si="2"/>
        <v>0</v>
      </c>
      <c r="F155" s="1201"/>
      <c r="G155" s="470"/>
    </row>
    <row r="156" spans="1:7" ht="15" customHeight="1">
      <c r="A156" s="680"/>
      <c r="B156" s="1200"/>
      <c r="C156" s="1120"/>
      <c r="D156" s="1120"/>
      <c r="E156" s="1015">
        <f t="shared" si="2"/>
        <v>0</v>
      </c>
      <c r="F156" s="1201"/>
      <c r="G156" s="470"/>
    </row>
    <row r="157" spans="1:7" ht="15" customHeight="1">
      <c r="A157" s="680"/>
      <c r="B157" s="1200"/>
      <c r="C157" s="1120"/>
      <c r="D157" s="1120"/>
      <c r="E157" s="1015">
        <f t="shared" si="2"/>
        <v>0</v>
      </c>
      <c r="F157" s="1201"/>
      <c r="G157" s="470"/>
    </row>
    <row r="158" spans="1:7" ht="15" customHeight="1">
      <c r="A158" s="680"/>
      <c r="B158" s="1200"/>
      <c r="C158" s="1120"/>
      <c r="D158" s="1120"/>
      <c r="E158" s="1015">
        <f t="shared" si="2"/>
        <v>0</v>
      </c>
      <c r="F158" s="1201"/>
      <c r="G158" s="470"/>
    </row>
    <row r="159" spans="1:7" ht="15" customHeight="1">
      <c r="A159" s="680"/>
      <c r="B159" s="1200"/>
      <c r="C159" s="1120"/>
      <c r="D159" s="1120"/>
      <c r="E159" s="1015">
        <f t="shared" si="2"/>
        <v>0</v>
      </c>
      <c r="F159" s="1201"/>
      <c r="G159" s="470"/>
    </row>
    <row r="160" spans="1:7" ht="15" customHeight="1">
      <c r="A160" s="680"/>
      <c r="B160" s="1200"/>
      <c r="C160" s="1120"/>
      <c r="D160" s="1120"/>
      <c r="E160" s="1015">
        <f t="shared" si="2"/>
        <v>0</v>
      </c>
      <c r="F160" s="1201"/>
      <c r="G160" s="470"/>
    </row>
    <row r="161" spans="1:7" ht="15" customHeight="1">
      <c r="A161" s="680"/>
      <c r="B161" s="1200"/>
      <c r="C161" s="1120"/>
      <c r="D161" s="1120"/>
      <c r="E161" s="1015">
        <f t="shared" si="2"/>
        <v>0</v>
      </c>
      <c r="F161" s="1201"/>
      <c r="G161" s="470"/>
    </row>
    <row r="162" spans="1:7" ht="15" customHeight="1">
      <c r="A162" s="680"/>
      <c r="B162" s="1200"/>
      <c r="C162" s="1120"/>
      <c r="D162" s="1120"/>
      <c r="E162" s="1015">
        <f t="shared" si="2"/>
        <v>0</v>
      </c>
      <c r="F162" s="1201"/>
      <c r="G162" s="470"/>
    </row>
    <row r="163" spans="1:7" ht="15" customHeight="1">
      <c r="A163" s="680"/>
      <c r="B163" s="1200"/>
      <c r="C163" s="1120"/>
      <c r="D163" s="1120"/>
      <c r="E163" s="1015">
        <f t="shared" si="2"/>
        <v>0</v>
      </c>
      <c r="F163" s="1201"/>
      <c r="G163" s="470"/>
    </row>
    <row r="164" spans="1:7" ht="15" customHeight="1">
      <c r="A164" s="680"/>
      <c r="B164" s="1200"/>
      <c r="C164" s="1120"/>
      <c r="D164" s="1120"/>
      <c r="E164" s="1015">
        <f t="shared" si="2"/>
        <v>0</v>
      </c>
      <c r="F164" s="1201"/>
      <c r="G164" s="470"/>
    </row>
    <row r="165" spans="1:7" ht="15" customHeight="1">
      <c r="A165" s="680"/>
      <c r="B165" s="1200"/>
      <c r="C165" s="1120"/>
      <c r="D165" s="1120"/>
      <c r="E165" s="1015">
        <f t="shared" si="2"/>
        <v>0</v>
      </c>
      <c r="F165" s="1201"/>
      <c r="G165" s="470"/>
    </row>
    <row r="166" spans="1:7" ht="15" customHeight="1">
      <c r="A166" s="680"/>
      <c r="B166" s="1200"/>
      <c r="C166" s="1120"/>
      <c r="D166" s="1120"/>
      <c r="E166" s="1015">
        <f t="shared" si="2"/>
        <v>0</v>
      </c>
      <c r="F166" s="1201"/>
      <c r="G166" s="470"/>
    </row>
    <row r="167" spans="1:7" ht="15" customHeight="1">
      <c r="A167" s="680"/>
      <c r="B167" s="1200"/>
      <c r="C167" s="1120"/>
      <c r="D167" s="1120"/>
      <c r="E167" s="1015">
        <f t="shared" si="2"/>
        <v>0</v>
      </c>
      <c r="F167" s="1201"/>
      <c r="G167" s="470"/>
    </row>
    <row r="168" spans="1:7" ht="15" customHeight="1">
      <c r="A168" s="680"/>
      <c r="B168" s="1200"/>
      <c r="C168" s="1120"/>
      <c r="D168" s="1120"/>
      <c r="E168" s="1015">
        <f t="shared" si="2"/>
        <v>0</v>
      </c>
      <c r="F168" s="1201"/>
      <c r="G168" s="470"/>
    </row>
    <row r="169" spans="1:7" ht="15" customHeight="1">
      <c r="A169" s="680"/>
      <c r="B169" s="1200"/>
      <c r="C169" s="1120"/>
      <c r="D169" s="1120"/>
      <c r="E169" s="1015">
        <f t="shared" si="2"/>
        <v>0</v>
      </c>
      <c r="F169" s="1201"/>
      <c r="G169" s="470"/>
    </row>
    <row r="170" spans="1:7" ht="15" customHeight="1">
      <c r="A170" s="680"/>
      <c r="B170" s="1200"/>
      <c r="C170" s="1120"/>
      <c r="D170" s="1120"/>
      <c r="E170" s="1015">
        <f t="shared" si="2"/>
        <v>0</v>
      </c>
      <c r="F170" s="1201"/>
      <c r="G170" s="470"/>
    </row>
    <row r="171" spans="1:7" ht="15" customHeight="1">
      <c r="A171" s="680"/>
      <c r="B171" s="1200"/>
      <c r="C171" s="1120"/>
      <c r="D171" s="1120"/>
      <c r="E171" s="1015">
        <f t="shared" si="2"/>
        <v>0</v>
      </c>
      <c r="F171" s="1201"/>
      <c r="G171" s="470"/>
    </row>
    <row r="172" spans="1:7" ht="15" customHeight="1">
      <c r="A172" s="680"/>
      <c r="B172" s="1200"/>
      <c r="C172" s="1120"/>
      <c r="D172" s="1120"/>
      <c r="E172" s="1015">
        <f t="shared" si="2"/>
        <v>0</v>
      </c>
      <c r="F172" s="1201"/>
      <c r="G172" s="470"/>
    </row>
    <row r="173" spans="1:7" ht="15" customHeight="1">
      <c r="A173" s="680"/>
      <c r="B173" s="1200"/>
      <c r="C173" s="1120"/>
      <c r="D173" s="1120"/>
      <c r="E173" s="1015">
        <f t="shared" si="2"/>
        <v>0</v>
      </c>
      <c r="F173" s="1201"/>
      <c r="G173" s="470"/>
    </row>
    <row r="174" spans="1:7" ht="15" customHeight="1">
      <c r="A174" s="680"/>
      <c r="B174" s="1200"/>
      <c r="C174" s="1120"/>
      <c r="D174" s="1120"/>
      <c r="E174" s="1015">
        <f t="shared" si="2"/>
        <v>0</v>
      </c>
      <c r="F174" s="1201"/>
      <c r="G174" s="470"/>
    </row>
    <row r="175" spans="1:7" ht="15" customHeight="1">
      <c r="A175" s="680"/>
      <c r="B175" s="1200"/>
      <c r="C175" s="1120"/>
      <c r="D175" s="1120"/>
      <c r="E175" s="1015">
        <f t="shared" si="2"/>
        <v>0</v>
      </c>
      <c r="F175" s="1201"/>
      <c r="G175" s="470"/>
    </row>
    <row r="176" spans="1:7" ht="15" customHeight="1">
      <c r="A176" s="680"/>
      <c r="B176" s="1200"/>
      <c r="C176" s="1120"/>
      <c r="D176" s="1120"/>
      <c r="E176" s="1015">
        <f t="shared" si="2"/>
        <v>0</v>
      </c>
      <c r="F176" s="1201"/>
      <c r="G176" s="470"/>
    </row>
    <row r="177" spans="1:7" ht="15" customHeight="1">
      <c r="A177" s="680"/>
      <c r="B177" s="1200"/>
      <c r="C177" s="1120"/>
      <c r="D177" s="1120"/>
      <c r="E177" s="1015">
        <f t="shared" si="2"/>
        <v>0</v>
      </c>
      <c r="F177" s="1201"/>
      <c r="G177" s="470"/>
    </row>
    <row r="178" spans="1:7" ht="15" customHeight="1">
      <c r="A178" s="680"/>
      <c r="B178" s="1200"/>
      <c r="C178" s="1120"/>
      <c r="D178" s="1120"/>
      <c r="E178" s="1015">
        <f t="shared" si="2"/>
        <v>0</v>
      </c>
      <c r="F178" s="1201"/>
      <c r="G178" s="470"/>
    </row>
    <row r="179" spans="1:7" ht="15" customHeight="1">
      <c r="A179" s="680"/>
      <c r="B179" s="1200"/>
      <c r="C179" s="1120"/>
      <c r="D179" s="1120"/>
      <c r="E179" s="1015">
        <f t="shared" si="2"/>
        <v>0</v>
      </c>
      <c r="F179" s="1201"/>
      <c r="G179" s="470"/>
    </row>
    <row r="180" spans="1:7" ht="15" customHeight="1">
      <c r="A180" s="680"/>
      <c r="B180" s="1200"/>
      <c r="C180" s="1120"/>
      <c r="D180" s="1120"/>
      <c r="E180" s="1015">
        <f t="shared" si="2"/>
        <v>0</v>
      </c>
      <c r="F180" s="1201"/>
      <c r="G180" s="470"/>
    </row>
    <row r="181" spans="1:7" ht="15" customHeight="1">
      <c r="A181" s="680"/>
      <c r="B181" s="1200"/>
      <c r="C181" s="1120"/>
      <c r="D181" s="1120"/>
      <c r="E181" s="1015">
        <f t="shared" si="2"/>
        <v>0</v>
      </c>
      <c r="F181" s="1201"/>
      <c r="G181" s="470"/>
    </row>
    <row r="182" spans="1:7" ht="15" customHeight="1">
      <c r="A182" s="680"/>
      <c r="B182" s="1200"/>
      <c r="C182" s="1120"/>
      <c r="D182" s="1120"/>
      <c r="E182" s="1015">
        <f t="shared" si="2"/>
        <v>0</v>
      </c>
      <c r="F182" s="1201"/>
      <c r="G182" s="470"/>
    </row>
    <row r="183" spans="1:7" ht="15" customHeight="1">
      <c r="A183" s="680"/>
      <c r="B183" s="1200"/>
      <c r="C183" s="1120"/>
      <c r="D183" s="1120"/>
      <c r="E183" s="1015">
        <f t="shared" si="2"/>
        <v>0</v>
      </c>
      <c r="F183" s="1201"/>
      <c r="G183" s="470"/>
    </row>
    <row r="184" spans="1:7" ht="15" customHeight="1">
      <c r="A184" s="680"/>
      <c r="B184" s="1200"/>
      <c r="C184" s="1120"/>
      <c r="D184" s="1120"/>
      <c r="E184" s="1015">
        <f t="shared" si="2"/>
        <v>0</v>
      </c>
      <c r="F184" s="1201"/>
      <c r="G184" s="470"/>
    </row>
    <row r="185" spans="1:7" ht="15" customHeight="1">
      <c r="A185" s="680"/>
      <c r="B185" s="1200"/>
      <c r="C185" s="1120"/>
      <c r="D185" s="1120"/>
      <c r="E185" s="1015">
        <f t="shared" si="2"/>
        <v>0</v>
      </c>
      <c r="F185" s="1201"/>
      <c r="G185" s="470"/>
    </row>
    <row r="186" spans="1:7" ht="15" customHeight="1">
      <c r="A186" s="680"/>
      <c r="B186" s="1200"/>
      <c r="C186" s="1120"/>
      <c r="D186" s="1120"/>
      <c r="E186" s="1015">
        <f t="shared" si="2"/>
        <v>0</v>
      </c>
      <c r="F186" s="1201"/>
      <c r="G186" s="470"/>
    </row>
    <row r="187" spans="1:7" ht="15" customHeight="1">
      <c r="A187" s="680"/>
      <c r="B187" s="1200"/>
      <c r="C187" s="1120"/>
      <c r="D187" s="1120"/>
      <c r="E187" s="1015">
        <f t="shared" si="2"/>
        <v>0</v>
      </c>
      <c r="F187" s="1201"/>
      <c r="G187" s="470"/>
    </row>
    <row r="188" spans="1:7" ht="15" customHeight="1">
      <c r="A188" s="680"/>
      <c r="B188" s="1200"/>
      <c r="C188" s="1120"/>
      <c r="D188" s="1120"/>
      <c r="E188" s="1015">
        <f t="shared" si="2"/>
        <v>0</v>
      </c>
      <c r="F188" s="1201"/>
      <c r="G188" s="470"/>
    </row>
    <row r="189" spans="1:7" ht="15" customHeight="1">
      <c r="A189" s="680"/>
      <c r="B189" s="1200"/>
      <c r="C189" s="1120"/>
      <c r="D189" s="1120"/>
      <c r="E189" s="1015">
        <f t="shared" si="2"/>
        <v>0</v>
      </c>
      <c r="F189" s="1201"/>
      <c r="G189" s="470"/>
    </row>
    <row r="190" spans="1:7" ht="15" customHeight="1">
      <c r="A190" s="680"/>
      <c r="B190" s="1200"/>
      <c r="C190" s="1120"/>
      <c r="D190" s="1120"/>
      <c r="E190" s="1015">
        <f t="shared" si="2"/>
        <v>0</v>
      </c>
      <c r="F190" s="1201"/>
      <c r="G190" s="470"/>
    </row>
    <row r="191" spans="1:7" ht="15" customHeight="1">
      <c r="A191" s="680"/>
      <c r="B191" s="1200"/>
      <c r="C191" s="1120"/>
      <c r="D191" s="1120"/>
      <c r="E191" s="1015">
        <f t="shared" si="2"/>
        <v>0</v>
      </c>
      <c r="F191" s="1201"/>
      <c r="G191" s="470"/>
    </row>
    <row r="192" spans="1:7" ht="15" customHeight="1">
      <c r="A192" s="680"/>
      <c r="B192" s="1200"/>
      <c r="C192" s="1120"/>
      <c r="D192" s="1120"/>
      <c r="E192" s="1015">
        <f t="shared" si="2"/>
        <v>0</v>
      </c>
      <c r="F192" s="1201"/>
      <c r="G192" s="470"/>
    </row>
    <row r="193" spans="1:7" ht="15" customHeight="1">
      <c r="A193" s="680"/>
      <c r="B193" s="1200"/>
      <c r="C193" s="1120"/>
      <c r="D193" s="1120"/>
      <c r="E193" s="1015">
        <f t="shared" si="2"/>
        <v>0</v>
      </c>
      <c r="F193" s="1201"/>
      <c r="G193" s="470"/>
    </row>
    <row r="194" spans="1:7" ht="15" customHeight="1">
      <c r="A194" s="680"/>
      <c r="B194" s="1200"/>
      <c r="C194" s="1120"/>
      <c r="D194" s="1120"/>
      <c r="E194" s="1015">
        <f t="shared" si="2"/>
        <v>0</v>
      </c>
      <c r="F194" s="1201"/>
      <c r="G194" s="470"/>
    </row>
    <row r="195" spans="1:7" ht="15" customHeight="1">
      <c r="A195" s="680"/>
      <c r="B195" s="1200"/>
      <c r="C195" s="1120"/>
      <c r="D195" s="1120"/>
      <c r="E195" s="1015">
        <f t="shared" si="2"/>
        <v>0</v>
      </c>
      <c r="F195" s="1201"/>
      <c r="G195" s="470"/>
    </row>
    <row r="196" spans="1:7" ht="15" customHeight="1">
      <c r="A196" s="680"/>
      <c r="B196" s="1200"/>
      <c r="C196" s="1120"/>
      <c r="D196" s="1120"/>
      <c r="E196" s="1015">
        <f t="shared" si="2"/>
        <v>0</v>
      </c>
      <c r="F196" s="1201"/>
      <c r="G196" s="470"/>
    </row>
    <row r="197" spans="1:7" ht="15" customHeight="1">
      <c r="A197" s="680"/>
      <c r="B197" s="1200"/>
      <c r="C197" s="1120"/>
      <c r="D197" s="1120"/>
      <c r="E197" s="1015">
        <f t="shared" si="2"/>
        <v>0</v>
      </c>
      <c r="F197" s="1201"/>
      <c r="G197" s="470"/>
    </row>
    <row r="198" spans="1:7" ht="15" customHeight="1">
      <c r="A198" s="680"/>
      <c r="B198" s="1200"/>
      <c r="C198" s="1120"/>
      <c r="D198" s="1120"/>
      <c r="E198" s="1015">
        <f t="shared" si="2"/>
        <v>0</v>
      </c>
      <c r="F198" s="1201"/>
      <c r="G198" s="470"/>
    </row>
    <row r="199" spans="1:7" ht="15" customHeight="1">
      <c r="A199" s="680"/>
      <c r="B199" s="1200"/>
      <c r="C199" s="1120"/>
      <c r="D199" s="1120"/>
      <c r="E199" s="1015">
        <f t="shared" si="2"/>
        <v>0</v>
      </c>
      <c r="F199" s="1201"/>
      <c r="G199" s="470"/>
    </row>
    <row r="200" spans="1:7" ht="15" customHeight="1">
      <c r="A200" s="680"/>
      <c r="B200" s="1200"/>
      <c r="C200" s="1120"/>
      <c r="D200" s="1120"/>
      <c r="E200" s="1015">
        <f t="shared" si="2"/>
        <v>0</v>
      </c>
      <c r="F200" s="1201"/>
      <c r="G200" s="470"/>
    </row>
    <row r="201" spans="1:7" ht="15" customHeight="1">
      <c r="A201" s="680"/>
      <c r="B201" s="1200"/>
      <c r="C201" s="1120"/>
      <c r="D201" s="1120"/>
      <c r="E201" s="1015">
        <f t="shared" si="2"/>
        <v>0</v>
      </c>
      <c r="F201" s="1201"/>
      <c r="G201" s="470"/>
    </row>
    <row r="202" spans="1:7" ht="15" customHeight="1">
      <c r="A202" s="680"/>
      <c r="B202" s="1200"/>
      <c r="C202" s="1120"/>
      <c r="D202" s="1120"/>
      <c r="E202" s="1015">
        <f t="shared" si="2"/>
        <v>0</v>
      </c>
      <c r="F202" s="1201"/>
      <c r="G202" s="470"/>
    </row>
    <row r="203" spans="1:7" ht="15" customHeight="1">
      <c r="A203" s="680"/>
      <c r="B203" s="1200"/>
      <c r="C203" s="1120"/>
      <c r="D203" s="1120"/>
      <c r="E203" s="1015">
        <f t="shared" si="2"/>
        <v>0</v>
      </c>
      <c r="F203" s="1201"/>
      <c r="G203" s="470"/>
    </row>
    <row r="204" spans="1:7" ht="15" customHeight="1">
      <c r="A204" s="680"/>
      <c r="B204" s="1200"/>
      <c r="C204" s="1120"/>
      <c r="D204" s="1120"/>
      <c r="E204" s="1015">
        <f t="shared" si="2"/>
        <v>0</v>
      </c>
      <c r="F204" s="1201"/>
      <c r="G204" s="470"/>
    </row>
    <row r="205" spans="1:7" ht="15" customHeight="1">
      <c r="A205" s="680"/>
      <c r="B205" s="1200"/>
      <c r="C205" s="1120"/>
      <c r="D205" s="1120"/>
      <c r="E205" s="1015">
        <f t="shared" si="2"/>
        <v>0</v>
      </c>
      <c r="F205" s="1201"/>
      <c r="G205" s="470"/>
    </row>
    <row r="206" spans="1:7" ht="15" customHeight="1">
      <c r="A206" s="680"/>
      <c r="B206" s="1200"/>
      <c r="C206" s="1120"/>
      <c r="D206" s="1120"/>
      <c r="E206" s="1015">
        <f t="shared" si="2"/>
        <v>0</v>
      </c>
      <c r="F206" s="1201"/>
      <c r="G206" s="470"/>
    </row>
    <row r="207" spans="1:7" ht="15" customHeight="1">
      <c r="A207" s="680"/>
      <c r="B207" s="1200"/>
      <c r="C207" s="1120"/>
      <c r="D207" s="1120"/>
      <c r="E207" s="1015">
        <f t="shared" si="2"/>
        <v>0</v>
      </c>
      <c r="F207" s="1201"/>
      <c r="G207" s="470"/>
    </row>
    <row r="208" spans="1:7" ht="15" customHeight="1">
      <c r="A208" s="680"/>
      <c r="B208" s="1200"/>
      <c r="C208" s="1120"/>
      <c r="D208" s="1120"/>
      <c r="E208" s="1015">
        <f t="shared" si="2"/>
        <v>0</v>
      </c>
      <c r="F208" s="1201"/>
      <c r="G208" s="470"/>
    </row>
    <row r="209" spans="1:7" ht="15" customHeight="1">
      <c r="A209" s="680"/>
      <c r="B209" s="1200"/>
      <c r="C209" s="1120"/>
      <c r="D209" s="1120"/>
      <c r="E209" s="1015">
        <f t="shared" ref="E209:E272" si="3">B209-C209+D209</f>
        <v>0</v>
      </c>
      <c r="F209" s="1201"/>
      <c r="G209" s="470"/>
    </row>
    <row r="210" spans="1:7" ht="15" customHeight="1">
      <c r="A210" s="680"/>
      <c r="B210" s="1200"/>
      <c r="C210" s="1120"/>
      <c r="D210" s="1120"/>
      <c r="E210" s="1015">
        <f t="shared" si="3"/>
        <v>0</v>
      </c>
      <c r="F210" s="1201"/>
      <c r="G210" s="470"/>
    </row>
    <row r="211" spans="1:7" ht="15" customHeight="1">
      <c r="A211" s="680"/>
      <c r="B211" s="1200"/>
      <c r="C211" s="1120"/>
      <c r="D211" s="1120"/>
      <c r="E211" s="1015">
        <f t="shared" si="3"/>
        <v>0</v>
      </c>
      <c r="F211" s="1201"/>
      <c r="G211" s="470"/>
    </row>
    <row r="212" spans="1:7" ht="15" customHeight="1">
      <c r="A212" s="680"/>
      <c r="B212" s="1200"/>
      <c r="C212" s="1120"/>
      <c r="D212" s="1120"/>
      <c r="E212" s="1015">
        <f t="shared" si="3"/>
        <v>0</v>
      </c>
      <c r="F212" s="1201"/>
      <c r="G212" s="470"/>
    </row>
    <row r="213" spans="1:7" ht="15" customHeight="1">
      <c r="A213" s="680"/>
      <c r="B213" s="1200"/>
      <c r="C213" s="1120"/>
      <c r="D213" s="1120"/>
      <c r="E213" s="1015">
        <f t="shared" si="3"/>
        <v>0</v>
      </c>
      <c r="F213" s="1201"/>
      <c r="G213" s="470"/>
    </row>
    <row r="214" spans="1:7" ht="15" customHeight="1">
      <c r="A214" s="680"/>
      <c r="B214" s="1200"/>
      <c r="C214" s="1120"/>
      <c r="D214" s="1120"/>
      <c r="E214" s="1015">
        <f t="shared" si="3"/>
        <v>0</v>
      </c>
      <c r="F214" s="1201"/>
      <c r="G214" s="470"/>
    </row>
    <row r="215" spans="1:7" ht="15" customHeight="1">
      <c r="A215" s="680"/>
      <c r="B215" s="1200"/>
      <c r="C215" s="1120"/>
      <c r="D215" s="1120"/>
      <c r="E215" s="1015">
        <f t="shared" si="3"/>
        <v>0</v>
      </c>
      <c r="F215" s="1201"/>
      <c r="G215" s="470"/>
    </row>
    <row r="216" spans="1:7" ht="15" customHeight="1">
      <c r="A216" s="680"/>
      <c r="B216" s="1200"/>
      <c r="C216" s="1120"/>
      <c r="D216" s="1120"/>
      <c r="E216" s="1015">
        <f t="shared" si="3"/>
        <v>0</v>
      </c>
      <c r="F216" s="1201"/>
      <c r="G216" s="470"/>
    </row>
    <row r="217" spans="1:7" ht="15" customHeight="1">
      <c r="A217" s="680"/>
      <c r="B217" s="1200"/>
      <c r="C217" s="1120"/>
      <c r="D217" s="1120"/>
      <c r="E217" s="1015">
        <f t="shared" si="3"/>
        <v>0</v>
      </c>
      <c r="F217" s="1201"/>
      <c r="G217" s="470"/>
    </row>
    <row r="218" spans="1:7" ht="15" customHeight="1">
      <c r="A218" s="680"/>
      <c r="B218" s="1200"/>
      <c r="C218" s="1120"/>
      <c r="D218" s="1120"/>
      <c r="E218" s="1015">
        <f t="shared" si="3"/>
        <v>0</v>
      </c>
      <c r="F218" s="1201"/>
      <c r="G218" s="470"/>
    </row>
    <row r="219" spans="1:7" ht="15" customHeight="1">
      <c r="A219" s="680"/>
      <c r="B219" s="1200"/>
      <c r="C219" s="1120"/>
      <c r="D219" s="1120"/>
      <c r="E219" s="1015">
        <f t="shared" si="3"/>
        <v>0</v>
      </c>
      <c r="F219" s="1201"/>
      <c r="G219" s="470"/>
    </row>
    <row r="220" spans="1:7" ht="15" customHeight="1">
      <c r="A220" s="680"/>
      <c r="B220" s="1200"/>
      <c r="C220" s="1120"/>
      <c r="D220" s="1120"/>
      <c r="E220" s="1015">
        <f t="shared" si="3"/>
        <v>0</v>
      </c>
      <c r="F220" s="1201"/>
      <c r="G220" s="470"/>
    </row>
    <row r="221" spans="1:7" ht="15" customHeight="1">
      <c r="A221" s="680"/>
      <c r="B221" s="1200"/>
      <c r="C221" s="1120"/>
      <c r="D221" s="1120"/>
      <c r="E221" s="1015">
        <f t="shared" si="3"/>
        <v>0</v>
      </c>
      <c r="F221" s="1201"/>
      <c r="G221" s="470"/>
    </row>
    <row r="222" spans="1:7" ht="15" customHeight="1">
      <c r="A222" s="680"/>
      <c r="B222" s="1200"/>
      <c r="C222" s="1120"/>
      <c r="D222" s="1120"/>
      <c r="E222" s="1015">
        <f t="shared" si="3"/>
        <v>0</v>
      </c>
      <c r="F222" s="1201"/>
      <c r="G222" s="470"/>
    </row>
    <row r="223" spans="1:7" ht="15" customHeight="1">
      <c r="A223" s="680"/>
      <c r="B223" s="1200"/>
      <c r="C223" s="1120"/>
      <c r="D223" s="1120"/>
      <c r="E223" s="1015">
        <f t="shared" si="3"/>
        <v>0</v>
      </c>
      <c r="F223" s="1201"/>
      <c r="G223" s="470"/>
    </row>
    <row r="224" spans="1:7" ht="15" customHeight="1">
      <c r="A224" s="680"/>
      <c r="B224" s="1200"/>
      <c r="C224" s="1120"/>
      <c r="D224" s="1120"/>
      <c r="E224" s="1015">
        <f t="shared" si="3"/>
        <v>0</v>
      </c>
      <c r="F224" s="1201"/>
      <c r="G224" s="470"/>
    </row>
    <row r="225" spans="1:7" ht="15" customHeight="1">
      <c r="A225" s="680"/>
      <c r="B225" s="1200"/>
      <c r="C225" s="1120"/>
      <c r="D225" s="1120"/>
      <c r="E225" s="1015">
        <f t="shared" si="3"/>
        <v>0</v>
      </c>
      <c r="F225" s="1201"/>
      <c r="G225" s="470"/>
    </row>
    <row r="226" spans="1:7" ht="15" customHeight="1">
      <c r="A226" s="680"/>
      <c r="B226" s="1200"/>
      <c r="C226" s="1120"/>
      <c r="D226" s="1120"/>
      <c r="E226" s="1015">
        <f t="shared" si="3"/>
        <v>0</v>
      </c>
      <c r="F226" s="1201"/>
      <c r="G226" s="470"/>
    </row>
    <row r="227" spans="1:7" ht="15" customHeight="1">
      <c r="A227" s="680"/>
      <c r="B227" s="1200"/>
      <c r="C227" s="1120"/>
      <c r="D227" s="1120"/>
      <c r="E227" s="1015">
        <f t="shared" si="3"/>
        <v>0</v>
      </c>
      <c r="F227" s="1201"/>
      <c r="G227" s="470"/>
    </row>
    <row r="228" spans="1:7" ht="15" customHeight="1">
      <c r="A228" s="680"/>
      <c r="B228" s="1200"/>
      <c r="C228" s="1120"/>
      <c r="D228" s="1120"/>
      <c r="E228" s="1015">
        <f t="shared" si="3"/>
        <v>0</v>
      </c>
      <c r="F228" s="1201"/>
      <c r="G228" s="470"/>
    </row>
    <row r="229" spans="1:7" ht="15" customHeight="1">
      <c r="A229" s="680"/>
      <c r="B229" s="1200"/>
      <c r="C229" s="1120"/>
      <c r="D229" s="1120"/>
      <c r="E229" s="1015">
        <f t="shared" si="3"/>
        <v>0</v>
      </c>
      <c r="F229" s="1201"/>
      <c r="G229" s="470"/>
    </row>
    <row r="230" spans="1:7" ht="15" customHeight="1">
      <c r="A230" s="680"/>
      <c r="B230" s="1200"/>
      <c r="C230" s="1120"/>
      <c r="D230" s="1120"/>
      <c r="E230" s="1015">
        <f t="shared" si="3"/>
        <v>0</v>
      </c>
      <c r="F230" s="1201"/>
      <c r="G230" s="470"/>
    </row>
    <row r="231" spans="1:7" ht="15" customHeight="1">
      <c r="A231" s="680"/>
      <c r="B231" s="1200"/>
      <c r="C231" s="1120"/>
      <c r="D231" s="1120"/>
      <c r="E231" s="1015">
        <f t="shared" si="3"/>
        <v>0</v>
      </c>
      <c r="F231" s="1201"/>
      <c r="G231" s="470"/>
    </row>
    <row r="232" spans="1:7" ht="15" customHeight="1">
      <c r="A232" s="680"/>
      <c r="B232" s="1200"/>
      <c r="C232" s="1120"/>
      <c r="D232" s="1120"/>
      <c r="E232" s="1015">
        <f t="shared" si="3"/>
        <v>0</v>
      </c>
      <c r="F232" s="1201"/>
      <c r="G232" s="470"/>
    </row>
    <row r="233" spans="1:7" ht="15" customHeight="1">
      <c r="A233" s="680"/>
      <c r="B233" s="1200"/>
      <c r="C233" s="1120"/>
      <c r="D233" s="1120"/>
      <c r="E233" s="1015">
        <f t="shared" si="3"/>
        <v>0</v>
      </c>
      <c r="F233" s="1201"/>
      <c r="G233" s="470"/>
    </row>
    <row r="234" spans="1:7" ht="15" customHeight="1">
      <c r="A234" s="680"/>
      <c r="B234" s="1200"/>
      <c r="C234" s="1120"/>
      <c r="D234" s="1120"/>
      <c r="E234" s="1015">
        <f t="shared" si="3"/>
        <v>0</v>
      </c>
      <c r="F234" s="1201"/>
      <c r="G234" s="470"/>
    </row>
    <row r="235" spans="1:7" ht="15" customHeight="1">
      <c r="A235" s="680"/>
      <c r="B235" s="1200"/>
      <c r="C235" s="1120"/>
      <c r="D235" s="1120"/>
      <c r="E235" s="1015">
        <f t="shared" si="3"/>
        <v>0</v>
      </c>
      <c r="F235" s="1201"/>
      <c r="G235" s="470"/>
    </row>
    <row r="236" spans="1:7" ht="15" customHeight="1">
      <c r="A236" s="680"/>
      <c r="B236" s="1200"/>
      <c r="C236" s="1120"/>
      <c r="D236" s="1120"/>
      <c r="E236" s="1015">
        <f t="shared" si="3"/>
        <v>0</v>
      </c>
      <c r="F236" s="1201"/>
      <c r="G236" s="470"/>
    </row>
    <row r="237" spans="1:7" ht="15" customHeight="1">
      <c r="A237" s="680"/>
      <c r="B237" s="1200"/>
      <c r="C237" s="1120"/>
      <c r="D237" s="1120"/>
      <c r="E237" s="1015">
        <f t="shared" si="3"/>
        <v>0</v>
      </c>
      <c r="F237" s="1201"/>
      <c r="G237" s="470"/>
    </row>
    <row r="238" spans="1:7" ht="15" customHeight="1">
      <c r="A238" s="680"/>
      <c r="B238" s="1200"/>
      <c r="C238" s="1120"/>
      <c r="D238" s="1120"/>
      <c r="E238" s="1015">
        <f t="shared" si="3"/>
        <v>0</v>
      </c>
      <c r="F238" s="1201"/>
      <c r="G238" s="470"/>
    </row>
    <row r="239" spans="1:7" ht="15" customHeight="1">
      <c r="A239" s="680"/>
      <c r="B239" s="1200"/>
      <c r="C239" s="1120"/>
      <c r="D239" s="1120"/>
      <c r="E239" s="1015">
        <f t="shared" si="3"/>
        <v>0</v>
      </c>
      <c r="F239" s="1201"/>
      <c r="G239" s="470"/>
    </row>
    <row r="240" spans="1:7" ht="15" customHeight="1">
      <c r="A240" s="680"/>
      <c r="B240" s="1200"/>
      <c r="C240" s="1120"/>
      <c r="D240" s="1120"/>
      <c r="E240" s="1015">
        <f t="shared" si="3"/>
        <v>0</v>
      </c>
      <c r="F240" s="1201"/>
      <c r="G240" s="470"/>
    </row>
    <row r="241" spans="1:7" ht="15" customHeight="1">
      <c r="A241" s="680"/>
      <c r="B241" s="1200"/>
      <c r="C241" s="1120"/>
      <c r="D241" s="1120"/>
      <c r="E241" s="1015">
        <f t="shared" si="3"/>
        <v>0</v>
      </c>
      <c r="F241" s="1201"/>
      <c r="G241" s="470"/>
    </row>
    <row r="242" spans="1:7" ht="15" customHeight="1">
      <c r="A242" s="680"/>
      <c r="B242" s="1200"/>
      <c r="C242" s="1120"/>
      <c r="D242" s="1120"/>
      <c r="E242" s="1015">
        <f t="shared" si="3"/>
        <v>0</v>
      </c>
      <c r="F242" s="1201"/>
      <c r="G242" s="470"/>
    </row>
    <row r="243" spans="1:7" ht="15" customHeight="1">
      <c r="A243" s="680"/>
      <c r="B243" s="1200"/>
      <c r="C243" s="1120"/>
      <c r="D243" s="1120"/>
      <c r="E243" s="1015">
        <f t="shared" si="3"/>
        <v>0</v>
      </c>
      <c r="F243" s="1201"/>
      <c r="G243" s="470"/>
    </row>
    <row r="244" spans="1:7" ht="15" customHeight="1">
      <c r="A244" s="680"/>
      <c r="B244" s="1200"/>
      <c r="C244" s="1120"/>
      <c r="D244" s="1120"/>
      <c r="E244" s="1015">
        <f t="shared" si="3"/>
        <v>0</v>
      </c>
      <c r="F244" s="1201"/>
      <c r="G244" s="470"/>
    </row>
    <row r="245" spans="1:7" ht="15" customHeight="1">
      <c r="A245" s="680"/>
      <c r="B245" s="1200"/>
      <c r="C245" s="1120"/>
      <c r="D245" s="1120"/>
      <c r="E245" s="1015">
        <f t="shared" si="3"/>
        <v>0</v>
      </c>
      <c r="F245" s="1201"/>
      <c r="G245" s="470"/>
    </row>
    <row r="246" spans="1:7" ht="15" customHeight="1">
      <c r="A246" s="680"/>
      <c r="B246" s="1200"/>
      <c r="C246" s="1120"/>
      <c r="D246" s="1120"/>
      <c r="E246" s="1015">
        <f t="shared" si="3"/>
        <v>0</v>
      </c>
      <c r="F246" s="1201"/>
      <c r="G246" s="470"/>
    </row>
    <row r="247" spans="1:7" ht="15" customHeight="1">
      <c r="A247" s="680"/>
      <c r="B247" s="1200"/>
      <c r="C247" s="1120"/>
      <c r="D247" s="1120"/>
      <c r="E247" s="1015">
        <f t="shared" si="3"/>
        <v>0</v>
      </c>
      <c r="F247" s="1201"/>
      <c r="G247" s="470"/>
    </row>
    <row r="248" spans="1:7" ht="15" customHeight="1">
      <c r="A248" s="680"/>
      <c r="B248" s="1200"/>
      <c r="C248" s="1120"/>
      <c r="D248" s="1120"/>
      <c r="E248" s="1015">
        <f t="shared" si="3"/>
        <v>0</v>
      </c>
      <c r="F248" s="1201"/>
      <c r="G248" s="470"/>
    </row>
    <row r="249" spans="1:7" ht="15" customHeight="1">
      <c r="A249" s="680"/>
      <c r="B249" s="1200"/>
      <c r="C249" s="1120"/>
      <c r="D249" s="1120"/>
      <c r="E249" s="1015">
        <f t="shared" si="3"/>
        <v>0</v>
      </c>
      <c r="F249" s="1201"/>
      <c r="G249" s="470"/>
    </row>
    <row r="250" spans="1:7" ht="15" customHeight="1">
      <c r="A250" s="680"/>
      <c r="B250" s="1200"/>
      <c r="C250" s="1120"/>
      <c r="D250" s="1120"/>
      <c r="E250" s="1015">
        <f t="shared" si="3"/>
        <v>0</v>
      </c>
      <c r="F250" s="1201"/>
      <c r="G250" s="470"/>
    </row>
    <row r="251" spans="1:7" ht="15" customHeight="1">
      <c r="A251" s="680"/>
      <c r="B251" s="1200"/>
      <c r="C251" s="1120"/>
      <c r="D251" s="1120"/>
      <c r="E251" s="1015">
        <f t="shared" si="3"/>
        <v>0</v>
      </c>
      <c r="F251" s="1201"/>
      <c r="G251" s="470"/>
    </row>
    <row r="252" spans="1:7" ht="15" customHeight="1">
      <c r="A252" s="680"/>
      <c r="B252" s="1200"/>
      <c r="C252" s="1120"/>
      <c r="D252" s="1120"/>
      <c r="E252" s="1015">
        <f t="shared" si="3"/>
        <v>0</v>
      </c>
      <c r="F252" s="1201"/>
      <c r="G252" s="470"/>
    </row>
    <row r="253" spans="1:7" ht="15" customHeight="1">
      <c r="A253" s="680"/>
      <c r="B253" s="1200"/>
      <c r="C253" s="1120"/>
      <c r="D253" s="1120"/>
      <c r="E253" s="1015">
        <f t="shared" si="3"/>
        <v>0</v>
      </c>
      <c r="F253" s="1201"/>
      <c r="G253" s="470"/>
    </row>
    <row r="254" spans="1:7" ht="15" customHeight="1">
      <c r="A254" s="680"/>
      <c r="B254" s="1200"/>
      <c r="C254" s="1120"/>
      <c r="D254" s="1120"/>
      <c r="E254" s="1015">
        <f t="shared" si="3"/>
        <v>0</v>
      </c>
      <c r="F254" s="1201"/>
      <c r="G254" s="470"/>
    </row>
    <row r="255" spans="1:7" ht="15" customHeight="1">
      <c r="A255" s="680"/>
      <c r="B255" s="1200"/>
      <c r="C255" s="1120"/>
      <c r="D255" s="1120"/>
      <c r="E255" s="1015">
        <f t="shared" si="3"/>
        <v>0</v>
      </c>
      <c r="F255" s="1201"/>
      <c r="G255" s="470"/>
    </row>
    <row r="256" spans="1:7" ht="15" customHeight="1">
      <c r="A256" s="680"/>
      <c r="B256" s="1200"/>
      <c r="C256" s="1120"/>
      <c r="D256" s="1120"/>
      <c r="E256" s="1015">
        <f t="shared" si="3"/>
        <v>0</v>
      </c>
      <c r="F256" s="1201"/>
      <c r="G256" s="470"/>
    </row>
    <row r="257" spans="1:7" ht="15" customHeight="1">
      <c r="A257" s="680"/>
      <c r="B257" s="1200"/>
      <c r="C257" s="1120"/>
      <c r="D257" s="1120"/>
      <c r="E257" s="1015">
        <f t="shared" si="3"/>
        <v>0</v>
      </c>
      <c r="F257" s="1201"/>
      <c r="G257" s="470"/>
    </row>
    <row r="258" spans="1:7" ht="15" customHeight="1">
      <c r="A258" s="680"/>
      <c r="B258" s="1200"/>
      <c r="C258" s="1120"/>
      <c r="D258" s="1120"/>
      <c r="E258" s="1015">
        <f t="shared" si="3"/>
        <v>0</v>
      </c>
      <c r="F258" s="1201"/>
      <c r="G258" s="470"/>
    </row>
    <row r="259" spans="1:7" ht="15" customHeight="1">
      <c r="A259" s="680"/>
      <c r="B259" s="1200"/>
      <c r="C259" s="1120"/>
      <c r="D259" s="1120"/>
      <c r="E259" s="1015">
        <f t="shared" si="3"/>
        <v>0</v>
      </c>
      <c r="F259" s="1201"/>
      <c r="G259" s="470"/>
    </row>
    <row r="260" spans="1:7" ht="15" customHeight="1">
      <c r="A260" s="680"/>
      <c r="B260" s="1200"/>
      <c r="C260" s="1120"/>
      <c r="D260" s="1120"/>
      <c r="E260" s="1015">
        <f t="shared" si="3"/>
        <v>0</v>
      </c>
      <c r="F260" s="1201"/>
      <c r="G260" s="470"/>
    </row>
    <row r="261" spans="1:7" ht="15" customHeight="1">
      <c r="A261" s="680"/>
      <c r="B261" s="1200"/>
      <c r="C261" s="1120"/>
      <c r="D261" s="1120"/>
      <c r="E261" s="1015">
        <f t="shared" si="3"/>
        <v>0</v>
      </c>
      <c r="F261" s="1201"/>
      <c r="G261" s="470"/>
    </row>
    <row r="262" spans="1:7" ht="15" customHeight="1">
      <c r="A262" s="680"/>
      <c r="B262" s="1200"/>
      <c r="C262" s="1120"/>
      <c r="D262" s="1120"/>
      <c r="E262" s="1015">
        <f t="shared" si="3"/>
        <v>0</v>
      </c>
      <c r="F262" s="1201"/>
      <c r="G262" s="470"/>
    </row>
    <row r="263" spans="1:7" ht="15" customHeight="1">
      <c r="A263" s="680"/>
      <c r="B263" s="1200"/>
      <c r="C263" s="1120"/>
      <c r="D263" s="1120"/>
      <c r="E263" s="1015">
        <f t="shared" si="3"/>
        <v>0</v>
      </c>
      <c r="F263" s="1201"/>
      <c r="G263" s="470"/>
    </row>
    <row r="264" spans="1:7" ht="15" customHeight="1">
      <c r="A264" s="680"/>
      <c r="B264" s="1200"/>
      <c r="C264" s="1120"/>
      <c r="D264" s="1120"/>
      <c r="E264" s="1015">
        <f t="shared" si="3"/>
        <v>0</v>
      </c>
      <c r="F264" s="1201"/>
      <c r="G264" s="470"/>
    </row>
    <row r="265" spans="1:7" ht="15" customHeight="1">
      <c r="A265" s="680"/>
      <c r="B265" s="1200"/>
      <c r="C265" s="1120"/>
      <c r="D265" s="1120"/>
      <c r="E265" s="1015">
        <f t="shared" si="3"/>
        <v>0</v>
      </c>
      <c r="F265" s="1201"/>
      <c r="G265" s="470"/>
    </row>
    <row r="266" spans="1:7" ht="15" customHeight="1">
      <c r="A266" s="680"/>
      <c r="B266" s="1200"/>
      <c r="C266" s="1120"/>
      <c r="D266" s="1120"/>
      <c r="E266" s="1015">
        <f t="shared" si="3"/>
        <v>0</v>
      </c>
      <c r="F266" s="1201"/>
      <c r="G266" s="470"/>
    </row>
    <row r="267" spans="1:7" ht="15" customHeight="1">
      <c r="A267" s="680"/>
      <c r="B267" s="1200"/>
      <c r="C267" s="1120"/>
      <c r="D267" s="1120"/>
      <c r="E267" s="1015">
        <f t="shared" si="3"/>
        <v>0</v>
      </c>
      <c r="F267" s="1201"/>
      <c r="G267" s="470"/>
    </row>
    <row r="268" spans="1:7" ht="15" customHeight="1">
      <c r="A268" s="680"/>
      <c r="B268" s="1200"/>
      <c r="C268" s="1120"/>
      <c r="D268" s="1120"/>
      <c r="E268" s="1015">
        <f t="shared" si="3"/>
        <v>0</v>
      </c>
      <c r="F268" s="1201"/>
      <c r="G268" s="470"/>
    </row>
    <row r="269" spans="1:7" ht="15" customHeight="1">
      <c r="A269" s="680"/>
      <c r="B269" s="1200"/>
      <c r="C269" s="1120"/>
      <c r="D269" s="1120"/>
      <c r="E269" s="1015">
        <f t="shared" si="3"/>
        <v>0</v>
      </c>
      <c r="F269" s="1201"/>
      <c r="G269" s="470"/>
    </row>
    <row r="270" spans="1:7" ht="15" customHeight="1">
      <c r="A270" s="680"/>
      <c r="B270" s="1200"/>
      <c r="C270" s="1120"/>
      <c r="D270" s="1120"/>
      <c r="E270" s="1015">
        <f t="shared" si="3"/>
        <v>0</v>
      </c>
      <c r="F270" s="1201"/>
      <c r="G270" s="470"/>
    </row>
    <row r="271" spans="1:7" ht="15" customHeight="1">
      <c r="A271" s="680"/>
      <c r="B271" s="1200"/>
      <c r="C271" s="1120"/>
      <c r="D271" s="1120"/>
      <c r="E271" s="1015">
        <f t="shared" si="3"/>
        <v>0</v>
      </c>
      <c r="F271" s="1201"/>
      <c r="G271" s="470"/>
    </row>
    <row r="272" spans="1:7" ht="15" customHeight="1">
      <c r="A272" s="680"/>
      <c r="B272" s="1200"/>
      <c r="C272" s="1120"/>
      <c r="D272" s="1120"/>
      <c r="E272" s="1015">
        <f t="shared" si="3"/>
        <v>0</v>
      </c>
      <c r="F272" s="1201"/>
      <c r="G272" s="470"/>
    </row>
    <row r="273" spans="1:7" ht="15" customHeight="1">
      <c r="A273" s="680"/>
      <c r="B273" s="1200"/>
      <c r="C273" s="1120"/>
      <c r="D273" s="1120"/>
      <c r="E273" s="1015">
        <f t="shared" ref="E273:E304" si="4">B273-C273+D273</f>
        <v>0</v>
      </c>
      <c r="F273" s="1201"/>
      <c r="G273" s="470"/>
    </row>
    <row r="274" spans="1:7" ht="15" customHeight="1">
      <c r="A274" s="680"/>
      <c r="B274" s="1200"/>
      <c r="C274" s="1120"/>
      <c r="D274" s="1120"/>
      <c r="E274" s="1015">
        <f t="shared" si="4"/>
        <v>0</v>
      </c>
      <c r="F274" s="1201"/>
      <c r="G274" s="470"/>
    </row>
    <row r="275" spans="1:7" ht="15" customHeight="1">
      <c r="A275" s="680"/>
      <c r="B275" s="1200"/>
      <c r="C275" s="1120"/>
      <c r="D275" s="1120"/>
      <c r="E275" s="1015">
        <f t="shared" si="4"/>
        <v>0</v>
      </c>
      <c r="F275" s="1201"/>
      <c r="G275" s="470"/>
    </row>
    <row r="276" spans="1:7" ht="15" customHeight="1">
      <c r="A276" s="680"/>
      <c r="B276" s="1200"/>
      <c r="C276" s="1120"/>
      <c r="D276" s="1120"/>
      <c r="E276" s="1015">
        <f t="shared" si="4"/>
        <v>0</v>
      </c>
      <c r="F276" s="1201"/>
      <c r="G276" s="470"/>
    </row>
    <row r="277" spans="1:7" ht="15" customHeight="1">
      <c r="A277" s="680"/>
      <c r="B277" s="1200"/>
      <c r="C277" s="1120"/>
      <c r="D277" s="1120"/>
      <c r="E277" s="1015">
        <f t="shared" si="4"/>
        <v>0</v>
      </c>
      <c r="F277" s="1201"/>
      <c r="G277" s="470"/>
    </row>
    <row r="278" spans="1:7" ht="15" customHeight="1">
      <c r="A278" s="680"/>
      <c r="B278" s="1200"/>
      <c r="C278" s="1120"/>
      <c r="D278" s="1120"/>
      <c r="E278" s="1015">
        <f t="shared" si="4"/>
        <v>0</v>
      </c>
      <c r="F278" s="1201"/>
      <c r="G278" s="470"/>
    </row>
    <row r="279" spans="1:7" ht="15" customHeight="1">
      <c r="A279" s="680"/>
      <c r="B279" s="1200"/>
      <c r="C279" s="1120"/>
      <c r="D279" s="1120"/>
      <c r="E279" s="1015">
        <f t="shared" si="4"/>
        <v>0</v>
      </c>
      <c r="F279" s="1201"/>
      <c r="G279" s="470"/>
    </row>
    <row r="280" spans="1:7" ht="15" customHeight="1">
      <c r="A280" s="680"/>
      <c r="B280" s="1200"/>
      <c r="C280" s="1120"/>
      <c r="D280" s="1120"/>
      <c r="E280" s="1015">
        <f t="shared" si="4"/>
        <v>0</v>
      </c>
      <c r="F280" s="1201"/>
      <c r="G280" s="470"/>
    </row>
    <row r="281" spans="1:7" ht="15" customHeight="1">
      <c r="A281" s="680"/>
      <c r="B281" s="1200"/>
      <c r="C281" s="1120"/>
      <c r="D281" s="1120"/>
      <c r="E281" s="1015">
        <f t="shared" si="4"/>
        <v>0</v>
      </c>
      <c r="F281" s="1201"/>
      <c r="G281" s="470"/>
    </row>
    <row r="282" spans="1:7" ht="15" customHeight="1">
      <c r="A282" s="680"/>
      <c r="B282" s="1200"/>
      <c r="C282" s="1120"/>
      <c r="D282" s="1120"/>
      <c r="E282" s="1015">
        <f t="shared" si="4"/>
        <v>0</v>
      </c>
      <c r="F282" s="1201"/>
      <c r="G282" s="470"/>
    </row>
    <row r="283" spans="1:7" ht="15" customHeight="1">
      <c r="A283" s="680"/>
      <c r="B283" s="1200"/>
      <c r="C283" s="1120"/>
      <c r="D283" s="1120"/>
      <c r="E283" s="1015">
        <f t="shared" si="4"/>
        <v>0</v>
      </c>
      <c r="F283" s="1201"/>
      <c r="G283" s="470"/>
    </row>
    <row r="284" spans="1:7" ht="15" customHeight="1">
      <c r="A284" s="680"/>
      <c r="B284" s="1200"/>
      <c r="C284" s="1120"/>
      <c r="D284" s="1120"/>
      <c r="E284" s="1015">
        <f t="shared" si="4"/>
        <v>0</v>
      </c>
      <c r="F284" s="1201"/>
      <c r="G284" s="470"/>
    </row>
    <row r="285" spans="1:7" ht="15" customHeight="1">
      <c r="A285" s="680"/>
      <c r="B285" s="1200"/>
      <c r="C285" s="1120"/>
      <c r="D285" s="1120"/>
      <c r="E285" s="1015">
        <f t="shared" si="4"/>
        <v>0</v>
      </c>
      <c r="F285" s="1201"/>
      <c r="G285" s="470"/>
    </row>
    <row r="286" spans="1:7" ht="15" customHeight="1">
      <c r="A286" s="680"/>
      <c r="B286" s="1200"/>
      <c r="C286" s="1120"/>
      <c r="D286" s="1120"/>
      <c r="E286" s="1015">
        <f t="shared" si="4"/>
        <v>0</v>
      </c>
      <c r="F286" s="1201"/>
      <c r="G286" s="470"/>
    </row>
    <row r="287" spans="1:7" ht="15" customHeight="1">
      <c r="A287" s="680"/>
      <c r="B287" s="1200"/>
      <c r="C287" s="1120"/>
      <c r="D287" s="1120"/>
      <c r="E287" s="1015">
        <f t="shared" si="4"/>
        <v>0</v>
      </c>
      <c r="F287" s="1201"/>
      <c r="G287" s="470"/>
    </row>
    <row r="288" spans="1:7" ht="15" customHeight="1">
      <c r="A288" s="680"/>
      <c r="B288" s="1200"/>
      <c r="C288" s="1120"/>
      <c r="D288" s="1120"/>
      <c r="E288" s="1015">
        <f t="shared" si="4"/>
        <v>0</v>
      </c>
      <c r="F288" s="1201"/>
      <c r="G288" s="470"/>
    </row>
    <row r="289" spans="1:7" ht="15" customHeight="1">
      <c r="A289" s="680"/>
      <c r="B289" s="1200"/>
      <c r="C289" s="1120"/>
      <c r="D289" s="1120"/>
      <c r="E289" s="1015">
        <f t="shared" si="4"/>
        <v>0</v>
      </c>
      <c r="F289" s="1201"/>
      <c r="G289" s="470"/>
    </row>
    <row r="290" spans="1:7" ht="15" customHeight="1">
      <c r="A290" s="680"/>
      <c r="B290" s="1200"/>
      <c r="C290" s="1120"/>
      <c r="D290" s="1120"/>
      <c r="E290" s="1015">
        <f t="shared" si="4"/>
        <v>0</v>
      </c>
      <c r="F290" s="1201"/>
      <c r="G290" s="470"/>
    </row>
    <row r="291" spans="1:7" ht="15" customHeight="1">
      <c r="A291" s="680"/>
      <c r="B291" s="1200"/>
      <c r="C291" s="1120"/>
      <c r="D291" s="1120"/>
      <c r="E291" s="1015">
        <f t="shared" si="4"/>
        <v>0</v>
      </c>
      <c r="F291" s="1201"/>
      <c r="G291" s="470"/>
    </row>
    <row r="292" spans="1:7" ht="15" customHeight="1">
      <c r="A292" s="680"/>
      <c r="B292" s="1200"/>
      <c r="C292" s="1120"/>
      <c r="D292" s="1120"/>
      <c r="E292" s="1015">
        <f t="shared" si="4"/>
        <v>0</v>
      </c>
      <c r="F292" s="1201"/>
      <c r="G292" s="470"/>
    </row>
    <row r="293" spans="1:7" ht="15" customHeight="1">
      <c r="A293" s="680"/>
      <c r="B293" s="1200"/>
      <c r="C293" s="1120"/>
      <c r="D293" s="1120"/>
      <c r="E293" s="1015">
        <f t="shared" si="4"/>
        <v>0</v>
      </c>
      <c r="F293" s="1201"/>
      <c r="G293" s="470"/>
    </row>
    <row r="294" spans="1:7" ht="15" customHeight="1">
      <c r="A294" s="680"/>
      <c r="B294" s="1200"/>
      <c r="C294" s="1120"/>
      <c r="D294" s="1120"/>
      <c r="E294" s="1015">
        <f t="shared" si="4"/>
        <v>0</v>
      </c>
      <c r="F294" s="1201"/>
      <c r="G294" s="470"/>
    </row>
    <row r="295" spans="1:7" ht="15" customHeight="1">
      <c r="A295" s="680"/>
      <c r="B295" s="1200"/>
      <c r="C295" s="1120"/>
      <c r="D295" s="1120"/>
      <c r="E295" s="1015">
        <f t="shared" si="4"/>
        <v>0</v>
      </c>
      <c r="F295" s="1201"/>
      <c r="G295" s="470"/>
    </row>
    <row r="296" spans="1:7" ht="15" customHeight="1">
      <c r="A296" s="680"/>
      <c r="B296" s="1200"/>
      <c r="C296" s="1120"/>
      <c r="D296" s="1120"/>
      <c r="E296" s="1015">
        <f t="shared" si="4"/>
        <v>0</v>
      </c>
      <c r="F296" s="1201"/>
      <c r="G296" s="470"/>
    </row>
    <row r="297" spans="1:7" ht="15" customHeight="1">
      <c r="A297" s="680"/>
      <c r="B297" s="1200"/>
      <c r="C297" s="1120"/>
      <c r="D297" s="1120"/>
      <c r="E297" s="1015">
        <f t="shared" si="4"/>
        <v>0</v>
      </c>
      <c r="F297" s="1201"/>
      <c r="G297" s="470"/>
    </row>
    <row r="298" spans="1:7" ht="15" customHeight="1">
      <c r="A298" s="680"/>
      <c r="B298" s="1200"/>
      <c r="C298" s="1120"/>
      <c r="D298" s="1120"/>
      <c r="E298" s="1015">
        <f t="shared" si="4"/>
        <v>0</v>
      </c>
      <c r="F298" s="1201"/>
      <c r="G298" s="470"/>
    </row>
    <row r="299" spans="1:7" ht="15" customHeight="1">
      <c r="A299" s="680"/>
      <c r="B299" s="1200"/>
      <c r="C299" s="1120"/>
      <c r="D299" s="1120"/>
      <c r="E299" s="1015">
        <f t="shared" si="4"/>
        <v>0</v>
      </c>
      <c r="F299" s="1201"/>
      <c r="G299" s="470"/>
    </row>
    <row r="300" spans="1:7" ht="15" customHeight="1">
      <c r="A300" s="680"/>
      <c r="B300" s="1200"/>
      <c r="C300" s="1120"/>
      <c r="D300" s="1120"/>
      <c r="E300" s="1015">
        <f t="shared" si="4"/>
        <v>0</v>
      </c>
      <c r="F300" s="1201"/>
      <c r="G300" s="470"/>
    </row>
    <row r="301" spans="1:7" ht="15" customHeight="1">
      <c r="A301" s="680"/>
      <c r="B301" s="1200"/>
      <c r="C301" s="1120"/>
      <c r="D301" s="1120"/>
      <c r="E301" s="1015">
        <f t="shared" si="4"/>
        <v>0</v>
      </c>
      <c r="F301" s="1201"/>
      <c r="G301" s="470"/>
    </row>
    <row r="302" spans="1:7" ht="15" customHeight="1">
      <c r="A302" s="680"/>
      <c r="B302" s="1200"/>
      <c r="C302" s="1120"/>
      <c r="D302" s="1120"/>
      <c r="E302" s="1015">
        <f t="shared" si="4"/>
        <v>0</v>
      </c>
      <c r="F302" s="1201"/>
      <c r="G302" s="470"/>
    </row>
    <row r="303" spans="1:7" ht="15" customHeight="1">
      <c r="A303" s="680"/>
      <c r="B303" s="1200"/>
      <c r="C303" s="1120"/>
      <c r="D303" s="1120"/>
      <c r="E303" s="1015">
        <f t="shared" si="4"/>
        <v>0</v>
      </c>
      <c r="F303" s="1201"/>
      <c r="G303" s="470"/>
    </row>
    <row r="304" spans="1:7" ht="15" customHeight="1">
      <c r="A304" s="682"/>
      <c r="B304" s="1202"/>
      <c r="C304" s="1125"/>
      <c r="D304" s="1125"/>
      <c r="E304" s="1020">
        <f t="shared" si="4"/>
        <v>0</v>
      </c>
      <c r="F304" s="1203"/>
      <c r="G304" s="470"/>
    </row>
    <row r="305" spans="7:7" s="554" customFormat="1" ht="15" customHeight="1">
      <c r="G305" s="444"/>
    </row>
    <row r="306" spans="7:7" s="554" customFormat="1" ht="15" customHeight="1">
      <c r="G306" s="444"/>
    </row>
    <row r="307" spans="7:7" s="554" customFormat="1" ht="15" customHeight="1">
      <c r="G307" s="444"/>
    </row>
    <row r="308" spans="7:7" s="554" customFormat="1" ht="15" customHeight="1">
      <c r="G308" s="444"/>
    </row>
    <row r="309" spans="7:7" s="554" customFormat="1" ht="15" customHeight="1">
      <c r="G309" s="444"/>
    </row>
    <row r="310" spans="7:7" s="554" customFormat="1" ht="15" customHeight="1">
      <c r="G310" s="444"/>
    </row>
    <row r="311" spans="7:7" s="554" customFormat="1" ht="15" customHeight="1">
      <c r="G311" s="444"/>
    </row>
    <row r="312" spans="7:7" s="554" customFormat="1" ht="15" customHeight="1">
      <c r="G312" s="444"/>
    </row>
    <row r="313" spans="7:7" s="554" customFormat="1" ht="15" customHeight="1">
      <c r="G313" s="444"/>
    </row>
    <row r="314" spans="7:7" s="554" customFormat="1" ht="15" customHeight="1">
      <c r="G314" s="444"/>
    </row>
    <row r="315" spans="7:7" s="554" customFormat="1" ht="15" customHeight="1">
      <c r="G315" s="444"/>
    </row>
    <row r="316" spans="7:7" s="554" customFormat="1" ht="15" customHeight="1">
      <c r="G316" s="444"/>
    </row>
    <row r="317" spans="7:7" s="554" customFormat="1" ht="15" customHeight="1">
      <c r="G317" s="444"/>
    </row>
    <row r="318" spans="7:7" s="554" customFormat="1" ht="15" customHeight="1">
      <c r="G318" s="444"/>
    </row>
    <row r="319" spans="7:7" s="554" customFormat="1" ht="15" customHeight="1">
      <c r="G319" s="444"/>
    </row>
    <row r="320" spans="7:7" s="554" customFormat="1" ht="15" customHeight="1">
      <c r="G320" s="444"/>
    </row>
    <row r="321" spans="7:7" s="554" customFormat="1" ht="15" customHeight="1">
      <c r="G321" s="444"/>
    </row>
    <row r="322" spans="7:7" s="554" customFormat="1" ht="15" customHeight="1">
      <c r="G322" s="444"/>
    </row>
    <row r="323" spans="7:7" s="554" customFormat="1" ht="15" customHeight="1">
      <c r="G323" s="444"/>
    </row>
    <row r="324" spans="7:7" s="554" customFormat="1" ht="15" customHeight="1">
      <c r="G324" s="444"/>
    </row>
    <row r="325" spans="7:7" s="554" customFormat="1" ht="15" customHeight="1">
      <c r="G325" s="444"/>
    </row>
    <row r="326" spans="7:7" s="554" customFormat="1" ht="15" customHeight="1">
      <c r="G326" s="444"/>
    </row>
    <row r="327" spans="7:7" s="554" customFormat="1" ht="15" customHeight="1">
      <c r="G327" s="444"/>
    </row>
    <row r="328" spans="7:7" s="554" customFormat="1" ht="15" customHeight="1">
      <c r="G328" s="444"/>
    </row>
    <row r="329" spans="7:7" s="554" customFormat="1" ht="15" customHeight="1">
      <c r="G329" s="444"/>
    </row>
    <row r="330" spans="7:7" s="554" customFormat="1" ht="15" customHeight="1">
      <c r="G330" s="444"/>
    </row>
    <row r="331" spans="7:7" s="554" customFormat="1" ht="15" customHeight="1">
      <c r="G331" s="444"/>
    </row>
    <row r="332" spans="7:7" s="554" customFormat="1" ht="15" customHeight="1">
      <c r="G332" s="444"/>
    </row>
    <row r="333" spans="7:7" s="554" customFormat="1" ht="15" customHeight="1">
      <c r="G333" s="444"/>
    </row>
    <row r="334" spans="7:7" s="554" customFormat="1" ht="15" customHeight="1">
      <c r="G334" s="444"/>
    </row>
    <row r="335" spans="7:7" s="554" customFormat="1" ht="15" customHeight="1">
      <c r="G335" s="444"/>
    </row>
    <row r="336" spans="7:7" s="554" customFormat="1" ht="15" customHeight="1">
      <c r="G336" s="444"/>
    </row>
    <row r="337" spans="1:6" ht="15" customHeight="1">
      <c r="A337" s="554"/>
      <c r="B337" s="554"/>
      <c r="C337" s="554"/>
      <c r="D337" s="554"/>
      <c r="E337" s="554"/>
      <c r="F337" s="554"/>
    </row>
    <row r="338" spans="1:6" ht="15" customHeight="1">
      <c r="A338" s="554"/>
      <c r="B338" s="554"/>
      <c r="C338" s="554"/>
      <c r="D338" s="554"/>
      <c r="E338" s="554"/>
      <c r="F338" s="554"/>
    </row>
    <row r="339" spans="1:6" ht="15" customHeight="1"/>
    <row r="340" spans="1:6" ht="15" customHeight="1"/>
    <row r="341" spans="1:6" ht="15" customHeight="1"/>
    <row r="342" spans="1:6" ht="15" customHeight="1"/>
    <row r="343" spans="1:6" ht="15" customHeight="1"/>
    <row r="344" spans="1:6" ht="15" customHeight="1"/>
    <row r="345" spans="1:6" ht="15" customHeight="1"/>
    <row r="346" spans="1:6" ht="15" customHeight="1"/>
    <row r="347" spans="1:6" ht="15" customHeight="1"/>
    <row r="348" spans="1:6" ht="15" customHeight="1"/>
    <row r="349" spans="1:6" ht="15" customHeight="1"/>
    <row r="350" spans="1:6" ht="15" customHeight="1"/>
    <row r="351" spans="1:6" ht="15" customHeight="1"/>
    <row r="352" spans="1:6" ht="15" customHeight="1"/>
    <row r="353" ht="15" customHeight="1"/>
    <row r="354" ht="15" customHeight="1"/>
    <row r="355" ht="15" customHeight="1"/>
    <row r="356" ht="15" customHeight="1"/>
    <row r="357" ht="15" customHeight="1"/>
    <row r="358" ht="15" customHeight="1"/>
    <row r="359" ht="15" customHeight="1"/>
    <row r="360" ht="15" customHeight="1"/>
    <row r="361" ht="15" customHeight="1"/>
    <row r="362" ht="15" customHeight="1"/>
    <row r="363" ht="15" customHeight="1"/>
    <row r="364" ht="15" customHeight="1"/>
    <row r="365" ht="15" customHeight="1"/>
    <row r="366" ht="15" customHeight="1"/>
    <row r="367" ht="15" customHeight="1"/>
    <row r="368" ht="15" customHeight="1"/>
    <row r="369" ht="15" customHeight="1"/>
    <row r="370" ht="15" customHeight="1"/>
    <row r="371" ht="15" customHeight="1"/>
    <row r="372" ht="15" customHeight="1"/>
    <row r="373" ht="15" customHeight="1"/>
    <row r="374" ht="15" customHeight="1"/>
    <row r="375" ht="15" customHeight="1"/>
    <row r="376" ht="15" customHeight="1"/>
    <row r="377" ht="15" customHeight="1"/>
    <row r="378" ht="15" customHeight="1"/>
    <row r="379" ht="15" customHeight="1"/>
    <row r="380" ht="15" customHeight="1"/>
    <row r="381" ht="15" customHeight="1"/>
    <row r="382" ht="15" customHeight="1"/>
    <row r="383" ht="15" customHeight="1"/>
    <row r="384" ht="15" customHeight="1"/>
    <row r="385" ht="15" customHeight="1"/>
    <row r="386" ht="15" customHeight="1"/>
    <row r="387" ht="15" customHeight="1"/>
    <row r="388" ht="15" customHeight="1"/>
    <row r="389" ht="15" customHeight="1"/>
    <row r="390" ht="15" customHeight="1"/>
    <row r="391" ht="15" customHeight="1"/>
    <row r="392" ht="15" customHeight="1"/>
  </sheetData>
  <sheetProtection selectLockedCells="1" selectUnlockedCells="1"/>
  <mergeCells count="18">
    <mergeCell ref="G1:G4"/>
    <mergeCell ref="A2:B3"/>
    <mergeCell ref="F3:F4"/>
    <mergeCell ref="A4:B4"/>
    <mergeCell ref="G15:G22"/>
    <mergeCell ref="A10:A11"/>
    <mergeCell ref="E7:F7"/>
    <mergeCell ref="B8:F8"/>
    <mergeCell ref="A1:F1"/>
    <mergeCell ref="A5:F5"/>
    <mergeCell ref="B6:F6"/>
    <mergeCell ref="A7:A8"/>
    <mergeCell ref="B7:D7"/>
    <mergeCell ref="G23:G24"/>
    <mergeCell ref="B9:F9"/>
    <mergeCell ref="G9:G10"/>
    <mergeCell ref="C11:D11"/>
    <mergeCell ref="C10:D10"/>
  </mergeCells>
  <phoneticPr fontId="51" type="noConversion"/>
  <dataValidations count="2">
    <dataValidation allowBlank="1" showErrorMessage="1" sqref="D3">
      <formula1>0</formula1>
      <formula2>0</formula2>
    </dataValidation>
    <dataValidation allowBlank="1" showErrorMessage="1" promptTitle="存在调整事项时" prompt="_x000a_选择 “E”" sqref="E7:F7">
      <formula1>0</formula1>
      <formula2>0</formula2>
    </dataValidation>
  </dataValidations>
  <hyperlinks>
    <hyperlink ref="G8" location="资产负债!A1" display="资产负债表"/>
  </hyperlinks>
  <pageMargins left="0.78740157480314998" right="0.35433070866141703" top="0.511811023622047" bottom="0.11811023622047198" header="0.511811023622047" footer="0.511811023622047"/>
  <pageSetup paperSize="9" firstPageNumber="0" orientation="portrait" blackAndWhite="1" r:id="rId1"/>
  <headerFooter alignWithMargins="0"/>
</worksheet>
</file>

<file path=xl/worksheets/sheet8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56"/>
  <dimension ref="A1:H392"/>
  <sheetViews>
    <sheetView topLeftCell="A5" workbookViewId="0">
      <selection sqref="A1:F1"/>
    </sheetView>
  </sheetViews>
  <sheetFormatPr defaultColWidth="9" defaultRowHeight="15.6"/>
  <cols>
    <col min="1" max="1" width="23.09765625" style="130" customWidth="1"/>
    <col min="2" max="3" width="13.69921875" style="130" customWidth="1"/>
    <col min="4" max="4" width="9.09765625" style="130" customWidth="1"/>
    <col min="5" max="5" width="13.69921875" style="130" customWidth="1"/>
    <col min="6" max="6" width="9.69921875" style="130" customWidth="1"/>
    <col min="7" max="7" width="58.19921875" style="953" customWidth="1"/>
    <col min="8" max="16384" width="9" style="554"/>
  </cols>
  <sheetData>
    <row r="1" spans="1:8" ht="30" customHeight="1">
      <c r="A1" s="2707" t="s">
        <v>347</v>
      </c>
      <c r="B1" s="2707"/>
      <c r="C1" s="2707"/>
      <c r="D1" s="2707"/>
      <c r="E1" s="2707"/>
      <c r="F1" s="2707"/>
      <c r="G1" s="3655"/>
    </row>
    <row r="2" spans="1:8" s="558" customFormat="1" ht="20.25" customHeight="1">
      <c r="A2" s="3190" t="str">
        <f>"委托单位："&amp;基本情况!B2</f>
        <v>委托单位：0</v>
      </c>
      <c r="B2" s="3190"/>
      <c r="C2" s="509"/>
      <c r="D2" s="136" t="s">
        <v>1283</v>
      </c>
      <c r="E2" s="136" t="s">
        <v>1054</v>
      </c>
      <c r="F2" s="485" t="s">
        <v>283</v>
      </c>
      <c r="G2" s="3655"/>
    </row>
    <row r="3" spans="1:8" s="558" customFormat="1" ht="20.25" customHeight="1">
      <c r="A3" s="3190"/>
      <c r="B3" s="3190"/>
      <c r="C3" s="158" t="s">
        <v>451</v>
      </c>
      <c r="D3" s="510">
        <f>基本情况!B12</f>
        <v>0</v>
      </c>
      <c r="E3" s="559" t="str">
        <f>TEXT(基本情况!B21,"yyyy-mm-dd")</f>
        <v>2017-03-16</v>
      </c>
      <c r="F3" s="3081" t="str">
        <f>档案索引!D36</f>
        <v>4-3</v>
      </c>
      <c r="G3" s="3655"/>
    </row>
    <row r="4" spans="1:8" s="558" customFormat="1" ht="20.25" customHeight="1">
      <c r="A4" s="3161" t="str">
        <f>"会计期间："&amp;基本情况!B7</f>
        <v>会计期间：2016年01月01日至2016年12月31日</v>
      </c>
      <c r="B4" s="3161"/>
      <c r="C4" s="140" t="s">
        <v>453</v>
      </c>
      <c r="D4" s="513">
        <f>基本情况!B11</f>
        <v>0</v>
      </c>
      <c r="E4" s="513" t="str">
        <f>TEXT(基本情况!B22,"yyyy-mm-dd")</f>
        <v>2017-05-04</v>
      </c>
      <c r="F4" s="3081"/>
      <c r="G4" s="3655"/>
    </row>
    <row r="5" spans="1:8" s="565" customFormat="1" ht="7.5" customHeight="1">
      <c r="A5" s="2894"/>
      <c r="B5" s="2894"/>
      <c r="C5" s="2894"/>
      <c r="D5" s="2894"/>
      <c r="E5" s="2894"/>
      <c r="F5" s="2894"/>
      <c r="G5" s="1021"/>
    </row>
    <row r="6" spans="1:8" s="649" customFormat="1" ht="20.25" customHeight="1">
      <c r="A6" s="532" t="s">
        <v>642</v>
      </c>
      <c r="B6" s="3250" t="str">
        <f>IF(基本情况!B29="否",IF(B14-C14-F11&lt;&gt;资产负债!D9,"账载数与报表数不符，相差"&amp;DOLLAR(B14-C14-F11-资产负债!D9,2)&amp;"元！","账载数与报表数相符！"),IF(B13-F11&lt;&gt;资产负债!D9,"账载数与报表数不符，相差"&amp;DOLLAR(B13-F11-资产负债!D9,2)&amp;"元！","账载数与报表数相符！"))</f>
        <v>账载数与报表数相符！</v>
      </c>
      <c r="C6" s="3250"/>
      <c r="D6" s="3250"/>
      <c r="E6" s="3250"/>
      <c r="F6" s="3250"/>
      <c r="G6" s="483" t="s">
        <v>396</v>
      </c>
      <c r="H6" s="607"/>
    </row>
    <row r="7" spans="1:8" s="649" customFormat="1" ht="15" customHeight="1">
      <c r="A7" s="3024" t="s">
        <v>1324</v>
      </c>
      <c r="B7" s="3142" t="s">
        <v>1408</v>
      </c>
      <c r="C7" s="3142"/>
      <c r="D7" s="3142"/>
      <c r="E7" s="3109" t="str">
        <f>IF(OR(D14&lt;&gt;0,D13&lt;&gt;0),"、E","")</f>
        <v/>
      </c>
      <c r="F7" s="3109"/>
      <c r="G7" s="483"/>
      <c r="H7" s="607"/>
    </row>
    <row r="8" spans="1:8" s="649" customFormat="1" ht="61.5" customHeight="1">
      <c r="A8" s="3024"/>
      <c r="B8" s="3653"/>
      <c r="C8" s="3653"/>
      <c r="D8" s="3653"/>
      <c r="E8" s="3653"/>
      <c r="F8" s="3653"/>
      <c r="G8" s="1010" t="s">
        <v>1289</v>
      </c>
      <c r="H8" s="607"/>
    </row>
    <row r="9" spans="1:8" s="649" customFormat="1" ht="20.25" customHeight="1">
      <c r="A9" s="528" t="s">
        <v>575</v>
      </c>
      <c r="B9" s="3135" t="str">
        <f>IF(OR(D14&lt;&gt;0,D13&lt;&gt;0),"调整后认可！","不存在调整事项,认可！")</f>
        <v>不存在调整事项,认可！</v>
      </c>
      <c r="C9" s="3135"/>
      <c r="D9" s="3135"/>
      <c r="E9" s="3135"/>
      <c r="F9" s="3135"/>
      <c r="G9" s="1022"/>
      <c r="H9" s="607"/>
    </row>
    <row r="10" spans="1:8" s="649" customFormat="1" ht="20.25" customHeight="1">
      <c r="A10" s="3128" t="s">
        <v>1409</v>
      </c>
      <c r="B10" s="1011" t="s">
        <v>1252</v>
      </c>
      <c r="C10" s="2898" t="s">
        <v>1253</v>
      </c>
      <c r="D10" s="2898"/>
      <c r="E10" s="136" t="s">
        <v>1254</v>
      </c>
      <c r="F10" s="485" t="s">
        <v>1255</v>
      </c>
      <c r="G10" s="1022"/>
    </row>
    <row r="11" spans="1:8" s="649" customFormat="1" ht="20.25" customHeight="1">
      <c r="A11" s="3128"/>
      <c r="B11" s="1195"/>
      <c r="C11" s="3651"/>
      <c r="D11" s="3651"/>
      <c r="E11" s="1196"/>
      <c r="F11" s="596">
        <f>B11+C11-E11</f>
        <v>0</v>
      </c>
      <c r="G11" s="1012"/>
    </row>
    <row r="12" spans="1:8" s="649" customFormat="1" ht="20.25" customHeight="1">
      <c r="A12" s="135" t="s">
        <v>666</v>
      </c>
      <c r="B12" s="1011" t="s">
        <v>1410</v>
      </c>
      <c r="C12" s="136" t="s">
        <v>1411</v>
      </c>
      <c r="D12" s="136" t="s">
        <v>981</v>
      </c>
      <c r="E12" s="136" t="s">
        <v>503</v>
      </c>
      <c r="F12" s="485" t="s">
        <v>1418</v>
      </c>
      <c r="G12" s="1022"/>
    </row>
    <row r="13" spans="1:8" s="649" customFormat="1" ht="20.25" customHeight="1">
      <c r="A13" s="1013" t="s">
        <v>1413</v>
      </c>
      <c r="B13" s="1014">
        <f>IF(基本情况!B29="否",0,B14+应付!B12)</f>
        <v>0</v>
      </c>
      <c r="C13" s="1014">
        <f>IF(基本情况!B29="否",0,C14+应付!C12)</f>
        <v>0</v>
      </c>
      <c r="D13" s="1204"/>
      <c r="E13" s="521">
        <f>B13+D13</f>
        <v>0</v>
      </c>
      <c r="F13" s="1023">
        <f>IF(基本情况!B29="否",0,F14+应付!F12)</f>
        <v>0</v>
      </c>
      <c r="G13" s="1022"/>
    </row>
    <row r="14" spans="1:8" s="649" customFormat="1" ht="20.25" customHeight="1">
      <c r="A14" s="1329" t="s">
        <v>1414</v>
      </c>
      <c r="B14" s="1017">
        <f>SUM(B15:B3004)</f>
        <v>0</v>
      </c>
      <c r="C14" s="1017">
        <f>SUM(C15:C3004)</f>
        <v>0</v>
      </c>
      <c r="D14" s="823">
        <f>SUM(D15:D304)</f>
        <v>0</v>
      </c>
      <c r="E14" s="823">
        <f>SUM(E15:E304)</f>
        <v>0</v>
      </c>
      <c r="F14" s="596">
        <f>SUM(F15:F304)</f>
        <v>0</v>
      </c>
      <c r="G14" s="1022"/>
    </row>
    <row r="15" spans="1:8" s="558" customFormat="1" ht="15" customHeight="1">
      <c r="A15" s="1024"/>
      <c r="B15" s="1198"/>
      <c r="C15" s="1161"/>
      <c r="D15" s="1166"/>
      <c r="E15" s="1019">
        <f>B15-C15+D15</f>
        <v>0</v>
      </c>
      <c r="F15" s="1199"/>
      <c r="G15" s="3652" t="s">
        <v>988</v>
      </c>
    </row>
    <row r="16" spans="1:8" s="558" customFormat="1" ht="15" customHeight="1">
      <c r="A16" s="1025"/>
      <c r="B16" s="1200"/>
      <c r="C16" s="1120"/>
      <c r="D16" s="1121"/>
      <c r="E16" s="1015">
        <f>B16-C16+D16</f>
        <v>0</v>
      </c>
      <c r="F16" s="1201"/>
      <c r="G16" s="3652"/>
    </row>
    <row r="17" spans="1:7" s="558" customFormat="1" ht="15" customHeight="1">
      <c r="A17" s="1025"/>
      <c r="B17" s="1200"/>
      <c r="C17" s="1120"/>
      <c r="D17" s="1121"/>
      <c r="E17" s="1015">
        <f t="shared" ref="E17:E80" si="0">B17-C17+D17</f>
        <v>0</v>
      </c>
      <c r="F17" s="1201"/>
      <c r="G17" s="3652"/>
    </row>
    <row r="18" spans="1:7" s="558" customFormat="1" ht="15" customHeight="1">
      <c r="A18" s="1025"/>
      <c r="B18" s="1200"/>
      <c r="C18" s="1120"/>
      <c r="D18" s="1121"/>
      <c r="E18" s="1015">
        <f t="shared" si="0"/>
        <v>0</v>
      </c>
      <c r="F18" s="1201"/>
      <c r="G18" s="3652"/>
    </row>
    <row r="19" spans="1:7" s="558" customFormat="1" ht="15" customHeight="1">
      <c r="A19" s="1025"/>
      <c r="B19" s="1200"/>
      <c r="C19" s="1120"/>
      <c r="D19" s="1121"/>
      <c r="E19" s="1015">
        <f t="shared" si="0"/>
        <v>0</v>
      </c>
      <c r="F19" s="1201"/>
      <c r="G19" s="3652"/>
    </row>
    <row r="20" spans="1:7" s="558" customFormat="1" ht="15" customHeight="1">
      <c r="A20" s="1025"/>
      <c r="B20" s="1200"/>
      <c r="C20" s="1120"/>
      <c r="D20" s="1121"/>
      <c r="E20" s="1015">
        <f t="shared" si="0"/>
        <v>0</v>
      </c>
      <c r="F20" s="1201"/>
      <c r="G20" s="3652"/>
    </row>
    <row r="21" spans="1:7" s="558" customFormat="1" ht="15" customHeight="1">
      <c r="A21" s="1025"/>
      <c r="B21" s="1200"/>
      <c r="C21" s="1120"/>
      <c r="D21" s="1121"/>
      <c r="E21" s="1015">
        <f t="shared" si="0"/>
        <v>0</v>
      </c>
      <c r="F21" s="1201"/>
      <c r="G21" s="3652"/>
    </row>
    <row r="22" spans="1:7" s="558" customFormat="1" ht="15" customHeight="1">
      <c r="A22" s="1025"/>
      <c r="B22" s="1200"/>
      <c r="C22" s="1120"/>
      <c r="D22" s="1121"/>
      <c r="E22" s="1015">
        <f t="shared" si="0"/>
        <v>0</v>
      </c>
      <c r="F22" s="1201"/>
      <c r="G22" s="3652"/>
    </row>
    <row r="23" spans="1:7" s="558" customFormat="1" ht="15" customHeight="1">
      <c r="A23" s="1025"/>
      <c r="B23" s="1200"/>
      <c r="C23" s="1120"/>
      <c r="D23" s="1121"/>
      <c r="E23" s="1015">
        <f t="shared" si="0"/>
        <v>0</v>
      </c>
      <c r="F23" s="1201"/>
      <c r="G23" s="3652"/>
    </row>
    <row r="24" spans="1:7" s="558" customFormat="1" ht="15" customHeight="1">
      <c r="A24" s="1025"/>
      <c r="B24" s="1200"/>
      <c r="C24" s="1120"/>
      <c r="D24" s="1121"/>
      <c r="E24" s="1015">
        <f t="shared" si="0"/>
        <v>0</v>
      </c>
      <c r="F24" s="1201"/>
      <c r="G24" s="3652"/>
    </row>
    <row r="25" spans="1:7" s="558" customFormat="1" ht="15" customHeight="1">
      <c r="A25" s="1025"/>
      <c r="B25" s="1200"/>
      <c r="C25" s="1120"/>
      <c r="D25" s="1121"/>
      <c r="E25" s="1015">
        <f t="shared" si="0"/>
        <v>0</v>
      </c>
      <c r="F25" s="1201"/>
      <c r="G25" s="3650" t="s">
        <v>989</v>
      </c>
    </row>
    <row r="26" spans="1:7" s="558" customFormat="1" ht="15" customHeight="1">
      <c r="A26" s="1025"/>
      <c r="B26" s="1200"/>
      <c r="C26" s="1120"/>
      <c r="D26" s="1121"/>
      <c r="E26" s="1015">
        <f t="shared" si="0"/>
        <v>0</v>
      </c>
      <c r="F26" s="1201"/>
      <c r="G26" s="3650"/>
    </row>
    <row r="27" spans="1:7" s="558" customFormat="1" ht="15" customHeight="1">
      <c r="A27" s="1025"/>
      <c r="B27" s="1200"/>
      <c r="C27" s="1120"/>
      <c r="D27" s="1121"/>
      <c r="E27" s="1015">
        <f t="shared" si="0"/>
        <v>0</v>
      </c>
      <c r="F27" s="1201"/>
      <c r="G27" s="3650"/>
    </row>
    <row r="28" spans="1:7" s="558" customFormat="1" ht="15" customHeight="1">
      <c r="A28" s="1025"/>
      <c r="B28" s="1200"/>
      <c r="C28" s="1120"/>
      <c r="D28" s="1121"/>
      <c r="E28" s="1015">
        <f t="shared" si="0"/>
        <v>0</v>
      </c>
      <c r="F28" s="1201"/>
      <c r="G28" s="1026"/>
    </row>
    <row r="29" spans="1:7" s="558" customFormat="1" ht="15" customHeight="1">
      <c r="A29" s="1025"/>
      <c r="B29" s="1200"/>
      <c r="C29" s="1120"/>
      <c r="D29" s="1121"/>
      <c r="E29" s="1015">
        <f t="shared" si="0"/>
        <v>0</v>
      </c>
      <c r="F29" s="1201"/>
      <c r="G29" s="1026"/>
    </row>
    <row r="30" spans="1:7" s="558" customFormat="1" ht="15" customHeight="1">
      <c r="A30" s="1025"/>
      <c r="B30" s="1200"/>
      <c r="C30" s="1120"/>
      <c r="D30" s="1121"/>
      <c r="E30" s="1015">
        <f t="shared" si="0"/>
        <v>0</v>
      </c>
      <c r="F30" s="1201"/>
      <c r="G30" s="1026"/>
    </row>
    <row r="31" spans="1:7" s="558" customFormat="1" ht="15" customHeight="1">
      <c r="A31" s="1025"/>
      <c r="B31" s="1200"/>
      <c r="C31" s="1120"/>
      <c r="D31" s="1121"/>
      <c r="E31" s="1015">
        <f t="shared" si="0"/>
        <v>0</v>
      </c>
      <c r="F31" s="1201"/>
      <c r="G31" s="1026"/>
    </row>
    <row r="32" spans="1:7" s="558" customFormat="1" ht="15" customHeight="1">
      <c r="A32" s="1025"/>
      <c r="B32" s="1200"/>
      <c r="C32" s="1120"/>
      <c r="D32" s="1121"/>
      <c r="E32" s="1015">
        <f t="shared" si="0"/>
        <v>0</v>
      </c>
      <c r="F32" s="1201"/>
      <c r="G32" s="1026"/>
    </row>
    <row r="33" spans="1:7" s="558" customFormat="1" ht="15" customHeight="1">
      <c r="A33" s="1025"/>
      <c r="B33" s="1200"/>
      <c r="C33" s="1120"/>
      <c r="D33" s="1121"/>
      <c r="E33" s="1015">
        <f t="shared" si="0"/>
        <v>0</v>
      </c>
      <c r="F33" s="1201"/>
      <c r="G33" s="1026"/>
    </row>
    <row r="34" spans="1:7" s="558" customFormat="1" ht="15" customHeight="1">
      <c r="A34" s="1025"/>
      <c r="B34" s="1200"/>
      <c r="C34" s="1120"/>
      <c r="D34" s="1121"/>
      <c r="E34" s="1015">
        <f t="shared" si="0"/>
        <v>0</v>
      </c>
      <c r="F34" s="1201"/>
      <c r="G34" s="1026"/>
    </row>
    <row r="35" spans="1:7" s="558" customFormat="1" ht="15" customHeight="1">
      <c r="A35" s="1025"/>
      <c r="B35" s="1200"/>
      <c r="C35" s="1120"/>
      <c r="D35" s="1121"/>
      <c r="E35" s="1015">
        <f t="shared" si="0"/>
        <v>0</v>
      </c>
      <c r="F35" s="1201"/>
      <c r="G35" s="1026"/>
    </row>
    <row r="36" spans="1:7" s="558" customFormat="1" ht="15" customHeight="1">
      <c r="A36" s="1025"/>
      <c r="B36" s="1200"/>
      <c r="C36" s="1120"/>
      <c r="D36" s="1121"/>
      <c r="E36" s="1015">
        <f t="shared" si="0"/>
        <v>0</v>
      </c>
      <c r="F36" s="1201"/>
      <c r="G36" s="1026"/>
    </row>
    <row r="37" spans="1:7" s="558" customFormat="1" ht="15" customHeight="1">
      <c r="A37" s="1025"/>
      <c r="B37" s="1200"/>
      <c r="C37" s="1120"/>
      <c r="D37" s="1121"/>
      <c r="E37" s="1015">
        <f t="shared" si="0"/>
        <v>0</v>
      </c>
      <c r="F37" s="1201"/>
      <c r="G37" s="1026"/>
    </row>
    <row r="38" spans="1:7" s="558" customFormat="1" ht="15" customHeight="1">
      <c r="A38" s="1025"/>
      <c r="B38" s="1200"/>
      <c r="C38" s="1120"/>
      <c r="D38" s="1121"/>
      <c r="E38" s="1015">
        <f t="shared" si="0"/>
        <v>0</v>
      </c>
      <c r="F38" s="1201"/>
      <c r="G38" s="1026"/>
    </row>
    <row r="39" spans="1:7" s="558" customFormat="1" ht="15" customHeight="1">
      <c r="A39" s="1025"/>
      <c r="B39" s="1200"/>
      <c r="C39" s="1120"/>
      <c r="D39" s="1121"/>
      <c r="E39" s="1015">
        <f t="shared" si="0"/>
        <v>0</v>
      </c>
      <c r="F39" s="1201"/>
      <c r="G39" s="1026"/>
    </row>
    <row r="40" spans="1:7" s="558" customFormat="1" ht="15" customHeight="1">
      <c r="A40" s="1025"/>
      <c r="B40" s="1200"/>
      <c r="C40" s="1120"/>
      <c r="D40" s="1121"/>
      <c r="E40" s="1015">
        <f t="shared" si="0"/>
        <v>0</v>
      </c>
      <c r="F40" s="1201"/>
      <c r="G40" s="1026"/>
    </row>
    <row r="41" spans="1:7" s="558" customFormat="1" ht="15" customHeight="1">
      <c r="A41" s="1025"/>
      <c r="B41" s="1200"/>
      <c r="C41" s="1120"/>
      <c r="D41" s="1121"/>
      <c r="E41" s="1015">
        <f t="shared" si="0"/>
        <v>0</v>
      </c>
      <c r="F41" s="1201"/>
      <c r="G41" s="1026"/>
    </row>
    <row r="42" spans="1:7" s="558" customFormat="1" ht="15" customHeight="1">
      <c r="A42" s="1025"/>
      <c r="B42" s="1200"/>
      <c r="C42" s="1120"/>
      <c r="D42" s="1121"/>
      <c r="E42" s="1015">
        <f t="shared" si="0"/>
        <v>0</v>
      </c>
      <c r="F42" s="1201"/>
      <c r="G42" s="1026"/>
    </row>
    <row r="43" spans="1:7" s="558" customFormat="1" ht="15" customHeight="1">
      <c r="A43" s="1025"/>
      <c r="B43" s="1200"/>
      <c r="C43" s="1120"/>
      <c r="D43" s="1121"/>
      <c r="E43" s="1015">
        <f t="shared" si="0"/>
        <v>0</v>
      </c>
      <c r="F43" s="1201"/>
      <c r="G43" s="1026"/>
    </row>
    <row r="44" spans="1:7" s="558" customFormat="1" ht="15" customHeight="1">
      <c r="A44" s="1025"/>
      <c r="B44" s="1200"/>
      <c r="C44" s="1120"/>
      <c r="D44" s="1121"/>
      <c r="E44" s="1015">
        <f t="shared" si="0"/>
        <v>0</v>
      </c>
      <c r="F44" s="1201"/>
      <c r="G44" s="1026"/>
    </row>
    <row r="45" spans="1:7" s="558" customFormat="1" ht="15" customHeight="1">
      <c r="A45" s="1025"/>
      <c r="B45" s="1200"/>
      <c r="C45" s="1120"/>
      <c r="D45" s="1121"/>
      <c r="E45" s="1015">
        <f t="shared" si="0"/>
        <v>0</v>
      </c>
      <c r="F45" s="1201"/>
      <c r="G45" s="1026"/>
    </row>
    <row r="46" spans="1:7" s="558" customFormat="1" ht="15" customHeight="1">
      <c r="A46" s="1025"/>
      <c r="B46" s="1200"/>
      <c r="C46" s="1120"/>
      <c r="D46" s="1121"/>
      <c r="E46" s="1015">
        <f t="shared" si="0"/>
        <v>0</v>
      </c>
      <c r="F46" s="1201"/>
      <c r="G46" s="1026"/>
    </row>
    <row r="47" spans="1:7" s="558" customFormat="1" ht="15" customHeight="1">
      <c r="A47" s="1025"/>
      <c r="B47" s="1200"/>
      <c r="C47" s="1120"/>
      <c r="D47" s="1121"/>
      <c r="E47" s="1015">
        <f t="shared" si="0"/>
        <v>0</v>
      </c>
      <c r="F47" s="1201"/>
      <c r="G47" s="1026"/>
    </row>
    <row r="48" spans="1:7" s="558" customFormat="1" ht="15" customHeight="1">
      <c r="A48" s="1025"/>
      <c r="B48" s="1200"/>
      <c r="C48" s="1120"/>
      <c r="D48" s="1121"/>
      <c r="E48" s="1015">
        <f t="shared" si="0"/>
        <v>0</v>
      </c>
      <c r="F48" s="1201"/>
      <c r="G48" s="1026"/>
    </row>
    <row r="49" spans="1:7" s="558" customFormat="1" ht="15" customHeight="1">
      <c r="A49" s="1025"/>
      <c r="B49" s="1200"/>
      <c r="C49" s="1120"/>
      <c r="D49" s="1121"/>
      <c r="E49" s="1015">
        <f t="shared" si="0"/>
        <v>0</v>
      </c>
      <c r="F49" s="1201"/>
      <c r="G49" s="1026"/>
    </row>
    <row r="50" spans="1:7" s="502" customFormat="1" ht="15" customHeight="1">
      <c r="A50" s="1025"/>
      <c r="B50" s="1200"/>
      <c r="C50" s="1120"/>
      <c r="D50" s="1121"/>
      <c r="E50" s="1015">
        <f t="shared" si="0"/>
        <v>0</v>
      </c>
      <c r="F50" s="1201"/>
      <c r="G50" s="470"/>
    </row>
    <row r="51" spans="1:7" s="502" customFormat="1" ht="15" customHeight="1">
      <c r="A51" s="1025"/>
      <c r="B51" s="1200"/>
      <c r="C51" s="1120"/>
      <c r="D51" s="1121"/>
      <c r="E51" s="1015">
        <f t="shared" si="0"/>
        <v>0</v>
      </c>
      <c r="F51" s="1201"/>
      <c r="G51" s="470"/>
    </row>
    <row r="52" spans="1:7" s="502" customFormat="1" ht="15" customHeight="1">
      <c r="A52" s="1025"/>
      <c r="B52" s="1200"/>
      <c r="C52" s="1120"/>
      <c r="D52" s="1121"/>
      <c r="E52" s="1015">
        <f t="shared" si="0"/>
        <v>0</v>
      </c>
      <c r="F52" s="1201"/>
      <c r="G52" s="470"/>
    </row>
    <row r="53" spans="1:7" s="502" customFormat="1" ht="15" customHeight="1">
      <c r="A53" s="1025"/>
      <c r="B53" s="1200"/>
      <c r="C53" s="1120"/>
      <c r="D53" s="1121"/>
      <c r="E53" s="1015">
        <f t="shared" si="0"/>
        <v>0</v>
      </c>
      <c r="F53" s="1201"/>
      <c r="G53" s="470"/>
    </row>
    <row r="54" spans="1:7" s="502" customFormat="1" ht="15" customHeight="1">
      <c r="A54" s="1025"/>
      <c r="B54" s="1200"/>
      <c r="C54" s="1120"/>
      <c r="D54" s="1121"/>
      <c r="E54" s="1015">
        <f t="shared" si="0"/>
        <v>0</v>
      </c>
      <c r="F54" s="1201"/>
      <c r="G54" s="470"/>
    </row>
    <row r="55" spans="1:7" ht="15" customHeight="1">
      <c r="A55" s="1025"/>
      <c r="B55" s="1200"/>
      <c r="C55" s="1120"/>
      <c r="D55" s="1121"/>
      <c r="E55" s="1015">
        <f t="shared" si="0"/>
        <v>0</v>
      </c>
      <c r="F55" s="1201"/>
      <c r="G55" s="1009"/>
    </row>
    <row r="56" spans="1:7" ht="15" customHeight="1">
      <c r="A56" s="1025"/>
      <c r="B56" s="1200"/>
      <c r="C56" s="1120"/>
      <c r="D56" s="1121"/>
      <c r="E56" s="1015">
        <f t="shared" si="0"/>
        <v>0</v>
      </c>
      <c r="F56" s="1201"/>
      <c r="G56" s="1009"/>
    </row>
    <row r="57" spans="1:7" ht="15" customHeight="1">
      <c r="A57" s="1025"/>
      <c r="B57" s="1200"/>
      <c r="C57" s="1120"/>
      <c r="D57" s="1121"/>
      <c r="E57" s="1015">
        <f t="shared" si="0"/>
        <v>0</v>
      </c>
      <c r="F57" s="1201"/>
      <c r="G57" s="1009"/>
    </row>
    <row r="58" spans="1:7" ht="15" customHeight="1">
      <c r="A58" s="1025"/>
      <c r="B58" s="1200"/>
      <c r="C58" s="1120"/>
      <c r="D58" s="1121"/>
      <c r="E58" s="1015">
        <f t="shared" si="0"/>
        <v>0</v>
      </c>
      <c r="F58" s="1201"/>
      <c r="G58" s="1009"/>
    </row>
    <row r="59" spans="1:7" ht="15" customHeight="1">
      <c r="A59" s="1025"/>
      <c r="B59" s="1200"/>
      <c r="C59" s="1120"/>
      <c r="D59" s="1121"/>
      <c r="E59" s="1015">
        <f t="shared" si="0"/>
        <v>0</v>
      </c>
      <c r="F59" s="1201"/>
      <c r="G59" s="1009"/>
    </row>
    <row r="60" spans="1:7" ht="15" customHeight="1">
      <c r="A60" s="1025"/>
      <c r="B60" s="1200"/>
      <c r="C60" s="1120"/>
      <c r="D60" s="1121"/>
      <c r="E60" s="1015">
        <f t="shared" si="0"/>
        <v>0</v>
      </c>
      <c r="F60" s="1201"/>
      <c r="G60" s="1009"/>
    </row>
    <row r="61" spans="1:7" ht="15" customHeight="1">
      <c r="A61" s="1025"/>
      <c r="B61" s="1200"/>
      <c r="C61" s="1120"/>
      <c r="D61" s="1121"/>
      <c r="E61" s="1015">
        <f t="shared" si="0"/>
        <v>0</v>
      </c>
      <c r="F61" s="1201"/>
      <c r="G61" s="1009"/>
    </row>
    <row r="62" spans="1:7" ht="15" customHeight="1">
      <c r="A62" s="1025"/>
      <c r="B62" s="1200"/>
      <c r="C62" s="1120"/>
      <c r="D62" s="1121"/>
      <c r="E62" s="1015">
        <f t="shared" si="0"/>
        <v>0</v>
      </c>
      <c r="F62" s="1201"/>
      <c r="G62" s="1009"/>
    </row>
    <row r="63" spans="1:7" ht="15" customHeight="1">
      <c r="A63" s="1025"/>
      <c r="B63" s="1200"/>
      <c r="C63" s="1120"/>
      <c r="D63" s="1121"/>
      <c r="E63" s="1015">
        <f t="shared" si="0"/>
        <v>0</v>
      </c>
      <c r="F63" s="1201"/>
      <c r="G63" s="1009"/>
    </row>
    <row r="64" spans="1:7" ht="15" customHeight="1">
      <c r="A64" s="1025"/>
      <c r="B64" s="1200"/>
      <c r="C64" s="1120"/>
      <c r="D64" s="1121"/>
      <c r="E64" s="1015">
        <f t="shared" si="0"/>
        <v>0</v>
      </c>
      <c r="F64" s="1201"/>
      <c r="G64" s="1009"/>
    </row>
    <row r="65" spans="1:7" ht="15" customHeight="1">
      <c r="A65" s="1025"/>
      <c r="B65" s="1200"/>
      <c r="C65" s="1120"/>
      <c r="D65" s="1121"/>
      <c r="E65" s="1015">
        <f t="shared" si="0"/>
        <v>0</v>
      </c>
      <c r="F65" s="1201"/>
      <c r="G65" s="1009"/>
    </row>
    <row r="66" spans="1:7" ht="15" customHeight="1">
      <c r="A66" s="1025"/>
      <c r="B66" s="1200"/>
      <c r="C66" s="1120"/>
      <c r="D66" s="1121"/>
      <c r="E66" s="1015">
        <f t="shared" si="0"/>
        <v>0</v>
      </c>
      <c r="F66" s="1201"/>
      <c r="G66" s="1009"/>
    </row>
    <row r="67" spans="1:7" ht="15" customHeight="1">
      <c r="A67" s="1025"/>
      <c r="B67" s="1200"/>
      <c r="C67" s="1120"/>
      <c r="D67" s="1121"/>
      <c r="E67" s="1015">
        <f t="shared" si="0"/>
        <v>0</v>
      </c>
      <c r="F67" s="1201"/>
      <c r="G67" s="1009"/>
    </row>
    <row r="68" spans="1:7" ht="15" customHeight="1">
      <c r="A68" s="1025"/>
      <c r="B68" s="1200"/>
      <c r="C68" s="1120"/>
      <c r="D68" s="1121"/>
      <c r="E68" s="1015">
        <f t="shared" si="0"/>
        <v>0</v>
      </c>
      <c r="F68" s="1201"/>
      <c r="G68" s="1009"/>
    </row>
    <row r="69" spans="1:7" ht="15" customHeight="1">
      <c r="A69" s="1025"/>
      <c r="B69" s="1200"/>
      <c r="C69" s="1120"/>
      <c r="D69" s="1121"/>
      <c r="E69" s="1015">
        <f t="shared" si="0"/>
        <v>0</v>
      </c>
      <c r="F69" s="1201"/>
      <c r="G69" s="1009"/>
    </row>
    <row r="70" spans="1:7" ht="15" customHeight="1">
      <c r="A70" s="1025"/>
      <c r="B70" s="1200"/>
      <c r="C70" s="1120"/>
      <c r="D70" s="1121"/>
      <c r="E70" s="1015">
        <f t="shared" si="0"/>
        <v>0</v>
      </c>
      <c r="F70" s="1201"/>
      <c r="G70" s="1009"/>
    </row>
    <row r="71" spans="1:7" ht="15" customHeight="1">
      <c r="A71" s="1025"/>
      <c r="B71" s="1200"/>
      <c r="C71" s="1120"/>
      <c r="D71" s="1121"/>
      <c r="E71" s="1015">
        <f t="shared" si="0"/>
        <v>0</v>
      </c>
      <c r="F71" s="1201"/>
      <c r="G71" s="1009"/>
    </row>
    <row r="72" spans="1:7" ht="15" customHeight="1">
      <c r="A72" s="1025"/>
      <c r="B72" s="1200"/>
      <c r="C72" s="1120"/>
      <c r="D72" s="1121"/>
      <c r="E72" s="1015">
        <f t="shared" si="0"/>
        <v>0</v>
      </c>
      <c r="F72" s="1201"/>
      <c r="G72" s="1009"/>
    </row>
    <row r="73" spans="1:7" ht="15" customHeight="1">
      <c r="A73" s="1025"/>
      <c r="B73" s="1200"/>
      <c r="C73" s="1120"/>
      <c r="D73" s="1121"/>
      <c r="E73" s="1015">
        <f t="shared" si="0"/>
        <v>0</v>
      </c>
      <c r="F73" s="1201"/>
      <c r="G73" s="1009"/>
    </row>
    <row r="74" spans="1:7" ht="15" customHeight="1">
      <c r="A74" s="1025"/>
      <c r="B74" s="1200"/>
      <c r="C74" s="1120"/>
      <c r="D74" s="1121"/>
      <c r="E74" s="1015">
        <f t="shared" si="0"/>
        <v>0</v>
      </c>
      <c r="F74" s="1201"/>
      <c r="G74" s="1009"/>
    </row>
    <row r="75" spans="1:7" ht="15" customHeight="1">
      <c r="A75" s="1025"/>
      <c r="B75" s="1200"/>
      <c r="C75" s="1120"/>
      <c r="D75" s="1121"/>
      <c r="E75" s="1015">
        <f t="shared" si="0"/>
        <v>0</v>
      </c>
      <c r="F75" s="1201"/>
      <c r="G75" s="1009"/>
    </row>
    <row r="76" spans="1:7" ht="15" customHeight="1">
      <c r="A76" s="1025"/>
      <c r="B76" s="1200"/>
      <c r="C76" s="1120"/>
      <c r="D76" s="1121"/>
      <c r="E76" s="1015">
        <f t="shared" si="0"/>
        <v>0</v>
      </c>
      <c r="F76" s="1201"/>
      <c r="G76" s="1009"/>
    </row>
    <row r="77" spans="1:7" ht="15" customHeight="1">
      <c r="A77" s="1025"/>
      <c r="B77" s="1200"/>
      <c r="C77" s="1120"/>
      <c r="D77" s="1121"/>
      <c r="E77" s="1015">
        <f t="shared" si="0"/>
        <v>0</v>
      </c>
      <c r="F77" s="1201"/>
      <c r="G77" s="1009"/>
    </row>
    <row r="78" spans="1:7" ht="15" customHeight="1">
      <c r="A78" s="1025"/>
      <c r="B78" s="1200"/>
      <c r="C78" s="1120"/>
      <c r="D78" s="1121"/>
      <c r="E78" s="1015">
        <f t="shared" si="0"/>
        <v>0</v>
      </c>
      <c r="F78" s="1201"/>
      <c r="G78" s="1009"/>
    </row>
    <row r="79" spans="1:7" ht="15" customHeight="1">
      <c r="A79" s="1025"/>
      <c r="B79" s="1200"/>
      <c r="C79" s="1120"/>
      <c r="D79" s="1121"/>
      <c r="E79" s="1015">
        <f t="shared" si="0"/>
        <v>0</v>
      </c>
      <c r="F79" s="1201"/>
      <c r="G79" s="1009"/>
    </row>
    <row r="80" spans="1:7" ht="15" customHeight="1">
      <c r="A80" s="1025"/>
      <c r="B80" s="1200"/>
      <c r="C80" s="1120"/>
      <c r="D80" s="1121"/>
      <c r="E80" s="1015">
        <f t="shared" si="0"/>
        <v>0</v>
      </c>
      <c r="F80" s="1201"/>
      <c r="G80" s="1009"/>
    </row>
    <row r="81" spans="1:7" ht="15" customHeight="1">
      <c r="A81" s="1025"/>
      <c r="B81" s="1200"/>
      <c r="C81" s="1120"/>
      <c r="D81" s="1121"/>
      <c r="E81" s="1015">
        <f t="shared" ref="E81:E144" si="1">B81-C81+D81</f>
        <v>0</v>
      </c>
      <c r="F81" s="1201"/>
      <c r="G81" s="1009"/>
    </row>
    <row r="82" spans="1:7" ht="15" customHeight="1">
      <c r="A82" s="1025"/>
      <c r="B82" s="1200"/>
      <c r="C82" s="1120"/>
      <c r="D82" s="1121"/>
      <c r="E82" s="1015">
        <f t="shared" si="1"/>
        <v>0</v>
      </c>
      <c r="F82" s="1201"/>
      <c r="G82" s="1009"/>
    </row>
    <row r="83" spans="1:7" ht="15" customHeight="1">
      <c r="A83" s="1025"/>
      <c r="B83" s="1200"/>
      <c r="C83" s="1120"/>
      <c r="D83" s="1121"/>
      <c r="E83" s="1015">
        <f t="shared" si="1"/>
        <v>0</v>
      </c>
      <c r="F83" s="1201"/>
      <c r="G83" s="1009"/>
    </row>
    <row r="84" spans="1:7" ht="15" customHeight="1">
      <c r="A84" s="1025"/>
      <c r="B84" s="1200"/>
      <c r="C84" s="1120"/>
      <c r="D84" s="1121"/>
      <c r="E84" s="1015">
        <f t="shared" si="1"/>
        <v>0</v>
      </c>
      <c r="F84" s="1201"/>
      <c r="G84" s="1009"/>
    </row>
    <row r="85" spans="1:7" ht="15" customHeight="1">
      <c r="A85" s="1025"/>
      <c r="B85" s="1200"/>
      <c r="C85" s="1120"/>
      <c r="D85" s="1121"/>
      <c r="E85" s="1015">
        <f t="shared" si="1"/>
        <v>0</v>
      </c>
      <c r="F85" s="1201"/>
      <c r="G85" s="1009"/>
    </row>
    <row r="86" spans="1:7" ht="15" customHeight="1">
      <c r="A86" s="1025"/>
      <c r="B86" s="1200"/>
      <c r="C86" s="1120"/>
      <c r="D86" s="1121"/>
      <c r="E86" s="1015">
        <f t="shared" si="1"/>
        <v>0</v>
      </c>
      <c r="F86" s="1201"/>
      <c r="G86" s="1009"/>
    </row>
    <row r="87" spans="1:7" ht="15" customHeight="1">
      <c r="A87" s="1025"/>
      <c r="B87" s="1200"/>
      <c r="C87" s="1120"/>
      <c r="D87" s="1121"/>
      <c r="E87" s="1015">
        <f t="shared" si="1"/>
        <v>0</v>
      </c>
      <c r="F87" s="1201"/>
      <c r="G87" s="1009"/>
    </row>
    <row r="88" spans="1:7" ht="15" customHeight="1">
      <c r="A88" s="1025"/>
      <c r="B88" s="1200"/>
      <c r="C88" s="1120"/>
      <c r="D88" s="1121"/>
      <c r="E88" s="1015">
        <f t="shared" si="1"/>
        <v>0</v>
      </c>
      <c r="F88" s="1201"/>
      <c r="G88" s="1009"/>
    </row>
    <row r="89" spans="1:7" ht="15" customHeight="1">
      <c r="A89" s="1025"/>
      <c r="B89" s="1200"/>
      <c r="C89" s="1120"/>
      <c r="D89" s="1121"/>
      <c r="E89" s="1015">
        <f t="shared" si="1"/>
        <v>0</v>
      </c>
      <c r="F89" s="1201"/>
      <c r="G89" s="1009"/>
    </row>
    <row r="90" spans="1:7" ht="15" customHeight="1">
      <c r="A90" s="1025"/>
      <c r="B90" s="1200"/>
      <c r="C90" s="1120"/>
      <c r="D90" s="1121"/>
      <c r="E90" s="1015">
        <f t="shared" si="1"/>
        <v>0</v>
      </c>
      <c r="F90" s="1201"/>
      <c r="G90" s="1009"/>
    </row>
    <row r="91" spans="1:7" ht="15" customHeight="1">
      <c r="A91" s="1025"/>
      <c r="B91" s="1200"/>
      <c r="C91" s="1120"/>
      <c r="D91" s="1121"/>
      <c r="E91" s="1015">
        <f t="shared" si="1"/>
        <v>0</v>
      </c>
      <c r="F91" s="1201"/>
      <c r="G91" s="1009"/>
    </row>
    <row r="92" spans="1:7" ht="15" customHeight="1">
      <c r="A92" s="1025"/>
      <c r="B92" s="1200"/>
      <c r="C92" s="1120"/>
      <c r="D92" s="1121"/>
      <c r="E92" s="1015">
        <f t="shared" si="1"/>
        <v>0</v>
      </c>
      <c r="F92" s="1201"/>
      <c r="G92" s="1009"/>
    </row>
    <row r="93" spans="1:7" ht="15" customHeight="1">
      <c r="A93" s="1025"/>
      <c r="B93" s="1200"/>
      <c r="C93" s="1120"/>
      <c r="D93" s="1121"/>
      <c r="E93" s="1015">
        <f t="shared" si="1"/>
        <v>0</v>
      </c>
      <c r="F93" s="1201"/>
      <c r="G93" s="1009"/>
    </row>
    <row r="94" spans="1:7" ht="15" customHeight="1">
      <c r="A94" s="1025"/>
      <c r="B94" s="1200"/>
      <c r="C94" s="1120"/>
      <c r="D94" s="1121"/>
      <c r="E94" s="1015">
        <f t="shared" si="1"/>
        <v>0</v>
      </c>
      <c r="F94" s="1201"/>
      <c r="G94" s="1009"/>
    </row>
    <row r="95" spans="1:7" ht="15" customHeight="1">
      <c r="A95" s="1025"/>
      <c r="B95" s="1200"/>
      <c r="C95" s="1120"/>
      <c r="D95" s="1121"/>
      <c r="E95" s="1015">
        <f t="shared" si="1"/>
        <v>0</v>
      </c>
      <c r="F95" s="1201"/>
      <c r="G95" s="1009"/>
    </row>
    <row r="96" spans="1:7" ht="15" customHeight="1">
      <c r="A96" s="1025"/>
      <c r="B96" s="1200"/>
      <c r="C96" s="1120"/>
      <c r="D96" s="1121"/>
      <c r="E96" s="1015">
        <f t="shared" si="1"/>
        <v>0</v>
      </c>
      <c r="F96" s="1201"/>
      <c r="G96" s="1009"/>
    </row>
    <row r="97" spans="1:7" ht="15" customHeight="1">
      <c r="A97" s="1025"/>
      <c r="B97" s="1200"/>
      <c r="C97" s="1120"/>
      <c r="D97" s="1121"/>
      <c r="E97" s="1015">
        <f t="shared" si="1"/>
        <v>0</v>
      </c>
      <c r="F97" s="1201"/>
      <c r="G97" s="1009"/>
    </row>
    <row r="98" spans="1:7" ht="15" customHeight="1">
      <c r="A98" s="1025"/>
      <c r="B98" s="1200"/>
      <c r="C98" s="1120"/>
      <c r="D98" s="1121"/>
      <c r="E98" s="1015">
        <f t="shared" si="1"/>
        <v>0</v>
      </c>
      <c r="F98" s="1201"/>
      <c r="G98" s="1009"/>
    </row>
    <row r="99" spans="1:7" ht="15" customHeight="1">
      <c r="A99" s="1025"/>
      <c r="B99" s="1200"/>
      <c r="C99" s="1120"/>
      <c r="D99" s="1121"/>
      <c r="E99" s="1015">
        <f t="shared" si="1"/>
        <v>0</v>
      </c>
      <c r="F99" s="1201"/>
      <c r="G99" s="1009"/>
    </row>
    <row r="100" spans="1:7" ht="15" customHeight="1">
      <c r="A100" s="1025"/>
      <c r="B100" s="1200"/>
      <c r="C100" s="1120"/>
      <c r="D100" s="1121"/>
      <c r="E100" s="1015">
        <f t="shared" si="1"/>
        <v>0</v>
      </c>
      <c r="F100" s="1201"/>
      <c r="G100" s="1009"/>
    </row>
    <row r="101" spans="1:7" ht="15" customHeight="1">
      <c r="A101" s="1025"/>
      <c r="B101" s="1200"/>
      <c r="C101" s="1120"/>
      <c r="D101" s="1121"/>
      <c r="E101" s="1015">
        <f t="shared" si="1"/>
        <v>0</v>
      </c>
      <c r="F101" s="1201"/>
      <c r="G101" s="1009"/>
    </row>
    <row r="102" spans="1:7" ht="15" customHeight="1">
      <c r="A102" s="1025"/>
      <c r="B102" s="1200"/>
      <c r="C102" s="1120"/>
      <c r="D102" s="1121"/>
      <c r="E102" s="1015">
        <f t="shared" si="1"/>
        <v>0</v>
      </c>
      <c r="F102" s="1201"/>
      <c r="G102" s="1009"/>
    </row>
    <row r="103" spans="1:7" ht="15" customHeight="1">
      <c r="A103" s="1025"/>
      <c r="B103" s="1200"/>
      <c r="C103" s="1120"/>
      <c r="D103" s="1121"/>
      <c r="E103" s="1015">
        <f t="shared" si="1"/>
        <v>0</v>
      </c>
      <c r="F103" s="1201"/>
      <c r="G103" s="1009"/>
    </row>
    <row r="104" spans="1:7" ht="15" customHeight="1">
      <c r="A104" s="1025"/>
      <c r="B104" s="1200"/>
      <c r="C104" s="1120"/>
      <c r="D104" s="1121"/>
      <c r="E104" s="1015">
        <f t="shared" si="1"/>
        <v>0</v>
      </c>
      <c r="F104" s="1201"/>
      <c r="G104" s="1009"/>
    </row>
    <row r="105" spans="1:7" ht="15" customHeight="1">
      <c r="A105" s="1025"/>
      <c r="B105" s="1200"/>
      <c r="C105" s="1120"/>
      <c r="D105" s="1121"/>
      <c r="E105" s="1015">
        <f t="shared" si="1"/>
        <v>0</v>
      </c>
      <c r="F105" s="1201"/>
      <c r="G105" s="1009"/>
    </row>
    <row r="106" spans="1:7" ht="15" customHeight="1">
      <c r="A106" s="1025"/>
      <c r="B106" s="1200"/>
      <c r="C106" s="1120"/>
      <c r="D106" s="1121"/>
      <c r="E106" s="1015">
        <f t="shared" si="1"/>
        <v>0</v>
      </c>
      <c r="F106" s="1201"/>
      <c r="G106" s="1009"/>
    </row>
    <row r="107" spans="1:7" ht="15" customHeight="1">
      <c r="A107" s="1025"/>
      <c r="B107" s="1200"/>
      <c r="C107" s="1120"/>
      <c r="D107" s="1121"/>
      <c r="E107" s="1015">
        <f t="shared" si="1"/>
        <v>0</v>
      </c>
      <c r="F107" s="1201"/>
      <c r="G107" s="1009"/>
    </row>
    <row r="108" spans="1:7" ht="15" customHeight="1">
      <c r="A108" s="1025"/>
      <c r="B108" s="1200"/>
      <c r="C108" s="1120"/>
      <c r="D108" s="1121"/>
      <c r="E108" s="1015">
        <f t="shared" si="1"/>
        <v>0</v>
      </c>
      <c r="F108" s="1201"/>
      <c r="G108" s="1009"/>
    </row>
    <row r="109" spans="1:7" ht="15" customHeight="1">
      <c r="A109" s="1025"/>
      <c r="B109" s="1200"/>
      <c r="C109" s="1120"/>
      <c r="D109" s="1121"/>
      <c r="E109" s="1015">
        <f t="shared" si="1"/>
        <v>0</v>
      </c>
      <c r="F109" s="1201"/>
      <c r="G109" s="1009"/>
    </row>
    <row r="110" spans="1:7" ht="15" customHeight="1">
      <c r="A110" s="1025"/>
      <c r="B110" s="1200"/>
      <c r="C110" s="1120"/>
      <c r="D110" s="1121"/>
      <c r="E110" s="1015">
        <f t="shared" si="1"/>
        <v>0</v>
      </c>
      <c r="F110" s="1201"/>
      <c r="G110" s="1009"/>
    </row>
    <row r="111" spans="1:7" ht="15" customHeight="1">
      <c r="A111" s="1025"/>
      <c r="B111" s="1200"/>
      <c r="C111" s="1120"/>
      <c r="D111" s="1121"/>
      <c r="E111" s="1015">
        <f t="shared" si="1"/>
        <v>0</v>
      </c>
      <c r="F111" s="1201"/>
      <c r="G111" s="1009"/>
    </row>
    <row r="112" spans="1:7" ht="15" customHeight="1">
      <c r="A112" s="1025"/>
      <c r="B112" s="1200"/>
      <c r="C112" s="1120"/>
      <c r="D112" s="1121"/>
      <c r="E112" s="1015">
        <f t="shared" si="1"/>
        <v>0</v>
      </c>
      <c r="F112" s="1201"/>
      <c r="G112" s="1009"/>
    </row>
    <row r="113" spans="1:7" ht="15" customHeight="1">
      <c r="A113" s="1025"/>
      <c r="B113" s="1200"/>
      <c r="C113" s="1120"/>
      <c r="D113" s="1121"/>
      <c r="E113" s="1015">
        <f t="shared" si="1"/>
        <v>0</v>
      </c>
      <c r="F113" s="1201"/>
      <c r="G113" s="1009"/>
    </row>
    <row r="114" spans="1:7" ht="15" customHeight="1">
      <c r="A114" s="1025"/>
      <c r="B114" s="1200"/>
      <c r="C114" s="1120"/>
      <c r="D114" s="1121"/>
      <c r="E114" s="1015">
        <f t="shared" si="1"/>
        <v>0</v>
      </c>
      <c r="F114" s="1201"/>
      <c r="G114" s="1009"/>
    </row>
    <row r="115" spans="1:7" ht="15" customHeight="1">
      <c r="A115" s="1025"/>
      <c r="B115" s="1200"/>
      <c r="C115" s="1120"/>
      <c r="D115" s="1121"/>
      <c r="E115" s="1015">
        <f t="shared" si="1"/>
        <v>0</v>
      </c>
      <c r="F115" s="1201"/>
      <c r="G115" s="1009"/>
    </row>
    <row r="116" spans="1:7" ht="15" customHeight="1">
      <c r="A116" s="1025"/>
      <c r="B116" s="1200"/>
      <c r="C116" s="1120"/>
      <c r="D116" s="1121"/>
      <c r="E116" s="1015">
        <f t="shared" si="1"/>
        <v>0</v>
      </c>
      <c r="F116" s="1201"/>
      <c r="G116" s="1009"/>
    </row>
    <row r="117" spans="1:7" ht="15" customHeight="1">
      <c r="A117" s="1025"/>
      <c r="B117" s="1200"/>
      <c r="C117" s="1120"/>
      <c r="D117" s="1121"/>
      <c r="E117" s="1015">
        <f t="shared" si="1"/>
        <v>0</v>
      </c>
      <c r="F117" s="1201"/>
      <c r="G117" s="1009"/>
    </row>
    <row r="118" spans="1:7" ht="15" customHeight="1">
      <c r="A118" s="1025"/>
      <c r="B118" s="1200"/>
      <c r="C118" s="1120"/>
      <c r="D118" s="1121"/>
      <c r="E118" s="1015">
        <f t="shared" si="1"/>
        <v>0</v>
      </c>
      <c r="F118" s="1201"/>
      <c r="G118" s="1009"/>
    </row>
    <row r="119" spans="1:7" ht="15" customHeight="1">
      <c r="A119" s="1025"/>
      <c r="B119" s="1200"/>
      <c r="C119" s="1120"/>
      <c r="D119" s="1121"/>
      <c r="E119" s="1015">
        <f t="shared" si="1"/>
        <v>0</v>
      </c>
      <c r="F119" s="1201"/>
      <c r="G119" s="1009"/>
    </row>
    <row r="120" spans="1:7" ht="15" customHeight="1">
      <c r="A120" s="1025"/>
      <c r="B120" s="1200"/>
      <c r="C120" s="1120"/>
      <c r="D120" s="1121"/>
      <c r="E120" s="1015">
        <f t="shared" si="1"/>
        <v>0</v>
      </c>
      <c r="F120" s="1201"/>
      <c r="G120" s="1009"/>
    </row>
    <row r="121" spans="1:7" ht="15" customHeight="1">
      <c r="A121" s="1025"/>
      <c r="B121" s="1200"/>
      <c r="C121" s="1120"/>
      <c r="D121" s="1121"/>
      <c r="E121" s="1015">
        <f t="shared" si="1"/>
        <v>0</v>
      </c>
      <c r="F121" s="1201"/>
      <c r="G121" s="1009"/>
    </row>
    <row r="122" spans="1:7" ht="15" customHeight="1">
      <c r="A122" s="1025"/>
      <c r="B122" s="1200"/>
      <c r="C122" s="1120"/>
      <c r="D122" s="1121"/>
      <c r="E122" s="1015">
        <f t="shared" si="1"/>
        <v>0</v>
      </c>
      <c r="F122" s="1201"/>
      <c r="G122" s="1009"/>
    </row>
    <row r="123" spans="1:7" ht="15" customHeight="1">
      <c r="A123" s="1025"/>
      <c r="B123" s="1200"/>
      <c r="C123" s="1120"/>
      <c r="D123" s="1121"/>
      <c r="E123" s="1015">
        <f t="shared" si="1"/>
        <v>0</v>
      </c>
      <c r="F123" s="1201"/>
      <c r="G123" s="1009"/>
    </row>
    <row r="124" spans="1:7" ht="15" customHeight="1">
      <c r="A124" s="1025"/>
      <c r="B124" s="1200"/>
      <c r="C124" s="1120"/>
      <c r="D124" s="1121"/>
      <c r="E124" s="1015">
        <f t="shared" si="1"/>
        <v>0</v>
      </c>
      <c r="F124" s="1201"/>
      <c r="G124" s="1009"/>
    </row>
    <row r="125" spans="1:7" ht="15" customHeight="1">
      <c r="A125" s="1025"/>
      <c r="B125" s="1200"/>
      <c r="C125" s="1120"/>
      <c r="D125" s="1121"/>
      <c r="E125" s="1015">
        <f t="shared" si="1"/>
        <v>0</v>
      </c>
      <c r="F125" s="1201"/>
      <c r="G125" s="1009"/>
    </row>
    <row r="126" spans="1:7" ht="15" customHeight="1">
      <c r="A126" s="1025"/>
      <c r="B126" s="1200"/>
      <c r="C126" s="1120"/>
      <c r="D126" s="1121"/>
      <c r="E126" s="1015">
        <f t="shared" si="1"/>
        <v>0</v>
      </c>
      <c r="F126" s="1201"/>
      <c r="G126" s="1009"/>
    </row>
    <row r="127" spans="1:7" ht="15" customHeight="1">
      <c r="A127" s="1025"/>
      <c r="B127" s="1200"/>
      <c r="C127" s="1120"/>
      <c r="D127" s="1121"/>
      <c r="E127" s="1015">
        <f t="shared" si="1"/>
        <v>0</v>
      </c>
      <c r="F127" s="1201"/>
      <c r="G127" s="1009"/>
    </row>
    <row r="128" spans="1:7" ht="15" customHeight="1">
      <c r="A128" s="1025"/>
      <c r="B128" s="1200"/>
      <c r="C128" s="1120"/>
      <c r="D128" s="1121"/>
      <c r="E128" s="1015">
        <f t="shared" si="1"/>
        <v>0</v>
      </c>
      <c r="F128" s="1201"/>
      <c r="G128" s="1009"/>
    </row>
    <row r="129" spans="1:7" ht="15" customHeight="1">
      <c r="A129" s="1025"/>
      <c r="B129" s="1200"/>
      <c r="C129" s="1120"/>
      <c r="D129" s="1121"/>
      <c r="E129" s="1015">
        <f t="shared" si="1"/>
        <v>0</v>
      </c>
      <c r="F129" s="1201"/>
      <c r="G129" s="1009"/>
    </row>
    <row r="130" spans="1:7" ht="15" customHeight="1">
      <c r="A130" s="1025"/>
      <c r="B130" s="1200"/>
      <c r="C130" s="1120"/>
      <c r="D130" s="1121"/>
      <c r="E130" s="1015">
        <f t="shared" si="1"/>
        <v>0</v>
      </c>
      <c r="F130" s="1201"/>
      <c r="G130" s="1009"/>
    </row>
    <row r="131" spans="1:7" ht="15" customHeight="1">
      <c r="A131" s="1025"/>
      <c r="B131" s="1200"/>
      <c r="C131" s="1120"/>
      <c r="D131" s="1121"/>
      <c r="E131" s="1015">
        <f t="shared" si="1"/>
        <v>0</v>
      </c>
      <c r="F131" s="1201"/>
      <c r="G131" s="1009"/>
    </row>
    <row r="132" spans="1:7" ht="15" customHeight="1">
      <c r="A132" s="1025"/>
      <c r="B132" s="1200"/>
      <c r="C132" s="1120"/>
      <c r="D132" s="1121"/>
      <c r="E132" s="1015">
        <f t="shared" si="1"/>
        <v>0</v>
      </c>
      <c r="F132" s="1201"/>
      <c r="G132" s="1009"/>
    </row>
    <row r="133" spans="1:7" ht="15" customHeight="1">
      <c r="A133" s="1025"/>
      <c r="B133" s="1200"/>
      <c r="C133" s="1120"/>
      <c r="D133" s="1121"/>
      <c r="E133" s="1015">
        <f t="shared" si="1"/>
        <v>0</v>
      </c>
      <c r="F133" s="1201"/>
      <c r="G133" s="1009"/>
    </row>
    <row r="134" spans="1:7" ht="15" customHeight="1">
      <c r="A134" s="1025"/>
      <c r="B134" s="1200"/>
      <c r="C134" s="1120"/>
      <c r="D134" s="1121"/>
      <c r="E134" s="1015">
        <f t="shared" si="1"/>
        <v>0</v>
      </c>
      <c r="F134" s="1201"/>
      <c r="G134" s="1009"/>
    </row>
    <row r="135" spans="1:7" ht="15" customHeight="1">
      <c r="A135" s="1025"/>
      <c r="B135" s="1200"/>
      <c r="C135" s="1120"/>
      <c r="D135" s="1121"/>
      <c r="E135" s="1015">
        <f t="shared" si="1"/>
        <v>0</v>
      </c>
      <c r="F135" s="1201"/>
      <c r="G135" s="1009"/>
    </row>
    <row r="136" spans="1:7" ht="15" customHeight="1">
      <c r="A136" s="1025"/>
      <c r="B136" s="1200"/>
      <c r="C136" s="1120"/>
      <c r="D136" s="1121"/>
      <c r="E136" s="1015">
        <f t="shared" si="1"/>
        <v>0</v>
      </c>
      <c r="F136" s="1201"/>
      <c r="G136" s="1009"/>
    </row>
    <row r="137" spans="1:7" ht="15" customHeight="1">
      <c r="A137" s="1025"/>
      <c r="B137" s="1200"/>
      <c r="C137" s="1120"/>
      <c r="D137" s="1121"/>
      <c r="E137" s="1015">
        <f t="shared" si="1"/>
        <v>0</v>
      </c>
      <c r="F137" s="1201"/>
      <c r="G137" s="1009"/>
    </row>
    <row r="138" spans="1:7" ht="15" customHeight="1">
      <c r="A138" s="1025"/>
      <c r="B138" s="1200"/>
      <c r="C138" s="1120"/>
      <c r="D138" s="1121"/>
      <c r="E138" s="1015">
        <f t="shared" si="1"/>
        <v>0</v>
      </c>
      <c r="F138" s="1201"/>
      <c r="G138" s="1009"/>
    </row>
    <row r="139" spans="1:7" ht="15" customHeight="1">
      <c r="A139" s="1025"/>
      <c r="B139" s="1200"/>
      <c r="C139" s="1120"/>
      <c r="D139" s="1121"/>
      <c r="E139" s="1015">
        <f t="shared" si="1"/>
        <v>0</v>
      </c>
      <c r="F139" s="1201"/>
      <c r="G139" s="1009"/>
    </row>
    <row r="140" spans="1:7" ht="15" customHeight="1">
      <c r="A140" s="1025"/>
      <c r="B140" s="1200"/>
      <c r="C140" s="1120"/>
      <c r="D140" s="1121"/>
      <c r="E140" s="1015">
        <f t="shared" si="1"/>
        <v>0</v>
      </c>
      <c r="F140" s="1201"/>
      <c r="G140" s="1009"/>
    </row>
    <row r="141" spans="1:7" ht="15" customHeight="1">
      <c r="A141" s="1025"/>
      <c r="B141" s="1200"/>
      <c r="C141" s="1120"/>
      <c r="D141" s="1121"/>
      <c r="E141" s="1015">
        <f t="shared" si="1"/>
        <v>0</v>
      </c>
      <c r="F141" s="1201"/>
      <c r="G141" s="1009"/>
    </row>
    <row r="142" spans="1:7" ht="15" customHeight="1">
      <c r="A142" s="1025"/>
      <c r="B142" s="1200"/>
      <c r="C142" s="1120"/>
      <c r="D142" s="1121"/>
      <c r="E142" s="1015">
        <f t="shared" si="1"/>
        <v>0</v>
      </c>
      <c r="F142" s="1201"/>
      <c r="G142" s="1009"/>
    </row>
    <row r="143" spans="1:7" ht="15" customHeight="1">
      <c r="A143" s="1025"/>
      <c r="B143" s="1200"/>
      <c r="C143" s="1120"/>
      <c r="D143" s="1121"/>
      <c r="E143" s="1015">
        <f t="shared" si="1"/>
        <v>0</v>
      </c>
      <c r="F143" s="1201"/>
      <c r="G143" s="1009"/>
    </row>
    <row r="144" spans="1:7" ht="15" customHeight="1">
      <c r="A144" s="1025"/>
      <c r="B144" s="1200"/>
      <c r="C144" s="1120"/>
      <c r="D144" s="1121"/>
      <c r="E144" s="1015">
        <f t="shared" si="1"/>
        <v>0</v>
      </c>
      <c r="F144" s="1201"/>
      <c r="G144" s="1009"/>
    </row>
    <row r="145" spans="1:7" ht="15" customHeight="1">
      <c r="A145" s="1025"/>
      <c r="B145" s="1200"/>
      <c r="C145" s="1120"/>
      <c r="D145" s="1121"/>
      <c r="E145" s="1015">
        <f t="shared" ref="E145:E208" si="2">B145-C145+D145</f>
        <v>0</v>
      </c>
      <c r="F145" s="1201"/>
      <c r="G145" s="1009"/>
    </row>
    <row r="146" spans="1:7" ht="15" customHeight="1">
      <c r="A146" s="1025"/>
      <c r="B146" s="1200"/>
      <c r="C146" s="1120"/>
      <c r="D146" s="1121"/>
      <c r="E146" s="1015">
        <f t="shared" si="2"/>
        <v>0</v>
      </c>
      <c r="F146" s="1201"/>
      <c r="G146" s="1009"/>
    </row>
    <row r="147" spans="1:7" ht="15" customHeight="1">
      <c r="A147" s="1025"/>
      <c r="B147" s="1200"/>
      <c r="C147" s="1120"/>
      <c r="D147" s="1121"/>
      <c r="E147" s="1015">
        <f t="shared" si="2"/>
        <v>0</v>
      </c>
      <c r="F147" s="1201"/>
      <c r="G147" s="1009"/>
    </row>
    <row r="148" spans="1:7" ht="15" customHeight="1">
      <c r="A148" s="1025"/>
      <c r="B148" s="1200"/>
      <c r="C148" s="1120"/>
      <c r="D148" s="1121"/>
      <c r="E148" s="1015">
        <f t="shared" si="2"/>
        <v>0</v>
      </c>
      <c r="F148" s="1201"/>
      <c r="G148" s="1009"/>
    </row>
    <row r="149" spans="1:7" ht="15" customHeight="1">
      <c r="A149" s="1025"/>
      <c r="B149" s="1200"/>
      <c r="C149" s="1120"/>
      <c r="D149" s="1121"/>
      <c r="E149" s="1015">
        <f t="shared" si="2"/>
        <v>0</v>
      </c>
      <c r="F149" s="1201"/>
      <c r="G149" s="1009"/>
    </row>
    <row r="150" spans="1:7" ht="15" customHeight="1">
      <c r="A150" s="1025"/>
      <c r="B150" s="1200"/>
      <c r="C150" s="1120"/>
      <c r="D150" s="1121"/>
      <c r="E150" s="1015">
        <f t="shared" si="2"/>
        <v>0</v>
      </c>
      <c r="F150" s="1201"/>
      <c r="G150" s="1009"/>
    </row>
    <row r="151" spans="1:7" ht="15" customHeight="1">
      <c r="A151" s="1025"/>
      <c r="B151" s="1200"/>
      <c r="C151" s="1120"/>
      <c r="D151" s="1121"/>
      <c r="E151" s="1015">
        <f t="shared" si="2"/>
        <v>0</v>
      </c>
      <c r="F151" s="1201"/>
      <c r="G151" s="1009"/>
    </row>
    <row r="152" spans="1:7" ht="15" customHeight="1">
      <c r="A152" s="1025"/>
      <c r="B152" s="1200"/>
      <c r="C152" s="1120"/>
      <c r="D152" s="1121"/>
      <c r="E152" s="1015">
        <f t="shared" si="2"/>
        <v>0</v>
      </c>
      <c r="F152" s="1201"/>
      <c r="G152" s="1009"/>
    </row>
    <row r="153" spans="1:7" ht="15" customHeight="1">
      <c r="A153" s="1025"/>
      <c r="B153" s="1200"/>
      <c r="C153" s="1120"/>
      <c r="D153" s="1121"/>
      <c r="E153" s="1015">
        <f t="shared" si="2"/>
        <v>0</v>
      </c>
      <c r="F153" s="1201"/>
      <c r="G153" s="1009"/>
    </row>
    <row r="154" spans="1:7" ht="15" customHeight="1">
      <c r="A154" s="1025"/>
      <c r="B154" s="1200"/>
      <c r="C154" s="1120"/>
      <c r="D154" s="1121"/>
      <c r="E154" s="1015">
        <f t="shared" si="2"/>
        <v>0</v>
      </c>
      <c r="F154" s="1201"/>
      <c r="G154" s="1009"/>
    </row>
    <row r="155" spans="1:7" ht="15" customHeight="1">
      <c r="A155" s="1025"/>
      <c r="B155" s="1200"/>
      <c r="C155" s="1120"/>
      <c r="D155" s="1121"/>
      <c r="E155" s="1015">
        <f t="shared" si="2"/>
        <v>0</v>
      </c>
      <c r="F155" s="1201"/>
      <c r="G155" s="1009"/>
    </row>
    <row r="156" spans="1:7" ht="15" customHeight="1">
      <c r="A156" s="1025"/>
      <c r="B156" s="1200"/>
      <c r="C156" s="1120"/>
      <c r="D156" s="1121"/>
      <c r="E156" s="1015">
        <f t="shared" si="2"/>
        <v>0</v>
      </c>
      <c r="F156" s="1201"/>
      <c r="G156" s="1009"/>
    </row>
    <row r="157" spans="1:7" ht="15" customHeight="1">
      <c r="A157" s="1025"/>
      <c r="B157" s="1200"/>
      <c r="C157" s="1120"/>
      <c r="D157" s="1121"/>
      <c r="E157" s="1015">
        <f t="shared" si="2"/>
        <v>0</v>
      </c>
      <c r="F157" s="1201"/>
      <c r="G157" s="1009"/>
    </row>
    <row r="158" spans="1:7" ht="15" customHeight="1">
      <c r="A158" s="1025"/>
      <c r="B158" s="1200"/>
      <c r="C158" s="1120"/>
      <c r="D158" s="1121"/>
      <c r="E158" s="1015">
        <f t="shared" si="2"/>
        <v>0</v>
      </c>
      <c r="F158" s="1201"/>
      <c r="G158" s="1009"/>
    </row>
    <row r="159" spans="1:7" ht="15" customHeight="1">
      <c r="A159" s="1025"/>
      <c r="B159" s="1200"/>
      <c r="C159" s="1120"/>
      <c r="D159" s="1121"/>
      <c r="E159" s="1015">
        <f t="shared" si="2"/>
        <v>0</v>
      </c>
      <c r="F159" s="1201"/>
      <c r="G159" s="1009"/>
    </row>
    <row r="160" spans="1:7" ht="15" customHeight="1">
      <c r="A160" s="1025"/>
      <c r="B160" s="1200"/>
      <c r="C160" s="1120"/>
      <c r="D160" s="1121"/>
      <c r="E160" s="1015">
        <f t="shared" si="2"/>
        <v>0</v>
      </c>
      <c r="F160" s="1201"/>
      <c r="G160" s="1009"/>
    </row>
    <row r="161" spans="1:7" ht="15" customHeight="1">
      <c r="A161" s="1025"/>
      <c r="B161" s="1200"/>
      <c r="C161" s="1120"/>
      <c r="D161" s="1121"/>
      <c r="E161" s="1015">
        <f t="shared" si="2"/>
        <v>0</v>
      </c>
      <c r="F161" s="1201"/>
      <c r="G161" s="1009"/>
    </row>
    <row r="162" spans="1:7" ht="15" customHeight="1">
      <c r="A162" s="1025"/>
      <c r="B162" s="1200"/>
      <c r="C162" s="1120"/>
      <c r="D162" s="1121"/>
      <c r="E162" s="1015">
        <f t="shared" si="2"/>
        <v>0</v>
      </c>
      <c r="F162" s="1201"/>
      <c r="G162" s="1009"/>
    </row>
    <row r="163" spans="1:7" ht="15" customHeight="1">
      <c r="A163" s="1025"/>
      <c r="B163" s="1200"/>
      <c r="C163" s="1120"/>
      <c r="D163" s="1121"/>
      <c r="E163" s="1015">
        <f t="shared" si="2"/>
        <v>0</v>
      </c>
      <c r="F163" s="1201"/>
      <c r="G163" s="1009"/>
    </row>
    <row r="164" spans="1:7" ht="15" customHeight="1">
      <c r="A164" s="1025"/>
      <c r="B164" s="1200"/>
      <c r="C164" s="1120"/>
      <c r="D164" s="1121"/>
      <c r="E164" s="1015">
        <f t="shared" si="2"/>
        <v>0</v>
      </c>
      <c r="F164" s="1201"/>
      <c r="G164" s="1009"/>
    </row>
    <row r="165" spans="1:7" ht="15" customHeight="1">
      <c r="A165" s="1025"/>
      <c r="B165" s="1200"/>
      <c r="C165" s="1120"/>
      <c r="D165" s="1121"/>
      <c r="E165" s="1015">
        <f t="shared" si="2"/>
        <v>0</v>
      </c>
      <c r="F165" s="1201"/>
      <c r="G165" s="1009"/>
    </row>
    <row r="166" spans="1:7" ht="15" customHeight="1">
      <c r="A166" s="1025"/>
      <c r="B166" s="1200"/>
      <c r="C166" s="1120"/>
      <c r="D166" s="1121"/>
      <c r="E166" s="1015">
        <f t="shared" si="2"/>
        <v>0</v>
      </c>
      <c r="F166" s="1201"/>
      <c r="G166" s="1009"/>
    </row>
    <row r="167" spans="1:7" ht="15" customHeight="1">
      <c r="A167" s="1025"/>
      <c r="B167" s="1200"/>
      <c r="C167" s="1120"/>
      <c r="D167" s="1121"/>
      <c r="E167" s="1015">
        <f t="shared" si="2"/>
        <v>0</v>
      </c>
      <c r="F167" s="1201"/>
      <c r="G167" s="1009"/>
    </row>
    <row r="168" spans="1:7" ht="15" customHeight="1">
      <c r="A168" s="1025"/>
      <c r="B168" s="1200"/>
      <c r="C168" s="1120"/>
      <c r="D168" s="1121"/>
      <c r="E168" s="1015">
        <f t="shared" si="2"/>
        <v>0</v>
      </c>
      <c r="F168" s="1201"/>
      <c r="G168" s="1009"/>
    </row>
    <row r="169" spans="1:7" ht="15" customHeight="1">
      <c r="A169" s="1025"/>
      <c r="B169" s="1200"/>
      <c r="C169" s="1120"/>
      <c r="D169" s="1121"/>
      <c r="E169" s="1015">
        <f t="shared" si="2"/>
        <v>0</v>
      </c>
      <c r="F169" s="1201"/>
      <c r="G169" s="1009"/>
    </row>
    <row r="170" spans="1:7" ht="15" customHeight="1">
      <c r="A170" s="1025"/>
      <c r="B170" s="1200"/>
      <c r="C170" s="1120"/>
      <c r="D170" s="1121"/>
      <c r="E170" s="1015">
        <f t="shared" si="2"/>
        <v>0</v>
      </c>
      <c r="F170" s="1201"/>
      <c r="G170" s="1009"/>
    </row>
    <row r="171" spans="1:7" ht="15" customHeight="1">
      <c r="A171" s="1025"/>
      <c r="B171" s="1200"/>
      <c r="C171" s="1120"/>
      <c r="D171" s="1121"/>
      <c r="E171" s="1015">
        <f t="shared" si="2"/>
        <v>0</v>
      </c>
      <c r="F171" s="1201"/>
      <c r="G171" s="1009"/>
    </row>
    <row r="172" spans="1:7" ht="15" customHeight="1">
      <c r="A172" s="1025"/>
      <c r="B172" s="1200"/>
      <c r="C172" s="1120"/>
      <c r="D172" s="1121"/>
      <c r="E172" s="1015">
        <f t="shared" si="2"/>
        <v>0</v>
      </c>
      <c r="F172" s="1201"/>
      <c r="G172" s="1009"/>
    </row>
    <row r="173" spans="1:7" ht="15" customHeight="1">
      <c r="A173" s="1025"/>
      <c r="B173" s="1200"/>
      <c r="C173" s="1120"/>
      <c r="D173" s="1121"/>
      <c r="E173" s="1015">
        <f t="shared" si="2"/>
        <v>0</v>
      </c>
      <c r="F173" s="1201"/>
      <c r="G173" s="1009"/>
    </row>
    <row r="174" spans="1:7" ht="15" customHeight="1">
      <c r="A174" s="1025"/>
      <c r="B174" s="1200"/>
      <c r="C174" s="1120"/>
      <c r="D174" s="1121"/>
      <c r="E174" s="1015">
        <f t="shared" si="2"/>
        <v>0</v>
      </c>
      <c r="F174" s="1201"/>
      <c r="G174" s="1009"/>
    </row>
    <row r="175" spans="1:7" ht="15" customHeight="1">
      <c r="A175" s="1025"/>
      <c r="B175" s="1200"/>
      <c r="C175" s="1120"/>
      <c r="D175" s="1121"/>
      <c r="E175" s="1015">
        <f t="shared" si="2"/>
        <v>0</v>
      </c>
      <c r="F175" s="1201"/>
      <c r="G175" s="1009"/>
    </row>
    <row r="176" spans="1:7" ht="15" customHeight="1">
      <c r="A176" s="1025"/>
      <c r="B176" s="1200"/>
      <c r="C176" s="1120"/>
      <c r="D176" s="1121"/>
      <c r="E176" s="1015">
        <f t="shared" si="2"/>
        <v>0</v>
      </c>
      <c r="F176" s="1201"/>
      <c r="G176" s="1009"/>
    </row>
    <row r="177" spans="1:7" ht="15" customHeight="1">
      <c r="A177" s="1025"/>
      <c r="B177" s="1200"/>
      <c r="C177" s="1120"/>
      <c r="D177" s="1121"/>
      <c r="E177" s="1015">
        <f t="shared" si="2"/>
        <v>0</v>
      </c>
      <c r="F177" s="1201"/>
      <c r="G177" s="1009"/>
    </row>
    <row r="178" spans="1:7" ht="15" customHeight="1">
      <c r="A178" s="1025"/>
      <c r="B178" s="1200"/>
      <c r="C178" s="1120"/>
      <c r="D178" s="1121"/>
      <c r="E178" s="1015">
        <f t="shared" si="2"/>
        <v>0</v>
      </c>
      <c r="F178" s="1201"/>
      <c r="G178" s="1009"/>
    </row>
    <row r="179" spans="1:7" ht="15" customHeight="1">
      <c r="A179" s="1025"/>
      <c r="B179" s="1200"/>
      <c r="C179" s="1120"/>
      <c r="D179" s="1121"/>
      <c r="E179" s="1015">
        <f t="shared" si="2"/>
        <v>0</v>
      </c>
      <c r="F179" s="1201"/>
      <c r="G179" s="1009"/>
    </row>
    <row r="180" spans="1:7" ht="15" customHeight="1">
      <c r="A180" s="1025"/>
      <c r="B180" s="1200"/>
      <c r="C180" s="1120"/>
      <c r="D180" s="1121"/>
      <c r="E180" s="1015">
        <f t="shared" si="2"/>
        <v>0</v>
      </c>
      <c r="F180" s="1201"/>
      <c r="G180" s="1009"/>
    </row>
    <row r="181" spans="1:7" ht="15" customHeight="1">
      <c r="A181" s="1025"/>
      <c r="B181" s="1200"/>
      <c r="C181" s="1120"/>
      <c r="D181" s="1121"/>
      <c r="E181" s="1015">
        <f t="shared" si="2"/>
        <v>0</v>
      </c>
      <c r="F181" s="1201"/>
      <c r="G181" s="1009"/>
    </row>
    <row r="182" spans="1:7" ht="15" customHeight="1">
      <c r="A182" s="1025"/>
      <c r="B182" s="1200"/>
      <c r="C182" s="1120"/>
      <c r="D182" s="1121"/>
      <c r="E182" s="1015">
        <f t="shared" si="2"/>
        <v>0</v>
      </c>
      <c r="F182" s="1201"/>
      <c r="G182" s="1009"/>
    </row>
    <row r="183" spans="1:7" ht="15" customHeight="1">
      <c r="A183" s="1025"/>
      <c r="B183" s="1200"/>
      <c r="C183" s="1120"/>
      <c r="D183" s="1121"/>
      <c r="E183" s="1015">
        <f t="shared" si="2"/>
        <v>0</v>
      </c>
      <c r="F183" s="1201"/>
      <c r="G183" s="1009"/>
    </row>
    <row r="184" spans="1:7" ht="15" customHeight="1">
      <c r="A184" s="1025"/>
      <c r="B184" s="1200"/>
      <c r="C184" s="1120"/>
      <c r="D184" s="1121"/>
      <c r="E184" s="1015">
        <f t="shared" si="2"/>
        <v>0</v>
      </c>
      <c r="F184" s="1201"/>
      <c r="G184" s="1009"/>
    </row>
    <row r="185" spans="1:7" ht="15" customHeight="1">
      <c r="A185" s="1025"/>
      <c r="B185" s="1200"/>
      <c r="C185" s="1120"/>
      <c r="D185" s="1121"/>
      <c r="E185" s="1015">
        <f t="shared" si="2"/>
        <v>0</v>
      </c>
      <c r="F185" s="1201"/>
      <c r="G185" s="1009"/>
    </row>
    <row r="186" spans="1:7" ht="15" customHeight="1">
      <c r="A186" s="1025"/>
      <c r="B186" s="1200"/>
      <c r="C186" s="1120"/>
      <c r="D186" s="1121"/>
      <c r="E186" s="1015">
        <f t="shared" si="2"/>
        <v>0</v>
      </c>
      <c r="F186" s="1201"/>
      <c r="G186" s="1009"/>
    </row>
    <row r="187" spans="1:7" ht="15" customHeight="1">
      <c r="A187" s="1025"/>
      <c r="B187" s="1200"/>
      <c r="C187" s="1120"/>
      <c r="D187" s="1121"/>
      <c r="E187" s="1015">
        <f t="shared" si="2"/>
        <v>0</v>
      </c>
      <c r="F187" s="1201"/>
      <c r="G187" s="1009"/>
    </row>
    <row r="188" spans="1:7" ht="15" customHeight="1">
      <c r="A188" s="1025"/>
      <c r="B188" s="1200"/>
      <c r="C188" s="1120"/>
      <c r="D188" s="1121"/>
      <c r="E188" s="1015">
        <f t="shared" si="2"/>
        <v>0</v>
      </c>
      <c r="F188" s="1201"/>
      <c r="G188" s="1009"/>
    </row>
    <row r="189" spans="1:7" ht="15" customHeight="1">
      <c r="A189" s="1025"/>
      <c r="B189" s="1200"/>
      <c r="C189" s="1120"/>
      <c r="D189" s="1121"/>
      <c r="E189" s="1015">
        <f t="shared" si="2"/>
        <v>0</v>
      </c>
      <c r="F189" s="1201"/>
      <c r="G189" s="1009"/>
    </row>
    <row r="190" spans="1:7" ht="15" customHeight="1">
      <c r="A190" s="1025"/>
      <c r="B190" s="1200"/>
      <c r="C190" s="1120"/>
      <c r="D190" s="1121"/>
      <c r="E190" s="1015">
        <f t="shared" si="2"/>
        <v>0</v>
      </c>
      <c r="F190" s="1201"/>
      <c r="G190" s="1009"/>
    </row>
    <row r="191" spans="1:7" ht="15" customHeight="1">
      <c r="A191" s="1025"/>
      <c r="B191" s="1200"/>
      <c r="C191" s="1120"/>
      <c r="D191" s="1121"/>
      <c r="E191" s="1015">
        <f t="shared" si="2"/>
        <v>0</v>
      </c>
      <c r="F191" s="1201"/>
      <c r="G191" s="1009"/>
    </row>
    <row r="192" spans="1:7" ht="15" customHeight="1">
      <c r="A192" s="1025"/>
      <c r="B192" s="1200"/>
      <c r="C192" s="1120"/>
      <c r="D192" s="1121"/>
      <c r="E192" s="1015">
        <f t="shared" si="2"/>
        <v>0</v>
      </c>
      <c r="F192" s="1201"/>
      <c r="G192" s="1009"/>
    </row>
    <row r="193" spans="1:7" ht="15" customHeight="1">
      <c r="A193" s="1025"/>
      <c r="B193" s="1200"/>
      <c r="C193" s="1120"/>
      <c r="D193" s="1121"/>
      <c r="E193" s="1015">
        <f t="shared" si="2"/>
        <v>0</v>
      </c>
      <c r="F193" s="1201"/>
      <c r="G193" s="1009"/>
    </row>
    <row r="194" spans="1:7" ht="15" customHeight="1">
      <c r="A194" s="1025"/>
      <c r="B194" s="1200"/>
      <c r="C194" s="1120"/>
      <c r="D194" s="1121"/>
      <c r="E194" s="1015">
        <f t="shared" si="2"/>
        <v>0</v>
      </c>
      <c r="F194" s="1201"/>
      <c r="G194" s="1009"/>
    </row>
    <row r="195" spans="1:7" ht="15" customHeight="1">
      <c r="A195" s="1025"/>
      <c r="B195" s="1200"/>
      <c r="C195" s="1120"/>
      <c r="D195" s="1121"/>
      <c r="E195" s="1015">
        <f t="shared" si="2"/>
        <v>0</v>
      </c>
      <c r="F195" s="1201"/>
      <c r="G195" s="1009"/>
    </row>
    <row r="196" spans="1:7" ht="15" customHeight="1">
      <c r="A196" s="1025"/>
      <c r="B196" s="1200"/>
      <c r="C196" s="1120"/>
      <c r="D196" s="1121"/>
      <c r="E196" s="1015">
        <f t="shared" si="2"/>
        <v>0</v>
      </c>
      <c r="F196" s="1201"/>
      <c r="G196" s="1009"/>
    </row>
    <row r="197" spans="1:7" ht="15" customHeight="1">
      <c r="A197" s="1025"/>
      <c r="B197" s="1200"/>
      <c r="C197" s="1120"/>
      <c r="D197" s="1121"/>
      <c r="E197" s="1015">
        <f t="shared" si="2"/>
        <v>0</v>
      </c>
      <c r="F197" s="1201"/>
      <c r="G197" s="1009"/>
    </row>
    <row r="198" spans="1:7" ht="15" customHeight="1">
      <c r="A198" s="1025"/>
      <c r="B198" s="1200"/>
      <c r="C198" s="1120"/>
      <c r="D198" s="1121"/>
      <c r="E198" s="1015">
        <f t="shared" si="2"/>
        <v>0</v>
      </c>
      <c r="F198" s="1201"/>
      <c r="G198" s="1009"/>
    </row>
    <row r="199" spans="1:7" ht="15" customHeight="1">
      <c r="A199" s="1025"/>
      <c r="B199" s="1200"/>
      <c r="C199" s="1120"/>
      <c r="D199" s="1121"/>
      <c r="E199" s="1015">
        <f t="shared" si="2"/>
        <v>0</v>
      </c>
      <c r="F199" s="1201"/>
      <c r="G199" s="1009"/>
    </row>
    <row r="200" spans="1:7" ht="15" customHeight="1">
      <c r="A200" s="1025"/>
      <c r="B200" s="1200"/>
      <c r="C200" s="1120"/>
      <c r="D200" s="1121"/>
      <c r="E200" s="1015">
        <f t="shared" si="2"/>
        <v>0</v>
      </c>
      <c r="F200" s="1201"/>
      <c r="G200" s="1009"/>
    </row>
    <row r="201" spans="1:7" ht="15" customHeight="1">
      <c r="A201" s="1025"/>
      <c r="B201" s="1200"/>
      <c r="C201" s="1120"/>
      <c r="D201" s="1121"/>
      <c r="E201" s="1015">
        <f t="shared" si="2"/>
        <v>0</v>
      </c>
      <c r="F201" s="1201"/>
      <c r="G201" s="1009"/>
    </row>
    <row r="202" spans="1:7" ht="15" customHeight="1">
      <c r="A202" s="1025"/>
      <c r="B202" s="1200"/>
      <c r="C202" s="1120"/>
      <c r="D202" s="1121"/>
      <c r="E202" s="1015">
        <f t="shared" si="2"/>
        <v>0</v>
      </c>
      <c r="F202" s="1201"/>
      <c r="G202" s="1009"/>
    </row>
    <row r="203" spans="1:7" ht="15" customHeight="1">
      <c r="A203" s="1025"/>
      <c r="B203" s="1200"/>
      <c r="C203" s="1120"/>
      <c r="D203" s="1121"/>
      <c r="E203" s="1015">
        <f t="shared" si="2"/>
        <v>0</v>
      </c>
      <c r="F203" s="1201"/>
      <c r="G203" s="1009"/>
    </row>
    <row r="204" spans="1:7" ht="15" customHeight="1">
      <c r="A204" s="1025"/>
      <c r="B204" s="1200"/>
      <c r="C204" s="1120"/>
      <c r="D204" s="1121"/>
      <c r="E204" s="1015">
        <f t="shared" si="2"/>
        <v>0</v>
      </c>
      <c r="F204" s="1201"/>
      <c r="G204" s="1009"/>
    </row>
    <row r="205" spans="1:7" ht="15" customHeight="1">
      <c r="A205" s="1025"/>
      <c r="B205" s="1200"/>
      <c r="C205" s="1120"/>
      <c r="D205" s="1121"/>
      <c r="E205" s="1015">
        <f t="shared" si="2"/>
        <v>0</v>
      </c>
      <c r="F205" s="1201"/>
      <c r="G205" s="1009"/>
    </row>
    <row r="206" spans="1:7" ht="15" customHeight="1">
      <c r="A206" s="1025"/>
      <c r="B206" s="1200"/>
      <c r="C206" s="1120"/>
      <c r="D206" s="1121"/>
      <c r="E206" s="1015">
        <f t="shared" si="2"/>
        <v>0</v>
      </c>
      <c r="F206" s="1201"/>
      <c r="G206" s="1009"/>
    </row>
    <row r="207" spans="1:7" ht="15" customHeight="1">
      <c r="A207" s="1025"/>
      <c r="B207" s="1200"/>
      <c r="C207" s="1120"/>
      <c r="D207" s="1121"/>
      <c r="E207" s="1015">
        <f t="shared" si="2"/>
        <v>0</v>
      </c>
      <c r="F207" s="1201"/>
      <c r="G207" s="1009"/>
    </row>
    <row r="208" spans="1:7" ht="15" customHeight="1">
      <c r="A208" s="1025"/>
      <c r="B208" s="1200"/>
      <c r="C208" s="1120"/>
      <c r="D208" s="1121"/>
      <c r="E208" s="1015">
        <f t="shared" si="2"/>
        <v>0</v>
      </c>
      <c r="F208" s="1201"/>
      <c r="G208" s="1009"/>
    </row>
    <row r="209" spans="1:7" ht="15" customHeight="1">
      <c r="A209" s="1025"/>
      <c r="B209" s="1200"/>
      <c r="C209" s="1120"/>
      <c r="D209" s="1121"/>
      <c r="E209" s="1015">
        <f t="shared" ref="E209:E272" si="3">B209-C209+D209</f>
        <v>0</v>
      </c>
      <c r="F209" s="1201"/>
      <c r="G209" s="1009"/>
    </row>
    <row r="210" spans="1:7" ht="15" customHeight="1">
      <c r="A210" s="1025"/>
      <c r="B210" s="1200"/>
      <c r="C210" s="1120"/>
      <c r="D210" s="1121"/>
      <c r="E210" s="1015">
        <f t="shared" si="3"/>
        <v>0</v>
      </c>
      <c r="F210" s="1201"/>
      <c r="G210" s="1009"/>
    </row>
    <row r="211" spans="1:7" ht="15" customHeight="1">
      <c r="A211" s="1025"/>
      <c r="B211" s="1200"/>
      <c r="C211" s="1120"/>
      <c r="D211" s="1121"/>
      <c r="E211" s="1015">
        <f t="shared" si="3"/>
        <v>0</v>
      </c>
      <c r="F211" s="1201"/>
      <c r="G211" s="1009"/>
    </row>
    <row r="212" spans="1:7" ht="15" customHeight="1">
      <c r="A212" s="1025"/>
      <c r="B212" s="1200"/>
      <c r="C212" s="1120"/>
      <c r="D212" s="1121"/>
      <c r="E212" s="1015">
        <f t="shared" si="3"/>
        <v>0</v>
      </c>
      <c r="F212" s="1201"/>
      <c r="G212" s="1009"/>
    </row>
    <row r="213" spans="1:7" ht="15" customHeight="1">
      <c r="A213" s="1025"/>
      <c r="B213" s="1200"/>
      <c r="C213" s="1120"/>
      <c r="D213" s="1121"/>
      <c r="E213" s="1015">
        <f t="shared" si="3"/>
        <v>0</v>
      </c>
      <c r="F213" s="1201"/>
      <c r="G213" s="1009"/>
    </row>
    <row r="214" spans="1:7" ht="15" customHeight="1">
      <c r="A214" s="1025"/>
      <c r="B214" s="1200"/>
      <c r="C214" s="1120"/>
      <c r="D214" s="1121"/>
      <c r="E214" s="1015">
        <f t="shared" si="3"/>
        <v>0</v>
      </c>
      <c r="F214" s="1201"/>
      <c r="G214" s="1009"/>
    </row>
    <row r="215" spans="1:7" ht="15" customHeight="1">
      <c r="A215" s="1025"/>
      <c r="B215" s="1200"/>
      <c r="C215" s="1120"/>
      <c r="D215" s="1121"/>
      <c r="E215" s="1015">
        <f t="shared" si="3"/>
        <v>0</v>
      </c>
      <c r="F215" s="1201"/>
      <c r="G215" s="1009"/>
    </row>
    <row r="216" spans="1:7" ht="15" customHeight="1">
      <c r="A216" s="1025"/>
      <c r="B216" s="1200"/>
      <c r="C216" s="1120"/>
      <c r="D216" s="1121"/>
      <c r="E216" s="1015">
        <f t="shared" si="3"/>
        <v>0</v>
      </c>
      <c r="F216" s="1201"/>
      <c r="G216" s="1009"/>
    </row>
    <row r="217" spans="1:7" ht="15" customHeight="1">
      <c r="A217" s="1025"/>
      <c r="B217" s="1200"/>
      <c r="C217" s="1120"/>
      <c r="D217" s="1121"/>
      <c r="E217" s="1015">
        <f t="shared" si="3"/>
        <v>0</v>
      </c>
      <c r="F217" s="1201"/>
      <c r="G217" s="1009"/>
    </row>
    <row r="218" spans="1:7" ht="15" customHeight="1">
      <c r="A218" s="1025"/>
      <c r="B218" s="1200"/>
      <c r="C218" s="1120"/>
      <c r="D218" s="1121"/>
      <c r="E218" s="1015">
        <f t="shared" si="3"/>
        <v>0</v>
      </c>
      <c r="F218" s="1201"/>
      <c r="G218" s="1009"/>
    </row>
    <row r="219" spans="1:7" ht="15" customHeight="1">
      <c r="A219" s="1025"/>
      <c r="B219" s="1200"/>
      <c r="C219" s="1120"/>
      <c r="D219" s="1121"/>
      <c r="E219" s="1015">
        <f t="shared" si="3"/>
        <v>0</v>
      </c>
      <c r="F219" s="1201"/>
      <c r="G219" s="1009"/>
    </row>
    <row r="220" spans="1:7" ht="15" customHeight="1">
      <c r="A220" s="1025"/>
      <c r="B220" s="1200"/>
      <c r="C220" s="1120"/>
      <c r="D220" s="1121"/>
      <c r="E220" s="1015">
        <f t="shared" si="3"/>
        <v>0</v>
      </c>
      <c r="F220" s="1201"/>
      <c r="G220" s="1009"/>
    </row>
    <row r="221" spans="1:7" ht="15" customHeight="1">
      <c r="A221" s="1025"/>
      <c r="B221" s="1200"/>
      <c r="C221" s="1120"/>
      <c r="D221" s="1121"/>
      <c r="E221" s="1015">
        <f t="shared" si="3"/>
        <v>0</v>
      </c>
      <c r="F221" s="1201"/>
      <c r="G221" s="1009"/>
    </row>
    <row r="222" spans="1:7" ht="15" customHeight="1">
      <c r="A222" s="1025"/>
      <c r="B222" s="1200"/>
      <c r="C222" s="1120"/>
      <c r="D222" s="1121"/>
      <c r="E222" s="1015">
        <f t="shared" si="3"/>
        <v>0</v>
      </c>
      <c r="F222" s="1201"/>
      <c r="G222" s="1009"/>
    </row>
    <row r="223" spans="1:7" ht="15" customHeight="1">
      <c r="A223" s="1025"/>
      <c r="B223" s="1200"/>
      <c r="C223" s="1120"/>
      <c r="D223" s="1121"/>
      <c r="E223" s="1015">
        <f t="shared" si="3"/>
        <v>0</v>
      </c>
      <c r="F223" s="1201"/>
      <c r="G223" s="1009"/>
    </row>
    <row r="224" spans="1:7" ht="15" customHeight="1">
      <c r="A224" s="1025"/>
      <c r="B224" s="1200"/>
      <c r="C224" s="1120"/>
      <c r="D224" s="1121"/>
      <c r="E224" s="1015">
        <f t="shared" si="3"/>
        <v>0</v>
      </c>
      <c r="F224" s="1201"/>
      <c r="G224" s="1009"/>
    </row>
    <row r="225" spans="1:7" ht="15" customHeight="1">
      <c r="A225" s="1025"/>
      <c r="B225" s="1200"/>
      <c r="C225" s="1120"/>
      <c r="D225" s="1121"/>
      <c r="E225" s="1015">
        <f t="shared" si="3"/>
        <v>0</v>
      </c>
      <c r="F225" s="1201"/>
      <c r="G225" s="1009"/>
    </row>
    <row r="226" spans="1:7" ht="15" customHeight="1">
      <c r="A226" s="1025"/>
      <c r="B226" s="1200"/>
      <c r="C226" s="1120"/>
      <c r="D226" s="1121"/>
      <c r="E226" s="1015">
        <f t="shared" si="3"/>
        <v>0</v>
      </c>
      <c r="F226" s="1201"/>
      <c r="G226" s="1009"/>
    </row>
    <row r="227" spans="1:7" ht="15" customHeight="1">
      <c r="A227" s="1025"/>
      <c r="B227" s="1200"/>
      <c r="C227" s="1120"/>
      <c r="D227" s="1121"/>
      <c r="E227" s="1015">
        <f t="shared" si="3"/>
        <v>0</v>
      </c>
      <c r="F227" s="1201"/>
      <c r="G227" s="1009"/>
    </row>
    <row r="228" spans="1:7" ht="15" customHeight="1">
      <c r="A228" s="1025"/>
      <c r="B228" s="1200"/>
      <c r="C228" s="1120"/>
      <c r="D228" s="1121"/>
      <c r="E228" s="1015">
        <f t="shared" si="3"/>
        <v>0</v>
      </c>
      <c r="F228" s="1201"/>
      <c r="G228" s="1009"/>
    </row>
    <row r="229" spans="1:7" ht="15" customHeight="1">
      <c r="A229" s="1025"/>
      <c r="B229" s="1200"/>
      <c r="C229" s="1120"/>
      <c r="D229" s="1121"/>
      <c r="E229" s="1015">
        <f t="shared" si="3"/>
        <v>0</v>
      </c>
      <c r="F229" s="1201"/>
      <c r="G229" s="1009"/>
    </row>
    <row r="230" spans="1:7" ht="15" customHeight="1">
      <c r="A230" s="1025"/>
      <c r="B230" s="1200"/>
      <c r="C230" s="1120"/>
      <c r="D230" s="1121"/>
      <c r="E230" s="1015">
        <f t="shared" si="3"/>
        <v>0</v>
      </c>
      <c r="F230" s="1201"/>
      <c r="G230" s="1009"/>
    </row>
    <row r="231" spans="1:7" ht="15" customHeight="1">
      <c r="A231" s="1025"/>
      <c r="B231" s="1200"/>
      <c r="C231" s="1120"/>
      <c r="D231" s="1121"/>
      <c r="E231" s="1015">
        <f t="shared" si="3"/>
        <v>0</v>
      </c>
      <c r="F231" s="1201"/>
      <c r="G231" s="1009"/>
    </row>
    <row r="232" spans="1:7" ht="15" customHeight="1">
      <c r="A232" s="1025"/>
      <c r="B232" s="1200"/>
      <c r="C232" s="1120"/>
      <c r="D232" s="1121"/>
      <c r="E232" s="1015">
        <f t="shared" si="3"/>
        <v>0</v>
      </c>
      <c r="F232" s="1201"/>
      <c r="G232" s="1009"/>
    </row>
    <row r="233" spans="1:7" ht="15" customHeight="1">
      <c r="A233" s="1025"/>
      <c r="B233" s="1200"/>
      <c r="C233" s="1120"/>
      <c r="D233" s="1121"/>
      <c r="E233" s="1015">
        <f t="shared" si="3"/>
        <v>0</v>
      </c>
      <c r="F233" s="1201"/>
      <c r="G233" s="1009"/>
    </row>
    <row r="234" spans="1:7" ht="15" customHeight="1">
      <c r="A234" s="1025"/>
      <c r="B234" s="1200"/>
      <c r="C234" s="1120"/>
      <c r="D234" s="1121"/>
      <c r="E234" s="1015">
        <f t="shared" si="3"/>
        <v>0</v>
      </c>
      <c r="F234" s="1201"/>
      <c r="G234" s="1009"/>
    </row>
    <row r="235" spans="1:7" ht="15" customHeight="1">
      <c r="A235" s="1025"/>
      <c r="B235" s="1200"/>
      <c r="C235" s="1120"/>
      <c r="D235" s="1121"/>
      <c r="E235" s="1015">
        <f t="shared" si="3"/>
        <v>0</v>
      </c>
      <c r="F235" s="1201"/>
      <c r="G235" s="1009"/>
    </row>
    <row r="236" spans="1:7" ht="15" customHeight="1">
      <c r="A236" s="1025"/>
      <c r="B236" s="1200"/>
      <c r="C236" s="1120"/>
      <c r="D236" s="1121"/>
      <c r="E236" s="1015">
        <f t="shared" si="3"/>
        <v>0</v>
      </c>
      <c r="F236" s="1201"/>
      <c r="G236" s="1009"/>
    </row>
    <row r="237" spans="1:7" ht="15" customHeight="1">
      <c r="A237" s="1025"/>
      <c r="B237" s="1200"/>
      <c r="C237" s="1120"/>
      <c r="D237" s="1121"/>
      <c r="E237" s="1015">
        <f t="shared" si="3"/>
        <v>0</v>
      </c>
      <c r="F237" s="1201"/>
      <c r="G237" s="1009"/>
    </row>
    <row r="238" spans="1:7" ht="15" customHeight="1">
      <c r="A238" s="1025"/>
      <c r="B238" s="1200"/>
      <c r="C238" s="1120"/>
      <c r="D238" s="1121"/>
      <c r="E238" s="1015">
        <f t="shared" si="3"/>
        <v>0</v>
      </c>
      <c r="F238" s="1201"/>
      <c r="G238" s="1009"/>
    </row>
    <row r="239" spans="1:7" ht="15" customHeight="1">
      <c r="A239" s="1025"/>
      <c r="B239" s="1200"/>
      <c r="C239" s="1120"/>
      <c r="D239" s="1121"/>
      <c r="E239" s="1015">
        <f t="shared" si="3"/>
        <v>0</v>
      </c>
      <c r="F239" s="1201"/>
      <c r="G239" s="1009"/>
    </row>
    <row r="240" spans="1:7" ht="15" customHeight="1">
      <c r="A240" s="1025"/>
      <c r="B240" s="1200"/>
      <c r="C240" s="1120"/>
      <c r="D240" s="1121"/>
      <c r="E240" s="1015">
        <f t="shared" si="3"/>
        <v>0</v>
      </c>
      <c r="F240" s="1201"/>
      <c r="G240" s="1009"/>
    </row>
    <row r="241" spans="1:7" ht="15" customHeight="1">
      <c r="A241" s="1025"/>
      <c r="B241" s="1200"/>
      <c r="C241" s="1120"/>
      <c r="D241" s="1121"/>
      <c r="E241" s="1015">
        <f t="shared" si="3"/>
        <v>0</v>
      </c>
      <c r="F241" s="1201"/>
      <c r="G241" s="1009"/>
    </row>
    <row r="242" spans="1:7" ht="15" customHeight="1">
      <c r="A242" s="1025"/>
      <c r="B242" s="1200"/>
      <c r="C242" s="1120"/>
      <c r="D242" s="1121"/>
      <c r="E242" s="1015">
        <f t="shared" si="3"/>
        <v>0</v>
      </c>
      <c r="F242" s="1201"/>
      <c r="G242" s="1009"/>
    </row>
    <row r="243" spans="1:7" ht="15" customHeight="1">
      <c r="A243" s="1025"/>
      <c r="B243" s="1200"/>
      <c r="C243" s="1120"/>
      <c r="D243" s="1121"/>
      <c r="E243" s="1015">
        <f t="shared" si="3"/>
        <v>0</v>
      </c>
      <c r="F243" s="1201"/>
      <c r="G243" s="1009"/>
    </row>
    <row r="244" spans="1:7" ht="15" customHeight="1">
      <c r="A244" s="1025"/>
      <c r="B244" s="1200"/>
      <c r="C244" s="1120"/>
      <c r="D244" s="1121"/>
      <c r="E244" s="1015">
        <f t="shared" si="3"/>
        <v>0</v>
      </c>
      <c r="F244" s="1201"/>
      <c r="G244" s="1009"/>
    </row>
    <row r="245" spans="1:7" ht="15" customHeight="1">
      <c r="A245" s="1025"/>
      <c r="B245" s="1200"/>
      <c r="C245" s="1120"/>
      <c r="D245" s="1121"/>
      <c r="E245" s="1015">
        <f t="shared" si="3"/>
        <v>0</v>
      </c>
      <c r="F245" s="1201"/>
      <c r="G245" s="1009"/>
    </row>
    <row r="246" spans="1:7" ht="15" customHeight="1">
      <c r="A246" s="1025"/>
      <c r="B246" s="1200"/>
      <c r="C246" s="1120"/>
      <c r="D246" s="1121"/>
      <c r="E246" s="1015">
        <f t="shared" si="3"/>
        <v>0</v>
      </c>
      <c r="F246" s="1201"/>
      <c r="G246" s="1009"/>
    </row>
    <row r="247" spans="1:7" ht="15" customHeight="1">
      <c r="A247" s="1025"/>
      <c r="B247" s="1200"/>
      <c r="C247" s="1120"/>
      <c r="D247" s="1121"/>
      <c r="E247" s="1015">
        <f t="shared" si="3"/>
        <v>0</v>
      </c>
      <c r="F247" s="1201"/>
      <c r="G247" s="1009"/>
    </row>
    <row r="248" spans="1:7" ht="15" customHeight="1">
      <c r="A248" s="1025"/>
      <c r="B248" s="1200"/>
      <c r="C248" s="1120"/>
      <c r="D248" s="1121"/>
      <c r="E248" s="1015">
        <f t="shared" si="3"/>
        <v>0</v>
      </c>
      <c r="F248" s="1201"/>
      <c r="G248" s="1009"/>
    </row>
    <row r="249" spans="1:7" ht="15" customHeight="1">
      <c r="A249" s="1025"/>
      <c r="B249" s="1200"/>
      <c r="C249" s="1120"/>
      <c r="D249" s="1121"/>
      <c r="E249" s="1015">
        <f t="shared" si="3"/>
        <v>0</v>
      </c>
      <c r="F249" s="1201"/>
      <c r="G249" s="1009"/>
    </row>
    <row r="250" spans="1:7" ht="15" customHeight="1">
      <c r="A250" s="1025"/>
      <c r="B250" s="1200"/>
      <c r="C250" s="1120"/>
      <c r="D250" s="1121"/>
      <c r="E250" s="1015">
        <f t="shared" si="3"/>
        <v>0</v>
      </c>
      <c r="F250" s="1201"/>
      <c r="G250" s="1009"/>
    </row>
    <row r="251" spans="1:7" ht="15" customHeight="1">
      <c r="A251" s="1025"/>
      <c r="B251" s="1200"/>
      <c r="C251" s="1120"/>
      <c r="D251" s="1121"/>
      <c r="E251" s="1015">
        <f t="shared" si="3"/>
        <v>0</v>
      </c>
      <c r="F251" s="1201"/>
      <c r="G251" s="1009"/>
    </row>
    <row r="252" spans="1:7" ht="15" customHeight="1">
      <c r="A252" s="1025"/>
      <c r="B252" s="1200"/>
      <c r="C252" s="1120"/>
      <c r="D252" s="1121"/>
      <c r="E252" s="1015">
        <f t="shared" si="3"/>
        <v>0</v>
      </c>
      <c r="F252" s="1201"/>
      <c r="G252" s="1009"/>
    </row>
    <row r="253" spans="1:7" ht="15" customHeight="1">
      <c r="A253" s="1025"/>
      <c r="B253" s="1200"/>
      <c r="C253" s="1120"/>
      <c r="D253" s="1121"/>
      <c r="E253" s="1015">
        <f t="shared" si="3"/>
        <v>0</v>
      </c>
      <c r="F253" s="1201"/>
      <c r="G253" s="1009"/>
    </row>
    <row r="254" spans="1:7" ht="15" customHeight="1">
      <c r="A254" s="1025"/>
      <c r="B254" s="1200"/>
      <c r="C254" s="1120"/>
      <c r="D254" s="1121"/>
      <c r="E254" s="1015">
        <f t="shared" si="3"/>
        <v>0</v>
      </c>
      <c r="F254" s="1201"/>
      <c r="G254" s="1009"/>
    </row>
    <row r="255" spans="1:7" ht="15" customHeight="1">
      <c r="A255" s="1025"/>
      <c r="B255" s="1200"/>
      <c r="C255" s="1120"/>
      <c r="D255" s="1121"/>
      <c r="E255" s="1015">
        <f t="shared" si="3"/>
        <v>0</v>
      </c>
      <c r="F255" s="1201"/>
      <c r="G255" s="1009"/>
    </row>
    <row r="256" spans="1:7" ht="15" customHeight="1">
      <c r="A256" s="1025"/>
      <c r="B256" s="1200"/>
      <c r="C256" s="1120"/>
      <c r="D256" s="1121"/>
      <c r="E256" s="1015">
        <f t="shared" si="3"/>
        <v>0</v>
      </c>
      <c r="F256" s="1201"/>
      <c r="G256" s="1009"/>
    </row>
    <row r="257" spans="1:7" ht="15" customHeight="1">
      <c r="A257" s="1025"/>
      <c r="B257" s="1200"/>
      <c r="C257" s="1120"/>
      <c r="D257" s="1121"/>
      <c r="E257" s="1015">
        <f t="shared" si="3"/>
        <v>0</v>
      </c>
      <c r="F257" s="1201"/>
      <c r="G257" s="1009"/>
    </row>
    <row r="258" spans="1:7" ht="15" customHeight="1">
      <c r="A258" s="1025"/>
      <c r="B258" s="1200"/>
      <c r="C258" s="1120"/>
      <c r="D258" s="1121"/>
      <c r="E258" s="1015">
        <f t="shared" si="3"/>
        <v>0</v>
      </c>
      <c r="F258" s="1201"/>
      <c r="G258" s="1009"/>
    </row>
    <row r="259" spans="1:7" ht="15" customHeight="1">
      <c r="A259" s="1025"/>
      <c r="B259" s="1200"/>
      <c r="C259" s="1120"/>
      <c r="D259" s="1121"/>
      <c r="E259" s="1015">
        <f t="shared" si="3"/>
        <v>0</v>
      </c>
      <c r="F259" s="1201"/>
      <c r="G259" s="1009"/>
    </row>
    <row r="260" spans="1:7" ht="15" customHeight="1">
      <c r="A260" s="1025"/>
      <c r="B260" s="1200"/>
      <c r="C260" s="1120"/>
      <c r="D260" s="1121"/>
      <c r="E260" s="1015">
        <f t="shared" si="3"/>
        <v>0</v>
      </c>
      <c r="F260" s="1201"/>
      <c r="G260" s="1009"/>
    </row>
    <row r="261" spans="1:7" ht="15" customHeight="1">
      <c r="A261" s="1025"/>
      <c r="B261" s="1200"/>
      <c r="C261" s="1120"/>
      <c r="D261" s="1121"/>
      <c r="E261" s="1015">
        <f t="shared" si="3"/>
        <v>0</v>
      </c>
      <c r="F261" s="1201"/>
      <c r="G261" s="1009"/>
    </row>
    <row r="262" spans="1:7" ht="15" customHeight="1">
      <c r="A262" s="1025"/>
      <c r="B262" s="1200"/>
      <c r="C262" s="1120"/>
      <c r="D262" s="1121"/>
      <c r="E262" s="1015">
        <f t="shared" si="3"/>
        <v>0</v>
      </c>
      <c r="F262" s="1201"/>
      <c r="G262" s="1009"/>
    </row>
    <row r="263" spans="1:7" ht="15" customHeight="1">
      <c r="A263" s="1025"/>
      <c r="B263" s="1200"/>
      <c r="C263" s="1120"/>
      <c r="D263" s="1121"/>
      <c r="E263" s="1015">
        <f t="shared" si="3"/>
        <v>0</v>
      </c>
      <c r="F263" s="1201"/>
      <c r="G263" s="1009"/>
    </row>
    <row r="264" spans="1:7" ht="15" customHeight="1">
      <c r="A264" s="1025"/>
      <c r="B264" s="1200"/>
      <c r="C264" s="1120"/>
      <c r="D264" s="1121"/>
      <c r="E264" s="1015">
        <f t="shared" si="3"/>
        <v>0</v>
      </c>
      <c r="F264" s="1201"/>
      <c r="G264" s="1009"/>
    </row>
    <row r="265" spans="1:7" ht="15" customHeight="1">
      <c r="A265" s="1025"/>
      <c r="B265" s="1200"/>
      <c r="C265" s="1120"/>
      <c r="D265" s="1121"/>
      <c r="E265" s="1015">
        <f t="shared" si="3"/>
        <v>0</v>
      </c>
      <c r="F265" s="1201"/>
      <c r="G265" s="1009"/>
    </row>
    <row r="266" spans="1:7" ht="15" customHeight="1">
      <c r="A266" s="1025"/>
      <c r="B266" s="1200"/>
      <c r="C266" s="1120"/>
      <c r="D266" s="1121"/>
      <c r="E266" s="1015">
        <f t="shared" si="3"/>
        <v>0</v>
      </c>
      <c r="F266" s="1201"/>
      <c r="G266" s="1009"/>
    </row>
    <row r="267" spans="1:7" ht="15" customHeight="1">
      <c r="A267" s="1025"/>
      <c r="B267" s="1200"/>
      <c r="C267" s="1120"/>
      <c r="D267" s="1121"/>
      <c r="E267" s="1015">
        <f t="shared" si="3"/>
        <v>0</v>
      </c>
      <c r="F267" s="1201"/>
      <c r="G267" s="1009"/>
    </row>
    <row r="268" spans="1:7" ht="15" customHeight="1">
      <c r="A268" s="1025"/>
      <c r="B268" s="1200"/>
      <c r="C268" s="1120"/>
      <c r="D268" s="1121"/>
      <c r="E268" s="1015">
        <f t="shared" si="3"/>
        <v>0</v>
      </c>
      <c r="F268" s="1201"/>
      <c r="G268" s="1009"/>
    </row>
    <row r="269" spans="1:7" ht="15" customHeight="1">
      <c r="A269" s="1025"/>
      <c r="B269" s="1200"/>
      <c r="C269" s="1120"/>
      <c r="D269" s="1121"/>
      <c r="E269" s="1015">
        <f t="shared" si="3"/>
        <v>0</v>
      </c>
      <c r="F269" s="1201"/>
      <c r="G269" s="1009"/>
    </row>
    <row r="270" spans="1:7" ht="15" customHeight="1">
      <c r="A270" s="1025"/>
      <c r="B270" s="1200"/>
      <c r="C270" s="1120"/>
      <c r="D270" s="1121"/>
      <c r="E270" s="1015">
        <f t="shared" si="3"/>
        <v>0</v>
      </c>
      <c r="F270" s="1201"/>
      <c r="G270" s="1009"/>
    </row>
    <row r="271" spans="1:7" ht="15" customHeight="1">
      <c r="A271" s="1025"/>
      <c r="B271" s="1200"/>
      <c r="C271" s="1120"/>
      <c r="D271" s="1121"/>
      <c r="E271" s="1015">
        <f t="shared" si="3"/>
        <v>0</v>
      </c>
      <c r="F271" s="1201"/>
      <c r="G271" s="1009"/>
    </row>
    <row r="272" spans="1:7" ht="15" customHeight="1">
      <c r="A272" s="1025"/>
      <c r="B272" s="1200"/>
      <c r="C272" s="1120"/>
      <c r="D272" s="1121"/>
      <c r="E272" s="1015">
        <f t="shared" si="3"/>
        <v>0</v>
      </c>
      <c r="F272" s="1201"/>
      <c r="G272" s="1009"/>
    </row>
    <row r="273" spans="1:7" ht="15" customHeight="1">
      <c r="A273" s="1025"/>
      <c r="B273" s="1200"/>
      <c r="C273" s="1120"/>
      <c r="D273" s="1121"/>
      <c r="E273" s="1015">
        <f t="shared" ref="E273:E304" si="4">B273-C273+D273</f>
        <v>0</v>
      </c>
      <c r="F273" s="1201"/>
      <c r="G273" s="1009"/>
    </row>
    <row r="274" spans="1:7" ht="15" customHeight="1">
      <c r="A274" s="1025"/>
      <c r="B274" s="1200"/>
      <c r="C274" s="1120"/>
      <c r="D274" s="1121"/>
      <c r="E274" s="1015">
        <f t="shared" si="4"/>
        <v>0</v>
      </c>
      <c r="F274" s="1201"/>
      <c r="G274" s="1009"/>
    </row>
    <row r="275" spans="1:7" ht="15" customHeight="1">
      <c r="A275" s="1025"/>
      <c r="B275" s="1200"/>
      <c r="C275" s="1120"/>
      <c r="D275" s="1121"/>
      <c r="E275" s="1015">
        <f t="shared" si="4"/>
        <v>0</v>
      </c>
      <c r="F275" s="1201"/>
      <c r="G275" s="1009"/>
    </row>
    <row r="276" spans="1:7" ht="15" customHeight="1">
      <c r="A276" s="1025"/>
      <c r="B276" s="1200"/>
      <c r="C276" s="1120"/>
      <c r="D276" s="1121"/>
      <c r="E276" s="1015">
        <f t="shared" si="4"/>
        <v>0</v>
      </c>
      <c r="F276" s="1201"/>
      <c r="G276" s="1009"/>
    </row>
    <row r="277" spans="1:7" ht="15" customHeight="1">
      <c r="A277" s="1025"/>
      <c r="B277" s="1200"/>
      <c r="C277" s="1120"/>
      <c r="D277" s="1121"/>
      <c r="E277" s="1015">
        <f t="shared" si="4"/>
        <v>0</v>
      </c>
      <c r="F277" s="1201"/>
      <c r="G277" s="1009"/>
    </row>
    <row r="278" spans="1:7" ht="15" customHeight="1">
      <c r="A278" s="1025"/>
      <c r="B278" s="1200"/>
      <c r="C278" s="1120"/>
      <c r="D278" s="1121"/>
      <c r="E278" s="1015">
        <f t="shared" si="4"/>
        <v>0</v>
      </c>
      <c r="F278" s="1201"/>
      <c r="G278" s="1009"/>
    </row>
    <row r="279" spans="1:7" ht="15" customHeight="1">
      <c r="A279" s="1025"/>
      <c r="B279" s="1200"/>
      <c r="C279" s="1120"/>
      <c r="D279" s="1121"/>
      <c r="E279" s="1015">
        <f t="shared" si="4"/>
        <v>0</v>
      </c>
      <c r="F279" s="1201"/>
      <c r="G279" s="1009"/>
    </row>
    <row r="280" spans="1:7" ht="15" customHeight="1">
      <c r="A280" s="1025"/>
      <c r="B280" s="1200"/>
      <c r="C280" s="1120"/>
      <c r="D280" s="1121"/>
      <c r="E280" s="1015">
        <f t="shared" si="4"/>
        <v>0</v>
      </c>
      <c r="F280" s="1201"/>
      <c r="G280" s="1009"/>
    </row>
    <row r="281" spans="1:7" ht="15" customHeight="1">
      <c r="A281" s="1025"/>
      <c r="B281" s="1200"/>
      <c r="C281" s="1120"/>
      <c r="D281" s="1121"/>
      <c r="E281" s="1015">
        <f t="shared" si="4"/>
        <v>0</v>
      </c>
      <c r="F281" s="1201"/>
      <c r="G281" s="1009"/>
    </row>
    <row r="282" spans="1:7" ht="15" customHeight="1">
      <c r="A282" s="1025"/>
      <c r="B282" s="1200"/>
      <c r="C282" s="1120"/>
      <c r="D282" s="1121"/>
      <c r="E282" s="1015">
        <f t="shared" si="4"/>
        <v>0</v>
      </c>
      <c r="F282" s="1201"/>
      <c r="G282" s="1009"/>
    </row>
    <row r="283" spans="1:7" ht="15" customHeight="1">
      <c r="A283" s="1025"/>
      <c r="B283" s="1200"/>
      <c r="C283" s="1120"/>
      <c r="D283" s="1121"/>
      <c r="E283" s="1015">
        <f t="shared" si="4"/>
        <v>0</v>
      </c>
      <c r="F283" s="1201"/>
      <c r="G283" s="1009"/>
    </row>
    <row r="284" spans="1:7" ht="15" customHeight="1">
      <c r="A284" s="1025"/>
      <c r="B284" s="1200"/>
      <c r="C284" s="1120"/>
      <c r="D284" s="1121"/>
      <c r="E284" s="1015">
        <f t="shared" si="4"/>
        <v>0</v>
      </c>
      <c r="F284" s="1201"/>
      <c r="G284" s="1009"/>
    </row>
    <row r="285" spans="1:7" ht="15" customHeight="1">
      <c r="A285" s="1025"/>
      <c r="B285" s="1200"/>
      <c r="C285" s="1120"/>
      <c r="D285" s="1121"/>
      <c r="E285" s="1015">
        <f t="shared" si="4"/>
        <v>0</v>
      </c>
      <c r="F285" s="1201"/>
      <c r="G285" s="1009"/>
    </row>
    <row r="286" spans="1:7" ht="15" customHeight="1">
      <c r="A286" s="1025"/>
      <c r="B286" s="1200"/>
      <c r="C286" s="1120"/>
      <c r="D286" s="1121"/>
      <c r="E286" s="1015">
        <f t="shared" si="4"/>
        <v>0</v>
      </c>
      <c r="F286" s="1201"/>
      <c r="G286" s="1009"/>
    </row>
    <row r="287" spans="1:7" ht="15" customHeight="1">
      <c r="A287" s="1025"/>
      <c r="B287" s="1200"/>
      <c r="C287" s="1120"/>
      <c r="D287" s="1121"/>
      <c r="E287" s="1015">
        <f t="shared" si="4"/>
        <v>0</v>
      </c>
      <c r="F287" s="1201"/>
      <c r="G287" s="1009"/>
    </row>
    <row r="288" spans="1:7" ht="15" customHeight="1">
      <c r="A288" s="1025"/>
      <c r="B288" s="1200"/>
      <c r="C288" s="1120"/>
      <c r="D288" s="1121"/>
      <c r="E288" s="1015">
        <f t="shared" si="4"/>
        <v>0</v>
      </c>
      <c r="F288" s="1201"/>
      <c r="G288" s="1009"/>
    </row>
    <row r="289" spans="1:7" ht="15" customHeight="1">
      <c r="A289" s="1025"/>
      <c r="B289" s="1200"/>
      <c r="C289" s="1120"/>
      <c r="D289" s="1121"/>
      <c r="E289" s="1015">
        <f t="shared" si="4"/>
        <v>0</v>
      </c>
      <c r="F289" s="1201"/>
      <c r="G289" s="1009"/>
    </row>
    <row r="290" spans="1:7" ht="15" customHeight="1">
      <c r="A290" s="1025"/>
      <c r="B290" s="1200"/>
      <c r="C290" s="1120"/>
      <c r="D290" s="1121"/>
      <c r="E290" s="1015">
        <f t="shared" si="4"/>
        <v>0</v>
      </c>
      <c r="F290" s="1201"/>
      <c r="G290" s="1009"/>
    </row>
    <row r="291" spans="1:7" ht="15" customHeight="1">
      <c r="A291" s="1025"/>
      <c r="B291" s="1200"/>
      <c r="C291" s="1120"/>
      <c r="D291" s="1121"/>
      <c r="E291" s="1015">
        <f t="shared" si="4"/>
        <v>0</v>
      </c>
      <c r="F291" s="1201"/>
      <c r="G291" s="1009"/>
    </row>
    <row r="292" spans="1:7" ht="15" customHeight="1">
      <c r="A292" s="1025"/>
      <c r="B292" s="1200"/>
      <c r="C292" s="1120"/>
      <c r="D292" s="1121"/>
      <c r="E292" s="1015">
        <f t="shared" si="4"/>
        <v>0</v>
      </c>
      <c r="F292" s="1201"/>
      <c r="G292" s="1009"/>
    </row>
    <row r="293" spans="1:7" ht="15" customHeight="1">
      <c r="A293" s="1025"/>
      <c r="B293" s="1200"/>
      <c r="C293" s="1120"/>
      <c r="D293" s="1121"/>
      <c r="E293" s="1015">
        <f t="shared" si="4"/>
        <v>0</v>
      </c>
      <c r="F293" s="1201"/>
      <c r="G293" s="1009"/>
    </row>
    <row r="294" spans="1:7" ht="15" customHeight="1">
      <c r="A294" s="1025"/>
      <c r="B294" s="1200"/>
      <c r="C294" s="1120"/>
      <c r="D294" s="1121"/>
      <c r="E294" s="1015">
        <f t="shared" si="4"/>
        <v>0</v>
      </c>
      <c r="F294" s="1201"/>
      <c r="G294" s="1009"/>
    </row>
    <row r="295" spans="1:7" ht="15" customHeight="1">
      <c r="A295" s="1025"/>
      <c r="B295" s="1200"/>
      <c r="C295" s="1120"/>
      <c r="D295" s="1121"/>
      <c r="E295" s="1015">
        <f t="shared" si="4"/>
        <v>0</v>
      </c>
      <c r="F295" s="1201"/>
      <c r="G295" s="1009"/>
    </row>
    <row r="296" spans="1:7" ht="15" customHeight="1">
      <c r="A296" s="1025"/>
      <c r="B296" s="1200"/>
      <c r="C296" s="1120"/>
      <c r="D296" s="1121"/>
      <c r="E296" s="1015">
        <f t="shared" si="4"/>
        <v>0</v>
      </c>
      <c r="F296" s="1201"/>
      <c r="G296" s="1009"/>
    </row>
    <row r="297" spans="1:7" ht="15" customHeight="1">
      <c r="A297" s="1025"/>
      <c r="B297" s="1200"/>
      <c r="C297" s="1120"/>
      <c r="D297" s="1121"/>
      <c r="E297" s="1015">
        <f t="shared" si="4"/>
        <v>0</v>
      </c>
      <c r="F297" s="1201"/>
      <c r="G297" s="1009"/>
    </row>
    <row r="298" spans="1:7" ht="15" customHeight="1">
      <c r="A298" s="1025"/>
      <c r="B298" s="1200"/>
      <c r="C298" s="1120"/>
      <c r="D298" s="1121"/>
      <c r="E298" s="1015">
        <f t="shared" si="4"/>
        <v>0</v>
      </c>
      <c r="F298" s="1201"/>
      <c r="G298" s="1009"/>
    </row>
    <row r="299" spans="1:7" ht="15" customHeight="1">
      <c r="A299" s="1025"/>
      <c r="B299" s="1200"/>
      <c r="C299" s="1120"/>
      <c r="D299" s="1121"/>
      <c r="E299" s="1015">
        <f t="shared" si="4"/>
        <v>0</v>
      </c>
      <c r="F299" s="1201"/>
      <c r="G299" s="1009"/>
    </row>
    <row r="300" spans="1:7" ht="15" customHeight="1">
      <c r="A300" s="1025"/>
      <c r="B300" s="1200"/>
      <c r="C300" s="1120"/>
      <c r="D300" s="1121"/>
      <c r="E300" s="1015">
        <f t="shared" si="4"/>
        <v>0</v>
      </c>
      <c r="F300" s="1201"/>
      <c r="G300" s="1009"/>
    </row>
    <row r="301" spans="1:7" ht="15" customHeight="1">
      <c r="A301" s="1025"/>
      <c r="B301" s="1200"/>
      <c r="C301" s="1120"/>
      <c r="D301" s="1121"/>
      <c r="E301" s="1015">
        <f t="shared" si="4"/>
        <v>0</v>
      </c>
      <c r="F301" s="1201"/>
      <c r="G301" s="1009"/>
    </row>
    <row r="302" spans="1:7" ht="15" customHeight="1">
      <c r="A302" s="1025"/>
      <c r="B302" s="1200"/>
      <c r="C302" s="1120"/>
      <c r="D302" s="1121"/>
      <c r="E302" s="1015">
        <f t="shared" si="4"/>
        <v>0</v>
      </c>
      <c r="F302" s="1201"/>
      <c r="G302" s="1009"/>
    </row>
    <row r="303" spans="1:7" ht="15" customHeight="1">
      <c r="A303" s="1025"/>
      <c r="B303" s="1200"/>
      <c r="C303" s="1120"/>
      <c r="D303" s="1121"/>
      <c r="E303" s="1015">
        <f t="shared" si="4"/>
        <v>0</v>
      </c>
      <c r="F303" s="1201"/>
      <c r="G303" s="1009"/>
    </row>
    <row r="304" spans="1:7" ht="15" customHeight="1">
      <c r="A304" s="1027"/>
      <c r="B304" s="1202"/>
      <c r="C304" s="1125"/>
      <c r="D304" s="1205"/>
      <c r="E304" s="1020">
        <f t="shared" si="4"/>
        <v>0</v>
      </c>
      <c r="F304" s="1203"/>
      <c r="G304" s="1009"/>
    </row>
    <row r="305" spans="1:6" ht="15" customHeight="1">
      <c r="A305" s="554"/>
      <c r="B305" s="554"/>
      <c r="C305" s="554"/>
      <c r="D305" s="554"/>
      <c r="E305" s="554"/>
      <c r="F305" s="554"/>
    </row>
    <row r="306" spans="1:6" ht="15" customHeight="1">
      <c r="A306" s="554"/>
      <c r="B306" s="554"/>
      <c r="C306" s="554"/>
      <c r="D306" s="554"/>
      <c r="E306" s="554"/>
      <c r="F306" s="554"/>
    </row>
    <row r="307" spans="1:6" ht="15" customHeight="1">
      <c r="A307" s="554"/>
      <c r="B307" s="554"/>
      <c r="C307" s="554"/>
      <c r="D307" s="554"/>
      <c r="E307" s="554"/>
      <c r="F307" s="554"/>
    </row>
    <row r="308" spans="1:6" ht="15" customHeight="1"/>
    <row r="309" spans="1:6" ht="15" customHeight="1"/>
    <row r="310" spans="1:6" ht="15" customHeight="1"/>
    <row r="311" spans="1:6" ht="15" customHeight="1"/>
    <row r="312" spans="1:6" ht="15" customHeight="1"/>
    <row r="313" spans="1:6" ht="15" customHeight="1"/>
    <row r="314" spans="1:6" ht="15" customHeight="1"/>
    <row r="315" spans="1:6" ht="15" customHeight="1"/>
    <row r="316" spans="1:6" ht="15" customHeight="1"/>
    <row r="317" spans="1:6" ht="15" customHeight="1"/>
    <row r="318" spans="1:6" ht="15" customHeight="1"/>
    <row r="319" spans="1:6" ht="15" customHeight="1"/>
    <row r="320" spans="1:6" ht="15" customHeight="1"/>
    <row r="321" ht="15" customHeight="1"/>
    <row r="322" ht="15" customHeight="1"/>
    <row r="323" ht="15" customHeight="1"/>
    <row r="324" ht="15" customHeight="1"/>
    <row r="325" ht="15" customHeight="1"/>
    <row r="326" ht="15" customHeight="1"/>
    <row r="327" ht="15" customHeight="1"/>
    <row r="328" ht="15" customHeight="1"/>
    <row r="329" ht="15" customHeight="1"/>
    <row r="330" ht="15" customHeight="1"/>
    <row r="331" ht="15" customHeight="1"/>
    <row r="332" ht="15" customHeight="1"/>
    <row r="333" ht="15" customHeight="1"/>
    <row r="334" ht="15" customHeight="1"/>
    <row r="335" ht="15" customHeight="1"/>
    <row r="336" ht="15" customHeight="1"/>
    <row r="337" ht="15" customHeight="1"/>
    <row r="338" ht="15" customHeight="1"/>
    <row r="339" ht="15" customHeight="1"/>
    <row r="340" ht="15" customHeight="1"/>
    <row r="341" ht="15" customHeight="1"/>
    <row r="342" ht="15" customHeight="1"/>
    <row r="343" ht="15" customHeight="1"/>
    <row r="344" ht="15" customHeight="1"/>
    <row r="345" ht="15" customHeight="1"/>
    <row r="346" ht="15" customHeight="1"/>
    <row r="347" ht="15" customHeight="1"/>
    <row r="348" ht="15" customHeight="1"/>
    <row r="349" ht="15" customHeight="1"/>
    <row r="350" ht="15" customHeight="1"/>
    <row r="351" ht="15" customHeight="1"/>
    <row r="352" ht="15" customHeight="1"/>
    <row r="353" ht="15" customHeight="1"/>
    <row r="354" ht="15" customHeight="1"/>
    <row r="355" ht="15" customHeight="1"/>
    <row r="356" ht="15" customHeight="1"/>
    <row r="357" ht="15" customHeight="1"/>
    <row r="358" ht="15" customHeight="1"/>
    <row r="359" ht="15" customHeight="1"/>
    <row r="360" ht="15" customHeight="1"/>
    <row r="361" ht="15" customHeight="1"/>
    <row r="362" ht="15" customHeight="1"/>
    <row r="363" ht="15" customHeight="1"/>
    <row r="364" ht="15" customHeight="1"/>
    <row r="365" ht="15" customHeight="1"/>
    <row r="366" ht="15" customHeight="1"/>
    <row r="367" ht="15" customHeight="1"/>
    <row r="368" ht="15" customHeight="1"/>
    <row r="369" ht="15" customHeight="1"/>
    <row r="370" ht="15" customHeight="1"/>
    <row r="371" ht="15" customHeight="1"/>
    <row r="372" ht="15" customHeight="1"/>
    <row r="373" ht="15" customHeight="1"/>
    <row r="374" ht="15" customHeight="1"/>
    <row r="375" ht="15" customHeight="1"/>
    <row r="376" ht="15" customHeight="1"/>
    <row r="377" ht="15" customHeight="1"/>
    <row r="378" ht="15" customHeight="1"/>
    <row r="379" ht="15" customHeight="1"/>
    <row r="380" ht="15" customHeight="1"/>
    <row r="381" ht="15" customHeight="1"/>
    <row r="382" ht="15" customHeight="1"/>
    <row r="383" ht="15" customHeight="1"/>
    <row r="384" ht="15" customHeight="1"/>
    <row r="385" ht="15" customHeight="1"/>
    <row r="386" ht="15" customHeight="1"/>
    <row r="387" ht="15" customHeight="1"/>
    <row r="388" ht="15" customHeight="1"/>
    <row r="389" ht="15" customHeight="1"/>
    <row r="390" ht="15" customHeight="1"/>
    <row r="391" ht="15" customHeight="1"/>
    <row r="392" ht="15" customHeight="1"/>
  </sheetData>
  <sheetProtection selectLockedCells="1" selectUnlockedCells="1"/>
  <mergeCells count="17">
    <mergeCell ref="G25:G27"/>
    <mergeCell ref="B6:F6"/>
    <mergeCell ref="A7:A8"/>
    <mergeCell ref="B7:D7"/>
    <mergeCell ref="E7:F7"/>
    <mergeCell ref="B8:F8"/>
    <mergeCell ref="A10:A11"/>
    <mergeCell ref="C10:D10"/>
    <mergeCell ref="C11:D11"/>
    <mergeCell ref="G15:G24"/>
    <mergeCell ref="B9:F9"/>
    <mergeCell ref="A5:F5"/>
    <mergeCell ref="A1:F1"/>
    <mergeCell ref="G1:G4"/>
    <mergeCell ref="A2:B3"/>
    <mergeCell ref="F3:F4"/>
    <mergeCell ref="A4:B4"/>
  </mergeCells>
  <phoneticPr fontId="51" type="noConversion"/>
  <dataValidations count="2">
    <dataValidation allowBlank="1" showErrorMessage="1" sqref="D3">
      <formula1>0</formula1>
      <formula2>0</formula2>
    </dataValidation>
    <dataValidation allowBlank="1" showErrorMessage="1" promptTitle="存在调整事项时" prompt="_x000a_选择 “E”" sqref="E7:F7">
      <formula1>0</formula1>
      <formula2>0</formula2>
    </dataValidation>
  </dataValidations>
  <hyperlinks>
    <hyperlink ref="G8" location="资产负债!A1" display="资产负债表"/>
  </hyperlinks>
  <pageMargins left="0.78740157480314998" right="0.35433070866141703" top="0.511811023622047" bottom="0.11811023622047198" header="0.511811023622047" footer="0.511811023622047"/>
  <pageSetup paperSize="9" firstPageNumber="0" orientation="portrait" blackAndWhite="1" r:id="rId1"/>
  <headerFooter alignWithMargins="0"/>
</worksheet>
</file>

<file path=xl/worksheets/sheet9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57"/>
  <dimension ref="A1:H392"/>
  <sheetViews>
    <sheetView workbookViewId="0">
      <selection activeCell="B6" sqref="B6:F6"/>
    </sheetView>
  </sheetViews>
  <sheetFormatPr defaultColWidth="9" defaultRowHeight="15.6"/>
  <cols>
    <col min="1" max="1" width="23.09765625" style="130" customWidth="1"/>
    <col min="2" max="3" width="13.69921875" style="130" customWidth="1"/>
    <col min="4" max="4" width="9.09765625" style="130" customWidth="1"/>
    <col min="5" max="5" width="13.69921875" style="130" customWidth="1"/>
    <col min="6" max="6" width="9.69921875" style="130" customWidth="1"/>
    <col min="7" max="7" width="63.8984375" style="508" customWidth="1"/>
    <col min="8" max="16384" width="9" style="554"/>
  </cols>
  <sheetData>
    <row r="1" spans="1:8" ht="30" customHeight="1">
      <c r="A1" s="2707" t="s">
        <v>351</v>
      </c>
      <c r="B1" s="2707"/>
      <c r="C1" s="2707"/>
      <c r="D1" s="2707"/>
      <c r="E1" s="2707"/>
      <c r="F1" s="2707"/>
      <c r="G1" s="3656"/>
    </row>
    <row r="2" spans="1:8" s="558" customFormat="1" ht="20.25" customHeight="1">
      <c r="A2" s="3190" t="str">
        <f>"委托单位："&amp;基本情况!B2</f>
        <v>委托单位：0</v>
      </c>
      <c r="B2" s="3190"/>
      <c r="C2" s="509"/>
      <c r="D2" s="136" t="s">
        <v>1283</v>
      </c>
      <c r="E2" s="136" t="s">
        <v>1054</v>
      </c>
      <c r="F2" s="485" t="s">
        <v>283</v>
      </c>
      <c r="G2" s="3656"/>
    </row>
    <row r="3" spans="1:8" s="558" customFormat="1" ht="20.25" customHeight="1">
      <c r="A3" s="3190"/>
      <c r="B3" s="3190"/>
      <c r="C3" s="158" t="s">
        <v>451</v>
      </c>
      <c r="D3" s="510">
        <f>基本情况!B12</f>
        <v>0</v>
      </c>
      <c r="E3" s="559" t="str">
        <f>TEXT(基本情况!B21,"yyyy-mm-dd")</f>
        <v>2017-03-16</v>
      </c>
      <c r="F3" s="3081" t="str">
        <f>档案索引!D37</f>
        <v>4-4</v>
      </c>
      <c r="G3" s="3656"/>
    </row>
    <row r="4" spans="1:8" s="558" customFormat="1" ht="20.25" customHeight="1">
      <c r="A4" s="3161" t="str">
        <f>"会计期间："&amp;基本情况!B7</f>
        <v>会计期间：2016年01月01日至2016年12月31日</v>
      </c>
      <c r="B4" s="3161"/>
      <c r="C4" s="140" t="s">
        <v>453</v>
      </c>
      <c r="D4" s="513">
        <f>基本情况!B11</f>
        <v>0</v>
      </c>
      <c r="E4" s="513" t="str">
        <f>TEXT(基本情况!B22,"yyyy-mm-dd")</f>
        <v>2017-05-04</v>
      </c>
      <c r="F4" s="3081"/>
      <c r="G4" s="3656"/>
    </row>
    <row r="5" spans="1:8" s="565" customFormat="1" ht="7.5" customHeight="1">
      <c r="A5" s="2894"/>
      <c r="B5" s="2894"/>
      <c r="C5" s="2894"/>
      <c r="D5" s="2894"/>
      <c r="E5" s="2894"/>
      <c r="F5" s="2894"/>
      <c r="G5" s="952"/>
    </row>
    <row r="6" spans="1:8" s="649" customFormat="1" ht="20.25" customHeight="1">
      <c r="A6" s="532" t="s">
        <v>642</v>
      </c>
      <c r="B6" s="3250" t="str">
        <f>IF(基本情况!B29="否",IF(B14-C14-F11&lt;&gt;资产负债!D12,"账载数与报表数不符，相差"&amp;DOLLAR(B14-C14-F11-资产负债!D12,2)&amp;"元！","账载数与报表数相符！"),IF(B13-F11&lt;&gt;资产负债!D12,"账载数与报表数不符，相差"&amp;DOLLAR(B13-F11-资产负债!D12,2)&amp;"元！","账载数与报表数相符！"))</f>
        <v>账载数与报表数相符！</v>
      </c>
      <c r="C6" s="3250"/>
      <c r="D6" s="3250"/>
      <c r="E6" s="3250"/>
      <c r="F6" s="3250"/>
      <c r="G6" s="1028" t="s">
        <v>396</v>
      </c>
      <c r="H6" s="607"/>
    </row>
    <row r="7" spans="1:8" s="649" customFormat="1" ht="15" customHeight="1">
      <c r="A7" s="3024" t="s">
        <v>1324</v>
      </c>
      <c r="B7" s="3142" t="s">
        <v>1408</v>
      </c>
      <c r="C7" s="3142"/>
      <c r="D7" s="3142"/>
      <c r="E7" s="3109" t="str">
        <f>IF(D14&lt;&gt;0,"、E","")</f>
        <v/>
      </c>
      <c r="F7" s="3109"/>
      <c r="G7" s="1029"/>
      <c r="H7" s="607"/>
    </row>
    <row r="8" spans="1:8" s="649" customFormat="1" ht="61.5" customHeight="1">
      <c r="A8" s="3024"/>
      <c r="B8" s="3653"/>
      <c r="C8" s="3653"/>
      <c r="D8" s="3653"/>
      <c r="E8" s="3653"/>
      <c r="F8" s="3653"/>
      <c r="G8" s="1030" t="s">
        <v>1289</v>
      </c>
      <c r="H8" s="607"/>
    </row>
    <row r="9" spans="1:8" s="649" customFormat="1" ht="20.25" customHeight="1">
      <c r="A9" s="528" t="s">
        <v>575</v>
      </c>
      <c r="B9" s="3135" t="str">
        <f>IF(D14&lt;&gt;0,"调整后认可！","不存在调整事项,认可！")</f>
        <v>不存在调整事项,认可！</v>
      </c>
      <c r="C9" s="3135"/>
      <c r="D9" s="3135"/>
      <c r="E9" s="3135"/>
      <c r="F9" s="3135"/>
      <c r="G9" s="3650" t="s">
        <v>990</v>
      </c>
      <c r="H9" s="607"/>
    </row>
    <row r="10" spans="1:8" s="649" customFormat="1" ht="20.25" customHeight="1">
      <c r="A10" s="3128" t="s">
        <v>1409</v>
      </c>
      <c r="B10" s="1011" t="s">
        <v>1252</v>
      </c>
      <c r="C10" s="2898" t="s">
        <v>1253</v>
      </c>
      <c r="D10" s="2898"/>
      <c r="E10" s="136" t="s">
        <v>1254</v>
      </c>
      <c r="F10" s="485" t="s">
        <v>1255</v>
      </c>
      <c r="G10" s="3650"/>
    </row>
    <row r="11" spans="1:8" s="649" customFormat="1" ht="20.25" customHeight="1">
      <c r="A11" s="3128"/>
      <c r="B11" s="1195"/>
      <c r="C11" s="3651"/>
      <c r="D11" s="3651"/>
      <c r="E11" s="1196"/>
      <c r="F11" s="596">
        <f>B11+C11-E11</f>
        <v>0</v>
      </c>
      <c r="G11" s="3650"/>
    </row>
    <row r="12" spans="1:8" s="649" customFormat="1" ht="20.25" customHeight="1">
      <c r="A12" s="135" t="s">
        <v>666</v>
      </c>
      <c r="B12" s="1011" t="s">
        <v>1410</v>
      </c>
      <c r="C12" s="136" t="s">
        <v>1411</v>
      </c>
      <c r="D12" s="136" t="s">
        <v>981</v>
      </c>
      <c r="E12" s="136" t="s">
        <v>503</v>
      </c>
      <c r="F12" s="485" t="s">
        <v>1418</v>
      </c>
      <c r="G12" s="3650"/>
    </row>
    <row r="13" spans="1:8" s="649" customFormat="1" ht="20.25" customHeight="1">
      <c r="A13" s="1013" t="s">
        <v>1413</v>
      </c>
      <c r="B13" s="1014">
        <f>IF(基本情况!B29="否",0,B14+其他应付!B12)</f>
        <v>0</v>
      </c>
      <c r="C13" s="1014">
        <f>IF(基本情况!B29="否",0,C14+其他应付!C12)</f>
        <v>0</v>
      </c>
      <c r="D13" s="1204"/>
      <c r="E13" s="521">
        <f>B13+D13</f>
        <v>0</v>
      </c>
      <c r="F13" s="1023">
        <f>IF(基本情况!B29="否",0,F14+其他应付!F12)</f>
        <v>0</v>
      </c>
      <c r="G13" s="1022"/>
    </row>
    <row r="14" spans="1:8" s="649" customFormat="1" ht="20.25" customHeight="1">
      <c r="A14" s="528" t="s">
        <v>1414</v>
      </c>
      <c r="B14" s="1017">
        <f>SUM(B15:B3004)</f>
        <v>0</v>
      </c>
      <c r="C14" s="1017">
        <f>SUM(C15:C3004)</f>
        <v>0</v>
      </c>
      <c r="D14" s="823">
        <f>SUM(D15:D304)</f>
        <v>0</v>
      </c>
      <c r="E14" s="823">
        <f>SUM(E15:E304)</f>
        <v>0</v>
      </c>
      <c r="F14" s="596">
        <f>SUM(F15:F304)</f>
        <v>0</v>
      </c>
      <c r="G14" s="1029" t="s">
        <v>991</v>
      </c>
    </row>
    <row r="15" spans="1:8" s="558" customFormat="1" ht="15" customHeight="1">
      <c r="A15" s="1018"/>
      <c r="B15" s="1198"/>
      <c r="C15" s="1161"/>
      <c r="D15" s="1166"/>
      <c r="E15" s="1019">
        <f>B15-C15+D15</f>
        <v>0</v>
      </c>
      <c r="F15" s="1199"/>
      <c r="G15" s="1029" t="s">
        <v>992</v>
      </c>
    </row>
    <row r="16" spans="1:8" s="558" customFormat="1" ht="15" customHeight="1">
      <c r="A16" s="680"/>
      <c r="B16" s="1200"/>
      <c r="C16" s="1120"/>
      <c r="D16" s="1121"/>
      <c r="E16" s="1015">
        <f>B16-C16+D16</f>
        <v>0</v>
      </c>
      <c r="F16" s="1201"/>
      <c r="G16" s="1029" t="s">
        <v>993</v>
      </c>
    </row>
    <row r="17" spans="1:7" s="558" customFormat="1" ht="15" customHeight="1">
      <c r="A17" s="680"/>
      <c r="B17" s="1200"/>
      <c r="C17" s="1120"/>
      <c r="D17" s="1120"/>
      <c r="E17" s="1015">
        <f t="shared" ref="E17:E80" si="0">B17-C17+D17</f>
        <v>0</v>
      </c>
      <c r="F17" s="1201"/>
      <c r="G17" s="1029" t="s">
        <v>994</v>
      </c>
    </row>
    <row r="18" spans="1:7" s="558" customFormat="1" ht="15" customHeight="1">
      <c r="A18" s="680"/>
      <c r="B18" s="1200"/>
      <c r="C18" s="1120"/>
      <c r="D18" s="1120"/>
      <c r="E18" s="1015">
        <f t="shared" si="0"/>
        <v>0</v>
      </c>
      <c r="F18" s="1201"/>
      <c r="G18" s="1029" t="s">
        <v>995</v>
      </c>
    </row>
    <row r="19" spans="1:7" s="558" customFormat="1" ht="15" customHeight="1">
      <c r="A19" s="680"/>
      <c r="B19" s="1200"/>
      <c r="C19" s="1120"/>
      <c r="D19" s="1120"/>
      <c r="E19" s="1015">
        <f t="shared" si="0"/>
        <v>0</v>
      </c>
      <c r="F19" s="1201"/>
      <c r="G19" s="1029" t="s">
        <v>996</v>
      </c>
    </row>
    <row r="20" spans="1:7" s="558" customFormat="1" ht="15" customHeight="1">
      <c r="A20" s="680"/>
      <c r="B20" s="1200"/>
      <c r="C20" s="1120"/>
      <c r="D20" s="1120"/>
      <c r="E20" s="1015">
        <f t="shared" si="0"/>
        <v>0</v>
      </c>
      <c r="F20" s="1201"/>
      <c r="G20" s="1029"/>
    </row>
    <row r="21" spans="1:7" s="558" customFormat="1" ht="15" customHeight="1">
      <c r="A21" s="680"/>
      <c r="B21" s="1200"/>
      <c r="C21" s="1120"/>
      <c r="D21" s="1120"/>
      <c r="E21" s="1015">
        <f t="shared" si="0"/>
        <v>0</v>
      </c>
      <c r="F21" s="1201"/>
      <c r="G21" s="1029"/>
    </row>
    <row r="22" spans="1:7" s="558" customFormat="1" ht="15" customHeight="1">
      <c r="A22" s="680"/>
      <c r="B22" s="1200"/>
      <c r="C22" s="1120"/>
      <c r="D22" s="1120"/>
      <c r="E22" s="1015">
        <f t="shared" si="0"/>
        <v>0</v>
      </c>
      <c r="F22" s="1201"/>
      <c r="G22" s="1029"/>
    </row>
    <row r="23" spans="1:7" s="558" customFormat="1" ht="15" customHeight="1">
      <c r="A23" s="680"/>
      <c r="B23" s="1200"/>
      <c r="C23" s="1120"/>
      <c r="D23" s="1120"/>
      <c r="E23" s="1015">
        <f t="shared" si="0"/>
        <v>0</v>
      </c>
      <c r="F23" s="1201"/>
      <c r="G23" s="1029"/>
    </row>
    <row r="24" spans="1:7" s="558" customFormat="1" ht="15" customHeight="1">
      <c r="A24" s="680"/>
      <c r="B24" s="1200"/>
      <c r="C24" s="1120"/>
      <c r="D24" s="1120"/>
      <c r="E24" s="1015">
        <f t="shared" si="0"/>
        <v>0</v>
      </c>
      <c r="F24" s="1201"/>
      <c r="G24" s="1029"/>
    </row>
    <row r="25" spans="1:7" s="558" customFormat="1" ht="15" customHeight="1">
      <c r="A25" s="680"/>
      <c r="B25" s="1200"/>
      <c r="C25" s="1120"/>
      <c r="D25" s="1120"/>
      <c r="E25" s="1015">
        <f t="shared" si="0"/>
        <v>0</v>
      </c>
      <c r="F25" s="1201"/>
      <c r="G25" s="1029"/>
    </row>
    <row r="26" spans="1:7" s="558" customFormat="1" ht="15" customHeight="1">
      <c r="A26" s="680"/>
      <c r="B26" s="1200"/>
      <c r="C26" s="1120"/>
      <c r="D26" s="1120"/>
      <c r="E26" s="1015">
        <f t="shared" si="0"/>
        <v>0</v>
      </c>
      <c r="F26" s="1201"/>
      <c r="G26" s="1029"/>
    </row>
    <row r="27" spans="1:7" s="558" customFormat="1" ht="15" customHeight="1">
      <c r="A27" s="680"/>
      <c r="B27" s="1200"/>
      <c r="C27" s="1120"/>
      <c r="D27" s="1120"/>
      <c r="E27" s="1015">
        <f t="shared" si="0"/>
        <v>0</v>
      </c>
      <c r="F27" s="1201"/>
      <c r="G27" s="1029"/>
    </row>
    <row r="28" spans="1:7" s="558" customFormat="1" ht="15" customHeight="1">
      <c r="A28" s="680"/>
      <c r="B28" s="1200"/>
      <c r="C28" s="1120"/>
      <c r="D28" s="1120"/>
      <c r="E28" s="1015">
        <f t="shared" si="0"/>
        <v>0</v>
      </c>
      <c r="F28" s="1201"/>
      <c r="G28" s="1029"/>
    </row>
    <row r="29" spans="1:7" s="558" customFormat="1" ht="15" customHeight="1">
      <c r="A29" s="680"/>
      <c r="B29" s="1200"/>
      <c r="C29" s="1120"/>
      <c r="D29" s="1120"/>
      <c r="E29" s="1015">
        <f t="shared" si="0"/>
        <v>0</v>
      </c>
      <c r="F29" s="1201"/>
      <c r="G29" s="1029"/>
    </row>
    <row r="30" spans="1:7" s="558" customFormat="1" ht="15" customHeight="1">
      <c r="A30" s="680"/>
      <c r="B30" s="1200"/>
      <c r="C30" s="1120"/>
      <c r="D30" s="1120"/>
      <c r="E30" s="1015">
        <f t="shared" si="0"/>
        <v>0</v>
      </c>
      <c r="F30" s="1201"/>
      <c r="G30" s="1029"/>
    </row>
    <row r="31" spans="1:7" s="558" customFormat="1" ht="15" customHeight="1">
      <c r="A31" s="680"/>
      <c r="B31" s="1200"/>
      <c r="C31" s="1120"/>
      <c r="D31" s="1120"/>
      <c r="E31" s="1015">
        <f t="shared" si="0"/>
        <v>0</v>
      </c>
      <c r="F31" s="1201"/>
      <c r="G31" s="1029"/>
    </row>
    <row r="32" spans="1:7" s="558" customFormat="1" ht="15" customHeight="1">
      <c r="A32" s="680"/>
      <c r="B32" s="1200"/>
      <c r="C32" s="1120"/>
      <c r="D32" s="1120"/>
      <c r="E32" s="1015">
        <f t="shared" si="0"/>
        <v>0</v>
      </c>
      <c r="F32" s="1201"/>
      <c r="G32" s="1029"/>
    </row>
    <row r="33" spans="1:7" s="558" customFormat="1" ht="15" customHeight="1">
      <c r="A33" s="680"/>
      <c r="B33" s="1200"/>
      <c r="C33" s="1120"/>
      <c r="D33" s="1120"/>
      <c r="E33" s="1015">
        <f t="shared" si="0"/>
        <v>0</v>
      </c>
      <c r="F33" s="1201"/>
      <c r="G33" s="1029"/>
    </row>
    <row r="34" spans="1:7" s="558" customFormat="1" ht="15" customHeight="1">
      <c r="A34" s="680"/>
      <c r="B34" s="1200"/>
      <c r="C34" s="1120"/>
      <c r="D34" s="1120"/>
      <c r="E34" s="1015">
        <f t="shared" si="0"/>
        <v>0</v>
      </c>
      <c r="F34" s="1201"/>
      <c r="G34" s="1029"/>
    </row>
    <row r="35" spans="1:7" s="558" customFormat="1" ht="15" customHeight="1">
      <c r="A35" s="680"/>
      <c r="B35" s="1200"/>
      <c r="C35" s="1120"/>
      <c r="D35" s="1120"/>
      <c r="E35" s="1015">
        <f t="shared" si="0"/>
        <v>0</v>
      </c>
      <c r="F35" s="1201"/>
      <c r="G35" s="1029"/>
    </row>
    <row r="36" spans="1:7" s="558" customFormat="1" ht="15" customHeight="1">
      <c r="A36" s="680"/>
      <c r="B36" s="1200"/>
      <c r="C36" s="1120"/>
      <c r="D36" s="1120"/>
      <c r="E36" s="1015">
        <f t="shared" si="0"/>
        <v>0</v>
      </c>
      <c r="F36" s="1201"/>
      <c r="G36" s="1029"/>
    </row>
    <row r="37" spans="1:7" s="558" customFormat="1" ht="15" customHeight="1">
      <c r="A37" s="680"/>
      <c r="B37" s="1200"/>
      <c r="C37" s="1120"/>
      <c r="D37" s="1120"/>
      <c r="E37" s="1015">
        <f t="shared" si="0"/>
        <v>0</v>
      </c>
      <c r="F37" s="1201"/>
      <c r="G37" s="1029"/>
    </row>
    <row r="38" spans="1:7" s="558" customFormat="1" ht="15" customHeight="1">
      <c r="A38" s="680"/>
      <c r="B38" s="1200"/>
      <c r="C38" s="1120"/>
      <c r="D38" s="1120"/>
      <c r="E38" s="1015">
        <f t="shared" si="0"/>
        <v>0</v>
      </c>
      <c r="F38" s="1201"/>
      <c r="G38" s="1029"/>
    </row>
    <row r="39" spans="1:7" s="558" customFormat="1" ht="15" customHeight="1">
      <c r="A39" s="680"/>
      <c r="B39" s="1200"/>
      <c r="C39" s="1120"/>
      <c r="D39" s="1120"/>
      <c r="E39" s="1015">
        <f t="shared" si="0"/>
        <v>0</v>
      </c>
      <c r="F39" s="1201"/>
      <c r="G39" s="1029"/>
    </row>
    <row r="40" spans="1:7" s="558" customFormat="1" ht="15" customHeight="1">
      <c r="A40" s="680"/>
      <c r="B40" s="1200"/>
      <c r="C40" s="1120"/>
      <c r="D40" s="1120"/>
      <c r="E40" s="1015">
        <f t="shared" si="0"/>
        <v>0</v>
      </c>
      <c r="F40" s="1201"/>
      <c r="G40" s="1029"/>
    </row>
    <row r="41" spans="1:7" s="558" customFormat="1" ht="15" customHeight="1">
      <c r="A41" s="680"/>
      <c r="B41" s="1200"/>
      <c r="C41" s="1120"/>
      <c r="D41" s="1120"/>
      <c r="E41" s="1015">
        <f t="shared" si="0"/>
        <v>0</v>
      </c>
      <c r="F41" s="1201"/>
      <c r="G41" s="1029"/>
    </row>
    <row r="42" spans="1:7" s="558" customFormat="1" ht="15" customHeight="1">
      <c r="A42" s="680"/>
      <c r="B42" s="1200"/>
      <c r="C42" s="1120"/>
      <c r="D42" s="1120"/>
      <c r="E42" s="1015">
        <f t="shared" si="0"/>
        <v>0</v>
      </c>
      <c r="F42" s="1201"/>
      <c r="G42" s="1029"/>
    </row>
    <row r="43" spans="1:7" s="558" customFormat="1" ht="15" customHeight="1">
      <c r="A43" s="680"/>
      <c r="B43" s="1200"/>
      <c r="C43" s="1120"/>
      <c r="D43" s="1120"/>
      <c r="E43" s="1015">
        <f t="shared" si="0"/>
        <v>0</v>
      </c>
      <c r="F43" s="1201"/>
      <c r="G43" s="1029"/>
    </row>
    <row r="44" spans="1:7" s="558" customFormat="1" ht="15" customHeight="1">
      <c r="A44" s="680"/>
      <c r="B44" s="1200"/>
      <c r="C44" s="1120"/>
      <c r="D44" s="1120"/>
      <c r="E44" s="1015">
        <f t="shared" si="0"/>
        <v>0</v>
      </c>
      <c r="F44" s="1201"/>
      <c r="G44" s="1029"/>
    </row>
    <row r="45" spans="1:7" s="558" customFormat="1" ht="15" customHeight="1">
      <c r="A45" s="680"/>
      <c r="B45" s="1200"/>
      <c r="C45" s="1120"/>
      <c r="D45" s="1120"/>
      <c r="E45" s="1015">
        <f t="shared" si="0"/>
        <v>0</v>
      </c>
      <c r="F45" s="1201"/>
      <c r="G45" s="1029"/>
    </row>
    <row r="46" spans="1:7" s="558" customFormat="1" ht="15" customHeight="1">
      <c r="A46" s="680"/>
      <c r="B46" s="1200"/>
      <c r="C46" s="1120"/>
      <c r="D46" s="1120"/>
      <c r="E46" s="1015">
        <f t="shared" si="0"/>
        <v>0</v>
      </c>
      <c r="F46" s="1201"/>
      <c r="G46" s="1029"/>
    </row>
    <row r="47" spans="1:7" s="558" customFormat="1" ht="15" customHeight="1">
      <c r="A47" s="680"/>
      <c r="B47" s="1200"/>
      <c r="C47" s="1120"/>
      <c r="D47" s="1120"/>
      <c r="E47" s="1015">
        <f t="shared" si="0"/>
        <v>0</v>
      </c>
      <c r="F47" s="1201"/>
      <c r="G47" s="1029"/>
    </row>
    <row r="48" spans="1:7" s="558" customFormat="1" ht="15" customHeight="1">
      <c r="A48" s="680"/>
      <c r="B48" s="1200"/>
      <c r="C48" s="1120"/>
      <c r="D48" s="1120"/>
      <c r="E48" s="1015">
        <f t="shared" si="0"/>
        <v>0</v>
      </c>
      <c r="F48" s="1201"/>
      <c r="G48" s="1029"/>
    </row>
    <row r="49" spans="1:7" s="558" customFormat="1" ht="15" customHeight="1">
      <c r="A49" s="680"/>
      <c r="B49" s="1200"/>
      <c r="C49" s="1120"/>
      <c r="D49" s="1120"/>
      <c r="E49" s="1015">
        <f t="shared" si="0"/>
        <v>0</v>
      </c>
      <c r="F49" s="1201"/>
      <c r="G49" s="1029"/>
    </row>
    <row r="50" spans="1:7" s="502" customFormat="1" ht="15" customHeight="1">
      <c r="A50" s="680"/>
      <c r="B50" s="1200"/>
      <c r="C50" s="1120"/>
      <c r="D50" s="1120"/>
      <c r="E50" s="1015">
        <f t="shared" si="0"/>
        <v>0</v>
      </c>
      <c r="F50" s="1201"/>
      <c r="G50" s="1029"/>
    </row>
    <row r="51" spans="1:7" s="502" customFormat="1" ht="15" customHeight="1">
      <c r="A51" s="680"/>
      <c r="B51" s="1200"/>
      <c r="C51" s="1120"/>
      <c r="D51" s="1120"/>
      <c r="E51" s="1015">
        <f t="shared" si="0"/>
        <v>0</v>
      </c>
      <c r="F51" s="1201"/>
      <c r="G51" s="1029"/>
    </row>
    <row r="52" spans="1:7" s="502" customFormat="1" ht="15" customHeight="1">
      <c r="A52" s="680"/>
      <c r="B52" s="1200"/>
      <c r="C52" s="1120"/>
      <c r="D52" s="1120"/>
      <c r="E52" s="1015">
        <f t="shared" si="0"/>
        <v>0</v>
      </c>
      <c r="F52" s="1201"/>
      <c r="G52" s="1029"/>
    </row>
    <row r="53" spans="1:7" s="502" customFormat="1" ht="15" customHeight="1">
      <c r="A53" s="680"/>
      <c r="B53" s="1200"/>
      <c r="C53" s="1120"/>
      <c r="D53" s="1120"/>
      <c r="E53" s="1015">
        <f t="shared" si="0"/>
        <v>0</v>
      </c>
      <c r="F53" s="1201"/>
      <c r="G53" s="1029"/>
    </row>
    <row r="54" spans="1:7" s="502" customFormat="1" ht="15" customHeight="1">
      <c r="A54" s="680"/>
      <c r="B54" s="1200"/>
      <c r="C54" s="1120"/>
      <c r="D54" s="1120"/>
      <c r="E54" s="1015">
        <f t="shared" si="0"/>
        <v>0</v>
      </c>
      <c r="F54" s="1201"/>
      <c r="G54" s="1029"/>
    </row>
    <row r="55" spans="1:7" ht="15" customHeight="1">
      <c r="A55" s="680"/>
      <c r="B55" s="1200"/>
      <c r="C55" s="1120"/>
      <c r="D55" s="1120"/>
      <c r="E55" s="1015">
        <f t="shared" si="0"/>
        <v>0</v>
      </c>
      <c r="F55" s="1201"/>
      <c r="G55" s="1029"/>
    </row>
    <row r="56" spans="1:7" ht="15" customHeight="1">
      <c r="A56" s="680"/>
      <c r="B56" s="1200"/>
      <c r="C56" s="1120"/>
      <c r="D56" s="1120"/>
      <c r="E56" s="1015">
        <f t="shared" si="0"/>
        <v>0</v>
      </c>
      <c r="F56" s="1201"/>
      <c r="G56" s="1029"/>
    </row>
    <row r="57" spans="1:7" ht="15" customHeight="1">
      <c r="A57" s="680"/>
      <c r="B57" s="1200"/>
      <c r="C57" s="1120"/>
      <c r="D57" s="1120"/>
      <c r="E57" s="1015">
        <f t="shared" si="0"/>
        <v>0</v>
      </c>
      <c r="F57" s="1201"/>
      <c r="G57" s="1029"/>
    </row>
    <row r="58" spans="1:7" ht="15" customHeight="1">
      <c r="A58" s="680"/>
      <c r="B58" s="1200"/>
      <c r="C58" s="1120"/>
      <c r="D58" s="1120"/>
      <c r="E58" s="1015">
        <f t="shared" si="0"/>
        <v>0</v>
      </c>
      <c r="F58" s="1201"/>
      <c r="G58" s="1029"/>
    </row>
    <row r="59" spans="1:7" ht="15" customHeight="1">
      <c r="A59" s="680"/>
      <c r="B59" s="1200"/>
      <c r="C59" s="1120"/>
      <c r="D59" s="1120"/>
      <c r="E59" s="1015">
        <f t="shared" si="0"/>
        <v>0</v>
      </c>
      <c r="F59" s="1201"/>
      <c r="G59" s="1029"/>
    </row>
    <row r="60" spans="1:7" ht="15" customHeight="1">
      <c r="A60" s="680"/>
      <c r="B60" s="1200"/>
      <c r="C60" s="1120"/>
      <c r="D60" s="1120"/>
      <c r="E60" s="1015">
        <f t="shared" si="0"/>
        <v>0</v>
      </c>
      <c r="F60" s="1201"/>
      <c r="G60" s="1029"/>
    </row>
    <row r="61" spans="1:7" ht="15" customHeight="1">
      <c r="A61" s="680"/>
      <c r="B61" s="1200"/>
      <c r="C61" s="1120"/>
      <c r="D61" s="1120"/>
      <c r="E61" s="1015">
        <f t="shared" si="0"/>
        <v>0</v>
      </c>
      <c r="F61" s="1201"/>
      <c r="G61" s="1029"/>
    </row>
    <row r="62" spans="1:7" ht="15" customHeight="1">
      <c r="A62" s="680"/>
      <c r="B62" s="1200"/>
      <c r="C62" s="1120"/>
      <c r="D62" s="1120"/>
      <c r="E62" s="1015">
        <f t="shared" si="0"/>
        <v>0</v>
      </c>
      <c r="F62" s="1201"/>
      <c r="G62" s="1029"/>
    </row>
    <row r="63" spans="1:7" ht="15" customHeight="1">
      <c r="A63" s="680"/>
      <c r="B63" s="1200"/>
      <c r="C63" s="1120"/>
      <c r="D63" s="1120"/>
      <c r="E63" s="1015">
        <f t="shared" si="0"/>
        <v>0</v>
      </c>
      <c r="F63" s="1201"/>
      <c r="G63" s="1029"/>
    </row>
    <row r="64" spans="1:7" ht="15" customHeight="1">
      <c r="A64" s="680"/>
      <c r="B64" s="1200"/>
      <c r="C64" s="1120"/>
      <c r="D64" s="1120"/>
      <c r="E64" s="1015">
        <f t="shared" si="0"/>
        <v>0</v>
      </c>
      <c r="F64" s="1201"/>
      <c r="G64" s="1029"/>
    </row>
    <row r="65" spans="1:7" ht="15" customHeight="1">
      <c r="A65" s="680"/>
      <c r="B65" s="1200"/>
      <c r="C65" s="1120"/>
      <c r="D65" s="1120"/>
      <c r="E65" s="1015">
        <f t="shared" si="0"/>
        <v>0</v>
      </c>
      <c r="F65" s="1201"/>
      <c r="G65" s="1029"/>
    </row>
    <row r="66" spans="1:7" ht="15" customHeight="1">
      <c r="A66" s="680"/>
      <c r="B66" s="1200"/>
      <c r="C66" s="1120"/>
      <c r="D66" s="1120"/>
      <c r="E66" s="1015">
        <f t="shared" si="0"/>
        <v>0</v>
      </c>
      <c r="F66" s="1201"/>
      <c r="G66" s="1029"/>
    </row>
    <row r="67" spans="1:7" ht="15" customHeight="1">
      <c r="A67" s="680"/>
      <c r="B67" s="1200"/>
      <c r="C67" s="1120"/>
      <c r="D67" s="1120"/>
      <c r="E67" s="1015">
        <f t="shared" si="0"/>
        <v>0</v>
      </c>
      <c r="F67" s="1201"/>
      <c r="G67" s="1029"/>
    </row>
    <row r="68" spans="1:7" ht="15" customHeight="1">
      <c r="A68" s="680"/>
      <c r="B68" s="1200"/>
      <c r="C68" s="1120"/>
      <c r="D68" s="1120"/>
      <c r="E68" s="1015">
        <f t="shared" si="0"/>
        <v>0</v>
      </c>
      <c r="F68" s="1201"/>
      <c r="G68" s="1029"/>
    </row>
    <row r="69" spans="1:7" ht="15" customHeight="1">
      <c r="A69" s="680"/>
      <c r="B69" s="1200"/>
      <c r="C69" s="1120"/>
      <c r="D69" s="1120"/>
      <c r="E69" s="1015">
        <f t="shared" si="0"/>
        <v>0</v>
      </c>
      <c r="F69" s="1201"/>
      <c r="G69" s="1029"/>
    </row>
    <row r="70" spans="1:7" ht="15" customHeight="1">
      <c r="A70" s="680"/>
      <c r="B70" s="1200"/>
      <c r="C70" s="1120"/>
      <c r="D70" s="1120"/>
      <c r="E70" s="1015">
        <f t="shared" si="0"/>
        <v>0</v>
      </c>
      <c r="F70" s="1201"/>
      <c r="G70" s="1029"/>
    </row>
    <row r="71" spans="1:7" ht="15" customHeight="1">
      <c r="A71" s="680"/>
      <c r="B71" s="1200"/>
      <c r="C71" s="1120"/>
      <c r="D71" s="1120"/>
      <c r="E71" s="1015">
        <f t="shared" si="0"/>
        <v>0</v>
      </c>
      <c r="F71" s="1201"/>
      <c r="G71" s="1029"/>
    </row>
    <row r="72" spans="1:7" ht="15" customHeight="1">
      <c r="A72" s="680"/>
      <c r="B72" s="1200"/>
      <c r="C72" s="1120"/>
      <c r="D72" s="1120"/>
      <c r="E72" s="1015">
        <f t="shared" si="0"/>
        <v>0</v>
      </c>
      <c r="F72" s="1201"/>
      <c r="G72" s="1029"/>
    </row>
    <row r="73" spans="1:7" ht="15" customHeight="1">
      <c r="A73" s="680"/>
      <c r="B73" s="1200"/>
      <c r="C73" s="1120"/>
      <c r="D73" s="1120"/>
      <c r="E73" s="1015">
        <f t="shared" si="0"/>
        <v>0</v>
      </c>
      <c r="F73" s="1201"/>
      <c r="G73" s="1029"/>
    </row>
    <row r="74" spans="1:7" ht="15" customHeight="1">
      <c r="A74" s="680"/>
      <c r="B74" s="1200"/>
      <c r="C74" s="1120"/>
      <c r="D74" s="1120"/>
      <c r="E74" s="1015">
        <f t="shared" si="0"/>
        <v>0</v>
      </c>
      <c r="F74" s="1201"/>
      <c r="G74" s="1029"/>
    </row>
    <row r="75" spans="1:7" ht="15" customHeight="1">
      <c r="A75" s="680"/>
      <c r="B75" s="1200"/>
      <c r="C75" s="1120"/>
      <c r="D75" s="1120"/>
      <c r="E75" s="1015">
        <f t="shared" si="0"/>
        <v>0</v>
      </c>
      <c r="F75" s="1201"/>
      <c r="G75" s="1029"/>
    </row>
    <row r="76" spans="1:7" ht="15" customHeight="1">
      <c r="A76" s="680"/>
      <c r="B76" s="1200"/>
      <c r="C76" s="1120"/>
      <c r="D76" s="1120"/>
      <c r="E76" s="1015">
        <f t="shared" si="0"/>
        <v>0</v>
      </c>
      <c r="F76" s="1201"/>
      <c r="G76" s="1029"/>
    </row>
    <row r="77" spans="1:7" ht="15" customHeight="1">
      <c r="A77" s="680"/>
      <c r="B77" s="1200"/>
      <c r="C77" s="1120"/>
      <c r="D77" s="1120"/>
      <c r="E77" s="1015">
        <f t="shared" si="0"/>
        <v>0</v>
      </c>
      <c r="F77" s="1201"/>
      <c r="G77" s="1029"/>
    </row>
    <row r="78" spans="1:7" ht="15" customHeight="1">
      <c r="A78" s="680"/>
      <c r="B78" s="1200"/>
      <c r="C78" s="1120"/>
      <c r="D78" s="1120"/>
      <c r="E78" s="1015">
        <f t="shared" si="0"/>
        <v>0</v>
      </c>
      <c r="F78" s="1201"/>
      <c r="G78" s="1029"/>
    </row>
    <row r="79" spans="1:7" ht="15" customHeight="1">
      <c r="A79" s="680"/>
      <c r="B79" s="1200"/>
      <c r="C79" s="1120"/>
      <c r="D79" s="1120"/>
      <c r="E79" s="1015">
        <f t="shared" si="0"/>
        <v>0</v>
      </c>
      <c r="F79" s="1201"/>
      <c r="G79" s="1029"/>
    </row>
    <row r="80" spans="1:7" ht="15" customHeight="1">
      <c r="A80" s="680"/>
      <c r="B80" s="1200"/>
      <c r="C80" s="1120"/>
      <c r="D80" s="1120"/>
      <c r="E80" s="1015">
        <f t="shared" si="0"/>
        <v>0</v>
      </c>
      <c r="F80" s="1201"/>
      <c r="G80" s="1029"/>
    </row>
    <row r="81" spans="1:7" ht="15" customHeight="1">
      <c r="A81" s="680"/>
      <c r="B81" s="1200"/>
      <c r="C81" s="1120"/>
      <c r="D81" s="1120"/>
      <c r="E81" s="1015">
        <f t="shared" ref="E81:E144" si="1">B81-C81+D81</f>
        <v>0</v>
      </c>
      <c r="F81" s="1201"/>
      <c r="G81" s="1029"/>
    </row>
    <row r="82" spans="1:7" ht="15" customHeight="1">
      <c r="A82" s="680"/>
      <c r="B82" s="1200"/>
      <c r="C82" s="1120"/>
      <c r="D82" s="1120"/>
      <c r="E82" s="1015">
        <f t="shared" si="1"/>
        <v>0</v>
      </c>
      <c r="F82" s="1201"/>
      <c r="G82" s="1029"/>
    </row>
    <row r="83" spans="1:7" ht="15" customHeight="1">
      <c r="A83" s="680"/>
      <c r="B83" s="1200"/>
      <c r="C83" s="1120"/>
      <c r="D83" s="1120"/>
      <c r="E83" s="1015">
        <f t="shared" si="1"/>
        <v>0</v>
      </c>
      <c r="F83" s="1201"/>
      <c r="G83" s="1029"/>
    </row>
    <row r="84" spans="1:7" ht="15" customHeight="1">
      <c r="A84" s="680"/>
      <c r="B84" s="1200"/>
      <c r="C84" s="1120"/>
      <c r="D84" s="1120"/>
      <c r="E84" s="1015">
        <f t="shared" si="1"/>
        <v>0</v>
      </c>
      <c r="F84" s="1201"/>
      <c r="G84" s="1029"/>
    </row>
    <row r="85" spans="1:7" ht="15" customHeight="1">
      <c r="A85" s="680"/>
      <c r="B85" s="1200"/>
      <c r="C85" s="1120"/>
      <c r="D85" s="1120"/>
      <c r="E85" s="1015">
        <f t="shared" si="1"/>
        <v>0</v>
      </c>
      <c r="F85" s="1201"/>
      <c r="G85" s="1029"/>
    </row>
    <row r="86" spans="1:7" ht="15" customHeight="1">
      <c r="A86" s="680"/>
      <c r="B86" s="1200"/>
      <c r="C86" s="1120"/>
      <c r="D86" s="1120"/>
      <c r="E86" s="1015">
        <f t="shared" si="1"/>
        <v>0</v>
      </c>
      <c r="F86" s="1201"/>
      <c r="G86" s="1029"/>
    </row>
    <row r="87" spans="1:7" ht="15" customHeight="1">
      <c r="A87" s="680"/>
      <c r="B87" s="1200"/>
      <c r="C87" s="1120"/>
      <c r="D87" s="1120"/>
      <c r="E87" s="1015">
        <f t="shared" si="1"/>
        <v>0</v>
      </c>
      <c r="F87" s="1201"/>
      <c r="G87" s="1029"/>
    </row>
    <row r="88" spans="1:7" ht="15" customHeight="1">
      <c r="A88" s="680"/>
      <c r="B88" s="1200"/>
      <c r="C88" s="1120"/>
      <c r="D88" s="1120"/>
      <c r="E88" s="1015">
        <f t="shared" si="1"/>
        <v>0</v>
      </c>
      <c r="F88" s="1201"/>
      <c r="G88" s="1029"/>
    </row>
    <row r="89" spans="1:7" ht="15" customHeight="1">
      <c r="A89" s="680"/>
      <c r="B89" s="1200"/>
      <c r="C89" s="1120"/>
      <c r="D89" s="1120"/>
      <c r="E89" s="1015">
        <f t="shared" si="1"/>
        <v>0</v>
      </c>
      <c r="F89" s="1201"/>
      <c r="G89" s="1029"/>
    </row>
    <row r="90" spans="1:7" ht="15" customHeight="1">
      <c r="A90" s="680"/>
      <c r="B90" s="1200"/>
      <c r="C90" s="1120"/>
      <c r="D90" s="1120"/>
      <c r="E90" s="1015">
        <f t="shared" si="1"/>
        <v>0</v>
      </c>
      <c r="F90" s="1201"/>
      <c r="G90" s="1029"/>
    </row>
    <row r="91" spans="1:7" ht="15" customHeight="1">
      <c r="A91" s="680"/>
      <c r="B91" s="1200"/>
      <c r="C91" s="1120"/>
      <c r="D91" s="1120"/>
      <c r="E91" s="1015">
        <f t="shared" si="1"/>
        <v>0</v>
      </c>
      <c r="F91" s="1201"/>
      <c r="G91" s="1029"/>
    </row>
    <row r="92" spans="1:7" ht="15" customHeight="1">
      <c r="A92" s="680"/>
      <c r="B92" s="1200"/>
      <c r="C92" s="1120"/>
      <c r="D92" s="1120"/>
      <c r="E92" s="1015">
        <f t="shared" si="1"/>
        <v>0</v>
      </c>
      <c r="F92" s="1201"/>
      <c r="G92" s="1029"/>
    </row>
    <row r="93" spans="1:7" ht="15" customHeight="1">
      <c r="A93" s="680"/>
      <c r="B93" s="1200"/>
      <c r="C93" s="1120"/>
      <c r="D93" s="1120"/>
      <c r="E93" s="1015">
        <f t="shared" si="1"/>
        <v>0</v>
      </c>
      <c r="F93" s="1201"/>
      <c r="G93" s="1029"/>
    </row>
    <row r="94" spans="1:7" ht="15" customHeight="1">
      <c r="A94" s="680"/>
      <c r="B94" s="1200"/>
      <c r="C94" s="1120"/>
      <c r="D94" s="1120"/>
      <c r="E94" s="1015">
        <f t="shared" si="1"/>
        <v>0</v>
      </c>
      <c r="F94" s="1201"/>
      <c r="G94" s="1029"/>
    </row>
    <row r="95" spans="1:7" ht="15" customHeight="1">
      <c r="A95" s="680"/>
      <c r="B95" s="1200"/>
      <c r="C95" s="1120"/>
      <c r="D95" s="1120"/>
      <c r="E95" s="1015">
        <f t="shared" si="1"/>
        <v>0</v>
      </c>
      <c r="F95" s="1201"/>
      <c r="G95" s="1029"/>
    </row>
    <row r="96" spans="1:7" ht="15" customHeight="1">
      <c r="A96" s="680"/>
      <c r="B96" s="1200"/>
      <c r="C96" s="1120"/>
      <c r="D96" s="1120"/>
      <c r="E96" s="1015">
        <f t="shared" si="1"/>
        <v>0</v>
      </c>
      <c r="F96" s="1201"/>
      <c r="G96" s="1029"/>
    </row>
    <row r="97" spans="1:7" ht="15" customHeight="1">
      <c r="A97" s="680"/>
      <c r="B97" s="1200"/>
      <c r="C97" s="1120"/>
      <c r="D97" s="1120"/>
      <c r="E97" s="1015">
        <f t="shared" si="1"/>
        <v>0</v>
      </c>
      <c r="F97" s="1201"/>
      <c r="G97" s="1029"/>
    </row>
    <row r="98" spans="1:7" ht="15" customHeight="1">
      <c r="A98" s="680"/>
      <c r="B98" s="1200"/>
      <c r="C98" s="1120"/>
      <c r="D98" s="1120"/>
      <c r="E98" s="1015">
        <f t="shared" si="1"/>
        <v>0</v>
      </c>
      <c r="F98" s="1201"/>
      <c r="G98" s="1029"/>
    </row>
    <row r="99" spans="1:7" ht="15" customHeight="1">
      <c r="A99" s="680"/>
      <c r="B99" s="1200"/>
      <c r="C99" s="1120"/>
      <c r="D99" s="1120"/>
      <c r="E99" s="1015">
        <f t="shared" si="1"/>
        <v>0</v>
      </c>
      <c r="F99" s="1201"/>
      <c r="G99" s="1029"/>
    </row>
    <row r="100" spans="1:7" ht="15" customHeight="1">
      <c r="A100" s="680"/>
      <c r="B100" s="1200"/>
      <c r="C100" s="1120"/>
      <c r="D100" s="1120"/>
      <c r="E100" s="1015">
        <f t="shared" si="1"/>
        <v>0</v>
      </c>
      <c r="F100" s="1201"/>
      <c r="G100" s="1029"/>
    </row>
    <row r="101" spans="1:7" ht="15" customHeight="1">
      <c r="A101" s="680"/>
      <c r="B101" s="1200"/>
      <c r="C101" s="1120"/>
      <c r="D101" s="1120"/>
      <c r="E101" s="1015">
        <f t="shared" si="1"/>
        <v>0</v>
      </c>
      <c r="F101" s="1201"/>
      <c r="G101" s="1029"/>
    </row>
    <row r="102" spans="1:7" ht="15" customHeight="1">
      <c r="A102" s="680"/>
      <c r="B102" s="1200"/>
      <c r="C102" s="1120"/>
      <c r="D102" s="1120"/>
      <c r="E102" s="1015">
        <f t="shared" si="1"/>
        <v>0</v>
      </c>
      <c r="F102" s="1201"/>
      <c r="G102" s="1029"/>
    </row>
    <row r="103" spans="1:7" ht="15" customHeight="1">
      <c r="A103" s="680"/>
      <c r="B103" s="1200"/>
      <c r="C103" s="1120"/>
      <c r="D103" s="1120"/>
      <c r="E103" s="1015">
        <f t="shared" si="1"/>
        <v>0</v>
      </c>
      <c r="F103" s="1201"/>
      <c r="G103" s="1029"/>
    </row>
    <row r="104" spans="1:7" ht="15" customHeight="1">
      <c r="A104" s="680"/>
      <c r="B104" s="1200"/>
      <c r="C104" s="1120"/>
      <c r="D104" s="1120"/>
      <c r="E104" s="1015">
        <f t="shared" si="1"/>
        <v>0</v>
      </c>
      <c r="F104" s="1201"/>
      <c r="G104" s="1029"/>
    </row>
    <row r="105" spans="1:7" ht="15" customHeight="1">
      <c r="A105" s="680"/>
      <c r="B105" s="1200"/>
      <c r="C105" s="1120"/>
      <c r="D105" s="1120"/>
      <c r="E105" s="1015">
        <f t="shared" si="1"/>
        <v>0</v>
      </c>
      <c r="F105" s="1201"/>
      <c r="G105" s="1029"/>
    </row>
    <row r="106" spans="1:7" ht="15" customHeight="1">
      <c r="A106" s="680"/>
      <c r="B106" s="1200"/>
      <c r="C106" s="1120"/>
      <c r="D106" s="1120"/>
      <c r="E106" s="1015">
        <f t="shared" si="1"/>
        <v>0</v>
      </c>
      <c r="F106" s="1201"/>
      <c r="G106" s="1029"/>
    </row>
    <row r="107" spans="1:7" ht="15" customHeight="1">
      <c r="A107" s="680"/>
      <c r="B107" s="1200"/>
      <c r="C107" s="1120"/>
      <c r="D107" s="1120"/>
      <c r="E107" s="1015">
        <f t="shared" si="1"/>
        <v>0</v>
      </c>
      <c r="F107" s="1201"/>
      <c r="G107" s="1029"/>
    </row>
    <row r="108" spans="1:7" ht="15" customHeight="1">
      <c r="A108" s="680"/>
      <c r="B108" s="1200"/>
      <c r="C108" s="1120"/>
      <c r="D108" s="1120"/>
      <c r="E108" s="1015">
        <f t="shared" si="1"/>
        <v>0</v>
      </c>
      <c r="F108" s="1201"/>
      <c r="G108" s="1029"/>
    </row>
    <row r="109" spans="1:7" ht="15" customHeight="1">
      <c r="A109" s="680"/>
      <c r="B109" s="1200"/>
      <c r="C109" s="1120"/>
      <c r="D109" s="1120"/>
      <c r="E109" s="1015">
        <f t="shared" si="1"/>
        <v>0</v>
      </c>
      <c r="F109" s="1201"/>
      <c r="G109" s="1029"/>
    </row>
    <row r="110" spans="1:7" ht="15" customHeight="1">
      <c r="A110" s="680"/>
      <c r="B110" s="1200"/>
      <c r="C110" s="1120"/>
      <c r="D110" s="1120"/>
      <c r="E110" s="1015">
        <f t="shared" si="1"/>
        <v>0</v>
      </c>
      <c r="F110" s="1201"/>
      <c r="G110" s="1029"/>
    </row>
    <row r="111" spans="1:7" ht="15" customHeight="1">
      <c r="A111" s="680"/>
      <c r="B111" s="1200"/>
      <c r="C111" s="1120"/>
      <c r="D111" s="1120"/>
      <c r="E111" s="1015">
        <f t="shared" si="1"/>
        <v>0</v>
      </c>
      <c r="F111" s="1201"/>
      <c r="G111" s="1029"/>
    </row>
    <row r="112" spans="1:7" ht="15" customHeight="1">
      <c r="A112" s="680"/>
      <c r="B112" s="1200"/>
      <c r="C112" s="1120"/>
      <c r="D112" s="1120"/>
      <c r="E112" s="1015">
        <f t="shared" si="1"/>
        <v>0</v>
      </c>
      <c r="F112" s="1201"/>
      <c r="G112" s="1029"/>
    </row>
    <row r="113" spans="1:7" ht="15" customHeight="1">
      <c r="A113" s="680"/>
      <c r="B113" s="1200"/>
      <c r="C113" s="1120"/>
      <c r="D113" s="1120"/>
      <c r="E113" s="1015">
        <f t="shared" si="1"/>
        <v>0</v>
      </c>
      <c r="F113" s="1201"/>
      <c r="G113" s="1029"/>
    </row>
    <row r="114" spans="1:7" ht="15" customHeight="1">
      <c r="A114" s="680"/>
      <c r="B114" s="1200"/>
      <c r="C114" s="1120"/>
      <c r="D114" s="1120"/>
      <c r="E114" s="1015">
        <f t="shared" si="1"/>
        <v>0</v>
      </c>
      <c r="F114" s="1201"/>
      <c r="G114" s="1029"/>
    </row>
    <row r="115" spans="1:7" ht="15" customHeight="1">
      <c r="A115" s="680"/>
      <c r="B115" s="1200"/>
      <c r="C115" s="1120"/>
      <c r="D115" s="1120"/>
      <c r="E115" s="1015">
        <f t="shared" si="1"/>
        <v>0</v>
      </c>
      <c r="F115" s="1201"/>
      <c r="G115" s="1029"/>
    </row>
    <row r="116" spans="1:7" ht="15" customHeight="1">
      <c r="A116" s="680"/>
      <c r="B116" s="1200"/>
      <c r="C116" s="1120"/>
      <c r="D116" s="1120"/>
      <c r="E116" s="1015">
        <f t="shared" si="1"/>
        <v>0</v>
      </c>
      <c r="F116" s="1201"/>
      <c r="G116" s="1029"/>
    </row>
    <row r="117" spans="1:7" ht="15" customHeight="1">
      <c r="A117" s="680"/>
      <c r="B117" s="1200"/>
      <c r="C117" s="1120"/>
      <c r="D117" s="1120"/>
      <c r="E117" s="1015">
        <f t="shared" si="1"/>
        <v>0</v>
      </c>
      <c r="F117" s="1201"/>
      <c r="G117" s="1029"/>
    </row>
    <row r="118" spans="1:7" ht="15" customHeight="1">
      <c r="A118" s="680"/>
      <c r="B118" s="1200"/>
      <c r="C118" s="1120"/>
      <c r="D118" s="1120"/>
      <c r="E118" s="1015">
        <f t="shared" si="1"/>
        <v>0</v>
      </c>
      <c r="F118" s="1201"/>
      <c r="G118" s="1029"/>
    </row>
    <row r="119" spans="1:7" ht="15" customHeight="1">
      <c r="A119" s="680"/>
      <c r="B119" s="1200"/>
      <c r="C119" s="1120"/>
      <c r="D119" s="1120"/>
      <c r="E119" s="1015">
        <f t="shared" si="1"/>
        <v>0</v>
      </c>
      <c r="F119" s="1201"/>
      <c r="G119" s="1029"/>
    </row>
    <row r="120" spans="1:7" ht="15" customHeight="1">
      <c r="A120" s="680"/>
      <c r="B120" s="1200"/>
      <c r="C120" s="1120"/>
      <c r="D120" s="1120"/>
      <c r="E120" s="1015">
        <f t="shared" si="1"/>
        <v>0</v>
      </c>
      <c r="F120" s="1201"/>
      <c r="G120" s="1029"/>
    </row>
    <row r="121" spans="1:7" ht="15" customHeight="1">
      <c r="A121" s="680"/>
      <c r="B121" s="1200"/>
      <c r="C121" s="1120"/>
      <c r="D121" s="1120"/>
      <c r="E121" s="1015">
        <f t="shared" si="1"/>
        <v>0</v>
      </c>
      <c r="F121" s="1201"/>
      <c r="G121" s="1029"/>
    </row>
    <row r="122" spans="1:7" ht="15" customHeight="1">
      <c r="A122" s="680"/>
      <c r="B122" s="1200"/>
      <c r="C122" s="1120"/>
      <c r="D122" s="1120"/>
      <c r="E122" s="1015">
        <f t="shared" si="1"/>
        <v>0</v>
      </c>
      <c r="F122" s="1201"/>
      <c r="G122" s="1029"/>
    </row>
    <row r="123" spans="1:7" ht="15" customHeight="1">
      <c r="A123" s="680"/>
      <c r="B123" s="1200"/>
      <c r="C123" s="1120"/>
      <c r="D123" s="1120"/>
      <c r="E123" s="1015">
        <f t="shared" si="1"/>
        <v>0</v>
      </c>
      <c r="F123" s="1201"/>
      <c r="G123" s="1029"/>
    </row>
    <row r="124" spans="1:7" ht="15" customHeight="1">
      <c r="A124" s="680"/>
      <c r="B124" s="1200"/>
      <c r="C124" s="1120"/>
      <c r="D124" s="1120"/>
      <c r="E124" s="1015">
        <f t="shared" si="1"/>
        <v>0</v>
      </c>
      <c r="F124" s="1201"/>
      <c r="G124" s="1029"/>
    </row>
    <row r="125" spans="1:7" ht="15" customHeight="1">
      <c r="A125" s="680"/>
      <c r="B125" s="1200"/>
      <c r="C125" s="1120"/>
      <c r="D125" s="1120"/>
      <c r="E125" s="1015">
        <f t="shared" si="1"/>
        <v>0</v>
      </c>
      <c r="F125" s="1201"/>
      <c r="G125" s="1029"/>
    </row>
    <row r="126" spans="1:7" ht="15" customHeight="1">
      <c r="A126" s="680"/>
      <c r="B126" s="1200"/>
      <c r="C126" s="1120"/>
      <c r="D126" s="1120"/>
      <c r="E126" s="1015">
        <f t="shared" si="1"/>
        <v>0</v>
      </c>
      <c r="F126" s="1201"/>
      <c r="G126" s="1029"/>
    </row>
    <row r="127" spans="1:7" ht="15" customHeight="1">
      <c r="A127" s="680"/>
      <c r="B127" s="1200"/>
      <c r="C127" s="1120"/>
      <c r="D127" s="1120"/>
      <c r="E127" s="1015">
        <f t="shared" si="1"/>
        <v>0</v>
      </c>
      <c r="F127" s="1201"/>
      <c r="G127" s="1029"/>
    </row>
    <row r="128" spans="1:7" ht="15" customHeight="1">
      <c r="A128" s="680"/>
      <c r="B128" s="1200"/>
      <c r="C128" s="1120"/>
      <c r="D128" s="1120"/>
      <c r="E128" s="1015">
        <f t="shared" si="1"/>
        <v>0</v>
      </c>
      <c r="F128" s="1201"/>
      <c r="G128" s="1029"/>
    </row>
    <row r="129" spans="1:7" ht="15" customHeight="1">
      <c r="A129" s="680"/>
      <c r="B129" s="1200"/>
      <c r="C129" s="1120"/>
      <c r="D129" s="1120"/>
      <c r="E129" s="1015">
        <f t="shared" si="1"/>
        <v>0</v>
      </c>
      <c r="F129" s="1201"/>
      <c r="G129" s="1029"/>
    </row>
    <row r="130" spans="1:7" ht="15" customHeight="1">
      <c r="A130" s="680"/>
      <c r="B130" s="1200"/>
      <c r="C130" s="1120"/>
      <c r="D130" s="1120"/>
      <c r="E130" s="1015">
        <f t="shared" si="1"/>
        <v>0</v>
      </c>
      <c r="F130" s="1201"/>
      <c r="G130" s="1029"/>
    </row>
    <row r="131" spans="1:7" ht="15" customHeight="1">
      <c r="A131" s="680"/>
      <c r="B131" s="1200"/>
      <c r="C131" s="1120"/>
      <c r="D131" s="1120"/>
      <c r="E131" s="1015">
        <f t="shared" si="1"/>
        <v>0</v>
      </c>
      <c r="F131" s="1201"/>
      <c r="G131" s="1029"/>
    </row>
    <row r="132" spans="1:7" ht="15" customHeight="1">
      <c r="A132" s="680"/>
      <c r="B132" s="1200"/>
      <c r="C132" s="1120"/>
      <c r="D132" s="1120"/>
      <c r="E132" s="1015">
        <f t="shared" si="1"/>
        <v>0</v>
      </c>
      <c r="F132" s="1201"/>
      <c r="G132" s="1029"/>
    </row>
    <row r="133" spans="1:7" ht="15" customHeight="1">
      <c r="A133" s="680"/>
      <c r="B133" s="1200"/>
      <c r="C133" s="1120"/>
      <c r="D133" s="1120"/>
      <c r="E133" s="1015">
        <f t="shared" si="1"/>
        <v>0</v>
      </c>
      <c r="F133" s="1201"/>
      <c r="G133" s="1029"/>
    </row>
    <row r="134" spans="1:7" ht="15" customHeight="1">
      <c r="A134" s="680"/>
      <c r="B134" s="1200"/>
      <c r="C134" s="1120"/>
      <c r="D134" s="1120"/>
      <c r="E134" s="1015">
        <f t="shared" si="1"/>
        <v>0</v>
      </c>
      <c r="F134" s="1201"/>
      <c r="G134" s="1029"/>
    </row>
    <row r="135" spans="1:7" ht="15" customHeight="1">
      <c r="A135" s="680"/>
      <c r="B135" s="1200"/>
      <c r="C135" s="1120"/>
      <c r="D135" s="1120"/>
      <c r="E135" s="1015">
        <f t="shared" si="1"/>
        <v>0</v>
      </c>
      <c r="F135" s="1201"/>
      <c r="G135" s="1029"/>
    </row>
    <row r="136" spans="1:7" ht="15" customHeight="1">
      <c r="A136" s="680"/>
      <c r="B136" s="1200"/>
      <c r="C136" s="1120"/>
      <c r="D136" s="1120"/>
      <c r="E136" s="1015">
        <f t="shared" si="1"/>
        <v>0</v>
      </c>
      <c r="F136" s="1201"/>
      <c r="G136" s="1029"/>
    </row>
    <row r="137" spans="1:7" ht="15" customHeight="1">
      <c r="A137" s="680"/>
      <c r="B137" s="1200"/>
      <c r="C137" s="1120"/>
      <c r="D137" s="1120"/>
      <c r="E137" s="1015">
        <f t="shared" si="1"/>
        <v>0</v>
      </c>
      <c r="F137" s="1201"/>
      <c r="G137" s="1029"/>
    </row>
    <row r="138" spans="1:7" ht="15" customHeight="1">
      <c r="A138" s="680"/>
      <c r="B138" s="1200"/>
      <c r="C138" s="1120"/>
      <c r="D138" s="1120"/>
      <c r="E138" s="1015">
        <f t="shared" si="1"/>
        <v>0</v>
      </c>
      <c r="F138" s="1201"/>
      <c r="G138" s="1029"/>
    </row>
    <row r="139" spans="1:7" ht="15" customHeight="1">
      <c r="A139" s="680"/>
      <c r="B139" s="1200"/>
      <c r="C139" s="1120"/>
      <c r="D139" s="1120"/>
      <c r="E139" s="1015">
        <f t="shared" si="1"/>
        <v>0</v>
      </c>
      <c r="F139" s="1201"/>
      <c r="G139" s="1029"/>
    </row>
    <row r="140" spans="1:7" ht="15" customHeight="1">
      <c r="A140" s="680"/>
      <c r="B140" s="1200"/>
      <c r="C140" s="1120"/>
      <c r="D140" s="1120"/>
      <c r="E140" s="1015">
        <f t="shared" si="1"/>
        <v>0</v>
      </c>
      <c r="F140" s="1201"/>
      <c r="G140" s="1029"/>
    </row>
    <row r="141" spans="1:7" ht="15" customHeight="1">
      <c r="A141" s="680"/>
      <c r="B141" s="1200"/>
      <c r="C141" s="1120"/>
      <c r="D141" s="1120"/>
      <c r="E141" s="1015">
        <f t="shared" si="1"/>
        <v>0</v>
      </c>
      <c r="F141" s="1201"/>
      <c r="G141" s="1029"/>
    </row>
    <row r="142" spans="1:7" ht="15" customHeight="1">
      <c r="A142" s="680"/>
      <c r="B142" s="1200"/>
      <c r="C142" s="1120"/>
      <c r="D142" s="1120"/>
      <c r="E142" s="1015">
        <f t="shared" si="1"/>
        <v>0</v>
      </c>
      <c r="F142" s="1201"/>
      <c r="G142" s="1029"/>
    </row>
    <row r="143" spans="1:7" ht="15" customHeight="1">
      <c r="A143" s="680"/>
      <c r="B143" s="1200"/>
      <c r="C143" s="1120"/>
      <c r="D143" s="1120"/>
      <c r="E143" s="1015">
        <f t="shared" si="1"/>
        <v>0</v>
      </c>
      <c r="F143" s="1201"/>
      <c r="G143" s="1029"/>
    </row>
    <row r="144" spans="1:7" ht="15" customHeight="1">
      <c r="A144" s="680"/>
      <c r="B144" s="1200"/>
      <c r="C144" s="1120"/>
      <c r="D144" s="1120"/>
      <c r="E144" s="1015">
        <f t="shared" si="1"/>
        <v>0</v>
      </c>
      <c r="F144" s="1201"/>
      <c r="G144" s="1029"/>
    </row>
    <row r="145" spans="1:7" ht="15" customHeight="1">
      <c r="A145" s="680"/>
      <c r="B145" s="1200"/>
      <c r="C145" s="1120"/>
      <c r="D145" s="1120"/>
      <c r="E145" s="1015">
        <f t="shared" ref="E145:E208" si="2">B145-C145+D145</f>
        <v>0</v>
      </c>
      <c r="F145" s="1201"/>
      <c r="G145" s="1029"/>
    </row>
    <row r="146" spans="1:7" ht="15" customHeight="1">
      <c r="A146" s="680"/>
      <c r="B146" s="1200"/>
      <c r="C146" s="1120"/>
      <c r="D146" s="1120"/>
      <c r="E146" s="1015">
        <f t="shared" si="2"/>
        <v>0</v>
      </c>
      <c r="F146" s="1201"/>
      <c r="G146" s="1029"/>
    </row>
    <row r="147" spans="1:7" ht="15" customHeight="1">
      <c r="A147" s="680"/>
      <c r="B147" s="1200"/>
      <c r="C147" s="1120"/>
      <c r="D147" s="1120"/>
      <c r="E147" s="1015">
        <f t="shared" si="2"/>
        <v>0</v>
      </c>
      <c r="F147" s="1201"/>
      <c r="G147" s="1029"/>
    </row>
    <row r="148" spans="1:7" ht="15" customHeight="1">
      <c r="A148" s="680"/>
      <c r="B148" s="1200"/>
      <c r="C148" s="1120"/>
      <c r="D148" s="1120"/>
      <c r="E148" s="1015">
        <f t="shared" si="2"/>
        <v>0</v>
      </c>
      <c r="F148" s="1201"/>
      <c r="G148" s="1029"/>
    </row>
    <row r="149" spans="1:7" ht="15" customHeight="1">
      <c r="A149" s="680"/>
      <c r="B149" s="1200"/>
      <c r="C149" s="1120"/>
      <c r="D149" s="1120"/>
      <c r="E149" s="1015">
        <f t="shared" si="2"/>
        <v>0</v>
      </c>
      <c r="F149" s="1201"/>
      <c r="G149" s="1029"/>
    </row>
    <row r="150" spans="1:7" ht="15" customHeight="1">
      <c r="A150" s="680"/>
      <c r="B150" s="1200"/>
      <c r="C150" s="1120"/>
      <c r="D150" s="1120"/>
      <c r="E150" s="1015">
        <f t="shared" si="2"/>
        <v>0</v>
      </c>
      <c r="F150" s="1201"/>
      <c r="G150" s="1029"/>
    </row>
    <row r="151" spans="1:7" ht="15" customHeight="1">
      <c r="A151" s="680"/>
      <c r="B151" s="1200"/>
      <c r="C151" s="1120"/>
      <c r="D151" s="1120"/>
      <c r="E151" s="1015">
        <f t="shared" si="2"/>
        <v>0</v>
      </c>
      <c r="F151" s="1201"/>
      <c r="G151" s="1029"/>
    </row>
    <row r="152" spans="1:7" ht="15" customHeight="1">
      <c r="A152" s="680"/>
      <c r="B152" s="1200"/>
      <c r="C152" s="1120"/>
      <c r="D152" s="1120"/>
      <c r="E152" s="1015">
        <f t="shared" si="2"/>
        <v>0</v>
      </c>
      <c r="F152" s="1201"/>
      <c r="G152" s="1029"/>
    </row>
    <row r="153" spans="1:7" ht="15" customHeight="1">
      <c r="A153" s="680"/>
      <c r="B153" s="1200"/>
      <c r="C153" s="1120"/>
      <c r="D153" s="1120"/>
      <c r="E153" s="1015">
        <f t="shared" si="2"/>
        <v>0</v>
      </c>
      <c r="F153" s="1201"/>
      <c r="G153" s="1029"/>
    </row>
    <row r="154" spans="1:7" ht="15" customHeight="1">
      <c r="A154" s="680"/>
      <c r="B154" s="1200"/>
      <c r="C154" s="1120"/>
      <c r="D154" s="1120"/>
      <c r="E154" s="1015">
        <f t="shared" si="2"/>
        <v>0</v>
      </c>
      <c r="F154" s="1201"/>
      <c r="G154" s="1029"/>
    </row>
    <row r="155" spans="1:7" ht="15" customHeight="1">
      <c r="A155" s="680"/>
      <c r="B155" s="1200"/>
      <c r="C155" s="1120"/>
      <c r="D155" s="1120"/>
      <c r="E155" s="1015">
        <f t="shared" si="2"/>
        <v>0</v>
      </c>
      <c r="F155" s="1201"/>
      <c r="G155" s="1029"/>
    </row>
    <row r="156" spans="1:7" ht="15" customHeight="1">
      <c r="A156" s="680"/>
      <c r="B156" s="1200"/>
      <c r="C156" s="1120"/>
      <c r="D156" s="1120"/>
      <c r="E156" s="1015">
        <f t="shared" si="2"/>
        <v>0</v>
      </c>
      <c r="F156" s="1201"/>
      <c r="G156" s="1029"/>
    </row>
    <row r="157" spans="1:7" ht="15" customHeight="1">
      <c r="A157" s="680"/>
      <c r="B157" s="1200"/>
      <c r="C157" s="1120"/>
      <c r="D157" s="1120"/>
      <c r="E157" s="1015">
        <f t="shared" si="2"/>
        <v>0</v>
      </c>
      <c r="F157" s="1201"/>
      <c r="G157" s="1029"/>
    </row>
    <row r="158" spans="1:7" ht="15" customHeight="1">
      <c r="A158" s="680"/>
      <c r="B158" s="1200"/>
      <c r="C158" s="1120"/>
      <c r="D158" s="1120"/>
      <c r="E158" s="1015">
        <f t="shared" si="2"/>
        <v>0</v>
      </c>
      <c r="F158" s="1201"/>
      <c r="G158" s="1029"/>
    </row>
    <row r="159" spans="1:7" ht="15" customHeight="1">
      <c r="A159" s="680"/>
      <c r="B159" s="1200"/>
      <c r="C159" s="1120"/>
      <c r="D159" s="1120"/>
      <c r="E159" s="1015">
        <f t="shared" si="2"/>
        <v>0</v>
      </c>
      <c r="F159" s="1201"/>
      <c r="G159" s="1029"/>
    </row>
    <row r="160" spans="1:7" ht="15" customHeight="1">
      <c r="A160" s="680"/>
      <c r="B160" s="1200"/>
      <c r="C160" s="1120"/>
      <c r="D160" s="1120"/>
      <c r="E160" s="1015">
        <f t="shared" si="2"/>
        <v>0</v>
      </c>
      <c r="F160" s="1201"/>
      <c r="G160" s="1029"/>
    </row>
    <row r="161" spans="1:7" ht="15" customHeight="1">
      <c r="A161" s="680"/>
      <c r="B161" s="1200"/>
      <c r="C161" s="1120"/>
      <c r="D161" s="1120"/>
      <c r="E161" s="1015">
        <f t="shared" si="2"/>
        <v>0</v>
      </c>
      <c r="F161" s="1201"/>
      <c r="G161" s="1029"/>
    </row>
    <row r="162" spans="1:7" ht="15" customHeight="1">
      <c r="A162" s="680"/>
      <c r="B162" s="1200"/>
      <c r="C162" s="1120"/>
      <c r="D162" s="1120"/>
      <c r="E162" s="1015">
        <f t="shared" si="2"/>
        <v>0</v>
      </c>
      <c r="F162" s="1201"/>
      <c r="G162" s="1029"/>
    </row>
    <row r="163" spans="1:7" ht="15" customHeight="1">
      <c r="A163" s="680"/>
      <c r="B163" s="1200"/>
      <c r="C163" s="1120"/>
      <c r="D163" s="1120"/>
      <c r="E163" s="1015">
        <f t="shared" si="2"/>
        <v>0</v>
      </c>
      <c r="F163" s="1201"/>
      <c r="G163" s="1029"/>
    </row>
    <row r="164" spans="1:7" ht="15" customHeight="1">
      <c r="A164" s="680"/>
      <c r="B164" s="1200"/>
      <c r="C164" s="1120"/>
      <c r="D164" s="1120"/>
      <c r="E164" s="1015">
        <f t="shared" si="2"/>
        <v>0</v>
      </c>
      <c r="F164" s="1201"/>
      <c r="G164" s="1029"/>
    </row>
    <row r="165" spans="1:7" ht="15" customHeight="1">
      <c r="A165" s="680"/>
      <c r="B165" s="1200"/>
      <c r="C165" s="1120"/>
      <c r="D165" s="1120"/>
      <c r="E165" s="1015">
        <f t="shared" si="2"/>
        <v>0</v>
      </c>
      <c r="F165" s="1201"/>
      <c r="G165" s="1029"/>
    </row>
    <row r="166" spans="1:7" ht="15" customHeight="1">
      <c r="A166" s="680"/>
      <c r="B166" s="1200"/>
      <c r="C166" s="1120"/>
      <c r="D166" s="1120"/>
      <c r="E166" s="1015">
        <f t="shared" si="2"/>
        <v>0</v>
      </c>
      <c r="F166" s="1201"/>
      <c r="G166" s="1029"/>
    </row>
    <row r="167" spans="1:7" ht="15" customHeight="1">
      <c r="A167" s="680"/>
      <c r="B167" s="1200"/>
      <c r="C167" s="1120"/>
      <c r="D167" s="1120"/>
      <c r="E167" s="1015">
        <f t="shared" si="2"/>
        <v>0</v>
      </c>
      <c r="F167" s="1201"/>
      <c r="G167" s="1029"/>
    </row>
    <row r="168" spans="1:7" ht="15" customHeight="1">
      <c r="A168" s="680"/>
      <c r="B168" s="1200"/>
      <c r="C168" s="1120"/>
      <c r="D168" s="1120"/>
      <c r="E168" s="1015">
        <f t="shared" si="2"/>
        <v>0</v>
      </c>
      <c r="F168" s="1201"/>
      <c r="G168" s="1029"/>
    </row>
    <row r="169" spans="1:7" ht="15" customHeight="1">
      <c r="A169" s="680"/>
      <c r="B169" s="1200"/>
      <c r="C169" s="1120"/>
      <c r="D169" s="1120"/>
      <c r="E169" s="1015">
        <f t="shared" si="2"/>
        <v>0</v>
      </c>
      <c r="F169" s="1201"/>
      <c r="G169" s="1029"/>
    </row>
    <row r="170" spans="1:7" ht="15" customHeight="1">
      <c r="A170" s="680"/>
      <c r="B170" s="1200"/>
      <c r="C170" s="1120"/>
      <c r="D170" s="1120"/>
      <c r="E170" s="1015">
        <f t="shared" si="2"/>
        <v>0</v>
      </c>
      <c r="F170" s="1201"/>
      <c r="G170" s="1029"/>
    </row>
    <row r="171" spans="1:7" ht="15" customHeight="1">
      <c r="A171" s="680"/>
      <c r="B171" s="1200"/>
      <c r="C171" s="1120"/>
      <c r="D171" s="1120"/>
      <c r="E171" s="1015">
        <f t="shared" si="2"/>
        <v>0</v>
      </c>
      <c r="F171" s="1201"/>
      <c r="G171" s="1029"/>
    </row>
    <row r="172" spans="1:7" ht="15" customHeight="1">
      <c r="A172" s="680"/>
      <c r="B172" s="1200"/>
      <c r="C172" s="1120"/>
      <c r="D172" s="1120"/>
      <c r="E172" s="1015">
        <f t="shared" si="2"/>
        <v>0</v>
      </c>
      <c r="F172" s="1201"/>
      <c r="G172" s="1029"/>
    </row>
    <row r="173" spans="1:7" ht="15" customHeight="1">
      <c r="A173" s="680"/>
      <c r="B173" s="1200"/>
      <c r="C173" s="1120"/>
      <c r="D173" s="1120"/>
      <c r="E173" s="1015">
        <f t="shared" si="2"/>
        <v>0</v>
      </c>
      <c r="F173" s="1201"/>
      <c r="G173" s="1029"/>
    </row>
    <row r="174" spans="1:7" ht="15" customHeight="1">
      <c r="A174" s="680"/>
      <c r="B174" s="1200"/>
      <c r="C174" s="1120"/>
      <c r="D174" s="1120"/>
      <c r="E174" s="1015">
        <f t="shared" si="2"/>
        <v>0</v>
      </c>
      <c r="F174" s="1201"/>
      <c r="G174" s="1029"/>
    </row>
    <row r="175" spans="1:7" ht="15" customHeight="1">
      <c r="A175" s="680"/>
      <c r="B175" s="1200"/>
      <c r="C175" s="1120"/>
      <c r="D175" s="1120"/>
      <c r="E175" s="1015">
        <f t="shared" si="2"/>
        <v>0</v>
      </c>
      <c r="F175" s="1201"/>
      <c r="G175" s="1029"/>
    </row>
    <row r="176" spans="1:7" ht="15" customHeight="1">
      <c r="A176" s="680"/>
      <c r="B176" s="1200"/>
      <c r="C176" s="1120"/>
      <c r="D176" s="1120"/>
      <c r="E176" s="1015">
        <f t="shared" si="2"/>
        <v>0</v>
      </c>
      <c r="F176" s="1201"/>
      <c r="G176" s="1029"/>
    </row>
    <row r="177" spans="1:7" ht="15" customHeight="1">
      <c r="A177" s="680"/>
      <c r="B177" s="1200"/>
      <c r="C177" s="1120"/>
      <c r="D177" s="1120"/>
      <c r="E177" s="1015">
        <f t="shared" si="2"/>
        <v>0</v>
      </c>
      <c r="F177" s="1201"/>
      <c r="G177" s="1029"/>
    </row>
    <row r="178" spans="1:7" ht="15" customHeight="1">
      <c r="A178" s="680"/>
      <c r="B178" s="1200"/>
      <c r="C178" s="1120"/>
      <c r="D178" s="1120"/>
      <c r="E178" s="1015">
        <f t="shared" si="2"/>
        <v>0</v>
      </c>
      <c r="F178" s="1201"/>
      <c r="G178" s="1029"/>
    </row>
    <row r="179" spans="1:7" ht="15" customHeight="1">
      <c r="A179" s="680"/>
      <c r="B179" s="1200"/>
      <c r="C179" s="1120"/>
      <c r="D179" s="1120"/>
      <c r="E179" s="1015">
        <f t="shared" si="2"/>
        <v>0</v>
      </c>
      <c r="F179" s="1201"/>
      <c r="G179" s="1029"/>
    </row>
    <row r="180" spans="1:7" ht="15" customHeight="1">
      <c r="A180" s="680"/>
      <c r="B180" s="1200"/>
      <c r="C180" s="1120"/>
      <c r="D180" s="1120"/>
      <c r="E180" s="1015">
        <f t="shared" si="2"/>
        <v>0</v>
      </c>
      <c r="F180" s="1201"/>
      <c r="G180" s="1029"/>
    </row>
    <row r="181" spans="1:7" ht="15" customHeight="1">
      <c r="A181" s="680"/>
      <c r="B181" s="1200"/>
      <c r="C181" s="1120"/>
      <c r="D181" s="1120"/>
      <c r="E181" s="1015">
        <f t="shared" si="2"/>
        <v>0</v>
      </c>
      <c r="F181" s="1201"/>
      <c r="G181" s="1029"/>
    </row>
    <row r="182" spans="1:7" ht="15" customHeight="1">
      <c r="A182" s="680"/>
      <c r="B182" s="1200"/>
      <c r="C182" s="1120"/>
      <c r="D182" s="1120"/>
      <c r="E182" s="1015">
        <f t="shared" si="2"/>
        <v>0</v>
      </c>
      <c r="F182" s="1201"/>
      <c r="G182" s="1029"/>
    </row>
    <row r="183" spans="1:7" ht="15" customHeight="1">
      <c r="A183" s="680"/>
      <c r="B183" s="1200"/>
      <c r="C183" s="1120"/>
      <c r="D183" s="1120"/>
      <c r="E183" s="1015">
        <f t="shared" si="2"/>
        <v>0</v>
      </c>
      <c r="F183" s="1201"/>
      <c r="G183" s="1029"/>
    </row>
    <row r="184" spans="1:7" ht="15" customHeight="1">
      <c r="A184" s="680"/>
      <c r="B184" s="1200"/>
      <c r="C184" s="1120"/>
      <c r="D184" s="1120"/>
      <c r="E184" s="1015">
        <f t="shared" si="2"/>
        <v>0</v>
      </c>
      <c r="F184" s="1201"/>
      <c r="G184" s="1029"/>
    </row>
    <row r="185" spans="1:7" ht="15" customHeight="1">
      <c r="A185" s="680"/>
      <c r="B185" s="1200"/>
      <c r="C185" s="1120"/>
      <c r="D185" s="1120"/>
      <c r="E185" s="1015">
        <f t="shared" si="2"/>
        <v>0</v>
      </c>
      <c r="F185" s="1201"/>
      <c r="G185" s="1029"/>
    </row>
    <row r="186" spans="1:7" ht="15" customHeight="1">
      <c r="A186" s="680"/>
      <c r="B186" s="1200"/>
      <c r="C186" s="1120"/>
      <c r="D186" s="1120"/>
      <c r="E186" s="1015">
        <f t="shared" si="2"/>
        <v>0</v>
      </c>
      <c r="F186" s="1201"/>
      <c r="G186" s="1029"/>
    </row>
    <row r="187" spans="1:7" ht="15" customHeight="1">
      <c r="A187" s="680"/>
      <c r="B187" s="1200"/>
      <c r="C187" s="1120"/>
      <c r="D187" s="1120"/>
      <c r="E187" s="1015">
        <f t="shared" si="2"/>
        <v>0</v>
      </c>
      <c r="F187" s="1201"/>
      <c r="G187" s="1029"/>
    </row>
    <row r="188" spans="1:7" ht="15" customHeight="1">
      <c r="A188" s="680"/>
      <c r="B188" s="1200"/>
      <c r="C188" s="1120"/>
      <c r="D188" s="1120"/>
      <c r="E188" s="1015">
        <f t="shared" si="2"/>
        <v>0</v>
      </c>
      <c r="F188" s="1201"/>
      <c r="G188" s="1029"/>
    </row>
    <row r="189" spans="1:7" ht="15" customHeight="1">
      <c r="A189" s="680"/>
      <c r="B189" s="1200"/>
      <c r="C189" s="1120"/>
      <c r="D189" s="1120"/>
      <c r="E189" s="1015">
        <f t="shared" si="2"/>
        <v>0</v>
      </c>
      <c r="F189" s="1201"/>
      <c r="G189" s="1029"/>
    </row>
    <row r="190" spans="1:7" ht="15" customHeight="1">
      <c r="A190" s="680"/>
      <c r="B190" s="1200"/>
      <c r="C190" s="1120"/>
      <c r="D190" s="1120"/>
      <c r="E190" s="1015">
        <f t="shared" si="2"/>
        <v>0</v>
      </c>
      <c r="F190" s="1201"/>
      <c r="G190" s="1029"/>
    </row>
    <row r="191" spans="1:7" ht="15" customHeight="1">
      <c r="A191" s="680"/>
      <c r="B191" s="1200"/>
      <c r="C191" s="1120"/>
      <c r="D191" s="1120"/>
      <c r="E191" s="1015">
        <f t="shared" si="2"/>
        <v>0</v>
      </c>
      <c r="F191" s="1201"/>
      <c r="G191" s="1029"/>
    </row>
    <row r="192" spans="1:7" ht="15" customHeight="1">
      <c r="A192" s="680"/>
      <c r="B192" s="1200"/>
      <c r="C192" s="1120"/>
      <c r="D192" s="1120"/>
      <c r="E192" s="1015">
        <f t="shared" si="2"/>
        <v>0</v>
      </c>
      <c r="F192" s="1201"/>
      <c r="G192" s="1029"/>
    </row>
    <row r="193" spans="1:7" ht="15" customHeight="1">
      <c r="A193" s="680"/>
      <c r="B193" s="1200"/>
      <c r="C193" s="1120"/>
      <c r="D193" s="1120"/>
      <c r="E193" s="1015">
        <f t="shared" si="2"/>
        <v>0</v>
      </c>
      <c r="F193" s="1201"/>
      <c r="G193" s="1029"/>
    </row>
    <row r="194" spans="1:7" ht="15" customHeight="1">
      <c r="A194" s="680"/>
      <c r="B194" s="1200"/>
      <c r="C194" s="1120"/>
      <c r="D194" s="1120"/>
      <c r="E194" s="1015">
        <f t="shared" si="2"/>
        <v>0</v>
      </c>
      <c r="F194" s="1201"/>
      <c r="G194" s="1029"/>
    </row>
    <row r="195" spans="1:7" ht="15" customHeight="1">
      <c r="A195" s="680"/>
      <c r="B195" s="1200"/>
      <c r="C195" s="1120"/>
      <c r="D195" s="1120"/>
      <c r="E195" s="1015">
        <f t="shared" si="2"/>
        <v>0</v>
      </c>
      <c r="F195" s="1201"/>
      <c r="G195" s="1029"/>
    </row>
    <row r="196" spans="1:7" ht="15" customHeight="1">
      <c r="A196" s="680"/>
      <c r="B196" s="1200"/>
      <c r="C196" s="1120"/>
      <c r="D196" s="1120"/>
      <c r="E196" s="1015">
        <f t="shared" si="2"/>
        <v>0</v>
      </c>
      <c r="F196" s="1201"/>
      <c r="G196" s="1029"/>
    </row>
    <row r="197" spans="1:7" ht="15" customHeight="1">
      <c r="A197" s="680"/>
      <c r="B197" s="1200"/>
      <c r="C197" s="1120"/>
      <c r="D197" s="1120"/>
      <c r="E197" s="1015">
        <f t="shared" si="2"/>
        <v>0</v>
      </c>
      <c r="F197" s="1201"/>
      <c r="G197" s="1029"/>
    </row>
    <row r="198" spans="1:7" ht="15" customHeight="1">
      <c r="A198" s="680"/>
      <c r="B198" s="1200"/>
      <c r="C198" s="1120"/>
      <c r="D198" s="1120"/>
      <c r="E198" s="1015">
        <f t="shared" si="2"/>
        <v>0</v>
      </c>
      <c r="F198" s="1201"/>
      <c r="G198" s="1029"/>
    </row>
    <row r="199" spans="1:7" ht="15" customHeight="1">
      <c r="A199" s="680"/>
      <c r="B199" s="1200"/>
      <c r="C199" s="1120"/>
      <c r="D199" s="1120"/>
      <c r="E199" s="1015">
        <f t="shared" si="2"/>
        <v>0</v>
      </c>
      <c r="F199" s="1201"/>
      <c r="G199" s="1029"/>
    </row>
    <row r="200" spans="1:7" ht="15" customHeight="1">
      <c r="A200" s="680"/>
      <c r="B200" s="1200"/>
      <c r="C200" s="1120"/>
      <c r="D200" s="1120"/>
      <c r="E200" s="1015">
        <f t="shared" si="2"/>
        <v>0</v>
      </c>
      <c r="F200" s="1201"/>
      <c r="G200" s="1029"/>
    </row>
    <row r="201" spans="1:7" ht="15" customHeight="1">
      <c r="A201" s="680"/>
      <c r="B201" s="1200"/>
      <c r="C201" s="1120"/>
      <c r="D201" s="1120"/>
      <c r="E201" s="1015">
        <f t="shared" si="2"/>
        <v>0</v>
      </c>
      <c r="F201" s="1201"/>
      <c r="G201" s="1029"/>
    </row>
    <row r="202" spans="1:7" ht="15" customHeight="1">
      <c r="A202" s="680"/>
      <c r="B202" s="1200"/>
      <c r="C202" s="1120"/>
      <c r="D202" s="1120"/>
      <c r="E202" s="1015">
        <f t="shared" si="2"/>
        <v>0</v>
      </c>
      <c r="F202" s="1201"/>
      <c r="G202" s="1029"/>
    </row>
    <row r="203" spans="1:7" ht="15" customHeight="1">
      <c r="A203" s="680"/>
      <c r="B203" s="1200"/>
      <c r="C203" s="1120"/>
      <c r="D203" s="1120"/>
      <c r="E203" s="1015">
        <f t="shared" si="2"/>
        <v>0</v>
      </c>
      <c r="F203" s="1201"/>
      <c r="G203" s="1029"/>
    </row>
    <row r="204" spans="1:7" ht="15" customHeight="1">
      <c r="A204" s="680"/>
      <c r="B204" s="1200"/>
      <c r="C204" s="1120"/>
      <c r="D204" s="1120"/>
      <c r="E204" s="1015">
        <f t="shared" si="2"/>
        <v>0</v>
      </c>
      <c r="F204" s="1201"/>
      <c r="G204" s="1029"/>
    </row>
    <row r="205" spans="1:7" ht="15" customHeight="1">
      <c r="A205" s="680"/>
      <c r="B205" s="1200"/>
      <c r="C205" s="1120"/>
      <c r="D205" s="1120"/>
      <c r="E205" s="1015">
        <f t="shared" si="2"/>
        <v>0</v>
      </c>
      <c r="F205" s="1201"/>
      <c r="G205" s="1029"/>
    </row>
    <row r="206" spans="1:7" ht="15" customHeight="1">
      <c r="A206" s="680"/>
      <c r="B206" s="1200"/>
      <c r="C206" s="1120"/>
      <c r="D206" s="1120"/>
      <c r="E206" s="1015">
        <f t="shared" si="2"/>
        <v>0</v>
      </c>
      <c r="F206" s="1201"/>
      <c r="G206" s="1029"/>
    </row>
    <row r="207" spans="1:7" ht="15" customHeight="1">
      <c r="A207" s="680"/>
      <c r="B207" s="1200"/>
      <c r="C207" s="1120"/>
      <c r="D207" s="1120"/>
      <c r="E207" s="1015">
        <f t="shared" si="2"/>
        <v>0</v>
      </c>
      <c r="F207" s="1201"/>
      <c r="G207" s="1029"/>
    </row>
    <row r="208" spans="1:7" ht="15" customHeight="1">
      <c r="A208" s="680"/>
      <c r="B208" s="1200"/>
      <c r="C208" s="1120"/>
      <c r="D208" s="1120"/>
      <c r="E208" s="1015">
        <f t="shared" si="2"/>
        <v>0</v>
      </c>
      <c r="F208" s="1201"/>
      <c r="G208" s="1029"/>
    </row>
    <row r="209" spans="1:7" ht="15" customHeight="1">
      <c r="A209" s="680"/>
      <c r="B209" s="1200"/>
      <c r="C209" s="1120"/>
      <c r="D209" s="1120"/>
      <c r="E209" s="1015">
        <f t="shared" ref="E209:E272" si="3">B209-C209+D209</f>
        <v>0</v>
      </c>
      <c r="F209" s="1201"/>
      <c r="G209" s="1029"/>
    </row>
    <row r="210" spans="1:7" ht="15" customHeight="1">
      <c r="A210" s="680"/>
      <c r="B210" s="1200"/>
      <c r="C210" s="1120"/>
      <c r="D210" s="1120"/>
      <c r="E210" s="1015">
        <f t="shared" si="3"/>
        <v>0</v>
      </c>
      <c r="F210" s="1201"/>
      <c r="G210" s="1029"/>
    </row>
    <row r="211" spans="1:7" ht="15" customHeight="1">
      <c r="A211" s="680"/>
      <c r="B211" s="1200"/>
      <c r="C211" s="1120"/>
      <c r="D211" s="1120"/>
      <c r="E211" s="1015">
        <f t="shared" si="3"/>
        <v>0</v>
      </c>
      <c r="F211" s="1201"/>
      <c r="G211" s="1029"/>
    </row>
    <row r="212" spans="1:7" ht="15" customHeight="1">
      <c r="A212" s="680"/>
      <c r="B212" s="1200"/>
      <c r="C212" s="1120"/>
      <c r="D212" s="1120"/>
      <c r="E212" s="1015">
        <f t="shared" si="3"/>
        <v>0</v>
      </c>
      <c r="F212" s="1201"/>
      <c r="G212" s="1029"/>
    </row>
    <row r="213" spans="1:7" ht="15" customHeight="1">
      <c r="A213" s="680"/>
      <c r="B213" s="1200"/>
      <c r="C213" s="1120"/>
      <c r="D213" s="1120"/>
      <c r="E213" s="1015">
        <f t="shared" si="3"/>
        <v>0</v>
      </c>
      <c r="F213" s="1201"/>
      <c r="G213" s="1029"/>
    </row>
    <row r="214" spans="1:7" ht="15" customHeight="1">
      <c r="A214" s="680"/>
      <c r="B214" s="1200"/>
      <c r="C214" s="1120"/>
      <c r="D214" s="1120"/>
      <c r="E214" s="1015">
        <f t="shared" si="3"/>
        <v>0</v>
      </c>
      <c r="F214" s="1201"/>
      <c r="G214" s="1029"/>
    </row>
    <row r="215" spans="1:7" ht="15" customHeight="1">
      <c r="A215" s="680"/>
      <c r="B215" s="1200"/>
      <c r="C215" s="1120"/>
      <c r="D215" s="1120"/>
      <c r="E215" s="1015">
        <f t="shared" si="3"/>
        <v>0</v>
      </c>
      <c r="F215" s="1201"/>
      <c r="G215" s="1029"/>
    </row>
    <row r="216" spans="1:7" ht="15" customHeight="1">
      <c r="A216" s="680"/>
      <c r="B216" s="1200"/>
      <c r="C216" s="1120"/>
      <c r="D216" s="1120"/>
      <c r="E216" s="1015">
        <f t="shared" si="3"/>
        <v>0</v>
      </c>
      <c r="F216" s="1201"/>
      <c r="G216" s="1029"/>
    </row>
    <row r="217" spans="1:7" ht="15" customHeight="1">
      <c r="A217" s="680"/>
      <c r="B217" s="1200"/>
      <c r="C217" s="1120"/>
      <c r="D217" s="1120"/>
      <c r="E217" s="1015">
        <f t="shared" si="3"/>
        <v>0</v>
      </c>
      <c r="F217" s="1201"/>
      <c r="G217" s="1029"/>
    </row>
    <row r="218" spans="1:7" ht="15" customHeight="1">
      <c r="A218" s="680"/>
      <c r="B218" s="1200"/>
      <c r="C218" s="1120"/>
      <c r="D218" s="1120"/>
      <c r="E218" s="1015">
        <f t="shared" si="3"/>
        <v>0</v>
      </c>
      <c r="F218" s="1201"/>
      <c r="G218" s="1029"/>
    </row>
    <row r="219" spans="1:7" ht="15" customHeight="1">
      <c r="A219" s="680"/>
      <c r="B219" s="1200"/>
      <c r="C219" s="1120"/>
      <c r="D219" s="1120"/>
      <c r="E219" s="1015">
        <f t="shared" si="3"/>
        <v>0</v>
      </c>
      <c r="F219" s="1201"/>
      <c r="G219" s="1029"/>
    </row>
    <row r="220" spans="1:7" ht="15" customHeight="1">
      <c r="A220" s="680"/>
      <c r="B220" s="1200"/>
      <c r="C220" s="1120"/>
      <c r="D220" s="1120"/>
      <c r="E220" s="1015">
        <f t="shared" si="3"/>
        <v>0</v>
      </c>
      <c r="F220" s="1201"/>
      <c r="G220" s="1029"/>
    </row>
    <row r="221" spans="1:7" ht="15" customHeight="1">
      <c r="A221" s="680"/>
      <c r="B221" s="1200"/>
      <c r="C221" s="1120"/>
      <c r="D221" s="1120"/>
      <c r="E221" s="1015">
        <f t="shared" si="3"/>
        <v>0</v>
      </c>
      <c r="F221" s="1201"/>
      <c r="G221" s="1029"/>
    </row>
    <row r="222" spans="1:7" ht="15" customHeight="1">
      <c r="A222" s="680"/>
      <c r="B222" s="1200"/>
      <c r="C222" s="1120"/>
      <c r="D222" s="1120"/>
      <c r="E222" s="1015">
        <f t="shared" si="3"/>
        <v>0</v>
      </c>
      <c r="F222" s="1201"/>
      <c r="G222" s="1029"/>
    </row>
    <row r="223" spans="1:7" ht="15" customHeight="1">
      <c r="A223" s="680"/>
      <c r="B223" s="1200"/>
      <c r="C223" s="1120"/>
      <c r="D223" s="1120"/>
      <c r="E223" s="1015">
        <f t="shared" si="3"/>
        <v>0</v>
      </c>
      <c r="F223" s="1201"/>
      <c r="G223" s="1029"/>
    </row>
    <row r="224" spans="1:7" ht="15" customHeight="1">
      <c r="A224" s="680"/>
      <c r="B224" s="1200"/>
      <c r="C224" s="1120"/>
      <c r="D224" s="1120"/>
      <c r="E224" s="1015">
        <f t="shared" si="3"/>
        <v>0</v>
      </c>
      <c r="F224" s="1201"/>
      <c r="G224" s="1029"/>
    </row>
    <row r="225" spans="1:7" ht="15" customHeight="1">
      <c r="A225" s="680"/>
      <c r="B225" s="1200"/>
      <c r="C225" s="1120"/>
      <c r="D225" s="1120"/>
      <c r="E225" s="1015">
        <f t="shared" si="3"/>
        <v>0</v>
      </c>
      <c r="F225" s="1201"/>
      <c r="G225" s="1029"/>
    </row>
    <row r="226" spans="1:7" ht="15" customHeight="1">
      <c r="A226" s="680"/>
      <c r="B226" s="1200"/>
      <c r="C226" s="1120"/>
      <c r="D226" s="1120"/>
      <c r="E226" s="1015">
        <f t="shared" si="3"/>
        <v>0</v>
      </c>
      <c r="F226" s="1201"/>
      <c r="G226" s="1029"/>
    </row>
    <row r="227" spans="1:7" ht="15" customHeight="1">
      <c r="A227" s="680"/>
      <c r="B227" s="1200"/>
      <c r="C227" s="1120"/>
      <c r="D227" s="1120"/>
      <c r="E227" s="1015">
        <f t="shared" si="3"/>
        <v>0</v>
      </c>
      <c r="F227" s="1201"/>
      <c r="G227" s="1029"/>
    </row>
    <row r="228" spans="1:7" ht="15" customHeight="1">
      <c r="A228" s="680"/>
      <c r="B228" s="1200"/>
      <c r="C228" s="1120"/>
      <c r="D228" s="1120"/>
      <c r="E228" s="1015">
        <f t="shared" si="3"/>
        <v>0</v>
      </c>
      <c r="F228" s="1201"/>
      <c r="G228" s="1029"/>
    </row>
    <row r="229" spans="1:7" ht="15" customHeight="1">
      <c r="A229" s="680"/>
      <c r="B229" s="1200"/>
      <c r="C229" s="1120"/>
      <c r="D229" s="1120"/>
      <c r="E229" s="1015">
        <f t="shared" si="3"/>
        <v>0</v>
      </c>
      <c r="F229" s="1201"/>
      <c r="G229" s="1029"/>
    </row>
    <row r="230" spans="1:7" ht="15" customHeight="1">
      <c r="A230" s="680"/>
      <c r="B230" s="1200"/>
      <c r="C230" s="1120"/>
      <c r="D230" s="1120"/>
      <c r="E230" s="1015">
        <f t="shared" si="3"/>
        <v>0</v>
      </c>
      <c r="F230" s="1201"/>
      <c r="G230" s="1029"/>
    </row>
    <row r="231" spans="1:7" ht="15" customHeight="1">
      <c r="A231" s="680"/>
      <c r="B231" s="1200"/>
      <c r="C231" s="1120"/>
      <c r="D231" s="1120"/>
      <c r="E231" s="1015">
        <f t="shared" si="3"/>
        <v>0</v>
      </c>
      <c r="F231" s="1201"/>
      <c r="G231" s="1029"/>
    </row>
    <row r="232" spans="1:7" ht="15" customHeight="1">
      <c r="A232" s="680"/>
      <c r="B232" s="1200"/>
      <c r="C232" s="1120"/>
      <c r="D232" s="1120"/>
      <c r="E232" s="1015">
        <f t="shared" si="3"/>
        <v>0</v>
      </c>
      <c r="F232" s="1201"/>
      <c r="G232" s="1029"/>
    </row>
    <row r="233" spans="1:7" ht="15" customHeight="1">
      <c r="A233" s="680"/>
      <c r="B233" s="1200"/>
      <c r="C233" s="1120"/>
      <c r="D233" s="1120"/>
      <c r="E233" s="1015">
        <f t="shared" si="3"/>
        <v>0</v>
      </c>
      <c r="F233" s="1201"/>
      <c r="G233" s="1029"/>
    </row>
    <row r="234" spans="1:7" ht="15" customHeight="1">
      <c r="A234" s="680"/>
      <c r="B234" s="1200"/>
      <c r="C234" s="1120"/>
      <c r="D234" s="1120"/>
      <c r="E234" s="1015">
        <f t="shared" si="3"/>
        <v>0</v>
      </c>
      <c r="F234" s="1201"/>
      <c r="G234" s="1029"/>
    </row>
    <row r="235" spans="1:7" ht="15" customHeight="1">
      <c r="A235" s="680"/>
      <c r="B235" s="1200"/>
      <c r="C235" s="1120"/>
      <c r="D235" s="1120"/>
      <c r="E235" s="1015">
        <f t="shared" si="3"/>
        <v>0</v>
      </c>
      <c r="F235" s="1201"/>
      <c r="G235" s="1029"/>
    </row>
    <row r="236" spans="1:7" ht="15" customHeight="1">
      <c r="A236" s="680"/>
      <c r="B236" s="1200"/>
      <c r="C236" s="1120"/>
      <c r="D236" s="1120"/>
      <c r="E236" s="1015">
        <f t="shared" si="3"/>
        <v>0</v>
      </c>
      <c r="F236" s="1201"/>
      <c r="G236" s="1029"/>
    </row>
    <row r="237" spans="1:7" ht="15" customHeight="1">
      <c r="A237" s="680"/>
      <c r="B237" s="1200"/>
      <c r="C237" s="1120"/>
      <c r="D237" s="1120"/>
      <c r="E237" s="1015">
        <f t="shared" si="3"/>
        <v>0</v>
      </c>
      <c r="F237" s="1201"/>
      <c r="G237" s="1029"/>
    </row>
    <row r="238" spans="1:7" ht="15" customHeight="1">
      <c r="A238" s="680"/>
      <c r="B238" s="1200"/>
      <c r="C238" s="1120"/>
      <c r="D238" s="1120"/>
      <c r="E238" s="1015">
        <f t="shared" si="3"/>
        <v>0</v>
      </c>
      <c r="F238" s="1201"/>
      <c r="G238" s="1029"/>
    </row>
    <row r="239" spans="1:7" ht="15" customHeight="1">
      <c r="A239" s="680"/>
      <c r="B239" s="1200"/>
      <c r="C239" s="1120"/>
      <c r="D239" s="1120"/>
      <c r="E239" s="1015">
        <f t="shared" si="3"/>
        <v>0</v>
      </c>
      <c r="F239" s="1201"/>
      <c r="G239" s="1029"/>
    </row>
    <row r="240" spans="1:7" ht="15" customHeight="1">
      <c r="A240" s="680"/>
      <c r="B240" s="1200"/>
      <c r="C240" s="1120"/>
      <c r="D240" s="1120"/>
      <c r="E240" s="1015">
        <f t="shared" si="3"/>
        <v>0</v>
      </c>
      <c r="F240" s="1201"/>
      <c r="G240" s="1029"/>
    </row>
    <row r="241" spans="1:7" ht="15" customHeight="1">
      <c r="A241" s="680"/>
      <c r="B241" s="1200"/>
      <c r="C241" s="1120"/>
      <c r="D241" s="1120"/>
      <c r="E241" s="1015">
        <f t="shared" si="3"/>
        <v>0</v>
      </c>
      <c r="F241" s="1201"/>
      <c r="G241" s="1029"/>
    </row>
    <row r="242" spans="1:7" ht="15" customHeight="1">
      <c r="A242" s="680"/>
      <c r="B242" s="1200"/>
      <c r="C242" s="1120"/>
      <c r="D242" s="1120"/>
      <c r="E242" s="1015">
        <f t="shared" si="3"/>
        <v>0</v>
      </c>
      <c r="F242" s="1201"/>
      <c r="G242" s="1029"/>
    </row>
    <row r="243" spans="1:7" ht="15" customHeight="1">
      <c r="A243" s="680"/>
      <c r="B243" s="1200"/>
      <c r="C243" s="1120"/>
      <c r="D243" s="1120"/>
      <c r="E243" s="1015">
        <f t="shared" si="3"/>
        <v>0</v>
      </c>
      <c r="F243" s="1201"/>
      <c r="G243" s="1029"/>
    </row>
    <row r="244" spans="1:7" ht="15" customHeight="1">
      <c r="A244" s="680"/>
      <c r="B244" s="1200"/>
      <c r="C244" s="1120"/>
      <c r="D244" s="1120"/>
      <c r="E244" s="1015">
        <f t="shared" si="3"/>
        <v>0</v>
      </c>
      <c r="F244" s="1201"/>
      <c r="G244" s="1029"/>
    </row>
    <row r="245" spans="1:7" ht="15" customHeight="1">
      <c r="A245" s="680"/>
      <c r="B245" s="1200"/>
      <c r="C245" s="1120"/>
      <c r="D245" s="1120"/>
      <c r="E245" s="1015">
        <f t="shared" si="3"/>
        <v>0</v>
      </c>
      <c r="F245" s="1201"/>
      <c r="G245" s="1029"/>
    </row>
    <row r="246" spans="1:7" ht="15" customHeight="1">
      <c r="A246" s="680"/>
      <c r="B246" s="1200"/>
      <c r="C246" s="1120"/>
      <c r="D246" s="1120"/>
      <c r="E246" s="1015">
        <f t="shared" si="3"/>
        <v>0</v>
      </c>
      <c r="F246" s="1201"/>
      <c r="G246" s="1029"/>
    </row>
    <row r="247" spans="1:7" ht="15" customHeight="1">
      <c r="A247" s="680"/>
      <c r="B247" s="1200"/>
      <c r="C247" s="1120"/>
      <c r="D247" s="1120"/>
      <c r="E247" s="1015">
        <f t="shared" si="3"/>
        <v>0</v>
      </c>
      <c r="F247" s="1201"/>
      <c r="G247" s="1029"/>
    </row>
    <row r="248" spans="1:7" ht="15" customHeight="1">
      <c r="A248" s="680"/>
      <c r="B248" s="1200"/>
      <c r="C248" s="1120"/>
      <c r="D248" s="1120"/>
      <c r="E248" s="1015">
        <f t="shared" si="3"/>
        <v>0</v>
      </c>
      <c r="F248" s="1201"/>
      <c r="G248" s="1029"/>
    </row>
    <row r="249" spans="1:7" ht="15" customHeight="1">
      <c r="A249" s="680"/>
      <c r="B249" s="1200"/>
      <c r="C249" s="1120"/>
      <c r="D249" s="1120"/>
      <c r="E249" s="1015">
        <f t="shared" si="3"/>
        <v>0</v>
      </c>
      <c r="F249" s="1201"/>
      <c r="G249" s="1029"/>
    </row>
    <row r="250" spans="1:7" ht="15" customHeight="1">
      <c r="A250" s="680"/>
      <c r="B250" s="1200"/>
      <c r="C250" s="1120"/>
      <c r="D250" s="1120"/>
      <c r="E250" s="1015">
        <f t="shared" si="3"/>
        <v>0</v>
      </c>
      <c r="F250" s="1201"/>
      <c r="G250" s="1029"/>
    </row>
    <row r="251" spans="1:7" ht="15" customHeight="1">
      <c r="A251" s="680"/>
      <c r="B251" s="1200"/>
      <c r="C251" s="1120"/>
      <c r="D251" s="1120"/>
      <c r="E251" s="1015">
        <f t="shared" si="3"/>
        <v>0</v>
      </c>
      <c r="F251" s="1201"/>
      <c r="G251" s="1029"/>
    </row>
    <row r="252" spans="1:7" ht="15" customHeight="1">
      <c r="A252" s="680"/>
      <c r="B252" s="1200"/>
      <c r="C252" s="1120"/>
      <c r="D252" s="1120"/>
      <c r="E252" s="1015">
        <f t="shared" si="3"/>
        <v>0</v>
      </c>
      <c r="F252" s="1201"/>
      <c r="G252" s="1029"/>
    </row>
    <row r="253" spans="1:7" ht="15" customHeight="1">
      <c r="A253" s="680"/>
      <c r="B253" s="1200"/>
      <c r="C253" s="1120"/>
      <c r="D253" s="1120"/>
      <c r="E253" s="1015">
        <f t="shared" si="3"/>
        <v>0</v>
      </c>
      <c r="F253" s="1201"/>
      <c r="G253" s="1029"/>
    </row>
    <row r="254" spans="1:7" ht="15" customHeight="1">
      <c r="A254" s="680"/>
      <c r="B254" s="1200"/>
      <c r="C254" s="1120"/>
      <c r="D254" s="1120"/>
      <c r="E254" s="1015">
        <f t="shared" si="3"/>
        <v>0</v>
      </c>
      <c r="F254" s="1201"/>
      <c r="G254" s="1029"/>
    </row>
    <row r="255" spans="1:7" ht="15" customHeight="1">
      <c r="A255" s="680"/>
      <c r="B255" s="1200"/>
      <c r="C255" s="1120"/>
      <c r="D255" s="1120"/>
      <c r="E255" s="1015">
        <f t="shared" si="3"/>
        <v>0</v>
      </c>
      <c r="F255" s="1201"/>
      <c r="G255" s="1029"/>
    </row>
    <row r="256" spans="1:7" ht="15" customHeight="1">
      <c r="A256" s="680"/>
      <c r="B256" s="1200"/>
      <c r="C256" s="1120"/>
      <c r="D256" s="1120"/>
      <c r="E256" s="1015">
        <f t="shared" si="3"/>
        <v>0</v>
      </c>
      <c r="F256" s="1201"/>
      <c r="G256" s="1029"/>
    </row>
    <row r="257" spans="1:7" ht="15" customHeight="1">
      <c r="A257" s="680"/>
      <c r="B257" s="1200"/>
      <c r="C257" s="1120"/>
      <c r="D257" s="1120"/>
      <c r="E257" s="1015">
        <f t="shared" si="3"/>
        <v>0</v>
      </c>
      <c r="F257" s="1201"/>
      <c r="G257" s="1029"/>
    </row>
    <row r="258" spans="1:7" ht="15" customHeight="1">
      <c r="A258" s="680"/>
      <c r="B258" s="1200"/>
      <c r="C258" s="1120"/>
      <c r="D258" s="1120"/>
      <c r="E258" s="1015">
        <f t="shared" si="3"/>
        <v>0</v>
      </c>
      <c r="F258" s="1201"/>
      <c r="G258" s="1029"/>
    </row>
    <row r="259" spans="1:7" ht="15" customHeight="1">
      <c r="A259" s="680"/>
      <c r="B259" s="1200"/>
      <c r="C259" s="1120"/>
      <c r="D259" s="1120"/>
      <c r="E259" s="1015">
        <f t="shared" si="3"/>
        <v>0</v>
      </c>
      <c r="F259" s="1201"/>
      <c r="G259" s="1029"/>
    </row>
    <row r="260" spans="1:7" ht="15" customHeight="1">
      <c r="A260" s="680"/>
      <c r="B260" s="1200"/>
      <c r="C260" s="1120"/>
      <c r="D260" s="1120"/>
      <c r="E260" s="1015">
        <f t="shared" si="3"/>
        <v>0</v>
      </c>
      <c r="F260" s="1201"/>
      <c r="G260" s="1029"/>
    </row>
    <row r="261" spans="1:7" ht="15" customHeight="1">
      <c r="A261" s="680"/>
      <c r="B261" s="1200"/>
      <c r="C261" s="1120"/>
      <c r="D261" s="1120"/>
      <c r="E261" s="1015">
        <f t="shared" si="3"/>
        <v>0</v>
      </c>
      <c r="F261" s="1201"/>
      <c r="G261" s="1029"/>
    </row>
    <row r="262" spans="1:7" ht="15" customHeight="1">
      <c r="A262" s="680"/>
      <c r="B262" s="1200"/>
      <c r="C262" s="1120"/>
      <c r="D262" s="1120"/>
      <c r="E262" s="1015">
        <f t="shared" si="3"/>
        <v>0</v>
      </c>
      <c r="F262" s="1201"/>
      <c r="G262" s="1029"/>
    </row>
    <row r="263" spans="1:7" ht="15" customHeight="1">
      <c r="A263" s="680"/>
      <c r="B263" s="1200"/>
      <c r="C263" s="1120"/>
      <c r="D263" s="1120"/>
      <c r="E263" s="1015">
        <f t="shared" si="3"/>
        <v>0</v>
      </c>
      <c r="F263" s="1201"/>
      <c r="G263" s="1029"/>
    </row>
    <row r="264" spans="1:7" ht="15" customHeight="1">
      <c r="A264" s="680"/>
      <c r="B264" s="1200"/>
      <c r="C264" s="1120"/>
      <c r="D264" s="1120"/>
      <c r="E264" s="1015">
        <f t="shared" si="3"/>
        <v>0</v>
      </c>
      <c r="F264" s="1201"/>
      <c r="G264" s="1029"/>
    </row>
    <row r="265" spans="1:7" ht="15" customHeight="1">
      <c r="A265" s="680"/>
      <c r="B265" s="1200"/>
      <c r="C265" s="1120"/>
      <c r="D265" s="1120"/>
      <c r="E265" s="1015">
        <f t="shared" si="3"/>
        <v>0</v>
      </c>
      <c r="F265" s="1201"/>
      <c r="G265" s="1029"/>
    </row>
    <row r="266" spans="1:7" ht="15" customHeight="1">
      <c r="A266" s="680"/>
      <c r="B266" s="1200"/>
      <c r="C266" s="1120"/>
      <c r="D266" s="1120"/>
      <c r="E266" s="1015">
        <f t="shared" si="3"/>
        <v>0</v>
      </c>
      <c r="F266" s="1201"/>
      <c r="G266" s="1029"/>
    </row>
    <row r="267" spans="1:7" ht="15" customHeight="1">
      <c r="A267" s="680"/>
      <c r="B267" s="1200"/>
      <c r="C267" s="1120"/>
      <c r="D267" s="1120"/>
      <c r="E267" s="1015">
        <f t="shared" si="3"/>
        <v>0</v>
      </c>
      <c r="F267" s="1201"/>
      <c r="G267" s="1029"/>
    </row>
    <row r="268" spans="1:7" ht="15" customHeight="1">
      <c r="A268" s="680"/>
      <c r="B268" s="1200"/>
      <c r="C268" s="1120"/>
      <c r="D268" s="1120"/>
      <c r="E268" s="1015">
        <f t="shared" si="3"/>
        <v>0</v>
      </c>
      <c r="F268" s="1201"/>
      <c r="G268" s="1029"/>
    </row>
    <row r="269" spans="1:7" ht="15" customHeight="1">
      <c r="A269" s="680"/>
      <c r="B269" s="1200"/>
      <c r="C269" s="1120"/>
      <c r="D269" s="1120"/>
      <c r="E269" s="1015">
        <f t="shared" si="3"/>
        <v>0</v>
      </c>
      <c r="F269" s="1201"/>
      <c r="G269" s="1029"/>
    </row>
    <row r="270" spans="1:7" ht="15" customHeight="1">
      <c r="A270" s="680"/>
      <c r="B270" s="1200"/>
      <c r="C270" s="1120"/>
      <c r="D270" s="1120"/>
      <c r="E270" s="1015">
        <f t="shared" si="3"/>
        <v>0</v>
      </c>
      <c r="F270" s="1201"/>
      <c r="G270" s="1029"/>
    </row>
    <row r="271" spans="1:7" ht="15" customHeight="1">
      <c r="A271" s="680"/>
      <c r="B271" s="1200"/>
      <c r="C271" s="1120"/>
      <c r="D271" s="1120"/>
      <c r="E271" s="1015">
        <f t="shared" si="3"/>
        <v>0</v>
      </c>
      <c r="F271" s="1201"/>
      <c r="G271" s="1029"/>
    </row>
    <row r="272" spans="1:7" ht="15" customHeight="1">
      <c r="A272" s="680"/>
      <c r="B272" s="1200"/>
      <c r="C272" s="1120"/>
      <c r="D272" s="1120"/>
      <c r="E272" s="1015">
        <f t="shared" si="3"/>
        <v>0</v>
      </c>
      <c r="F272" s="1201"/>
      <c r="G272" s="1029"/>
    </row>
    <row r="273" spans="1:7" ht="15" customHeight="1">
      <c r="A273" s="680"/>
      <c r="B273" s="1200"/>
      <c r="C273" s="1120"/>
      <c r="D273" s="1120"/>
      <c r="E273" s="1015">
        <f t="shared" ref="E273:E304" si="4">B273-C273+D273</f>
        <v>0</v>
      </c>
      <c r="F273" s="1201"/>
      <c r="G273" s="1029"/>
    </row>
    <row r="274" spans="1:7" ht="15" customHeight="1">
      <c r="A274" s="680"/>
      <c r="B274" s="1200"/>
      <c r="C274" s="1120"/>
      <c r="D274" s="1120"/>
      <c r="E274" s="1015">
        <f t="shared" si="4"/>
        <v>0</v>
      </c>
      <c r="F274" s="1201"/>
      <c r="G274" s="1029"/>
    </row>
    <row r="275" spans="1:7" ht="15" customHeight="1">
      <c r="A275" s="680"/>
      <c r="B275" s="1200"/>
      <c r="C275" s="1120"/>
      <c r="D275" s="1120"/>
      <c r="E275" s="1015">
        <f t="shared" si="4"/>
        <v>0</v>
      </c>
      <c r="F275" s="1201"/>
      <c r="G275" s="1029"/>
    </row>
    <row r="276" spans="1:7" ht="15" customHeight="1">
      <c r="A276" s="680"/>
      <c r="B276" s="1200"/>
      <c r="C276" s="1120"/>
      <c r="D276" s="1120"/>
      <c r="E276" s="1015">
        <f t="shared" si="4"/>
        <v>0</v>
      </c>
      <c r="F276" s="1201"/>
      <c r="G276" s="1029"/>
    </row>
    <row r="277" spans="1:7" ht="15" customHeight="1">
      <c r="A277" s="680"/>
      <c r="B277" s="1200"/>
      <c r="C277" s="1120"/>
      <c r="D277" s="1120"/>
      <c r="E277" s="1015">
        <f t="shared" si="4"/>
        <v>0</v>
      </c>
      <c r="F277" s="1201"/>
      <c r="G277" s="1029"/>
    </row>
    <row r="278" spans="1:7" ht="15" customHeight="1">
      <c r="A278" s="680"/>
      <c r="B278" s="1200"/>
      <c r="C278" s="1120"/>
      <c r="D278" s="1120"/>
      <c r="E278" s="1015">
        <f t="shared" si="4"/>
        <v>0</v>
      </c>
      <c r="F278" s="1201"/>
      <c r="G278" s="1029"/>
    </row>
    <row r="279" spans="1:7" ht="15" customHeight="1">
      <c r="A279" s="680"/>
      <c r="B279" s="1200"/>
      <c r="C279" s="1120"/>
      <c r="D279" s="1120"/>
      <c r="E279" s="1015">
        <f t="shared" si="4"/>
        <v>0</v>
      </c>
      <c r="F279" s="1201"/>
      <c r="G279" s="1029"/>
    </row>
    <row r="280" spans="1:7" ht="15" customHeight="1">
      <c r="A280" s="680"/>
      <c r="B280" s="1200"/>
      <c r="C280" s="1120"/>
      <c r="D280" s="1120"/>
      <c r="E280" s="1015">
        <f t="shared" si="4"/>
        <v>0</v>
      </c>
      <c r="F280" s="1201"/>
      <c r="G280" s="1029"/>
    </row>
    <row r="281" spans="1:7" ht="15" customHeight="1">
      <c r="A281" s="680"/>
      <c r="B281" s="1200"/>
      <c r="C281" s="1120"/>
      <c r="D281" s="1120"/>
      <c r="E281" s="1015">
        <f t="shared" si="4"/>
        <v>0</v>
      </c>
      <c r="F281" s="1201"/>
      <c r="G281" s="1029"/>
    </row>
    <row r="282" spans="1:7" ht="15" customHeight="1">
      <c r="A282" s="680"/>
      <c r="B282" s="1200"/>
      <c r="C282" s="1120"/>
      <c r="D282" s="1120"/>
      <c r="E282" s="1015">
        <f t="shared" si="4"/>
        <v>0</v>
      </c>
      <c r="F282" s="1201"/>
      <c r="G282" s="1029"/>
    </row>
    <row r="283" spans="1:7" ht="15" customHeight="1">
      <c r="A283" s="680"/>
      <c r="B283" s="1200"/>
      <c r="C283" s="1120"/>
      <c r="D283" s="1120"/>
      <c r="E283" s="1015">
        <f t="shared" si="4"/>
        <v>0</v>
      </c>
      <c r="F283" s="1201"/>
      <c r="G283" s="1029"/>
    </row>
    <row r="284" spans="1:7" ht="15" customHeight="1">
      <c r="A284" s="680"/>
      <c r="B284" s="1200"/>
      <c r="C284" s="1120"/>
      <c r="D284" s="1120"/>
      <c r="E284" s="1015">
        <f t="shared" si="4"/>
        <v>0</v>
      </c>
      <c r="F284" s="1201"/>
      <c r="G284" s="1029"/>
    </row>
    <row r="285" spans="1:7" ht="15" customHeight="1">
      <c r="A285" s="680"/>
      <c r="B285" s="1200"/>
      <c r="C285" s="1120"/>
      <c r="D285" s="1120"/>
      <c r="E285" s="1015">
        <f t="shared" si="4"/>
        <v>0</v>
      </c>
      <c r="F285" s="1201"/>
      <c r="G285" s="1029"/>
    </row>
    <row r="286" spans="1:7" ht="15" customHeight="1">
      <c r="A286" s="680"/>
      <c r="B286" s="1200"/>
      <c r="C286" s="1120"/>
      <c r="D286" s="1120"/>
      <c r="E286" s="1015">
        <f t="shared" si="4"/>
        <v>0</v>
      </c>
      <c r="F286" s="1201"/>
      <c r="G286" s="1029"/>
    </row>
    <row r="287" spans="1:7" ht="15" customHeight="1">
      <c r="A287" s="680"/>
      <c r="B287" s="1200"/>
      <c r="C287" s="1120"/>
      <c r="D287" s="1120"/>
      <c r="E287" s="1015">
        <f t="shared" si="4"/>
        <v>0</v>
      </c>
      <c r="F287" s="1201"/>
      <c r="G287" s="1029"/>
    </row>
    <row r="288" spans="1:7" ht="15" customHeight="1">
      <c r="A288" s="680"/>
      <c r="B288" s="1200"/>
      <c r="C288" s="1120"/>
      <c r="D288" s="1120"/>
      <c r="E288" s="1015">
        <f t="shared" si="4"/>
        <v>0</v>
      </c>
      <c r="F288" s="1201"/>
      <c r="G288" s="1029"/>
    </row>
    <row r="289" spans="1:7" ht="15" customHeight="1">
      <c r="A289" s="680"/>
      <c r="B289" s="1200"/>
      <c r="C289" s="1120"/>
      <c r="D289" s="1120"/>
      <c r="E289" s="1015">
        <f t="shared" si="4"/>
        <v>0</v>
      </c>
      <c r="F289" s="1201"/>
      <c r="G289" s="1029"/>
    </row>
    <row r="290" spans="1:7" ht="15" customHeight="1">
      <c r="A290" s="680"/>
      <c r="B290" s="1200"/>
      <c r="C290" s="1120"/>
      <c r="D290" s="1120"/>
      <c r="E290" s="1015">
        <f t="shared" si="4"/>
        <v>0</v>
      </c>
      <c r="F290" s="1201"/>
      <c r="G290" s="1029"/>
    </row>
    <row r="291" spans="1:7" ht="15" customHeight="1">
      <c r="A291" s="680"/>
      <c r="B291" s="1200"/>
      <c r="C291" s="1120"/>
      <c r="D291" s="1120"/>
      <c r="E291" s="1015">
        <f t="shared" si="4"/>
        <v>0</v>
      </c>
      <c r="F291" s="1201"/>
      <c r="G291" s="1029"/>
    </row>
    <row r="292" spans="1:7" ht="15" customHeight="1">
      <c r="A292" s="680"/>
      <c r="B292" s="1200"/>
      <c r="C292" s="1120"/>
      <c r="D292" s="1120"/>
      <c r="E292" s="1015">
        <f t="shared" si="4"/>
        <v>0</v>
      </c>
      <c r="F292" s="1201"/>
      <c r="G292" s="1029"/>
    </row>
    <row r="293" spans="1:7" ht="15" customHeight="1">
      <c r="A293" s="680"/>
      <c r="B293" s="1200"/>
      <c r="C293" s="1120"/>
      <c r="D293" s="1120"/>
      <c r="E293" s="1015">
        <f t="shared" si="4"/>
        <v>0</v>
      </c>
      <c r="F293" s="1201"/>
      <c r="G293" s="1029"/>
    </row>
    <row r="294" spans="1:7" ht="15" customHeight="1">
      <c r="A294" s="680"/>
      <c r="B294" s="1200"/>
      <c r="C294" s="1120"/>
      <c r="D294" s="1120"/>
      <c r="E294" s="1015">
        <f t="shared" si="4"/>
        <v>0</v>
      </c>
      <c r="F294" s="1201"/>
      <c r="G294" s="1029"/>
    </row>
    <row r="295" spans="1:7" ht="15" customHeight="1">
      <c r="A295" s="680"/>
      <c r="B295" s="1200"/>
      <c r="C295" s="1120"/>
      <c r="D295" s="1120"/>
      <c r="E295" s="1015">
        <f t="shared" si="4"/>
        <v>0</v>
      </c>
      <c r="F295" s="1201"/>
      <c r="G295" s="1029"/>
    </row>
    <row r="296" spans="1:7" ht="15" customHeight="1">
      <c r="A296" s="680"/>
      <c r="B296" s="1200"/>
      <c r="C296" s="1120"/>
      <c r="D296" s="1120"/>
      <c r="E296" s="1015">
        <f t="shared" si="4"/>
        <v>0</v>
      </c>
      <c r="F296" s="1201"/>
      <c r="G296" s="1029"/>
    </row>
    <row r="297" spans="1:7" ht="15" customHeight="1">
      <c r="A297" s="680"/>
      <c r="B297" s="1200"/>
      <c r="C297" s="1120"/>
      <c r="D297" s="1120"/>
      <c r="E297" s="1015">
        <f t="shared" si="4"/>
        <v>0</v>
      </c>
      <c r="F297" s="1201"/>
      <c r="G297" s="1029"/>
    </row>
    <row r="298" spans="1:7" ht="15" customHeight="1">
      <c r="A298" s="680"/>
      <c r="B298" s="1200"/>
      <c r="C298" s="1120"/>
      <c r="D298" s="1120"/>
      <c r="E298" s="1015">
        <f t="shared" si="4"/>
        <v>0</v>
      </c>
      <c r="F298" s="1201"/>
      <c r="G298" s="1029"/>
    </row>
    <row r="299" spans="1:7" ht="15" customHeight="1">
      <c r="A299" s="680"/>
      <c r="B299" s="1200"/>
      <c r="C299" s="1120"/>
      <c r="D299" s="1120"/>
      <c r="E299" s="1015">
        <f t="shared" si="4"/>
        <v>0</v>
      </c>
      <c r="F299" s="1201"/>
      <c r="G299" s="1029"/>
    </row>
    <row r="300" spans="1:7" ht="15" customHeight="1">
      <c r="A300" s="680"/>
      <c r="B300" s="1200"/>
      <c r="C300" s="1120"/>
      <c r="D300" s="1120"/>
      <c r="E300" s="1015">
        <f t="shared" si="4"/>
        <v>0</v>
      </c>
      <c r="F300" s="1201"/>
      <c r="G300" s="1029"/>
    </row>
    <row r="301" spans="1:7" ht="15" customHeight="1">
      <c r="A301" s="680"/>
      <c r="B301" s="1200"/>
      <c r="C301" s="1120"/>
      <c r="D301" s="1120"/>
      <c r="E301" s="1015">
        <f t="shared" si="4"/>
        <v>0</v>
      </c>
      <c r="F301" s="1201"/>
      <c r="G301" s="1029"/>
    </row>
    <row r="302" spans="1:7" ht="15" customHeight="1">
      <c r="A302" s="680"/>
      <c r="B302" s="1200"/>
      <c r="C302" s="1120"/>
      <c r="D302" s="1120"/>
      <c r="E302" s="1015">
        <f t="shared" si="4"/>
        <v>0</v>
      </c>
      <c r="F302" s="1201"/>
      <c r="G302" s="1029"/>
    </row>
    <row r="303" spans="1:7" ht="15" customHeight="1">
      <c r="A303" s="680"/>
      <c r="B303" s="1200"/>
      <c r="C303" s="1120"/>
      <c r="D303" s="1120"/>
      <c r="E303" s="1015">
        <f t="shared" si="4"/>
        <v>0</v>
      </c>
      <c r="F303" s="1201"/>
      <c r="G303" s="1029"/>
    </row>
    <row r="304" spans="1:7" ht="15" customHeight="1">
      <c r="A304" s="682"/>
      <c r="B304" s="1202"/>
      <c r="C304" s="1125"/>
      <c r="D304" s="1125"/>
      <c r="E304" s="1020">
        <f t="shared" si="4"/>
        <v>0</v>
      </c>
      <c r="F304" s="1203"/>
      <c r="G304" s="1029"/>
    </row>
    <row r="305" spans="1:6" ht="15" customHeight="1">
      <c r="A305" s="554"/>
      <c r="B305" s="554"/>
      <c r="C305" s="554"/>
      <c r="D305" s="554"/>
      <c r="E305" s="554"/>
      <c r="F305" s="554"/>
    </row>
    <row r="306" spans="1:6" ht="15" customHeight="1">
      <c r="A306" s="554"/>
      <c r="B306" s="554"/>
      <c r="C306" s="554"/>
      <c r="D306" s="554"/>
      <c r="E306" s="554"/>
      <c r="F306" s="554"/>
    </row>
    <row r="307" spans="1:6" ht="15" customHeight="1">
      <c r="A307" s="554"/>
      <c r="B307" s="554"/>
      <c r="C307" s="554"/>
      <c r="D307" s="554"/>
      <c r="E307" s="554"/>
      <c r="F307" s="554"/>
    </row>
    <row r="308" spans="1:6" ht="15" customHeight="1">
      <c r="A308" s="554"/>
      <c r="B308" s="554"/>
      <c r="C308" s="554"/>
      <c r="D308" s="554"/>
      <c r="E308" s="554"/>
      <c r="F308" s="554"/>
    </row>
    <row r="309" spans="1:6" ht="15" customHeight="1">
      <c r="A309" s="554"/>
      <c r="B309" s="554"/>
      <c r="C309" s="554"/>
      <c r="D309" s="554"/>
      <c r="E309" s="554"/>
      <c r="F309" s="554"/>
    </row>
    <row r="310" spans="1:6" ht="15" customHeight="1">
      <c r="A310" s="554"/>
      <c r="B310" s="554"/>
      <c r="C310" s="554"/>
      <c r="D310" s="554"/>
      <c r="E310" s="554"/>
      <c r="F310" s="554"/>
    </row>
    <row r="311" spans="1:6" ht="15" customHeight="1">
      <c r="A311" s="554"/>
      <c r="B311" s="554"/>
      <c r="C311" s="554"/>
      <c r="D311" s="554"/>
      <c r="E311" s="554"/>
      <c r="F311" s="554"/>
    </row>
    <row r="312" spans="1:6" ht="15" customHeight="1">
      <c r="A312" s="554"/>
      <c r="B312" s="554"/>
      <c r="C312" s="554"/>
      <c r="D312" s="554"/>
      <c r="E312" s="554"/>
      <c r="F312" s="554"/>
    </row>
    <row r="313" spans="1:6" ht="15" customHeight="1">
      <c r="A313" s="554"/>
      <c r="B313" s="554"/>
      <c r="C313" s="554"/>
      <c r="D313" s="554"/>
      <c r="E313" s="554"/>
      <c r="F313" s="554"/>
    </row>
    <row r="314" spans="1:6" ht="15" customHeight="1"/>
    <row r="315" spans="1:6" ht="15" customHeight="1"/>
    <row r="316" spans="1:6" ht="15" customHeight="1"/>
    <row r="317" spans="1:6" ht="15" customHeight="1"/>
    <row r="318" spans="1:6" ht="15" customHeight="1"/>
    <row r="319" spans="1:6" ht="15" customHeight="1"/>
    <row r="320" spans="1:6" ht="15" customHeight="1"/>
    <row r="321" ht="15" customHeight="1"/>
    <row r="322" ht="15" customHeight="1"/>
    <row r="323" ht="15" customHeight="1"/>
    <row r="324" ht="15" customHeight="1"/>
    <row r="325" ht="15" customHeight="1"/>
    <row r="326" ht="15" customHeight="1"/>
    <row r="327" ht="15" customHeight="1"/>
    <row r="328" ht="15" customHeight="1"/>
    <row r="329" ht="15" customHeight="1"/>
    <row r="330" ht="15" customHeight="1"/>
    <row r="331" ht="15" customHeight="1"/>
    <row r="332" ht="15" customHeight="1"/>
    <row r="333" ht="15" customHeight="1"/>
    <row r="334" ht="15" customHeight="1"/>
    <row r="335" ht="15" customHeight="1"/>
    <row r="336" ht="15" customHeight="1"/>
    <row r="337" ht="15" customHeight="1"/>
    <row r="338" ht="15" customHeight="1"/>
    <row r="339" ht="15" customHeight="1"/>
    <row r="340" ht="15" customHeight="1"/>
    <row r="341" ht="15" customHeight="1"/>
    <row r="342" ht="15" customHeight="1"/>
    <row r="343" ht="15" customHeight="1"/>
    <row r="344" ht="15" customHeight="1"/>
    <row r="345" ht="15" customHeight="1"/>
    <row r="346" ht="15" customHeight="1"/>
    <row r="347" ht="15" customHeight="1"/>
    <row r="348" ht="15" customHeight="1"/>
    <row r="349" ht="15" customHeight="1"/>
    <row r="350" ht="15" customHeight="1"/>
    <row r="351" ht="15" customHeight="1"/>
    <row r="352" ht="15" customHeight="1"/>
    <row r="353" ht="15" customHeight="1"/>
    <row r="354" ht="15" customHeight="1"/>
    <row r="355" ht="15" customHeight="1"/>
    <row r="356" ht="15" customHeight="1"/>
    <row r="357" ht="15" customHeight="1"/>
    <row r="358" ht="15" customHeight="1"/>
    <row r="359" ht="15" customHeight="1"/>
    <row r="360" ht="15" customHeight="1"/>
    <row r="361" ht="15" customHeight="1"/>
    <row r="362" ht="15" customHeight="1"/>
    <row r="363" ht="15" customHeight="1"/>
    <row r="364" ht="15" customHeight="1"/>
    <row r="365" ht="15" customHeight="1"/>
    <row r="366" ht="15" customHeight="1"/>
    <row r="367" ht="15" customHeight="1"/>
    <row r="368" ht="15" customHeight="1"/>
    <row r="369" ht="15" customHeight="1"/>
    <row r="370" ht="15" customHeight="1"/>
    <row r="371" ht="15" customHeight="1"/>
    <row r="372" ht="15" customHeight="1"/>
    <row r="373" ht="15" customHeight="1"/>
    <row r="374" ht="15" customHeight="1"/>
    <row r="375" ht="15" customHeight="1"/>
    <row r="376" ht="15" customHeight="1"/>
    <row r="377" ht="15" customHeight="1"/>
    <row r="378" ht="15" customHeight="1"/>
    <row r="379" ht="15" customHeight="1"/>
    <row r="380" ht="15" customHeight="1"/>
    <row r="381" ht="15" customHeight="1"/>
    <row r="382" ht="15" customHeight="1"/>
    <row r="383" ht="15" customHeight="1"/>
    <row r="384" ht="15" customHeight="1"/>
    <row r="385" ht="15" customHeight="1"/>
    <row r="386" ht="15" customHeight="1"/>
    <row r="387" ht="15" customHeight="1"/>
    <row r="388" ht="15" customHeight="1"/>
    <row r="389" ht="15" customHeight="1"/>
    <row r="390" ht="15" customHeight="1"/>
    <row r="391" ht="15" customHeight="1"/>
    <row r="392" ht="15" customHeight="1"/>
  </sheetData>
  <sheetProtection selectLockedCells="1" selectUnlockedCells="1"/>
  <mergeCells count="16">
    <mergeCell ref="B9:F9"/>
    <mergeCell ref="A5:F5"/>
    <mergeCell ref="G9:G12"/>
    <mergeCell ref="A10:A11"/>
    <mergeCell ref="C10:D10"/>
    <mergeCell ref="C11:D11"/>
    <mergeCell ref="B6:F6"/>
    <mergeCell ref="A7:A8"/>
    <mergeCell ref="B7:D7"/>
    <mergeCell ref="E7:F7"/>
    <mergeCell ref="B8:F8"/>
    <mergeCell ref="A1:F1"/>
    <mergeCell ref="G1:G4"/>
    <mergeCell ref="A2:B3"/>
    <mergeCell ref="F3:F4"/>
    <mergeCell ref="A4:B4"/>
  </mergeCells>
  <phoneticPr fontId="51" type="noConversion"/>
  <dataValidations count="2">
    <dataValidation allowBlank="1" showErrorMessage="1" sqref="D3">
      <formula1>0</formula1>
      <formula2>0</formula2>
    </dataValidation>
    <dataValidation allowBlank="1" showErrorMessage="1" promptTitle="存在调整事项时" prompt="_x000a_选择 “E”" sqref="E7:F7">
      <formula1>0</formula1>
      <formula2>0</formula2>
    </dataValidation>
  </dataValidations>
  <hyperlinks>
    <hyperlink ref="G8" location="资产负债!A1" display="资产负债表"/>
  </hyperlinks>
  <pageMargins left="0.78740157480314998" right="0.35433070866141703" top="0.511811023622047" bottom="0.11811023622047198" header="0.511811023622047" footer="0.511811023622047"/>
  <pageSetup paperSize="9" firstPageNumber="0" orientation="portrait" blackAndWhite="1" r:id="rId1"/>
  <headerFooter alignWithMargins="0"/>
</worksheet>
</file>

<file path=xl/worksheets/sheet9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58"/>
  <dimension ref="A1:G31"/>
  <sheetViews>
    <sheetView workbookViewId="0">
      <selection activeCell="I12" sqref="I12"/>
    </sheetView>
  </sheetViews>
  <sheetFormatPr defaultRowHeight="15.6"/>
  <cols>
    <col min="1" max="1" width="7.59765625" customWidth="1"/>
    <col min="2" max="2" width="27.19921875" customWidth="1"/>
    <col min="3" max="3" width="6.8984375" customWidth="1"/>
    <col min="4" max="4" width="8.5" customWidth="1"/>
    <col min="5" max="6" width="15.3984375" customWidth="1"/>
    <col min="7" max="7" width="54.59765625" customWidth="1"/>
  </cols>
  <sheetData>
    <row r="1" spans="1:7" ht="32.25" customHeight="1">
      <c r="A1" s="2707" t="s">
        <v>355</v>
      </c>
      <c r="B1" s="2707"/>
      <c r="C1" s="2707"/>
      <c r="D1" s="2707"/>
      <c r="E1" s="2707"/>
      <c r="F1" s="2707"/>
      <c r="G1" s="3151"/>
    </row>
    <row r="2" spans="1:7" ht="20.25" customHeight="1">
      <c r="A2" s="3190" t="str">
        <f>"委托单位："&amp;基本情况!B2</f>
        <v>委托单位：0</v>
      </c>
      <c r="B2" s="3190"/>
      <c r="C2" s="509"/>
      <c r="D2" s="136" t="s">
        <v>1283</v>
      </c>
      <c r="E2" s="136" t="s">
        <v>1054</v>
      </c>
      <c r="F2" s="485" t="s">
        <v>283</v>
      </c>
      <c r="G2" s="3151"/>
    </row>
    <row r="3" spans="1:7" ht="20.25" customHeight="1">
      <c r="A3" s="3190"/>
      <c r="B3" s="3190"/>
      <c r="C3" s="158" t="s">
        <v>451</v>
      </c>
      <c r="D3" s="510">
        <f>基本情况!B12</f>
        <v>0</v>
      </c>
      <c r="E3" s="559" t="str">
        <f>TEXT(基本情况!B21,"yyyy-mm-dd")</f>
        <v>2017-03-16</v>
      </c>
      <c r="F3" s="3081" t="str">
        <f>档案索引!D38</f>
        <v>4-5</v>
      </c>
      <c r="G3" s="3151"/>
    </row>
    <row r="4" spans="1:7" ht="20.25" customHeight="1">
      <c r="A4" s="3161" t="str">
        <f>"会计期间："&amp;基本情况!B7</f>
        <v>会计期间：2016年01月01日至2016年12月31日</v>
      </c>
      <c r="B4" s="3161"/>
      <c r="C4" s="140" t="s">
        <v>453</v>
      </c>
      <c r="D4" s="513">
        <f>基本情况!B11</f>
        <v>0</v>
      </c>
      <c r="E4" s="513" t="str">
        <f>TEXT(基本情况!B22,"yyyy-mm-dd")</f>
        <v>2017-05-04</v>
      </c>
      <c r="F4" s="3081"/>
      <c r="G4" s="3151"/>
    </row>
    <row r="5" spans="1:7" ht="7.5" customHeight="1">
      <c r="A5" s="2894"/>
      <c r="B5" s="2894"/>
      <c r="C5" s="2894"/>
      <c r="D5" s="2894"/>
      <c r="E5" s="2894"/>
      <c r="F5" s="2894"/>
      <c r="G5" s="543"/>
    </row>
    <row r="6" spans="1:7" ht="27.75" customHeight="1">
      <c r="A6" s="3539" t="s">
        <v>666</v>
      </c>
      <c r="B6" s="3539"/>
      <c r="C6" s="3022" t="s">
        <v>1182</v>
      </c>
      <c r="D6" s="3022"/>
      <c r="E6" s="582" t="s">
        <v>981</v>
      </c>
      <c r="F6" s="772" t="s">
        <v>503</v>
      </c>
      <c r="G6" s="84" t="s">
        <v>396</v>
      </c>
    </row>
    <row r="7" spans="1:7" ht="21.75" customHeight="1">
      <c r="A7" s="3657" t="s">
        <v>997</v>
      </c>
      <c r="B7" s="3657"/>
      <c r="C7" s="3658"/>
      <c r="D7" s="3658"/>
      <c r="E7" s="1118"/>
      <c r="F7" s="967">
        <f>C7+E7</f>
        <v>0</v>
      </c>
      <c r="G7" s="493" t="s">
        <v>1289</v>
      </c>
    </row>
    <row r="8" spans="1:7" ht="21.75" customHeight="1">
      <c r="A8" s="3659" t="s">
        <v>2383</v>
      </c>
      <c r="B8" s="3659"/>
      <c r="C8" s="3123"/>
      <c r="D8" s="3123"/>
      <c r="E8" s="1120"/>
      <c r="F8" s="699">
        <f>C8+E8</f>
        <v>0</v>
      </c>
      <c r="G8" s="84"/>
    </row>
    <row r="9" spans="1:7" ht="21.75" customHeight="1">
      <c r="A9" s="3659" t="s">
        <v>998</v>
      </c>
      <c r="B9" s="3659"/>
      <c r="C9" s="3123"/>
      <c r="D9" s="3123"/>
      <c r="E9" s="1120"/>
      <c r="F9" s="699">
        <f t="shared" ref="F9:F26" si="0">C9+E9</f>
        <v>0</v>
      </c>
      <c r="G9" s="84"/>
    </row>
    <row r="10" spans="1:7" ht="21.75" customHeight="1">
      <c r="A10" s="3659" t="s">
        <v>2384</v>
      </c>
      <c r="B10" s="3659"/>
      <c r="C10" s="3123"/>
      <c r="D10" s="3123"/>
      <c r="E10" s="1120"/>
      <c r="F10" s="699">
        <f t="shared" si="0"/>
        <v>0</v>
      </c>
      <c r="G10" s="648"/>
    </row>
    <row r="11" spans="1:7" ht="21.75" customHeight="1">
      <c r="A11" s="3659" t="s">
        <v>2385</v>
      </c>
      <c r="B11" s="3659"/>
      <c r="C11" s="3123"/>
      <c r="D11" s="3123"/>
      <c r="E11" s="1120"/>
      <c r="F11" s="699">
        <f t="shared" si="0"/>
        <v>0</v>
      </c>
      <c r="G11" s="144" t="s">
        <v>999</v>
      </c>
    </row>
    <row r="12" spans="1:7" ht="21.75" customHeight="1">
      <c r="A12" s="3659" t="s">
        <v>2386</v>
      </c>
      <c r="B12" s="3659"/>
      <c r="C12" s="3123"/>
      <c r="D12" s="3123"/>
      <c r="E12" s="1120"/>
      <c r="F12" s="699">
        <f t="shared" si="0"/>
        <v>0</v>
      </c>
      <c r="G12" s="84"/>
    </row>
    <row r="13" spans="1:7" ht="21.75" customHeight="1">
      <c r="A13" s="3659" t="s">
        <v>2387</v>
      </c>
      <c r="B13" s="3659"/>
      <c r="C13" s="3123"/>
      <c r="D13" s="3123"/>
      <c r="E13" s="1120"/>
      <c r="F13" s="699">
        <f t="shared" si="0"/>
        <v>0</v>
      </c>
      <c r="G13" s="84"/>
    </row>
    <row r="14" spans="1:7" ht="21.75" customHeight="1">
      <c r="A14" s="3659" t="s">
        <v>2388</v>
      </c>
      <c r="B14" s="3659"/>
      <c r="C14" s="3123"/>
      <c r="D14" s="3123"/>
      <c r="E14" s="1120"/>
      <c r="F14" s="699">
        <f t="shared" si="0"/>
        <v>0</v>
      </c>
      <c r="G14" s="84"/>
    </row>
    <row r="15" spans="1:7" ht="21.75" customHeight="1">
      <c r="A15" s="3659" t="s">
        <v>2389</v>
      </c>
      <c r="B15" s="3659"/>
      <c r="C15" s="3123"/>
      <c r="D15" s="3123"/>
      <c r="E15" s="1120"/>
      <c r="F15" s="699">
        <f t="shared" si="0"/>
        <v>0</v>
      </c>
      <c r="G15" s="84"/>
    </row>
    <row r="16" spans="1:7" ht="21.75" customHeight="1">
      <c r="A16" s="3659" t="s">
        <v>2390</v>
      </c>
      <c r="B16" s="3659"/>
      <c r="C16" s="3123"/>
      <c r="D16" s="3123"/>
      <c r="E16" s="1120"/>
      <c r="F16" s="699">
        <f t="shared" si="0"/>
        <v>0</v>
      </c>
      <c r="G16" s="84"/>
    </row>
    <row r="17" spans="1:7" ht="21.75" customHeight="1">
      <c r="A17" s="3659" t="s">
        <v>2391</v>
      </c>
      <c r="B17" s="3659"/>
      <c r="C17" s="3123"/>
      <c r="D17" s="3123"/>
      <c r="E17" s="1120"/>
      <c r="F17" s="699">
        <f t="shared" si="0"/>
        <v>0</v>
      </c>
      <c r="G17" s="84"/>
    </row>
    <row r="18" spans="1:7" ht="21.75" customHeight="1">
      <c r="A18" s="3659" t="s">
        <v>2392</v>
      </c>
      <c r="B18" s="3659"/>
      <c r="C18" s="3123"/>
      <c r="D18" s="3123"/>
      <c r="E18" s="1120"/>
      <c r="F18" s="699">
        <f t="shared" si="0"/>
        <v>0</v>
      </c>
      <c r="G18" s="84"/>
    </row>
    <row r="19" spans="1:7" ht="21.75" customHeight="1">
      <c r="A19" s="3659" t="s">
        <v>2393</v>
      </c>
      <c r="B19" s="3659"/>
      <c r="C19" s="3123"/>
      <c r="D19" s="3123"/>
      <c r="E19" s="1120"/>
      <c r="F19" s="699">
        <f t="shared" si="0"/>
        <v>0</v>
      </c>
      <c r="G19" s="84"/>
    </row>
    <row r="20" spans="1:7" ht="21.75" customHeight="1">
      <c r="A20" s="3659" t="s">
        <v>1000</v>
      </c>
      <c r="B20" s="3659"/>
      <c r="C20" s="3123"/>
      <c r="D20" s="3123"/>
      <c r="E20" s="1120"/>
      <c r="F20" s="699">
        <f t="shared" si="0"/>
        <v>0</v>
      </c>
      <c r="G20" s="84"/>
    </row>
    <row r="21" spans="1:7" ht="21.75" customHeight="1">
      <c r="A21" s="3660" t="s">
        <v>1001</v>
      </c>
      <c r="B21" s="3660"/>
      <c r="C21" s="3123"/>
      <c r="D21" s="3123"/>
      <c r="E21" s="1120"/>
      <c r="F21" s="699">
        <f t="shared" si="0"/>
        <v>0</v>
      </c>
      <c r="G21" s="84"/>
    </row>
    <row r="22" spans="1:7" ht="21.75" customHeight="1">
      <c r="A22" s="3661"/>
      <c r="B22" s="3661"/>
      <c r="C22" s="3123"/>
      <c r="D22" s="3123"/>
      <c r="E22" s="1120"/>
      <c r="F22" s="699">
        <f t="shared" si="0"/>
        <v>0</v>
      </c>
      <c r="G22" s="84"/>
    </row>
    <row r="23" spans="1:7" ht="21.75" customHeight="1">
      <c r="A23" s="3661"/>
      <c r="B23" s="3661"/>
      <c r="C23" s="3123"/>
      <c r="D23" s="3123"/>
      <c r="E23" s="1120"/>
      <c r="F23" s="699">
        <f t="shared" si="0"/>
        <v>0</v>
      </c>
      <c r="G23" s="84"/>
    </row>
    <row r="24" spans="1:7" ht="21.75" customHeight="1">
      <c r="A24" s="3661"/>
      <c r="B24" s="3661"/>
      <c r="C24" s="3123"/>
      <c r="D24" s="3123"/>
      <c r="E24" s="1120"/>
      <c r="F24" s="699">
        <f t="shared" si="0"/>
        <v>0</v>
      </c>
      <c r="G24" s="84"/>
    </row>
    <row r="25" spans="1:7" ht="21.75" customHeight="1">
      <c r="A25" s="3661"/>
      <c r="B25" s="3661"/>
      <c r="C25" s="3123"/>
      <c r="D25" s="3123"/>
      <c r="E25" s="1120"/>
      <c r="F25" s="699">
        <f t="shared" si="0"/>
        <v>0</v>
      </c>
      <c r="G25" s="84"/>
    </row>
    <row r="26" spans="1:7" ht="21.75" customHeight="1">
      <c r="A26" s="3661"/>
      <c r="B26" s="3661"/>
      <c r="C26" s="3123"/>
      <c r="D26" s="3123"/>
      <c r="E26" s="1120"/>
      <c r="F26" s="699">
        <f t="shared" si="0"/>
        <v>0</v>
      </c>
      <c r="G26" s="84"/>
    </row>
    <row r="27" spans="1:7" ht="21.75" customHeight="1">
      <c r="A27" s="3662" t="s">
        <v>703</v>
      </c>
      <c r="B27" s="3662"/>
      <c r="C27" s="3663">
        <f>SUM(C7:C26)</f>
        <v>0</v>
      </c>
      <c r="D27" s="3663"/>
      <c r="E27" s="721">
        <f>SUM(E7:E26)</f>
        <v>0</v>
      </c>
      <c r="F27" s="596">
        <f>SUM(F7:F26)</f>
        <v>0</v>
      </c>
      <c r="G27" s="84"/>
    </row>
    <row r="28" spans="1:7" ht="30.75" customHeight="1">
      <c r="A28" s="785" t="s">
        <v>642</v>
      </c>
      <c r="B28" s="3664" t="str">
        <f>IF(C27&lt;&gt;资产负债!D13,"账载数与报表数相差"&amp;DOLLAR(C27-资产负债!D13,2)&amp;"元！","账载数与报表数相符！")</f>
        <v>账载数与报表数相符！</v>
      </c>
      <c r="C28" s="3664"/>
      <c r="D28" s="3664"/>
      <c r="E28" s="3664"/>
      <c r="F28" s="3664"/>
      <c r="G28" s="84"/>
    </row>
    <row r="29" spans="1:7" ht="15" customHeight="1">
      <c r="A29" s="3058" t="s">
        <v>1324</v>
      </c>
      <c r="B29" s="965" t="s">
        <v>1388</v>
      </c>
      <c r="C29" s="3665" t="str">
        <f>IF(E27&lt;&gt;0,"、E","")</f>
        <v/>
      </c>
      <c r="D29" s="3665"/>
      <c r="E29" s="3665"/>
      <c r="F29" s="3665"/>
      <c r="G29" s="84"/>
    </row>
    <row r="30" spans="1:7" ht="59.25" customHeight="1">
      <c r="A30" s="3058"/>
      <c r="B30" s="3159"/>
      <c r="C30" s="3159"/>
      <c r="D30" s="3159"/>
      <c r="E30" s="3159"/>
      <c r="F30" s="3159"/>
      <c r="G30" s="84"/>
    </row>
    <row r="31" spans="1:7" ht="21.75" customHeight="1">
      <c r="A31" s="528" t="s">
        <v>575</v>
      </c>
      <c r="B31" s="3135" t="str">
        <f>IF(E27&lt;&gt;0,"调整后认可！","不存在调整事项,认可！")</f>
        <v>不存在调整事项,认可！</v>
      </c>
      <c r="C31" s="3135"/>
      <c r="D31" s="3135"/>
      <c r="E31" s="3135"/>
      <c r="F31" s="3135"/>
      <c r="G31" s="84"/>
    </row>
  </sheetData>
  <sheetProtection selectLockedCells="1" selectUnlockedCells="1"/>
  <mergeCells count="55">
    <mergeCell ref="B31:F31"/>
    <mergeCell ref="A24:B24"/>
    <mergeCell ref="C24:D24"/>
    <mergeCell ref="A26:B26"/>
    <mergeCell ref="C26:D26"/>
    <mergeCell ref="A27:B27"/>
    <mergeCell ref="C27:D27"/>
    <mergeCell ref="A25:B25"/>
    <mergeCell ref="C25:D25"/>
    <mergeCell ref="B28:F28"/>
    <mergeCell ref="A29:A30"/>
    <mergeCell ref="C29:F29"/>
    <mergeCell ref="B30:F30"/>
    <mergeCell ref="A17:B17"/>
    <mergeCell ref="C17:D17"/>
    <mergeCell ref="A20:B20"/>
    <mergeCell ref="C20:D20"/>
    <mergeCell ref="A19:B19"/>
    <mergeCell ref="C19:D19"/>
    <mergeCell ref="A18:B18"/>
    <mergeCell ref="C18:D18"/>
    <mergeCell ref="A21:B21"/>
    <mergeCell ref="C21:D21"/>
    <mergeCell ref="A22:B22"/>
    <mergeCell ref="C22:D22"/>
    <mergeCell ref="A23:B23"/>
    <mergeCell ref="C23:D23"/>
    <mergeCell ref="A8:B8"/>
    <mergeCell ref="C8:D8"/>
    <mergeCell ref="C14:D14"/>
    <mergeCell ref="A13:B13"/>
    <mergeCell ref="A9:B9"/>
    <mergeCell ref="C9:D9"/>
    <mergeCell ref="A12:B12"/>
    <mergeCell ref="C12:D12"/>
    <mergeCell ref="C10:D10"/>
    <mergeCell ref="A11:B11"/>
    <mergeCell ref="C11:D11"/>
    <mergeCell ref="A10:B10"/>
    <mergeCell ref="C13:D13"/>
    <mergeCell ref="C15:D15"/>
    <mergeCell ref="A16:B16"/>
    <mergeCell ref="C16:D16"/>
    <mergeCell ref="A15:B15"/>
    <mergeCell ref="A14:B14"/>
    <mergeCell ref="A5:F5"/>
    <mergeCell ref="A6:B6"/>
    <mergeCell ref="C6:D6"/>
    <mergeCell ref="A7:B7"/>
    <mergeCell ref="C7:D7"/>
    <mergeCell ref="A1:F1"/>
    <mergeCell ref="G1:G4"/>
    <mergeCell ref="A2:B3"/>
    <mergeCell ref="F3:F4"/>
    <mergeCell ref="A4:B4"/>
  </mergeCells>
  <phoneticPr fontId="51" type="noConversion"/>
  <dataValidations count="2">
    <dataValidation allowBlank="1" showErrorMessage="1" sqref="D3">
      <formula1>0</formula1>
      <formula2>0</formula2>
    </dataValidation>
    <dataValidation allowBlank="1" showErrorMessage="1" promptTitle="存在调整事项时" prompt="_x000a_选择 “E”" sqref="C29:F29">
      <formula1>0</formula1>
      <formula2>0</formula2>
    </dataValidation>
  </dataValidations>
  <hyperlinks>
    <hyperlink ref="G7" location="资产负债!A1" display="资产负债表"/>
  </hyperlinks>
  <pageMargins left="0.78740157480314998" right="0.35433070866141703" top="0.511811023622047" bottom="0.11811023622047198" header="0.511811023622047" footer="0.511811023622047"/>
  <pageSetup paperSize="9" firstPageNumber="0" orientation="portrait" blackAndWhite="1" r:id="rId1"/>
  <headerFooter alignWithMargins="0"/>
</worksheet>
</file>

<file path=xl/worksheets/sheet9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59"/>
  <dimension ref="A1:P36"/>
  <sheetViews>
    <sheetView zoomScaleNormal="100" workbookViewId="0">
      <selection activeCell="G20" sqref="G20:J20"/>
    </sheetView>
  </sheetViews>
  <sheetFormatPr defaultRowHeight="15.6"/>
  <cols>
    <col min="1" max="1" width="4.69921875" style="130" customWidth="1"/>
    <col min="2" max="2" width="5.69921875" style="130" customWidth="1"/>
    <col min="3" max="3" width="24.3984375" style="130" customWidth="1"/>
    <col min="4" max="10" width="12.59765625" style="130" customWidth="1"/>
    <col min="11" max="11" width="24.3984375" customWidth="1"/>
  </cols>
  <sheetData>
    <row r="1" spans="1:16" ht="26.25" customHeight="1">
      <c r="A1" s="3666" t="s">
        <v>358</v>
      </c>
      <c r="B1" s="3666"/>
      <c r="C1" s="3666"/>
      <c r="D1" s="3666"/>
      <c r="E1" s="3666"/>
      <c r="F1" s="3666"/>
      <c r="G1" s="3666"/>
      <c r="H1" s="3666"/>
      <c r="I1" s="3666"/>
      <c r="J1" s="3666"/>
      <c r="K1" s="3667"/>
    </row>
    <row r="2" spans="1:16" ht="21.75" customHeight="1">
      <c r="A2" s="3256" t="s">
        <v>448</v>
      </c>
      <c r="B2" s="3256"/>
      <c r="C2" s="3257">
        <f>基本情况!B2</f>
        <v>0</v>
      </c>
      <c r="D2" s="3257"/>
      <c r="E2" s="1032" t="s">
        <v>451</v>
      </c>
      <c r="F2" s="1033">
        <f>基本情况!B12</f>
        <v>0</v>
      </c>
      <c r="G2" s="1032" t="s">
        <v>883</v>
      </c>
      <c r="H2" s="1034" t="str">
        <f>TEXT(基本情况!B21,"yyyy-mm-dd")</f>
        <v>2017-03-16</v>
      </c>
      <c r="I2" s="3258" t="s">
        <v>283</v>
      </c>
      <c r="J2" s="3258"/>
      <c r="K2" s="3667"/>
    </row>
    <row r="3" spans="1:16" ht="21.75" customHeight="1">
      <c r="A3" s="3259" t="s">
        <v>452</v>
      </c>
      <c r="B3" s="3259"/>
      <c r="C3" s="3260" t="str">
        <f>基本情况!B7</f>
        <v>2016年01月01日至2016年12月31日</v>
      </c>
      <c r="D3" s="3260"/>
      <c r="E3" s="1035" t="s">
        <v>453</v>
      </c>
      <c r="F3" s="1036">
        <f>基本情况!B11</f>
        <v>0</v>
      </c>
      <c r="G3" s="1035" t="s">
        <v>883</v>
      </c>
      <c r="H3" s="1036" t="str">
        <f>TEXT(基本情况!B22,"yyyy-mm-dd")</f>
        <v>2017-05-04</v>
      </c>
      <c r="I3" s="3668" t="str">
        <f>档案索引!D39</f>
        <v>4-6</v>
      </c>
      <c r="J3" s="3668"/>
      <c r="K3" s="3667"/>
    </row>
    <row r="4" spans="1:16" ht="7.5" customHeight="1">
      <c r="A4" s="3254"/>
      <c r="B4" s="3254"/>
      <c r="C4" s="3254"/>
      <c r="D4" s="3254"/>
      <c r="E4" s="3254"/>
      <c r="F4" s="3254"/>
      <c r="G4" s="3254"/>
      <c r="H4" s="3254"/>
      <c r="I4" s="3254"/>
      <c r="J4" s="3254"/>
      <c r="K4" s="3667"/>
    </row>
    <row r="5" spans="1:16" ht="21.75" customHeight="1">
      <c r="A5" s="1037" t="s">
        <v>666</v>
      </c>
      <c r="B5" s="1038" t="s">
        <v>454</v>
      </c>
      <c r="C5" s="1038" t="s">
        <v>1002</v>
      </c>
      <c r="D5" s="1038" t="s">
        <v>1003</v>
      </c>
      <c r="E5" s="1038" t="s">
        <v>1004</v>
      </c>
      <c r="F5" s="1038" t="s">
        <v>1005</v>
      </c>
      <c r="G5" s="1038" t="s">
        <v>1006</v>
      </c>
      <c r="H5" s="1038" t="s">
        <v>1007</v>
      </c>
      <c r="I5" s="1038" t="s">
        <v>981</v>
      </c>
      <c r="J5" s="1039" t="s">
        <v>503</v>
      </c>
      <c r="K5" s="3667"/>
    </row>
    <row r="6" spans="1:16" ht="21.75" customHeight="1">
      <c r="A6" s="3265" t="s">
        <v>1008</v>
      </c>
      <c r="B6" s="1032">
        <v>1</v>
      </c>
      <c r="C6" s="1040"/>
      <c r="D6" s="1206"/>
      <c r="E6" s="1206"/>
      <c r="F6" s="1206"/>
      <c r="G6" s="1206"/>
      <c r="H6" s="1207">
        <f t="shared" ref="H6:H11" si="0">E6+F6-G6</f>
        <v>0</v>
      </c>
      <c r="I6" s="1206"/>
      <c r="J6" s="1208">
        <f t="shared" ref="J6:J19" si="1">H6+I6</f>
        <v>0</v>
      </c>
      <c r="K6" s="565"/>
    </row>
    <row r="7" spans="1:16" ht="21.75" customHeight="1">
      <c r="A7" s="3265"/>
      <c r="B7" s="763">
        <v>2</v>
      </c>
      <c r="C7" s="1041"/>
      <c r="D7" s="1209"/>
      <c r="E7" s="1209"/>
      <c r="F7" s="1209"/>
      <c r="G7" s="1209"/>
      <c r="H7" s="1210">
        <f t="shared" si="0"/>
        <v>0</v>
      </c>
      <c r="I7" s="1209"/>
      <c r="J7" s="1211">
        <f t="shared" si="1"/>
        <v>0</v>
      </c>
      <c r="K7" t="s">
        <v>396</v>
      </c>
    </row>
    <row r="8" spans="1:16" ht="21.75" customHeight="1">
      <c r="A8" s="3265"/>
      <c r="B8" s="763">
        <v>3</v>
      </c>
      <c r="C8" s="1041"/>
      <c r="D8" s="1209"/>
      <c r="E8" s="1209"/>
      <c r="F8" s="1209"/>
      <c r="G8" s="1209"/>
      <c r="H8" s="1210">
        <f t="shared" si="0"/>
        <v>0</v>
      </c>
      <c r="I8" s="1209"/>
      <c r="J8" s="1211">
        <f t="shared" si="1"/>
        <v>0</v>
      </c>
      <c r="K8" s="1042" t="s">
        <v>1289</v>
      </c>
    </row>
    <row r="9" spans="1:16" ht="21.75" customHeight="1">
      <c r="A9" s="3265"/>
      <c r="B9" s="763">
        <v>4</v>
      </c>
      <c r="C9" s="1041"/>
      <c r="D9" s="1209"/>
      <c r="E9" s="1209"/>
      <c r="F9" s="1209"/>
      <c r="G9" s="1209"/>
      <c r="H9" s="1210">
        <f t="shared" si="0"/>
        <v>0</v>
      </c>
      <c r="I9" s="1209"/>
      <c r="J9" s="1211">
        <f t="shared" si="1"/>
        <v>0</v>
      </c>
    </row>
    <row r="10" spans="1:16" ht="21.75" customHeight="1">
      <c r="A10" s="3265"/>
      <c r="B10" s="763">
        <v>5</v>
      </c>
      <c r="C10" s="1041"/>
      <c r="D10" s="1209"/>
      <c r="E10" s="1209"/>
      <c r="F10" s="1209"/>
      <c r="G10" s="1209"/>
      <c r="H10" s="1210">
        <f t="shared" si="0"/>
        <v>0</v>
      </c>
      <c r="I10" s="1209"/>
      <c r="J10" s="1211">
        <f t="shared" si="1"/>
        <v>0</v>
      </c>
    </row>
    <row r="11" spans="1:16" ht="21.75" customHeight="1">
      <c r="A11" s="3265"/>
      <c r="B11" s="763">
        <v>6</v>
      </c>
      <c r="C11" s="1041"/>
      <c r="D11" s="1209"/>
      <c r="E11" s="1209"/>
      <c r="F11" s="1209"/>
      <c r="G11" s="1209"/>
      <c r="H11" s="1210">
        <f t="shared" si="0"/>
        <v>0</v>
      </c>
      <c r="I11" s="1209"/>
      <c r="J11" s="1211">
        <f t="shared" si="1"/>
        <v>0</v>
      </c>
      <c r="K11" s="3622" t="s">
        <v>1650</v>
      </c>
      <c r="L11" s="3622"/>
      <c r="M11" s="3622"/>
      <c r="N11" s="3622"/>
      <c r="O11" s="3622"/>
      <c r="P11" s="3622"/>
    </row>
    <row r="12" spans="1:16" ht="21.75" customHeight="1">
      <c r="A12" s="3265"/>
      <c r="B12" s="3669" t="s">
        <v>703</v>
      </c>
      <c r="C12" s="3669"/>
      <c r="D12" s="1212">
        <f t="shared" ref="D12:I12" si="2">SUM(D6:D11)</f>
        <v>0</v>
      </c>
      <c r="E12" s="1212">
        <f t="shared" si="2"/>
        <v>0</v>
      </c>
      <c r="F12" s="1212">
        <f t="shared" si="2"/>
        <v>0</v>
      </c>
      <c r="G12" s="1212">
        <f t="shared" si="2"/>
        <v>0</v>
      </c>
      <c r="H12" s="1212">
        <f t="shared" si="2"/>
        <v>0</v>
      </c>
      <c r="I12" s="1212">
        <f t="shared" si="2"/>
        <v>0</v>
      </c>
      <c r="J12" s="1213">
        <f t="shared" si="1"/>
        <v>0</v>
      </c>
      <c r="K12" s="3622"/>
      <c r="L12" s="3622"/>
      <c r="M12" s="3622"/>
      <c r="N12" s="3622"/>
      <c r="O12" s="3622"/>
      <c r="P12" s="3622"/>
    </row>
    <row r="13" spans="1:16" ht="21.75" customHeight="1">
      <c r="A13" s="3670" t="s">
        <v>1651</v>
      </c>
      <c r="B13" s="1043">
        <v>1</v>
      </c>
      <c r="C13" s="1044"/>
      <c r="D13" s="1214"/>
      <c r="E13" s="1214"/>
      <c r="F13" s="1214"/>
      <c r="G13" s="1214"/>
      <c r="H13" s="1215">
        <f t="shared" ref="H13:H18" si="3">E13+G13-F13</f>
        <v>0</v>
      </c>
      <c r="I13" s="1216"/>
      <c r="J13" s="1217">
        <f t="shared" si="1"/>
        <v>0</v>
      </c>
      <c r="K13" s="3622"/>
      <c r="L13" s="3622"/>
      <c r="M13" s="3622"/>
      <c r="N13" s="3622"/>
      <c r="O13" s="3622"/>
      <c r="P13" s="3622"/>
    </row>
    <row r="14" spans="1:16" ht="21.75" customHeight="1">
      <c r="A14" s="3670"/>
      <c r="B14" s="763">
        <v>2</v>
      </c>
      <c r="C14" s="1041"/>
      <c r="D14" s="1218"/>
      <c r="E14" s="1218"/>
      <c r="F14" s="1218"/>
      <c r="G14" s="1218"/>
      <c r="H14" s="1219">
        <f t="shared" si="3"/>
        <v>0</v>
      </c>
      <c r="I14" s="1209"/>
      <c r="J14" s="1211">
        <f t="shared" si="1"/>
        <v>0</v>
      </c>
      <c r="K14" s="3622"/>
      <c r="L14" s="3622"/>
      <c r="M14" s="3622"/>
      <c r="N14" s="3622"/>
      <c r="O14" s="3622"/>
      <c r="P14" s="3622"/>
    </row>
    <row r="15" spans="1:16" ht="21.75" customHeight="1">
      <c r="A15" s="3670"/>
      <c r="B15" s="763">
        <v>3</v>
      </c>
      <c r="C15" s="1041"/>
      <c r="D15" s="1218"/>
      <c r="E15" s="1218"/>
      <c r="F15" s="1218"/>
      <c r="G15" s="1218"/>
      <c r="H15" s="1219">
        <f t="shared" si="3"/>
        <v>0</v>
      </c>
      <c r="I15" s="1209"/>
      <c r="J15" s="1211">
        <f t="shared" si="1"/>
        <v>0</v>
      </c>
      <c r="K15" s="3622"/>
      <c r="L15" s="3622"/>
      <c r="M15" s="3622"/>
      <c r="N15" s="3622"/>
      <c r="O15" s="3622"/>
      <c r="P15" s="3622"/>
    </row>
    <row r="16" spans="1:16" ht="21.75" customHeight="1">
      <c r="A16" s="3670"/>
      <c r="B16" s="763">
        <v>4</v>
      </c>
      <c r="C16" s="1041"/>
      <c r="D16" s="1218"/>
      <c r="E16" s="1218"/>
      <c r="F16" s="1218"/>
      <c r="G16" s="1218"/>
      <c r="H16" s="1219">
        <f t="shared" si="3"/>
        <v>0</v>
      </c>
      <c r="I16" s="1209"/>
      <c r="J16" s="1211">
        <f t="shared" si="1"/>
        <v>0</v>
      </c>
      <c r="K16" s="972"/>
      <c r="L16" s="673"/>
      <c r="M16" s="673"/>
      <c r="N16" s="673"/>
      <c r="O16" s="673"/>
      <c r="P16" s="673"/>
    </row>
    <row r="17" spans="1:16" ht="21.75" customHeight="1">
      <c r="A17" s="3670"/>
      <c r="B17" s="763">
        <v>5</v>
      </c>
      <c r="C17" s="1041"/>
      <c r="D17" s="1218"/>
      <c r="E17" s="1218"/>
      <c r="F17" s="1218"/>
      <c r="G17" s="1218"/>
      <c r="H17" s="1219">
        <f t="shared" si="3"/>
        <v>0</v>
      </c>
      <c r="I17" s="1209"/>
      <c r="J17" s="1211">
        <f t="shared" si="1"/>
        <v>0</v>
      </c>
    </row>
    <row r="18" spans="1:16" ht="21.75" customHeight="1">
      <c r="A18" s="3670"/>
      <c r="B18" s="763">
        <v>6</v>
      </c>
      <c r="C18" s="1041"/>
      <c r="D18" s="1209"/>
      <c r="E18" s="1209"/>
      <c r="F18" s="1209"/>
      <c r="G18" s="1209"/>
      <c r="H18" s="1219">
        <f t="shared" si="3"/>
        <v>0</v>
      </c>
      <c r="I18" s="1209"/>
      <c r="J18" s="1211">
        <f t="shared" si="1"/>
        <v>0</v>
      </c>
      <c r="K18" s="3622" t="s">
        <v>834</v>
      </c>
      <c r="L18" s="3622"/>
      <c r="M18" s="3622"/>
      <c r="N18" s="3622"/>
      <c r="O18" s="3622"/>
      <c r="P18" s="3622"/>
    </row>
    <row r="19" spans="1:16" ht="21.75" customHeight="1">
      <c r="A19" s="3670"/>
      <c r="B19" s="3669" t="s">
        <v>703</v>
      </c>
      <c r="C19" s="3669"/>
      <c r="D19" s="1212">
        <f t="shared" ref="D19:I19" si="4">SUM(D13:D18)</f>
        <v>0</v>
      </c>
      <c r="E19" s="1212">
        <f t="shared" si="4"/>
        <v>0</v>
      </c>
      <c r="F19" s="1212">
        <f t="shared" si="4"/>
        <v>0</v>
      </c>
      <c r="G19" s="1212">
        <f t="shared" si="4"/>
        <v>0</v>
      </c>
      <c r="H19" s="1212">
        <f t="shared" si="4"/>
        <v>0</v>
      </c>
      <c r="I19" s="1212">
        <f t="shared" si="4"/>
        <v>0</v>
      </c>
      <c r="J19" s="1213">
        <f t="shared" si="1"/>
        <v>0</v>
      </c>
      <c r="K19" s="3622"/>
      <c r="L19" s="3622"/>
      <c r="M19" s="3622"/>
      <c r="N19" s="3622"/>
      <c r="O19" s="3622"/>
      <c r="P19" s="3622"/>
    </row>
    <row r="20" spans="1:16" ht="21" customHeight="1">
      <c r="A20" s="3271" t="s">
        <v>642</v>
      </c>
      <c r="B20" s="3271"/>
      <c r="C20" s="3671" t="str">
        <f>IF($H$12&lt;&gt;资产负债!$D$18,"待摊费用账载数与报表数相差"&amp;DOLLAR($H$12-资产负债!$D$18,2)&amp;"元！","待摊费用账载数与报表数相符！")</f>
        <v>待摊费用账载数与报表数相符！</v>
      </c>
      <c r="D20" s="3671"/>
      <c r="E20" s="3671"/>
      <c r="F20" s="3671"/>
      <c r="G20" s="3672" t="str">
        <f>IF($H$19&lt;&gt;资产负债!$H$14,"预提费用账载数与报表数相差"&amp;DOLLAR($H$19-资产负债!$H$14,2)&amp;"元！","预提费用账载数与报表数相符！")</f>
        <v>预提费用账载数与报表数相符！</v>
      </c>
      <c r="H20" s="3672"/>
      <c r="I20" s="3672"/>
      <c r="J20" s="3672"/>
      <c r="K20" s="3622"/>
      <c r="L20" s="3622"/>
      <c r="M20" s="3622"/>
      <c r="N20" s="3622"/>
      <c r="O20" s="3622"/>
      <c r="P20" s="3622"/>
    </row>
    <row r="21" spans="1:16" ht="15" customHeight="1">
      <c r="A21" s="3280" t="s">
        <v>1324</v>
      </c>
      <c r="B21" s="3280"/>
      <c r="C21" s="1045" t="s">
        <v>1408</v>
      </c>
      <c r="D21" s="3675" t="str">
        <f>IF(OR(H12&lt;&gt;资产负债!D16,H18&lt;&gt;资产负债!H18),"、E","")</f>
        <v/>
      </c>
      <c r="E21" s="3675"/>
      <c r="F21" s="3675"/>
      <c r="G21" s="3675"/>
      <c r="H21" s="3675"/>
      <c r="I21" s="3675"/>
      <c r="J21" s="3675"/>
      <c r="K21" s="972"/>
      <c r="L21" s="587"/>
      <c r="M21" s="587"/>
      <c r="N21" s="587"/>
      <c r="O21" s="587"/>
      <c r="P21" s="587"/>
    </row>
    <row r="22" spans="1:16" ht="46.5" customHeight="1">
      <c r="A22" s="3280"/>
      <c r="B22" s="3280"/>
      <c r="C22" s="3676"/>
      <c r="D22" s="3676"/>
      <c r="E22" s="3676"/>
      <c r="F22" s="3676"/>
      <c r="G22" s="3676"/>
      <c r="H22" s="3676"/>
      <c r="I22" s="3676"/>
      <c r="J22" s="3676"/>
      <c r="K22" s="3623" t="s">
        <v>835</v>
      </c>
      <c r="L22" s="3623"/>
      <c r="M22" s="3623"/>
      <c r="N22" s="3623"/>
      <c r="O22" s="3623"/>
      <c r="P22" s="3623"/>
    </row>
    <row r="23" spans="1:16" ht="21" customHeight="1">
      <c r="A23" s="3673" t="s">
        <v>575</v>
      </c>
      <c r="B23" s="3673"/>
      <c r="C23" s="3674"/>
      <c r="D23" s="3674"/>
      <c r="E23" s="3674"/>
      <c r="F23" s="3674"/>
      <c r="G23" s="3674"/>
      <c r="H23" s="3674"/>
      <c r="I23" s="3674"/>
      <c r="J23" s="3674"/>
      <c r="K23" s="3623"/>
      <c r="L23" s="3623"/>
      <c r="M23" s="3623"/>
      <c r="N23" s="3623"/>
      <c r="O23" s="3623"/>
      <c r="P23" s="3623"/>
    </row>
    <row r="24" spans="1:16" ht="13.5" customHeight="1">
      <c r="K24" s="3623"/>
      <c r="L24" s="3623"/>
      <c r="M24" s="3623"/>
      <c r="N24" s="3623"/>
      <c r="O24" s="3623"/>
      <c r="P24" s="3623"/>
    </row>
    <row r="25" spans="1:16" ht="21" customHeight="1"/>
    <row r="26" spans="1:16" ht="21" customHeight="1"/>
    <row r="27" spans="1:16" ht="21" customHeight="1"/>
    <row r="28" spans="1:16" ht="21" customHeight="1"/>
    <row r="29" spans="1:16" ht="21" customHeight="1"/>
    <row r="30" spans="1:16" ht="21" customHeight="1"/>
    <row r="31" spans="1:16" ht="21" customHeight="1"/>
    <row r="32" spans="1:16" ht="21" customHeight="1"/>
    <row r="33" ht="21" customHeight="1"/>
    <row r="34" ht="21" customHeight="1"/>
    <row r="35" ht="21" customHeight="1"/>
    <row r="36" ht="21" customHeight="1"/>
  </sheetData>
  <sheetProtection selectLockedCells="1" selectUnlockedCells="1"/>
  <mergeCells count="24">
    <mergeCell ref="K22:P24"/>
    <mergeCell ref="A23:B23"/>
    <mergeCell ref="C23:J23"/>
    <mergeCell ref="A21:B22"/>
    <mergeCell ref="D21:J21"/>
    <mergeCell ref="C22:J22"/>
    <mergeCell ref="K11:P15"/>
    <mergeCell ref="B12:C12"/>
    <mergeCell ref="A13:A19"/>
    <mergeCell ref="K18:P20"/>
    <mergeCell ref="B19:C19"/>
    <mergeCell ref="A20:B20"/>
    <mergeCell ref="C20:F20"/>
    <mergeCell ref="G20:J20"/>
    <mergeCell ref="A6:A12"/>
    <mergeCell ref="A1:J1"/>
    <mergeCell ref="K1:K5"/>
    <mergeCell ref="A2:B2"/>
    <mergeCell ref="C2:D2"/>
    <mergeCell ref="I2:J2"/>
    <mergeCell ref="A3:B3"/>
    <mergeCell ref="C3:D3"/>
    <mergeCell ref="I3:J3"/>
    <mergeCell ref="A4:J4"/>
  </mergeCells>
  <phoneticPr fontId="51" type="noConversion"/>
  <dataValidations count="1">
    <dataValidation allowBlank="1" showErrorMessage="1" promptTitle="存在调整事项时" prompt="_x000a_选择 “E”" sqref="D21:J21">
      <formula1>0</formula1>
      <formula2>0</formula2>
    </dataValidation>
  </dataValidations>
  <hyperlinks>
    <hyperlink ref="K8" location="资产负债!A1" display="资产负债表"/>
  </hyperlinks>
  <pageMargins left="0.78740157480314998" right="0.35433070866141703" top="0.511811023622047" bottom="0.11811023622047198" header="0.511811023622047" footer="0.511811023622047"/>
  <pageSetup paperSize="9" firstPageNumber="0" orientation="landscape" blackAndWhite="1" r:id="rId1"/>
  <headerFooter alignWithMargins="0"/>
</worksheet>
</file>

<file path=xl/worksheets/sheet9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60"/>
  <dimension ref="A1:L35"/>
  <sheetViews>
    <sheetView workbookViewId="0">
      <selection activeCell="C16" sqref="C16:H16"/>
    </sheetView>
  </sheetViews>
  <sheetFormatPr defaultRowHeight="15.6"/>
  <cols>
    <col min="1" max="1" width="7.09765625" style="130" customWidth="1"/>
    <col min="2" max="2" width="24.8984375" style="130" customWidth="1"/>
    <col min="3" max="8" width="14.59765625" style="130" customWidth="1"/>
    <col min="9" max="9" width="28.8984375" customWidth="1"/>
  </cols>
  <sheetData>
    <row r="1" spans="1:12" ht="30" customHeight="1">
      <c r="A1" s="2707" t="s">
        <v>1264</v>
      </c>
      <c r="B1" s="2707"/>
      <c r="C1" s="2707"/>
      <c r="D1" s="2707"/>
      <c r="E1" s="2707"/>
      <c r="F1" s="2707"/>
      <c r="G1" s="2707"/>
      <c r="H1" s="2707"/>
      <c r="I1" s="3151"/>
      <c r="J1" s="84"/>
      <c r="K1" s="84"/>
      <c r="L1" s="84"/>
    </row>
    <row r="2" spans="1:12" s="130" customFormat="1" ht="23.25" customHeight="1">
      <c r="A2" s="3163" t="str">
        <f>"委托单位："&amp;基本情况!B2</f>
        <v>委托单位：0</v>
      </c>
      <c r="B2" s="3163"/>
      <c r="C2" s="3163"/>
      <c r="D2" s="3163"/>
      <c r="E2" s="136"/>
      <c r="F2" s="136" t="s">
        <v>9</v>
      </c>
      <c r="G2" s="136" t="s">
        <v>883</v>
      </c>
      <c r="H2" s="485" t="s">
        <v>283</v>
      </c>
      <c r="I2" s="3151"/>
      <c r="J2" s="598"/>
      <c r="K2" s="598"/>
      <c r="L2" s="598"/>
    </row>
    <row r="3" spans="1:12" s="130" customFormat="1" ht="23.25" customHeight="1">
      <c r="A3" s="3163"/>
      <c r="B3" s="3163"/>
      <c r="C3" s="3163"/>
      <c r="D3" s="3163"/>
      <c r="E3" s="158" t="s">
        <v>451</v>
      </c>
      <c r="F3" s="510">
        <f>基本情况!B12</f>
        <v>0</v>
      </c>
      <c r="G3" s="559" t="str">
        <f>TEXT(基本情况!B21,"yyyy-mm-dd")</f>
        <v>2017-03-16</v>
      </c>
      <c r="H3" s="3140"/>
      <c r="I3" s="3151"/>
      <c r="J3" s="598"/>
      <c r="K3" s="598"/>
      <c r="L3" s="598"/>
    </row>
    <row r="4" spans="1:12" s="130" customFormat="1" ht="23.25" customHeight="1">
      <c r="A4" s="3161" t="str">
        <f>"会计期间："&amp;基本情况!B7</f>
        <v>会计期间：2016年01月01日至2016年12月31日</v>
      </c>
      <c r="B4" s="3161"/>
      <c r="C4" s="3161"/>
      <c r="D4" s="3161"/>
      <c r="E4" s="605" t="s">
        <v>453</v>
      </c>
      <c r="F4" s="1046">
        <f>基本情况!B11</f>
        <v>0</v>
      </c>
      <c r="G4" s="1046" t="str">
        <f>TEXT(基本情况!B22,"yyyy-mm-dd")</f>
        <v>2017-05-04</v>
      </c>
      <c r="H4" s="3140"/>
      <c r="I4" s="3151"/>
      <c r="J4" s="598"/>
      <c r="K4" s="598"/>
      <c r="L4" s="598"/>
    </row>
    <row r="5" spans="1:12" s="130" customFormat="1" ht="7.5" customHeight="1">
      <c r="A5" s="2894"/>
      <c r="B5" s="2894"/>
      <c r="C5" s="2894"/>
      <c r="D5" s="2894"/>
      <c r="E5" s="2894"/>
      <c r="F5" s="2894"/>
      <c r="G5" s="2894"/>
      <c r="H5" s="2894"/>
      <c r="I5" s="543"/>
      <c r="J5" s="598"/>
      <c r="K5" s="598"/>
      <c r="L5" s="598"/>
    </row>
    <row r="6" spans="1:12" s="130" customFormat="1" ht="23.25" customHeight="1">
      <c r="A6" s="135" t="s">
        <v>454</v>
      </c>
      <c r="B6" s="136" t="s">
        <v>216</v>
      </c>
      <c r="C6" s="136" t="s">
        <v>613</v>
      </c>
      <c r="D6" s="136" t="s">
        <v>836</v>
      </c>
      <c r="E6" s="136" t="s">
        <v>837</v>
      </c>
      <c r="F6" s="136" t="s">
        <v>838</v>
      </c>
      <c r="G6" s="136" t="s">
        <v>981</v>
      </c>
      <c r="H6" s="485" t="s">
        <v>243</v>
      </c>
      <c r="I6" s="84" t="s">
        <v>396</v>
      </c>
      <c r="J6" s="598"/>
      <c r="K6" s="598"/>
      <c r="L6" s="598"/>
    </row>
    <row r="7" spans="1:12" s="130" customFormat="1" ht="23.25" customHeight="1">
      <c r="A7" s="1047"/>
      <c r="B7" s="1048"/>
      <c r="C7" s="1220"/>
      <c r="D7" s="1121"/>
      <c r="E7" s="1220"/>
      <c r="F7" s="1220"/>
      <c r="G7" s="1220"/>
      <c r="H7" s="496">
        <f>F7+G7</f>
        <v>0</v>
      </c>
      <c r="I7" s="493" t="s">
        <v>1289</v>
      </c>
      <c r="J7" s="90"/>
      <c r="K7" s="598"/>
      <c r="L7" s="598"/>
    </row>
    <row r="8" spans="1:12" s="130" customFormat="1" ht="23.25" customHeight="1">
      <c r="A8" s="680"/>
      <c r="B8" s="1048"/>
      <c r="C8" s="1120"/>
      <c r="D8" s="1120"/>
      <c r="E8" s="1120"/>
      <c r="F8" s="1120"/>
      <c r="G8" s="1120"/>
      <c r="H8" s="496">
        <f t="shared" ref="H8:H14" si="0">F8+G8</f>
        <v>0</v>
      </c>
      <c r="I8" s="84"/>
      <c r="J8" s="90"/>
      <c r="K8" s="598"/>
      <c r="L8" s="598"/>
    </row>
    <row r="9" spans="1:12" s="130" customFormat="1" ht="23.25" customHeight="1">
      <c r="A9" s="680"/>
      <c r="B9" s="1048"/>
      <c r="C9" s="1120"/>
      <c r="D9" s="1120"/>
      <c r="E9" s="1120"/>
      <c r="F9" s="1120"/>
      <c r="G9" s="1120"/>
      <c r="H9" s="496">
        <f t="shared" si="0"/>
        <v>0</v>
      </c>
      <c r="I9" s="493" t="s">
        <v>839</v>
      </c>
      <c r="J9" s="90"/>
      <c r="K9" s="598"/>
      <c r="L9" s="598"/>
    </row>
    <row r="10" spans="1:12" s="130" customFormat="1" ht="23.25" customHeight="1">
      <c r="A10" s="680"/>
      <c r="B10" s="1048"/>
      <c r="C10" s="1120"/>
      <c r="D10" s="1120"/>
      <c r="E10" s="1120"/>
      <c r="F10" s="1120"/>
      <c r="G10" s="1120"/>
      <c r="H10" s="496">
        <f t="shared" si="0"/>
        <v>0</v>
      </c>
      <c r="I10" s="598"/>
      <c r="J10" s="90"/>
      <c r="K10" s="598"/>
      <c r="L10" s="598"/>
    </row>
    <row r="11" spans="1:12" s="130" customFormat="1" ht="23.25" customHeight="1">
      <c r="A11" s="680"/>
      <c r="B11" s="1048"/>
      <c r="C11" s="1120"/>
      <c r="D11" s="1120"/>
      <c r="E11" s="1120"/>
      <c r="F11" s="1120"/>
      <c r="G11" s="1120"/>
      <c r="H11" s="496">
        <f t="shared" si="0"/>
        <v>0</v>
      </c>
      <c r="I11" s="598"/>
      <c r="J11" s="598"/>
      <c r="K11" s="598"/>
      <c r="L11" s="598"/>
    </row>
    <row r="12" spans="1:12" s="130" customFormat="1" ht="23.25" customHeight="1">
      <c r="A12" s="680"/>
      <c r="B12" s="1048"/>
      <c r="C12" s="1120"/>
      <c r="D12" s="1120"/>
      <c r="E12" s="1120"/>
      <c r="F12" s="1120"/>
      <c r="G12" s="1120"/>
      <c r="H12" s="496">
        <f t="shared" si="0"/>
        <v>0</v>
      </c>
      <c r="I12" s="598"/>
      <c r="J12" s="598"/>
      <c r="K12" s="598"/>
      <c r="L12" s="598"/>
    </row>
    <row r="13" spans="1:12" s="130" customFormat="1" ht="23.25" customHeight="1">
      <c r="A13" s="680"/>
      <c r="B13" s="1048"/>
      <c r="C13" s="1120"/>
      <c r="D13" s="1120"/>
      <c r="E13" s="1120"/>
      <c r="F13" s="1120"/>
      <c r="G13" s="1120"/>
      <c r="H13" s="496">
        <f t="shared" si="0"/>
        <v>0</v>
      </c>
      <c r="I13" s="598"/>
      <c r="J13" s="598"/>
      <c r="K13" s="598"/>
      <c r="L13" s="598"/>
    </row>
    <row r="14" spans="1:12" s="130" customFormat="1" ht="23.25" customHeight="1">
      <c r="A14" s="680"/>
      <c r="B14" s="1048"/>
      <c r="C14" s="1120"/>
      <c r="D14" s="1120"/>
      <c r="E14" s="1120"/>
      <c r="F14" s="1120"/>
      <c r="G14" s="1120"/>
      <c r="H14" s="496">
        <f t="shared" si="0"/>
        <v>0</v>
      </c>
      <c r="I14" s="598"/>
      <c r="J14" s="598"/>
      <c r="K14" s="598"/>
      <c r="L14" s="598"/>
    </row>
    <row r="15" spans="1:12" s="130" customFormat="1" ht="23.25" customHeight="1">
      <c r="A15" s="1049"/>
      <c r="B15" s="140" t="s">
        <v>703</v>
      </c>
      <c r="C15" s="823">
        <f t="shared" ref="C15:H15" si="1">SUM(C7:C14)</f>
        <v>0</v>
      </c>
      <c r="D15" s="823">
        <f t="shared" si="1"/>
        <v>0</v>
      </c>
      <c r="E15" s="823">
        <f t="shared" si="1"/>
        <v>0</v>
      </c>
      <c r="F15" s="823">
        <f t="shared" si="1"/>
        <v>0</v>
      </c>
      <c r="G15" s="823">
        <f t="shared" si="1"/>
        <v>0</v>
      </c>
      <c r="H15" s="596">
        <f t="shared" si="1"/>
        <v>0</v>
      </c>
      <c r="I15" s="598"/>
      <c r="J15" s="598"/>
      <c r="K15" s="598"/>
      <c r="L15" s="598"/>
    </row>
    <row r="16" spans="1:12" s="130" customFormat="1" ht="23.25" customHeight="1">
      <c r="A16" s="3021" t="s">
        <v>642</v>
      </c>
      <c r="B16" s="3021"/>
      <c r="C16" s="3677" t="str">
        <f>IF(F15&lt;&gt;资产负债!D26,"账载数与报表数相差"&amp;DOLLAR(F15-资产负债!D26,2)&amp;"元！","账载数与报表数相符！")</f>
        <v>账载数与报表数相符！</v>
      </c>
      <c r="D16" s="3677"/>
      <c r="E16" s="3677"/>
      <c r="F16" s="3677"/>
      <c r="G16" s="3677"/>
      <c r="H16" s="3677"/>
      <c r="I16" s="598"/>
      <c r="J16" s="598"/>
      <c r="K16" s="598"/>
      <c r="L16" s="598"/>
    </row>
    <row r="17" spans="1:12" s="130" customFormat="1" ht="15" customHeight="1">
      <c r="A17" s="3024" t="s">
        <v>1324</v>
      </c>
      <c r="B17" s="3024"/>
      <c r="C17" s="3142" t="s">
        <v>1408</v>
      </c>
      <c r="D17" s="3142"/>
      <c r="E17" s="3109" t="str">
        <f>IF(G15&lt;&gt;0,"、E","")</f>
        <v/>
      </c>
      <c r="F17" s="3109"/>
      <c r="G17" s="3109"/>
      <c r="H17" s="3109"/>
      <c r="I17" s="598"/>
      <c r="J17" s="598"/>
      <c r="K17" s="598"/>
      <c r="L17" s="598"/>
    </row>
    <row r="18" spans="1:12" s="130" customFormat="1" ht="62.25" customHeight="1">
      <c r="A18" s="3024"/>
      <c r="B18" s="3024"/>
      <c r="C18" s="3636"/>
      <c r="D18" s="3636"/>
      <c r="E18" s="3636"/>
      <c r="F18" s="3636"/>
      <c r="G18" s="3636"/>
      <c r="H18" s="3636"/>
      <c r="I18" s="598"/>
      <c r="J18" s="598"/>
      <c r="K18" s="598"/>
      <c r="L18" s="598"/>
    </row>
    <row r="19" spans="1:12" s="130" customFormat="1" ht="23.25" customHeight="1">
      <c r="A19" s="3156" t="s">
        <v>575</v>
      </c>
      <c r="B19" s="3156"/>
      <c r="C19" s="3135" t="str">
        <f>IF(G15=0,"不存在调整事项，认可！","调整后认可！")</f>
        <v>不存在调整事项，认可！</v>
      </c>
      <c r="D19" s="3135"/>
      <c r="E19" s="3135"/>
      <c r="F19" s="3135"/>
      <c r="G19" s="3135"/>
      <c r="H19" s="3135"/>
      <c r="I19" s="598"/>
      <c r="J19" s="598"/>
      <c r="K19" s="598"/>
      <c r="L19" s="598"/>
    </row>
    <row r="20" spans="1:12" s="130" customFormat="1" ht="23.25" customHeight="1">
      <c r="A20" s="598"/>
      <c r="B20" s="598"/>
      <c r="C20" s="598"/>
      <c r="D20" s="598"/>
      <c r="E20" s="598"/>
      <c r="F20" s="598"/>
      <c r="G20" s="598"/>
      <c r="H20" s="598"/>
      <c r="I20" s="598"/>
      <c r="J20" s="598"/>
      <c r="K20" s="598"/>
      <c r="L20" s="598"/>
    </row>
    <row r="21" spans="1:12" s="130" customFormat="1" ht="23.25" customHeight="1"/>
    <row r="22" spans="1:12" s="130" customFormat="1" ht="23.25" customHeight="1"/>
    <row r="23" spans="1:12" s="130" customFormat="1" ht="23.25" customHeight="1"/>
    <row r="24" spans="1:12" s="130" customFormat="1" ht="23.25" customHeight="1"/>
    <row r="25" spans="1:12" s="130" customFormat="1" ht="20.100000000000001" customHeight="1"/>
    <row r="26" spans="1:12" s="130" customFormat="1" ht="20.100000000000001" customHeight="1"/>
    <row r="27" spans="1:12" s="130" customFormat="1" ht="20.100000000000001" customHeight="1"/>
    <row r="28" spans="1:12" s="130" customFormat="1" ht="20.100000000000001" customHeight="1"/>
    <row r="29" spans="1:12" s="130" customFormat="1" ht="20.100000000000001" customHeight="1"/>
    <row r="30" spans="1:12" s="130" customFormat="1" ht="20.100000000000001" customHeight="1"/>
    <row r="31" spans="1:12" s="130" customFormat="1" ht="20.100000000000001" customHeight="1"/>
    <row r="32" spans="1:12" ht="20.100000000000001" customHeight="1"/>
    <row r="33" ht="20.100000000000001" customHeight="1"/>
    <row r="34" ht="20.100000000000001" customHeight="1"/>
    <row r="35" ht="20.100000000000001" customHeight="1"/>
  </sheetData>
  <sheetProtection selectLockedCells="1" selectUnlockedCells="1"/>
  <mergeCells count="14">
    <mergeCell ref="A19:B19"/>
    <mergeCell ref="C19:H19"/>
    <mergeCell ref="A16:B16"/>
    <mergeCell ref="C16:H16"/>
    <mergeCell ref="A17:B18"/>
    <mergeCell ref="C17:D17"/>
    <mergeCell ref="E17:H17"/>
    <mergeCell ref="C18:H18"/>
    <mergeCell ref="A5:H5"/>
    <mergeCell ref="A1:H1"/>
    <mergeCell ref="I1:I4"/>
    <mergeCell ref="A2:D3"/>
    <mergeCell ref="H3:H4"/>
    <mergeCell ref="A4:D4"/>
  </mergeCells>
  <phoneticPr fontId="51" type="noConversion"/>
  <dataValidations count="2">
    <dataValidation allowBlank="1" showErrorMessage="1" sqref="F3">
      <formula1>0</formula1>
      <formula2>0</formula2>
    </dataValidation>
    <dataValidation allowBlank="1" showErrorMessage="1" promptTitle="存在调整事项时" prompt="_x000a_选择 “E”" sqref="E17:H17">
      <formula1>0</formula1>
      <formula2>0</formula2>
    </dataValidation>
  </dataValidations>
  <hyperlinks>
    <hyperlink ref="I7" location="资产负债!A1" display="资产负债表"/>
    <hyperlink ref="I9" location="固资折旧!A1" display="固定资产与折旧"/>
  </hyperlinks>
  <pageMargins left="0.78740157480314998" right="0.35433070866141703" top="0.511811023622047" bottom="0.11811023622047198" header="0.511811023622047" footer="0.511811023622047"/>
  <pageSetup paperSize="9" firstPageNumber="0" orientation="landscape" blackAndWhite="1" r:id="rId1"/>
  <headerFooter alignWithMargins="0"/>
</worksheet>
</file>

<file path=xl/worksheets/sheet9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77">
    <pageSetUpPr fitToPage="1"/>
  </sheetPr>
  <dimension ref="A1:P42"/>
  <sheetViews>
    <sheetView topLeftCell="A9" zoomScaleNormal="100" workbookViewId="0">
      <selection activeCell="G26" sqref="G26:J26"/>
    </sheetView>
  </sheetViews>
  <sheetFormatPr defaultRowHeight="15.6"/>
  <cols>
    <col min="1" max="1" width="4.69921875" style="130" customWidth="1"/>
    <col min="2" max="2" width="5.69921875" style="130" customWidth="1"/>
    <col min="3" max="3" width="24.3984375" style="130" customWidth="1"/>
    <col min="4" max="10" width="12.59765625" style="130" customWidth="1"/>
    <col min="11" max="11" width="24.3984375" customWidth="1"/>
  </cols>
  <sheetData>
    <row r="1" spans="1:11" ht="26.25" customHeight="1">
      <c r="A1" s="3666" t="s">
        <v>10118</v>
      </c>
      <c r="B1" s="3666"/>
      <c r="C1" s="3666"/>
      <c r="D1" s="3666"/>
      <c r="E1" s="3666"/>
      <c r="F1" s="3666"/>
      <c r="G1" s="3666"/>
      <c r="H1" s="3666"/>
      <c r="I1" s="3666"/>
      <c r="J1" s="3666"/>
    </row>
    <row r="2" spans="1:11" ht="21.75" customHeight="1">
      <c r="A2" s="3256" t="s">
        <v>448</v>
      </c>
      <c r="B2" s="3256"/>
      <c r="C2" s="3257">
        <f>基本情况!B2</f>
        <v>0</v>
      </c>
      <c r="D2" s="3257"/>
      <c r="E2" s="1032" t="s">
        <v>451</v>
      </c>
      <c r="F2" s="1033">
        <f>基本情况!B12</f>
        <v>0</v>
      </c>
      <c r="G2" s="1032" t="s">
        <v>883</v>
      </c>
      <c r="H2" s="1034" t="str">
        <f>TEXT(基本情况!B21,"yyyy-mm-dd")</f>
        <v>2017-03-16</v>
      </c>
      <c r="I2" s="3258" t="s">
        <v>283</v>
      </c>
      <c r="J2" s="3258"/>
    </row>
    <row r="3" spans="1:11" ht="21.75" customHeight="1">
      <c r="A3" s="3259" t="s">
        <v>452</v>
      </c>
      <c r="B3" s="3259"/>
      <c r="C3" s="3260" t="str">
        <f>基本情况!B7</f>
        <v>2016年01月01日至2016年12月31日</v>
      </c>
      <c r="D3" s="3260"/>
      <c r="E3" s="2640" t="s">
        <v>453</v>
      </c>
      <c r="F3" s="1036">
        <f>基本情况!B11</f>
        <v>0</v>
      </c>
      <c r="G3" s="2640" t="s">
        <v>883</v>
      </c>
      <c r="H3" s="1036" t="str">
        <f>TEXT(基本情况!B22,"yyyy-mm-dd")</f>
        <v>2017-05-04</v>
      </c>
      <c r="I3" s="3668"/>
      <c r="J3" s="3668"/>
    </row>
    <row r="4" spans="1:11" ht="7.5" customHeight="1">
      <c r="A4" s="3254"/>
      <c r="B4" s="3254"/>
      <c r="C4" s="3254"/>
      <c r="D4" s="3254"/>
      <c r="E4" s="3254"/>
      <c r="F4" s="3254"/>
      <c r="G4" s="3254"/>
      <c r="H4" s="3254"/>
      <c r="I4" s="3254"/>
      <c r="J4" s="3254"/>
    </row>
    <row r="5" spans="1:11" ht="21.75" customHeight="1">
      <c r="A5" s="2641" t="s">
        <v>666</v>
      </c>
      <c r="B5" s="1038" t="s">
        <v>454</v>
      </c>
      <c r="C5" s="1038" t="s">
        <v>1002</v>
      </c>
      <c r="D5" s="1038" t="s">
        <v>10121</v>
      </c>
      <c r="E5" s="1038" t="s">
        <v>1004</v>
      </c>
      <c r="F5" s="1038" t="s">
        <v>1005</v>
      </c>
      <c r="G5" s="1038" t="s">
        <v>1006</v>
      </c>
      <c r="H5" s="1038" t="s">
        <v>1007</v>
      </c>
      <c r="I5" s="1038" t="s">
        <v>981</v>
      </c>
      <c r="J5" s="1039" t="s">
        <v>503</v>
      </c>
    </row>
    <row r="6" spans="1:11" ht="21.75" customHeight="1">
      <c r="A6" s="3265" t="s">
        <v>10119</v>
      </c>
      <c r="B6" s="1032">
        <v>1</v>
      </c>
      <c r="C6" s="1040"/>
      <c r="D6" s="2658"/>
      <c r="E6" s="1206"/>
      <c r="F6" s="1206"/>
      <c r="G6" s="1206"/>
      <c r="H6" s="1207">
        <f t="shared" ref="H6:H24" si="0">E6+F6-G6</f>
        <v>0</v>
      </c>
      <c r="I6" s="1206"/>
      <c r="J6" s="1208">
        <f t="shared" ref="J6:J25" si="1">H6+I6</f>
        <v>0</v>
      </c>
      <c r="K6" s="565"/>
    </row>
    <row r="7" spans="1:11" ht="21.75" customHeight="1">
      <c r="A7" s="3265"/>
      <c r="B7" s="2636">
        <v>2</v>
      </c>
      <c r="C7" s="1041"/>
      <c r="D7" s="2659"/>
      <c r="E7" s="1209"/>
      <c r="F7" s="1209"/>
      <c r="G7" s="1209"/>
      <c r="H7" s="1210">
        <f t="shared" si="0"/>
        <v>0</v>
      </c>
      <c r="I7" s="1209"/>
      <c r="J7" s="1211">
        <f t="shared" si="1"/>
        <v>0</v>
      </c>
      <c r="K7" t="s">
        <v>396</v>
      </c>
    </row>
    <row r="8" spans="1:11" ht="21.75" customHeight="1">
      <c r="A8" s="3265"/>
      <c r="B8" s="2636">
        <v>3</v>
      </c>
      <c r="C8" s="1041"/>
      <c r="D8" s="2659"/>
      <c r="E8" s="1209"/>
      <c r="F8" s="1209"/>
      <c r="G8" s="1209"/>
      <c r="H8" s="1210">
        <f t="shared" si="0"/>
        <v>0</v>
      </c>
      <c r="I8" s="1209"/>
      <c r="J8" s="1211">
        <f t="shared" si="1"/>
        <v>0</v>
      </c>
      <c r="K8" s="1042" t="s">
        <v>1289</v>
      </c>
    </row>
    <row r="9" spans="1:11" ht="21.75" customHeight="1">
      <c r="A9" s="3265"/>
      <c r="B9" s="2636">
        <v>4</v>
      </c>
      <c r="C9" s="1041"/>
      <c r="D9" s="2659"/>
      <c r="E9" s="1209"/>
      <c r="F9" s="1209"/>
      <c r="G9" s="1209"/>
      <c r="H9" s="1210">
        <f t="shared" si="0"/>
        <v>0</v>
      </c>
      <c r="I9" s="1209"/>
      <c r="J9" s="1211">
        <f t="shared" si="1"/>
        <v>0</v>
      </c>
    </row>
    <row r="10" spans="1:11" ht="21.75" customHeight="1">
      <c r="A10" s="3265"/>
      <c r="B10" s="2636">
        <v>5</v>
      </c>
      <c r="C10" s="1041"/>
      <c r="D10" s="2659"/>
      <c r="E10" s="1209"/>
      <c r="F10" s="1209"/>
      <c r="G10" s="1209"/>
      <c r="H10" s="1210">
        <f t="shared" si="0"/>
        <v>0</v>
      </c>
      <c r="I10" s="1209"/>
      <c r="J10" s="1211">
        <f t="shared" si="1"/>
        <v>0</v>
      </c>
    </row>
    <row r="11" spans="1:11" ht="21.75" customHeight="1">
      <c r="A11" s="3265"/>
      <c r="B11" s="2636">
        <v>6</v>
      </c>
      <c r="C11" s="1041"/>
      <c r="D11" s="2659"/>
      <c r="E11" s="1209"/>
      <c r="F11" s="1209"/>
      <c r="G11" s="1209"/>
      <c r="H11" s="1210">
        <f t="shared" si="0"/>
        <v>0</v>
      </c>
      <c r="I11" s="1209"/>
      <c r="J11" s="1211">
        <f t="shared" si="1"/>
        <v>0</v>
      </c>
    </row>
    <row r="12" spans="1:11" ht="21.75" customHeight="1">
      <c r="A12" s="3265"/>
      <c r="B12" s="2636">
        <v>7</v>
      </c>
      <c r="C12" s="2648"/>
      <c r="D12" s="2660"/>
      <c r="E12" s="2649"/>
      <c r="F12" s="2649"/>
      <c r="G12" s="2649"/>
      <c r="H12" s="1210">
        <f t="shared" si="0"/>
        <v>0</v>
      </c>
      <c r="I12" s="2649"/>
      <c r="J12" s="1211">
        <f t="shared" si="1"/>
        <v>0</v>
      </c>
    </row>
    <row r="13" spans="1:11" ht="21.75" customHeight="1">
      <c r="A13" s="3265"/>
      <c r="B13" s="2636">
        <v>8</v>
      </c>
      <c r="C13" s="2648"/>
      <c r="D13" s="2660"/>
      <c r="E13" s="2649"/>
      <c r="F13" s="2649"/>
      <c r="G13" s="2649"/>
      <c r="H13" s="1210">
        <f t="shared" si="0"/>
        <v>0</v>
      </c>
      <c r="I13" s="2649"/>
      <c r="J13" s="1211">
        <f t="shared" si="1"/>
        <v>0</v>
      </c>
    </row>
    <row r="14" spans="1:11" ht="21.75" customHeight="1">
      <c r="A14" s="3265"/>
      <c r="B14" s="2636">
        <v>9</v>
      </c>
      <c r="C14" s="2648"/>
      <c r="D14" s="2660"/>
      <c r="E14" s="2649"/>
      <c r="F14" s="2649"/>
      <c r="G14" s="2649"/>
      <c r="H14" s="1210">
        <f t="shared" si="0"/>
        <v>0</v>
      </c>
      <c r="I14" s="2649"/>
      <c r="J14" s="1211">
        <f t="shared" si="1"/>
        <v>0</v>
      </c>
    </row>
    <row r="15" spans="1:11" ht="21.75" customHeight="1">
      <c r="A15" s="3265"/>
      <c r="B15" s="3669" t="s">
        <v>703</v>
      </c>
      <c r="C15" s="3669"/>
      <c r="D15" s="1212"/>
      <c r="E15" s="1212">
        <f t="shared" ref="E15:I15" si="2">SUM(E6:E14)</f>
        <v>0</v>
      </c>
      <c r="F15" s="1212">
        <f t="shared" si="2"/>
        <v>0</v>
      </c>
      <c r="G15" s="1212">
        <f t="shared" si="2"/>
        <v>0</v>
      </c>
      <c r="H15" s="1212">
        <f t="shared" si="2"/>
        <v>0</v>
      </c>
      <c r="I15" s="1212">
        <f t="shared" si="2"/>
        <v>0</v>
      </c>
      <c r="J15" s="1213">
        <f t="shared" si="1"/>
        <v>0</v>
      </c>
    </row>
    <row r="16" spans="1:11" ht="21.75" customHeight="1">
      <c r="A16" s="3670" t="s">
        <v>10120</v>
      </c>
      <c r="B16" s="1043">
        <v>1</v>
      </c>
      <c r="C16" s="1044"/>
      <c r="D16" s="2661"/>
      <c r="E16" s="1214"/>
      <c r="F16" s="1214"/>
      <c r="G16" s="1214"/>
      <c r="H16" s="1215">
        <f t="shared" si="0"/>
        <v>0</v>
      </c>
      <c r="I16" s="1216"/>
      <c r="J16" s="1217">
        <f t="shared" si="1"/>
        <v>0</v>
      </c>
    </row>
    <row r="17" spans="1:16" ht="21.75" customHeight="1">
      <c r="A17" s="3670"/>
      <c r="B17" s="2636">
        <v>2</v>
      </c>
      <c r="C17" s="1041"/>
      <c r="D17" s="2659"/>
      <c r="E17" s="2635"/>
      <c r="F17" s="2635"/>
      <c r="G17" s="2635"/>
      <c r="H17" s="1219">
        <f t="shared" si="0"/>
        <v>0</v>
      </c>
      <c r="I17" s="1209"/>
      <c r="J17" s="1211">
        <f t="shared" si="1"/>
        <v>0</v>
      </c>
    </row>
    <row r="18" spans="1:16" ht="21.75" customHeight="1">
      <c r="A18" s="3670"/>
      <c r="B18" s="2636">
        <v>3</v>
      </c>
      <c r="C18" s="1041"/>
      <c r="D18" s="2659"/>
      <c r="E18" s="2635"/>
      <c r="F18" s="2635"/>
      <c r="G18" s="2635"/>
      <c r="H18" s="1219">
        <f t="shared" si="0"/>
        <v>0</v>
      </c>
      <c r="I18" s="1209"/>
      <c r="J18" s="1211">
        <f t="shared" si="1"/>
        <v>0</v>
      </c>
    </row>
    <row r="19" spans="1:16" ht="21.75" customHeight="1">
      <c r="A19" s="3670"/>
      <c r="B19" s="2636">
        <v>4</v>
      </c>
      <c r="C19" s="1041"/>
      <c r="D19" s="2659"/>
      <c r="E19" s="2635"/>
      <c r="F19" s="2635"/>
      <c r="G19" s="2635"/>
      <c r="H19" s="1219">
        <f t="shared" si="0"/>
        <v>0</v>
      </c>
      <c r="I19" s="1209"/>
      <c r="J19" s="1211">
        <f t="shared" si="1"/>
        <v>0</v>
      </c>
      <c r="K19" s="2638"/>
      <c r="L19" s="673"/>
      <c r="M19" s="673"/>
      <c r="N19" s="673"/>
      <c r="O19" s="673"/>
      <c r="P19" s="673"/>
    </row>
    <row r="20" spans="1:16" ht="21.75" customHeight="1">
      <c r="A20" s="3670"/>
      <c r="B20" s="2636">
        <v>5</v>
      </c>
      <c r="C20" s="1041"/>
      <c r="D20" s="2659"/>
      <c r="E20" s="2635"/>
      <c r="F20" s="2635"/>
      <c r="G20" s="2635"/>
      <c r="H20" s="1219">
        <f t="shared" si="0"/>
        <v>0</v>
      </c>
      <c r="I20" s="1209"/>
      <c r="J20" s="1211">
        <f t="shared" si="1"/>
        <v>0</v>
      </c>
    </row>
    <row r="21" spans="1:16" ht="21.75" customHeight="1">
      <c r="A21" s="3670"/>
      <c r="B21" s="2636">
        <v>6</v>
      </c>
      <c r="C21" s="1041"/>
      <c r="D21" s="2659"/>
      <c r="E21" s="1209"/>
      <c r="F21" s="1209"/>
      <c r="G21" s="1209"/>
      <c r="H21" s="1219">
        <f t="shared" si="0"/>
        <v>0</v>
      </c>
      <c r="I21" s="1209"/>
      <c r="J21" s="1211">
        <f t="shared" si="1"/>
        <v>0</v>
      </c>
    </row>
    <row r="22" spans="1:16" ht="21.75" customHeight="1">
      <c r="A22" s="3670"/>
      <c r="B22" s="2636">
        <v>7</v>
      </c>
      <c r="C22" s="2648"/>
      <c r="D22" s="2660"/>
      <c r="E22" s="2649"/>
      <c r="F22" s="2649"/>
      <c r="G22" s="2649"/>
      <c r="H22" s="1219">
        <f t="shared" si="0"/>
        <v>0</v>
      </c>
      <c r="I22" s="2649"/>
      <c r="J22" s="1211">
        <f t="shared" si="1"/>
        <v>0</v>
      </c>
    </row>
    <row r="23" spans="1:16" ht="21.75" customHeight="1">
      <c r="A23" s="3670"/>
      <c r="B23" s="2636">
        <v>8</v>
      </c>
      <c r="C23" s="2648"/>
      <c r="D23" s="2660"/>
      <c r="E23" s="2649"/>
      <c r="F23" s="2649"/>
      <c r="G23" s="2649"/>
      <c r="H23" s="1219">
        <f t="shared" si="0"/>
        <v>0</v>
      </c>
      <c r="I23" s="2649"/>
      <c r="J23" s="1211">
        <f t="shared" si="1"/>
        <v>0</v>
      </c>
    </row>
    <row r="24" spans="1:16" ht="21.75" customHeight="1">
      <c r="A24" s="3670"/>
      <c r="B24" s="2636">
        <v>9</v>
      </c>
      <c r="C24" s="2648"/>
      <c r="D24" s="2660"/>
      <c r="E24" s="2649"/>
      <c r="F24" s="2649"/>
      <c r="G24" s="2649"/>
      <c r="H24" s="1219">
        <f t="shared" si="0"/>
        <v>0</v>
      </c>
      <c r="I24" s="2649"/>
      <c r="J24" s="1211">
        <f t="shared" si="1"/>
        <v>0</v>
      </c>
    </row>
    <row r="25" spans="1:16" ht="21.75" customHeight="1">
      <c r="A25" s="3670"/>
      <c r="B25" s="3669" t="s">
        <v>703</v>
      </c>
      <c r="C25" s="3669"/>
      <c r="D25" s="1212"/>
      <c r="E25" s="1212">
        <f t="shared" ref="E25:I25" si="3">SUM(E16:E24)</f>
        <v>0</v>
      </c>
      <c r="F25" s="1212">
        <f t="shared" si="3"/>
        <v>0</v>
      </c>
      <c r="G25" s="1212">
        <f t="shared" si="3"/>
        <v>0</v>
      </c>
      <c r="H25" s="1212">
        <f t="shared" si="3"/>
        <v>0</v>
      </c>
      <c r="I25" s="1212">
        <f t="shared" si="3"/>
        <v>0</v>
      </c>
      <c r="J25" s="1213">
        <f t="shared" si="1"/>
        <v>0</v>
      </c>
    </row>
    <row r="26" spans="1:16" ht="21" customHeight="1">
      <c r="A26" s="3271" t="s">
        <v>642</v>
      </c>
      <c r="B26" s="3271"/>
      <c r="C26" s="3671" t="str">
        <f>IF($H$15&lt;&gt;资产负债!$D$6,"短期投资账载数与报表数相差"&amp;DOLLAR($H$15-资产负债!$D$6,2)&amp;"元！","短期投资账载数与报表数相符！")</f>
        <v>短期投资账载数与报表数相符！</v>
      </c>
      <c r="D26" s="3671"/>
      <c r="E26" s="3671"/>
      <c r="F26" s="3671"/>
      <c r="G26" s="3672" t="str">
        <f>IF($H$25&lt;&gt;资产负债!$D$21+资产负债!$D$22,"长期投资账载数与报表数相差"&amp;DOLLAR($H$25-资产负债!$D$21-资产负债!$D$22,2)&amp;"元！","长期投资账载数与报表数相符！")</f>
        <v>长期投资账载数与报表数相符！</v>
      </c>
      <c r="H26" s="3672"/>
      <c r="I26" s="3672"/>
      <c r="J26" s="3672"/>
    </row>
    <row r="27" spans="1:16" ht="15" customHeight="1">
      <c r="A27" s="3280" t="s">
        <v>1324</v>
      </c>
      <c r="B27" s="3280"/>
      <c r="C27" s="1045" t="s">
        <v>1408</v>
      </c>
      <c r="D27" s="3675" t="str">
        <f>IF(OR(H15&lt;&gt;资产负债!D6,H25&lt;&gt;资产负债!D21+资产负债!D22),"、E","")</f>
        <v/>
      </c>
      <c r="E27" s="3675"/>
      <c r="F27" s="3675"/>
      <c r="G27" s="3675"/>
      <c r="H27" s="3675"/>
      <c r="I27" s="3675"/>
      <c r="J27" s="3675"/>
      <c r="K27" s="2638"/>
      <c r="L27" s="2637"/>
      <c r="M27" s="2637"/>
      <c r="N27" s="2637"/>
      <c r="O27" s="2637"/>
      <c r="P27" s="2637"/>
    </row>
    <row r="28" spans="1:16" ht="46.5" customHeight="1">
      <c r="A28" s="3280"/>
      <c r="B28" s="3280"/>
      <c r="C28" s="3676"/>
      <c r="D28" s="3676"/>
      <c r="E28" s="3676"/>
      <c r="F28" s="3676"/>
      <c r="G28" s="3676"/>
      <c r="H28" s="3676"/>
      <c r="I28" s="3676"/>
      <c r="J28" s="3676"/>
    </row>
    <row r="29" spans="1:16" ht="21" customHeight="1">
      <c r="A29" s="3673" t="s">
        <v>575</v>
      </c>
      <c r="B29" s="3673"/>
      <c r="C29" s="3674"/>
      <c r="D29" s="3674"/>
      <c r="E29" s="3674"/>
      <c r="F29" s="3674"/>
      <c r="G29" s="3674"/>
      <c r="H29" s="3674"/>
      <c r="I29" s="3674"/>
      <c r="J29" s="3674"/>
    </row>
    <row r="30" spans="1:16" ht="13.5" customHeight="1"/>
    <row r="31" spans="1:16" ht="21" customHeight="1"/>
    <row r="32" spans="1:16" ht="21" customHeight="1"/>
    <row r="33" spans="11:16" ht="21" customHeight="1"/>
    <row r="34" spans="11:16" ht="21" customHeight="1"/>
    <row r="35" spans="11:16" ht="21" customHeight="1"/>
    <row r="36" spans="11:16" ht="21" customHeight="1"/>
    <row r="37" spans="11:16" ht="21" customHeight="1"/>
    <row r="38" spans="11:16" ht="21" customHeight="1"/>
    <row r="39" spans="11:16" s="130" customFormat="1" ht="21" customHeight="1">
      <c r="K39"/>
      <c r="L39"/>
      <c r="M39"/>
      <c r="N39"/>
      <c r="O39"/>
      <c r="P39"/>
    </row>
    <row r="40" spans="11:16" s="130" customFormat="1" ht="21" customHeight="1">
      <c r="K40"/>
      <c r="L40"/>
      <c r="M40"/>
      <c r="N40"/>
      <c r="O40"/>
      <c r="P40"/>
    </row>
    <row r="41" spans="11:16" s="130" customFormat="1" ht="21" customHeight="1">
      <c r="K41"/>
      <c r="L41"/>
      <c r="M41"/>
      <c r="N41"/>
      <c r="O41"/>
      <c r="P41"/>
    </row>
    <row r="42" spans="11:16" s="130" customFormat="1" ht="21" customHeight="1">
      <c r="K42"/>
      <c r="L42"/>
      <c r="M42"/>
      <c r="N42"/>
      <c r="O42"/>
      <c r="P42"/>
    </row>
  </sheetData>
  <sheetProtection selectLockedCells="1" selectUnlockedCells="1"/>
  <mergeCells count="20">
    <mergeCell ref="A29:B29"/>
    <mergeCell ref="C29:J29"/>
    <mergeCell ref="A26:B26"/>
    <mergeCell ref="C26:F26"/>
    <mergeCell ref="G26:J26"/>
    <mergeCell ref="A27:B28"/>
    <mergeCell ref="D27:J27"/>
    <mergeCell ref="C28:J28"/>
    <mergeCell ref="A4:J4"/>
    <mergeCell ref="A6:A15"/>
    <mergeCell ref="B15:C15"/>
    <mergeCell ref="A16:A25"/>
    <mergeCell ref="B25:C25"/>
    <mergeCell ref="A1:J1"/>
    <mergeCell ref="A2:B2"/>
    <mergeCell ref="C2:D2"/>
    <mergeCell ref="I2:J2"/>
    <mergeCell ref="A3:B3"/>
    <mergeCell ref="C3:D3"/>
    <mergeCell ref="I3:J3"/>
  </mergeCells>
  <phoneticPr fontId="51" type="noConversion"/>
  <dataValidations count="1">
    <dataValidation allowBlank="1" showErrorMessage="1" promptTitle="存在调整事项时" prompt="_x000a_选择 “E”" sqref="D27:J27">
      <formula1>0</formula1>
      <formula2>0</formula2>
    </dataValidation>
  </dataValidations>
  <hyperlinks>
    <hyperlink ref="K8" location="资产负债!A1" display="资产负债表"/>
  </hyperlinks>
  <pageMargins left="0.78740157480314965" right="0.35433070866141736" top="0.51181102362204722" bottom="0.11811023622047245" header="0.51181102362204722" footer="0.51181102362204722"/>
  <pageSetup paperSize="9" scale="91" firstPageNumber="0" orientation="landscape" blackAndWhite="1" r:id="rId1"/>
  <headerFooter alignWithMargins="0"/>
</worksheet>
</file>

<file path=xl/worksheets/sheet9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61"/>
  <dimension ref="A1:H390"/>
  <sheetViews>
    <sheetView workbookViewId="0">
      <selection activeCell="G8" sqref="G8"/>
    </sheetView>
  </sheetViews>
  <sheetFormatPr defaultColWidth="9" defaultRowHeight="15.6"/>
  <cols>
    <col min="1" max="1" width="23.09765625" style="130" customWidth="1"/>
    <col min="2" max="3" width="13.69921875" style="130" customWidth="1"/>
    <col min="4" max="4" width="9.09765625" style="130" customWidth="1"/>
    <col min="5" max="5" width="13.69921875" style="130" customWidth="1"/>
    <col min="6" max="6" width="9.69921875" style="130" customWidth="1"/>
    <col min="7" max="7" width="54.3984375" style="554" customWidth="1"/>
    <col min="8" max="8" width="12" style="554" customWidth="1"/>
    <col min="9" max="16384" width="9" style="554"/>
  </cols>
  <sheetData>
    <row r="1" spans="1:8" ht="30" customHeight="1">
      <c r="A1" s="2707" t="s">
        <v>362</v>
      </c>
      <c r="B1" s="2707"/>
      <c r="C1" s="2707"/>
      <c r="D1" s="2707"/>
      <c r="E1" s="2707"/>
      <c r="F1" s="2707"/>
      <c r="G1" s="90"/>
      <c r="H1" s="90"/>
    </row>
    <row r="2" spans="1:8" s="558" customFormat="1" ht="20.25" customHeight="1">
      <c r="A2" s="3190" t="str">
        <f>"委托单位："&amp;基本情况!B2</f>
        <v>委托单位：0</v>
      </c>
      <c r="B2" s="3190"/>
      <c r="C2" s="509"/>
      <c r="D2" s="136" t="s">
        <v>1283</v>
      </c>
      <c r="E2" s="136" t="s">
        <v>1054</v>
      </c>
      <c r="F2" s="485" t="s">
        <v>283</v>
      </c>
      <c r="G2" s="557"/>
      <c r="H2" s="557"/>
    </row>
    <row r="3" spans="1:8" s="558" customFormat="1" ht="20.25" customHeight="1">
      <c r="A3" s="3190"/>
      <c r="B3" s="3190"/>
      <c r="C3" s="158" t="s">
        <v>451</v>
      </c>
      <c r="D3" s="510">
        <f>基本情况!B12</f>
        <v>0</v>
      </c>
      <c r="E3" s="559" t="str">
        <f>TEXT(基本情况!B21,"yyyy-mm-dd")</f>
        <v>2017-03-16</v>
      </c>
      <c r="F3" s="3081" t="str">
        <f>档案索引!D40</f>
        <v>4-7</v>
      </c>
      <c r="G3" s="557"/>
      <c r="H3" s="557"/>
    </row>
    <row r="4" spans="1:8" s="558" customFormat="1" ht="20.25" customHeight="1">
      <c r="A4" s="3161" t="str">
        <f>"会计期间："&amp;基本情况!B7</f>
        <v>会计期间：2016年01月01日至2016年12月31日</v>
      </c>
      <c r="B4" s="3161"/>
      <c r="C4" s="140" t="s">
        <v>453</v>
      </c>
      <c r="D4" s="513">
        <f>基本情况!B11</f>
        <v>0</v>
      </c>
      <c r="E4" s="513" t="str">
        <f>TEXT(基本情况!B22,"yyyy-mm-dd")</f>
        <v>2017-05-04</v>
      </c>
      <c r="F4" s="3081"/>
      <c r="G4" s="557"/>
      <c r="H4" s="557"/>
    </row>
    <row r="5" spans="1:8" s="565" customFormat="1" ht="7.5" customHeight="1">
      <c r="A5" s="2894"/>
      <c r="B5" s="2894"/>
      <c r="C5" s="2894"/>
      <c r="D5" s="2894"/>
      <c r="E5" s="2894"/>
      <c r="F5" s="2894"/>
      <c r="G5" s="543"/>
      <c r="H5" s="543"/>
    </row>
    <row r="6" spans="1:8" s="649" customFormat="1" ht="20.25" customHeight="1">
      <c r="A6" s="532" t="s">
        <v>642</v>
      </c>
      <c r="B6" s="3250" t="str">
        <f>IF(基本情况!B29="否",IF(C12-B12&lt;&gt;资产负债!H7,"账载数与报表数相差"&amp;DOLLAR(C12-B12-资产负债!H7,2)&amp;"元！","账载数与报表数相符！"),IF(C11&lt;&gt;资产负债!H7,"账载数与报表数相差"&amp;DOLLAR(C11-资产负债!H7,2)&amp;"元！","账载数与报表数相符！"))</f>
        <v>账载数与报表数相符！</v>
      </c>
      <c r="C6" s="3250"/>
      <c r="D6" s="3250"/>
      <c r="E6" s="3250"/>
      <c r="F6" s="3250"/>
      <c r="G6" s="84" t="s">
        <v>396</v>
      </c>
      <c r="H6" s="648"/>
    </row>
    <row r="7" spans="1:8" s="649" customFormat="1" ht="15" customHeight="1">
      <c r="A7" s="3024" t="s">
        <v>1324</v>
      </c>
      <c r="B7" s="3142" t="s">
        <v>1408</v>
      </c>
      <c r="C7" s="3142"/>
      <c r="D7" s="3142"/>
      <c r="E7" s="3109" t="str">
        <f>IF(OR(D12&lt;&gt;0,D11&lt;&gt;0),"、E","")</f>
        <v/>
      </c>
      <c r="F7" s="3109"/>
      <c r="G7" s="648"/>
      <c r="H7" s="606"/>
    </row>
    <row r="8" spans="1:8" s="649" customFormat="1" ht="61.5" customHeight="1">
      <c r="A8" s="3024"/>
      <c r="B8" s="3653"/>
      <c r="C8" s="3653"/>
      <c r="D8" s="3653"/>
      <c r="E8" s="3653"/>
      <c r="F8" s="3653"/>
      <c r="G8" s="648"/>
      <c r="H8" s="606"/>
    </row>
    <row r="9" spans="1:8" s="649" customFormat="1" ht="20.25" customHeight="1">
      <c r="A9" s="528" t="s">
        <v>575</v>
      </c>
      <c r="B9" s="3135" t="str">
        <f>IF(OR(D12&lt;&gt;0,D11&lt;&gt;0),"调整后认可！","不存在调整事项,认可！")</f>
        <v>不存在调整事项,认可！</v>
      </c>
      <c r="C9" s="3135"/>
      <c r="D9" s="3135"/>
      <c r="E9" s="3135"/>
      <c r="F9" s="3135"/>
      <c r="G9" s="493" t="s">
        <v>1289</v>
      </c>
      <c r="H9" s="606"/>
    </row>
    <row r="10" spans="1:8" s="649" customFormat="1" ht="20.25" customHeight="1">
      <c r="A10" s="135" t="s">
        <v>666</v>
      </c>
      <c r="B10" s="1011" t="s">
        <v>1410</v>
      </c>
      <c r="C10" s="136" t="s">
        <v>1411</v>
      </c>
      <c r="D10" s="136" t="s">
        <v>981</v>
      </c>
      <c r="E10" s="136" t="s">
        <v>503</v>
      </c>
      <c r="F10" s="485" t="s">
        <v>1418</v>
      </c>
      <c r="G10" s="493" t="s">
        <v>643</v>
      </c>
      <c r="H10" s="606"/>
    </row>
    <row r="11" spans="1:8" s="649" customFormat="1" ht="20.25" customHeight="1">
      <c r="A11" s="1013" t="s">
        <v>840</v>
      </c>
      <c r="B11" s="1014">
        <f>IF(基本情况!B29="否",0,B12+预付!B14)</f>
        <v>0</v>
      </c>
      <c r="C11" s="1014">
        <f>IF(基本情况!B29="否",0,C12+预付!C14)</f>
        <v>0</v>
      </c>
      <c r="D11" s="1204"/>
      <c r="E11" s="524">
        <f>C11+D11</f>
        <v>0</v>
      </c>
      <c r="F11" s="1023">
        <f>IF(基本情况!B29="否",0,F12+预付!F14)</f>
        <v>0</v>
      </c>
      <c r="G11" s="493"/>
      <c r="H11" s="606"/>
    </row>
    <row r="12" spans="1:8" s="649" customFormat="1" ht="20.25" customHeight="1">
      <c r="A12" s="528" t="s">
        <v>1414</v>
      </c>
      <c r="B12" s="1017">
        <f>SUM(B13:B3002)</f>
        <v>0</v>
      </c>
      <c r="C12" s="1017">
        <f>SUM(C13:C3002)</f>
        <v>0</v>
      </c>
      <c r="D12" s="823">
        <f>SUM(D13:D302)</f>
        <v>0</v>
      </c>
      <c r="E12" s="823">
        <f>SUM(E13:E302)</f>
        <v>0</v>
      </c>
      <c r="F12" s="596">
        <f>SUM(F13:F302)</f>
        <v>0</v>
      </c>
      <c r="G12" s="648"/>
      <c r="H12" s="648"/>
    </row>
    <row r="13" spans="1:8" s="558" customFormat="1" ht="15" customHeight="1">
      <c r="A13" s="1018"/>
      <c r="B13" s="1198"/>
      <c r="C13" s="1161"/>
      <c r="D13" s="1161"/>
      <c r="E13" s="1019">
        <f>C13-B13+D13</f>
        <v>0</v>
      </c>
      <c r="F13" s="1199"/>
      <c r="G13" s="3090" t="s">
        <v>841</v>
      </c>
      <c r="H13" s="3090"/>
    </row>
    <row r="14" spans="1:8" s="558" customFormat="1" ht="15" customHeight="1">
      <c r="A14" s="680"/>
      <c r="B14" s="1200"/>
      <c r="C14" s="1120"/>
      <c r="D14" s="1120"/>
      <c r="E14" s="1015">
        <f>C14-B14+D14</f>
        <v>0</v>
      </c>
      <c r="F14" s="1201"/>
      <c r="G14" s="3090"/>
      <c r="H14" s="3090"/>
    </row>
    <row r="15" spans="1:8" s="558" customFormat="1" ht="15" customHeight="1">
      <c r="A15" s="680"/>
      <c r="B15" s="1200"/>
      <c r="C15" s="1120"/>
      <c r="D15" s="1120"/>
      <c r="E15" s="1015">
        <f t="shared" ref="E15:E78" si="0">C15-B15+D15</f>
        <v>0</v>
      </c>
      <c r="F15" s="1201"/>
      <c r="G15" s="3090"/>
      <c r="H15" s="3090"/>
    </row>
    <row r="16" spans="1:8" s="558" customFormat="1" ht="15" customHeight="1">
      <c r="A16" s="680"/>
      <c r="B16" s="1200"/>
      <c r="C16" s="1120"/>
      <c r="D16" s="1120"/>
      <c r="E16" s="1015">
        <f t="shared" si="0"/>
        <v>0</v>
      </c>
      <c r="F16" s="1201"/>
      <c r="G16" s="3090"/>
      <c r="H16" s="3090"/>
    </row>
    <row r="17" spans="1:8" s="558" customFormat="1" ht="15" customHeight="1">
      <c r="A17" s="680"/>
      <c r="B17" s="1200"/>
      <c r="C17" s="1120"/>
      <c r="D17" s="1120"/>
      <c r="E17" s="1015">
        <f t="shared" si="0"/>
        <v>0</v>
      </c>
      <c r="F17" s="1201"/>
      <c r="G17" s="3090"/>
      <c r="H17" s="3090"/>
    </row>
    <row r="18" spans="1:8" s="558" customFormat="1" ht="15" customHeight="1">
      <c r="A18" s="680"/>
      <c r="B18" s="1200"/>
      <c r="C18" s="1120"/>
      <c r="D18" s="1120"/>
      <c r="E18" s="1015">
        <f t="shared" si="0"/>
        <v>0</v>
      </c>
      <c r="F18" s="1201"/>
      <c r="G18" s="3090"/>
      <c r="H18" s="3090"/>
    </row>
    <row r="19" spans="1:8" s="558" customFormat="1" ht="15" customHeight="1">
      <c r="A19" s="680"/>
      <c r="B19" s="1200"/>
      <c r="C19" s="1120"/>
      <c r="D19" s="1120"/>
      <c r="E19" s="1015">
        <f t="shared" si="0"/>
        <v>0</v>
      </c>
      <c r="F19" s="1201"/>
      <c r="G19" s="3090"/>
      <c r="H19" s="3090"/>
    </row>
    <row r="20" spans="1:8" s="558" customFormat="1" ht="15" customHeight="1">
      <c r="A20" s="680"/>
      <c r="B20" s="1200"/>
      <c r="C20" s="1120"/>
      <c r="D20" s="1120"/>
      <c r="E20" s="1015">
        <f t="shared" si="0"/>
        <v>0</v>
      </c>
      <c r="F20" s="1201"/>
      <c r="G20" s="3090"/>
      <c r="H20" s="3090"/>
    </row>
    <row r="21" spans="1:8" s="558" customFormat="1" ht="15" customHeight="1">
      <c r="A21" s="680"/>
      <c r="B21" s="1200"/>
      <c r="C21" s="1120"/>
      <c r="D21" s="1120"/>
      <c r="E21" s="1015">
        <f t="shared" si="0"/>
        <v>0</v>
      </c>
      <c r="F21" s="1201"/>
      <c r="G21" s="3090"/>
      <c r="H21" s="3090"/>
    </row>
    <row r="22" spans="1:8" s="558" customFormat="1" ht="15" customHeight="1">
      <c r="A22" s="680"/>
      <c r="B22" s="1200"/>
      <c r="C22" s="1120"/>
      <c r="D22" s="1120"/>
      <c r="E22" s="1015">
        <f t="shared" si="0"/>
        <v>0</v>
      </c>
      <c r="F22" s="1201"/>
      <c r="G22" s="523"/>
      <c r="H22" s="557"/>
    </row>
    <row r="23" spans="1:8" s="558" customFormat="1" ht="15" customHeight="1">
      <c r="A23" s="680"/>
      <c r="B23" s="1200"/>
      <c r="C23" s="1120"/>
      <c r="D23" s="1120"/>
      <c r="E23" s="1015">
        <f t="shared" si="0"/>
        <v>0</v>
      </c>
      <c r="F23" s="1201"/>
      <c r="G23" s="557"/>
      <c r="H23" s="557"/>
    </row>
    <row r="24" spans="1:8" s="558" customFormat="1" ht="15" customHeight="1">
      <c r="A24" s="680"/>
      <c r="B24" s="1200"/>
      <c r="C24" s="1120"/>
      <c r="D24" s="1120"/>
      <c r="E24" s="1015">
        <f t="shared" si="0"/>
        <v>0</v>
      </c>
      <c r="F24" s="1201"/>
      <c r="G24" s="557"/>
      <c r="H24" s="557"/>
    </row>
    <row r="25" spans="1:8" s="558" customFormat="1" ht="15" customHeight="1">
      <c r="A25" s="680"/>
      <c r="B25" s="1200"/>
      <c r="C25" s="1120"/>
      <c r="D25" s="1120"/>
      <c r="E25" s="1015">
        <f t="shared" si="0"/>
        <v>0</v>
      </c>
      <c r="F25" s="1201"/>
      <c r="G25" s="557"/>
      <c r="H25" s="557"/>
    </row>
    <row r="26" spans="1:8" s="558" customFormat="1" ht="15" customHeight="1">
      <c r="A26" s="680"/>
      <c r="B26" s="1200"/>
      <c r="C26" s="1120"/>
      <c r="D26" s="1120"/>
      <c r="E26" s="1015">
        <f t="shared" si="0"/>
        <v>0</v>
      </c>
      <c r="F26" s="1201"/>
      <c r="G26" s="557"/>
      <c r="H26" s="557"/>
    </row>
    <row r="27" spans="1:8" s="558" customFormat="1" ht="15" customHeight="1">
      <c r="A27" s="680"/>
      <c r="B27" s="1200"/>
      <c r="C27" s="1120"/>
      <c r="D27" s="1120"/>
      <c r="E27" s="1015">
        <f t="shared" si="0"/>
        <v>0</v>
      </c>
      <c r="F27" s="1201"/>
      <c r="G27" s="557"/>
      <c r="H27" s="557"/>
    </row>
    <row r="28" spans="1:8" s="558" customFormat="1" ht="15" customHeight="1">
      <c r="A28" s="680"/>
      <c r="B28" s="1200"/>
      <c r="C28" s="1120"/>
      <c r="D28" s="1120"/>
      <c r="E28" s="1015">
        <f t="shared" si="0"/>
        <v>0</v>
      </c>
      <c r="F28" s="1201"/>
      <c r="G28" s="557"/>
      <c r="H28" s="557"/>
    </row>
    <row r="29" spans="1:8" s="558" customFormat="1" ht="15" customHeight="1">
      <c r="A29" s="680"/>
      <c r="B29" s="1200"/>
      <c r="C29" s="1120"/>
      <c r="D29" s="1120"/>
      <c r="E29" s="1015">
        <f t="shared" si="0"/>
        <v>0</v>
      </c>
      <c r="F29" s="1201"/>
      <c r="G29" s="557"/>
      <c r="H29" s="557"/>
    </row>
    <row r="30" spans="1:8" s="558" customFormat="1" ht="15" customHeight="1">
      <c r="A30" s="680"/>
      <c r="B30" s="1200"/>
      <c r="C30" s="1120"/>
      <c r="D30" s="1120"/>
      <c r="E30" s="1015">
        <f t="shared" si="0"/>
        <v>0</v>
      </c>
      <c r="F30" s="1201"/>
      <c r="G30" s="557"/>
      <c r="H30" s="557"/>
    </row>
    <row r="31" spans="1:8" s="558" customFormat="1" ht="15" customHeight="1">
      <c r="A31" s="680"/>
      <c r="B31" s="1200"/>
      <c r="C31" s="1120"/>
      <c r="D31" s="1120"/>
      <c r="E31" s="1015">
        <f t="shared" si="0"/>
        <v>0</v>
      </c>
      <c r="F31" s="1201"/>
      <c r="G31" s="557"/>
      <c r="H31" s="557"/>
    </row>
    <row r="32" spans="1:8" s="558" customFormat="1" ht="15" customHeight="1">
      <c r="A32" s="680"/>
      <c r="B32" s="1200"/>
      <c r="C32" s="1120"/>
      <c r="D32" s="1120"/>
      <c r="E32" s="1015">
        <f t="shared" si="0"/>
        <v>0</v>
      </c>
      <c r="F32" s="1201"/>
      <c r="G32" s="557"/>
      <c r="H32" s="557"/>
    </row>
    <row r="33" spans="1:8" s="558" customFormat="1" ht="15" customHeight="1">
      <c r="A33" s="680"/>
      <c r="B33" s="1200"/>
      <c r="C33" s="1120"/>
      <c r="D33" s="1120"/>
      <c r="E33" s="1015">
        <f t="shared" si="0"/>
        <v>0</v>
      </c>
      <c r="F33" s="1201"/>
      <c r="G33" s="557"/>
      <c r="H33" s="557"/>
    </row>
    <row r="34" spans="1:8" s="558" customFormat="1" ht="15" customHeight="1">
      <c r="A34" s="680"/>
      <c r="B34" s="1200"/>
      <c r="C34" s="1120"/>
      <c r="D34" s="1120"/>
      <c r="E34" s="1015">
        <f t="shared" si="0"/>
        <v>0</v>
      </c>
      <c r="F34" s="1201"/>
      <c r="G34" s="557"/>
      <c r="H34" s="557"/>
    </row>
    <row r="35" spans="1:8" s="558" customFormat="1" ht="15" customHeight="1">
      <c r="A35" s="680"/>
      <c r="B35" s="1200"/>
      <c r="C35" s="1120"/>
      <c r="D35" s="1120"/>
      <c r="E35" s="1015">
        <f t="shared" si="0"/>
        <v>0</v>
      </c>
      <c r="F35" s="1201"/>
      <c r="G35" s="557"/>
      <c r="H35" s="557"/>
    </row>
    <row r="36" spans="1:8" s="558" customFormat="1" ht="15" customHeight="1">
      <c r="A36" s="680"/>
      <c r="B36" s="1200"/>
      <c r="C36" s="1120"/>
      <c r="D36" s="1120"/>
      <c r="E36" s="1015">
        <f t="shared" si="0"/>
        <v>0</v>
      </c>
      <c r="F36" s="1201"/>
      <c r="G36" s="557"/>
      <c r="H36" s="557"/>
    </row>
    <row r="37" spans="1:8" s="558" customFormat="1" ht="15" customHeight="1">
      <c r="A37" s="680"/>
      <c r="B37" s="1200"/>
      <c r="C37" s="1120"/>
      <c r="D37" s="1120"/>
      <c r="E37" s="1015">
        <f t="shared" si="0"/>
        <v>0</v>
      </c>
      <c r="F37" s="1201"/>
      <c r="G37" s="557"/>
      <c r="H37" s="557"/>
    </row>
    <row r="38" spans="1:8" s="558" customFormat="1" ht="15" customHeight="1">
      <c r="A38" s="680"/>
      <c r="B38" s="1200"/>
      <c r="C38" s="1120"/>
      <c r="D38" s="1120"/>
      <c r="E38" s="1015">
        <f t="shared" si="0"/>
        <v>0</v>
      </c>
      <c r="F38" s="1201"/>
      <c r="G38" s="557"/>
      <c r="H38" s="557"/>
    </row>
    <row r="39" spans="1:8" s="558" customFormat="1" ht="15" customHeight="1">
      <c r="A39" s="680"/>
      <c r="B39" s="1200"/>
      <c r="C39" s="1120"/>
      <c r="D39" s="1120"/>
      <c r="E39" s="1015">
        <f t="shared" si="0"/>
        <v>0</v>
      </c>
      <c r="F39" s="1201"/>
      <c r="G39" s="557"/>
      <c r="H39" s="557"/>
    </row>
    <row r="40" spans="1:8" s="558" customFormat="1" ht="15" customHeight="1">
      <c r="A40" s="680"/>
      <c r="B40" s="1200"/>
      <c r="C40" s="1120"/>
      <c r="D40" s="1120"/>
      <c r="E40" s="1015">
        <f t="shared" si="0"/>
        <v>0</v>
      </c>
      <c r="F40" s="1201"/>
      <c r="G40" s="557"/>
      <c r="H40" s="557"/>
    </row>
    <row r="41" spans="1:8" s="558" customFormat="1" ht="15" customHeight="1">
      <c r="A41" s="680"/>
      <c r="B41" s="1200"/>
      <c r="C41" s="1120"/>
      <c r="D41" s="1120"/>
      <c r="E41" s="1015">
        <f t="shared" si="0"/>
        <v>0</v>
      </c>
      <c r="F41" s="1201"/>
      <c r="G41" s="557"/>
      <c r="H41" s="557"/>
    </row>
    <row r="42" spans="1:8" s="558" customFormat="1" ht="15" customHeight="1">
      <c r="A42" s="680"/>
      <c r="B42" s="1200"/>
      <c r="C42" s="1120"/>
      <c r="D42" s="1120"/>
      <c r="E42" s="1015">
        <f t="shared" si="0"/>
        <v>0</v>
      </c>
      <c r="F42" s="1201"/>
      <c r="G42" s="557"/>
      <c r="H42" s="557"/>
    </row>
    <row r="43" spans="1:8" s="558" customFormat="1" ht="15" customHeight="1">
      <c r="A43" s="680"/>
      <c r="B43" s="1200"/>
      <c r="C43" s="1120"/>
      <c r="D43" s="1120"/>
      <c r="E43" s="1015">
        <f t="shared" si="0"/>
        <v>0</v>
      </c>
      <c r="F43" s="1201"/>
      <c r="G43" s="557"/>
      <c r="H43" s="557"/>
    </row>
    <row r="44" spans="1:8" s="558" customFormat="1" ht="15" customHeight="1">
      <c r="A44" s="680"/>
      <c r="B44" s="1200"/>
      <c r="C44" s="1120"/>
      <c r="D44" s="1120"/>
      <c r="E44" s="1015">
        <f t="shared" si="0"/>
        <v>0</v>
      </c>
      <c r="F44" s="1201"/>
      <c r="G44" s="557"/>
      <c r="H44" s="557"/>
    </row>
    <row r="45" spans="1:8" s="558" customFormat="1" ht="15" customHeight="1">
      <c r="A45" s="680"/>
      <c r="B45" s="1200"/>
      <c r="C45" s="1120"/>
      <c r="D45" s="1120"/>
      <c r="E45" s="1015">
        <f t="shared" si="0"/>
        <v>0</v>
      </c>
      <c r="F45" s="1201"/>
      <c r="G45" s="557"/>
      <c r="H45" s="557"/>
    </row>
    <row r="46" spans="1:8" s="558" customFormat="1" ht="15" customHeight="1">
      <c r="A46" s="680"/>
      <c r="B46" s="1200"/>
      <c r="C46" s="1120"/>
      <c r="D46" s="1120"/>
      <c r="E46" s="1015">
        <f t="shared" si="0"/>
        <v>0</v>
      </c>
      <c r="F46" s="1201"/>
      <c r="G46" s="557"/>
      <c r="H46" s="557"/>
    </row>
    <row r="47" spans="1:8" s="558" customFormat="1" ht="15" customHeight="1">
      <c r="A47" s="680"/>
      <c r="B47" s="1200"/>
      <c r="C47" s="1120"/>
      <c r="D47" s="1120"/>
      <c r="E47" s="1015">
        <f t="shared" si="0"/>
        <v>0</v>
      </c>
      <c r="F47" s="1201"/>
      <c r="G47" s="557"/>
      <c r="H47" s="557"/>
    </row>
    <row r="48" spans="1:8" s="502" customFormat="1" ht="15" customHeight="1">
      <c r="A48" s="680"/>
      <c r="B48" s="1200"/>
      <c r="C48" s="1120"/>
      <c r="D48" s="1120"/>
      <c r="E48" s="1015">
        <f t="shared" si="0"/>
        <v>0</v>
      </c>
      <c r="F48" s="1201"/>
      <c r="G48" s="144"/>
      <c r="H48" s="144"/>
    </row>
    <row r="49" spans="1:8" s="502" customFormat="1" ht="15" customHeight="1">
      <c r="A49" s="680"/>
      <c r="B49" s="1200"/>
      <c r="C49" s="1120"/>
      <c r="D49" s="1120"/>
      <c r="E49" s="1015">
        <f t="shared" si="0"/>
        <v>0</v>
      </c>
      <c r="F49" s="1201"/>
      <c r="G49" s="144"/>
      <c r="H49" s="144"/>
    </row>
    <row r="50" spans="1:8" s="502" customFormat="1" ht="15" customHeight="1">
      <c r="A50" s="680"/>
      <c r="B50" s="1200"/>
      <c r="C50" s="1120"/>
      <c r="D50" s="1120"/>
      <c r="E50" s="1015">
        <f t="shared" si="0"/>
        <v>0</v>
      </c>
      <c r="F50" s="1201"/>
      <c r="G50" s="144"/>
      <c r="H50" s="144"/>
    </row>
    <row r="51" spans="1:8" s="502" customFormat="1" ht="15" customHeight="1">
      <c r="A51" s="680"/>
      <c r="B51" s="1200"/>
      <c r="C51" s="1120"/>
      <c r="D51" s="1120"/>
      <c r="E51" s="1015">
        <f t="shared" si="0"/>
        <v>0</v>
      </c>
      <c r="F51" s="1201"/>
      <c r="G51" s="144"/>
      <c r="H51" s="144"/>
    </row>
    <row r="52" spans="1:8" s="502" customFormat="1" ht="15" customHeight="1">
      <c r="A52" s="680"/>
      <c r="B52" s="1200"/>
      <c r="C52" s="1120"/>
      <c r="D52" s="1120"/>
      <c r="E52" s="1015">
        <f t="shared" si="0"/>
        <v>0</v>
      </c>
      <c r="F52" s="1201"/>
      <c r="G52" s="144"/>
      <c r="H52" s="144"/>
    </row>
    <row r="53" spans="1:8" ht="15" customHeight="1">
      <c r="A53" s="680"/>
      <c r="B53" s="1200"/>
      <c r="C53" s="1120"/>
      <c r="D53" s="1120"/>
      <c r="E53" s="1015">
        <f t="shared" si="0"/>
        <v>0</v>
      </c>
      <c r="F53" s="1201"/>
      <c r="G53" s="90"/>
      <c r="H53" s="90"/>
    </row>
    <row r="54" spans="1:8" ht="15" customHeight="1">
      <c r="A54" s="680"/>
      <c r="B54" s="1200"/>
      <c r="C54" s="1120"/>
      <c r="D54" s="1120"/>
      <c r="E54" s="1015">
        <f t="shared" si="0"/>
        <v>0</v>
      </c>
      <c r="F54" s="1201"/>
      <c r="G54" s="90"/>
      <c r="H54" s="90"/>
    </row>
    <row r="55" spans="1:8" ht="15" customHeight="1">
      <c r="A55" s="680"/>
      <c r="B55" s="1200"/>
      <c r="C55" s="1120"/>
      <c r="D55" s="1120"/>
      <c r="E55" s="1015">
        <f t="shared" si="0"/>
        <v>0</v>
      </c>
      <c r="F55" s="1201"/>
      <c r="G55" s="90"/>
      <c r="H55" s="90"/>
    </row>
    <row r="56" spans="1:8" ht="15" customHeight="1">
      <c r="A56" s="680"/>
      <c r="B56" s="1200"/>
      <c r="C56" s="1120"/>
      <c r="D56" s="1120"/>
      <c r="E56" s="1015">
        <f t="shared" si="0"/>
        <v>0</v>
      </c>
      <c r="F56" s="1201"/>
      <c r="G56" s="90"/>
      <c r="H56" s="90"/>
    </row>
    <row r="57" spans="1:8" ht="15" customHeight="1">
      <c r="A57" s="680"/>
      <c r="B57" s="1200"/>
      <c r="C57" s="1120"/>
      <c r="D57" s="1120"/>
      <c r="E57" s="1015">
        <f t="shared" si="0"/>
        <v>0</v>
      </c>
      <c r="F57" s="1201"/>
      <c r="G57" s="90"/>
      <c r="H57" s="90"/>
    </row>
    <row r="58" spans="1:8" ht="15" customHeight="1">
      <c r="A58" s="680"/>
      <c r="B58" s="1200"/>
      <c r="C58" s="1120"/>
      <c r="D58" s="1120"/>
      <c r="E58" s="1015">
        <f t="shared" si="0"/>
        <v>0</v>
      </c>
      <c r="F58" s="1201"/>
      <c r="G58" s="90"/>
      <c r="H58" s="90"/>
    </row>
    <row r="59" spans="1:8" ht="15" customHeight="1">
      <c r="A59" s="680"/>
      <c r="B59" s="1200"/>
      <c r="C59" s="1120"/>
      <c r="D59" s="1120"/>
      <c r="E59" s="1015">
        <f t="shared" si="0"/>
        <v>0</v>
      </c>
      <c r="F59" s="1201"/>
      <c r="G59" s="90"/>
      <c r="H59" s="90"/>
    </row>
    <row r="60" spans="1:8" ht="15" customHeight="1">
      <c r="A60" s="680"/>
      <c r="B60" s="1200"/>
      <c r="C60" s="1120"/>
      <c r="D60" s="1120"/>
      <c r="E60" s="1015">
        <f t="shared" si="0"/>
        <v>0</v>
      </c>
      <c r="F60" s="1201"/>
      <c r="G60" s="90"/>
      <c r="H60" s="90"/>
    </row>
    <row r="61" spans="1:8" ht="15" customHeight="1">
      <c r="A61" s="680"/>
      <c r="B61" s="1200"/>
      <c r="C61" s="1120"/>
      <c r="D61" s="1120"/>
      <c r="E61" s="1015">
        <f t="shared" si="0"/>
        <v>0</v>
      </c>
      <c r="F61" s="1201"/>
      <c r="G61" s="90"/>
      <c r="H61" s="90"/>
    </row>
    <row r="62" spans="1:8" ht="15" customHeight="1">
      <c r="A62" s="680"/>
      <c r="B62" s="1200"/>
      <c r="C62" s="1120"/>
      <c r="D62" s="1120"/>
      <c r="E62" s="1015">
        <f t="shared" si="0"/>
        <v>0</v>
      </c>
      <c r="F62" s="1201"/>
      <c r="G62" s="90"/>
      <c r="H62" s="90"/>
    </row>
    <row r="63" spans="1:8" ht="15" customHeight="1">
      <c r="A63" s="680"/>
      <c r="B63" s="1200"/>
      <c r="C63" s="1120"/>
      <c r="D63" s="1120"/>
      <c r="E63" s="1015">
        <f t="shared" si="0"/>
        <v>0</v>
      </c>
      <c r="F63" s="1201"/>
      <c r="G63" s="90"/>
      <c r="H63" s="90"/>
    </row>
    <row r="64" spans="1:8" ht="15" customHeight="1">
      <c r="A64" s="680"/>
      <c r="B64" s="1200"/>
      <c r="C64" s="1120"/>
      <c r="D64" s="1120"/>
      <c r="E64" s="1015">
        <f t="shared" si="0"/>
        <v>0</v>
      </c>
      <c r="F64" s="1201"/>
      <c r="G64" s="90"/>
      <c r="H64" s="90"/>
    </row>
    <row r="65" spans="1:8" ht="15" customHeight="1">
      <c r="A65" s="680"/>
      <c r="B65" s="1200"/>
      <c r="C65" s="1120"/>
      <c r="D65" s="1120"/>
      <c r="E65" s="1015">
        <f t="shared" si="0"/>
        <v>0</v>
      </c>
      <c r="F65" s="1201"/>
      <c r="G65" s="90"/>
      <c r="H65" s="90"/>
    </row>
    <row r="66" spans="1:8" ht="15" customHeight="1">
      <c r="A66" s="680"/>
      <c r="B66" s="1200"/>
      <c r="C66" s="1120"/>
      <c r="D66" s="1120"/>
      <c r="E66" s="1015">
        <f t="shared" si="0"/>
        <v>0</v>
      </c>
      <c r="F66" s="1201"/>
      <c r="G66" s="90"/>
      <c r="H66" s="90"/>
    </row>
    <row r="67" spans="1:8" ht="15" customHeight="1">
      <c r="A67" s="680"/>
      <c r="B67" s="1200"/>
      <c r="C67" s="1120"/>
      <c r="D67" s="1120"/>
      <c r="E67" s="1015">
        <f t="shared" si="0"/>
        <v>0</v>
      </c>
      <c r="F67" s="1201"/>
      <c r="G67" s="90"/>
      <c r="H67" s="90"/>
    </row>
    <row r="68" spans="1:8" ht="15" customHeight="1">
      <c r="A68" s="680"/>
      <c r="B68" s="1200"/>
      <c r="C68" s="1120"/>
      <c r="D68" s="1120"/>
      <c r="E68" s="1015">
        <f t="shared" si="0"/>
        <v>0</v>
      </c>
      <c r="F68" s="1201"/>
      <c r="G68" s="90"/>
      <c r="H68" s="90"/>
    </row>
    <row r="69" spans="1:8" ht="15" customHeight="1">
      <c r="A69" s="680"/>
      <c r="B69" s="1200"/>
      <c r="C69" s="1120"/>
      <c r="D69" s="1120"/>
      <c r="E69" s="1015">
        <f t="shared" si="0"/>
        <v>0</v>
      </c>
      <c r="F69" s="1201"/>
      <c r="G69" s="90"/>
      <c r="H69" s="90"/>
    </row>
    <row r="70" spans="1:8" ht="15" customHeight="1">
      <c r="A70" s="680"/>
      <c r="B70" s="1200"/>
      <c r="C70" s="1120"/>
      <c r="D70" s="1120"/>
      <c r="E70" s="1015">
        <f t="shared" si="0"/>
        <v>0</v>
      </c>
      <c r="F70" s="1201"/>
      <c r="G70" s="90"/>
      <c r="H70" s="90"/>
    </row>
    <row r="71" spans="1:8" ht="15" customHeight="1">
      <c r="A71" s="680"/>
      <c r="B71" s="1200"/>
      <c r="C71" s="1120"/>
      <c r="D71" s="1120"/>
      <c r="E71" s="1015">
        <f t="shared" si="0"/>
        <v>0</v>
      </c>
      <c r="F71" s="1201"/>
      <c r="G71" s="90"/>
      <c r="H71" s="90"/>
    </row>
    <row r="72" spans="1:8" ht="15" customHeight="1">
      <c r="A72" s="680"/>
      <c r="B72" s="1200"/>
      <c r="C72" s="1120"/>
      <c r="D72" s="1120"/>
      <c r="E72" s="1015">
        <f t="shared" si="0"/>
        <v>0</v>
      </c>
      <c r="F72" s="1201"/>
      <c r="G72" s="90"/>
      <c r="H72" s="90"/>
    </row>
    <row r="73" spans="1:8" ht="15" customHeight="1">
      <c r="A73" s="680"/>
      <c r="B73" s="1200"/>
      <c r="C73" s="1120"/>
      <c r="D73" s="1120"/>
      <c r="E73" s="1015">
        <f t="shared" si="0"/>
        <v>0</v>
      </c>
      <c r="F73" s="1201"/>
      <c r="G73" s="90"/>
      <c r="H73" s="90"/>
    </row>
    <row r="74" spans="1:8" ht="15" customHeight="1">
      <c r="A74" s="680"/>
      <c r="B74" s="1200"/>
      <c r="C74" s="1120"/>
      <c r="D74" s="1120"/>
      <c r="E74" s="1015">
        <f t="shared" si="0"/>
        <v>0</v>
      </c>
      <c r="F74" s="1201"/>
      <c r="G74" s="90"/>
      <c r="H74" s="90"/>
    </row>
    <row r="75" spans="1:8" ht="15" customHeight="1">
      <c r="A75" s="680"/>
      <c r="B75" s="1200"/>
      <c r="C75" s="1120"/>
      <c r="D75" s="1120"/>
      <c r="E75" s="1015">
        <f t="shared" si="0"/>
        <v>0</v>
      </c>
      <c r="F75" s="1201"/>
      <c r="G75" s="90"/>
      <c r="H75" s="90"/>
    </row>
    <row r="76" spans="1:8" ht="15" customHeight="1">
      <c r="A76" s="680"/>
      <c r="B76" s="1200"/>
      <c r="C76" s="1120"/>
      <c r="D76" s="1120"/>
      <c r="E76" s="1015">
        <f t="shared" si="0"/>
        <v>0</v>
      </c>
      <c r="F76" s="1201"/>
      <c r="G76" s="90"/>
      <c r="H76" s="90"/>
    </row>
    <row r="77" spans="1:8" ht="15" customHeight="1">
      <c r="A77" s="680"/>
      <c r="B77" s="1200"/>
      <c r="C77" s="1120"/>
      <c r="D77" s="1120"/>
      <c r="E77" s="1015">
        <f t="shared" si="0"/>
        <v>0</v>
      </c>
      <c r="F77" s="1201"/>
      <c r="G77" s="90"/>
      <c r="H77" s="90"/>
    </row>
    <row r="78" spans="1:8" ht="15" customHeight="1">
      <c r="A78" s="680"/>
      <c r="B78" s="1200"/>
      <c r="C78" s="1120"/>
      <c r="D78" s="1120"/>
      <c r="E78" s="1015">
        <f t="shared" si="0"/>
        <v>0</v>
      </c>
      <c r="F78" s="1201"/>
      <c r="G78" s="90"/>
      <c r="H78" s="90"/>
    </row>
    <row r="79" spans="1:8" ht="15" customHeight="1">
      <c r="A79" s="680"/>
      <c r="B79" s="1200"/>
      <c r="C79" s="1120"/>
      <c r="D79" s="1120"/>
      <c r="E79" s="1015">
        <f t="shared" ref="E79:E142" si="1">C79-B79+D79</f>
        <v>0</v>
      </c>
      <c r="F79" s="1201"/>
      <c r="G79" s="90"/>
      <c r="H79" s="90"/>
    </row>
    <row r="80" spans="1:8" ht="15" customHeight="1">
      <c r="A80" s="680"/>
      <c r="B80" s="1200"/>
      <c r="C80" s="1120"/>
      <c r="D80" s="1120"/>
      <c r="E80" s="1015">
        <f t="shared" si="1"/>
        <v>0</v>
      </c>
      <c r="F80" s="1201"/>
      <c r="G80" s="90"/>
      <c r="H80" s="90"/>
    </row>
    <row r="81" spans="1:8" ht="15" customHeight="1">
      <c r="A81" s="680"/>
      <c r="B81" s="1200"/>
      <c r="C81" s="1120"/>
      <c r="D81" s="1120"/>
      <c r="E81" s="1015">
        <f t="shared" si="1"/>
        <v>0</v>
      </c>
      <c r="F81" s="1201"/>
      <c r="G81" s="90"/>
      <c r="H81" s="90"/>
    </row>
    <row r="82" spans="1:8" ht="15" customHeight="1">
      <c r="A82" s="680"/>
      <c r="B82" s="1200"/>
      <c r="C82" s="1120"/>
      <c r="D82" s="1120"/>
      <c r="E82" s="1015">
        <f t="shared" si="1"/>
        <v>0</v>
      </c>
      <c r="F82" s="1201"/>
      <c r="G82" s="90"/>
      <c r="H82" s="90"/>
    </row>
    <row r="83" spans="1:8" ht="15" customHeight="1">
      <c r="A83" s="680"/>
      <c r="B83" s="1200"/>
      <c r="C83" s="1120"/>
      <c r="D83" s="1120"/>
      <c r="E83" s="1015">
        <f t="shared" si="1"/>
        <v>0</v>
      </c>
      <c r="F83" s="1201"/>
      <c r="G83" s="90"/>
      <c r="H83" s="90"/>
    </row>
    <row r="84" spans="1:8" ht="15" customHeight="1">
      <c r="A84" s="680"/>
      <c r="B84" s="1200"/>
      <c r="C84" s="1120"/>
      <c r="D84" s="1120"/>
      <c r="E84" s="1015">
        <f t="shared" si="1"/>
        <v>0</v>
      </c>
      <c r="F84" s="1201"/>
      <c r="G84" s="90"/>
      <c r="H84" s="90"/>
    </row>
    <row r="85" spans="1:8" ht="15" customHeight="1">
      <c r="A85" s="680"/>
      <c r="B85" s="1200"/>
      <c r="C85" s="1120"/>
      <c r="D85" s="1120"/>
      <c r="E85" s="1015">
        <f t="shared" si="1"/>
        <v>0</v>
      </c>
      <c r="F85" s="1201"/>
      <c r="G85" s="90"/>
      <c r="H85" s="90"/>
    </row>
    <row r="86" spans="1:8" ht="15" customHeight="1">
      <c r="A86" s="680"/>
      <c r="B86" s="1200"/>
      <c r="C86" s="1120"/>
      <c r="D86" s="1120"/>
      <c r="E86" s="1015">
        <f t="shared" si="1"/>
        <v>0</v>
      </c>
      <c r="F86" s="1201"/>
      <c r="G86" s="90"/>
      <c r="H86" s="90"/>
    </row>
    <row r="87" spans="1:8" ht="15" customHeight="1">
      <c r="A87" s="680"/>
      <c r="B87" s="1200"/>
      <c r="C87" s="1120"/>
      <c r="D87" s="1120"/>
      <c r="E87" s="1015">
        <f t="shared" si="1"/>
        <v>0</v>
      </c>
      <c r="F87" s="1201"/>
      <c r="G87" s="90"/>
      <c r="H87" s="90"/>
    </row>
    <row r="88" spans="1:8" ht="15" customHeight="1">
      <c r="A88" s="680"/>
      <c r="B88" s="1200"/>
      <c r="C88" s="1120"/>
      <c r="D88" s="1120"/>
      <c r="E88" s="1015">
        <f t="shared" si="1"/>
        <v>0</v>
      </c>
      <c r="F88" s="1201"/>
      <c r="G88" s="90"/>
      <c r="H88" s="90"/>
    </row>
    <row r="89" spans="1:8" ht="15" customHeight="1">
      <c r="A89" s="680"/>
      <c r="B89" s="1200"/>
      <c r="C89" s="1120"/>
      <c r="D89" s="1120"/>
      <c r="E89" s="1015">
        <f t="shared" si="1"/>
        <v>0</v>
      </c>
      <c r="F89" s="1201"/>
      <c r="G89" s="90"/>
      <c r="H89" s="90"/>
    </row>
    <row r="90" spans="1:8" ht="15" customHeight="1">
      <c r="A90" s="680"/>
      <c r="B90" s="1200"/>
      <c r="C90" s="1120"/>
      <c r="D90" s="1120"/>
      <c r="E90" s="1015">
        <f t="shared" si="1"/>
        <v>0</v>
      </c>
      <c r="F90" s="1201"/>
      <c r="G90" s="90"/>
      <c r="H90" s="90"/>
    </row>
    <row r="91" spans="1:8" ht="15" customHeight="1">
      <c r="A91" s="680"/>
      <c r="B91" s="1200"/>
      <c r="C91" s="1120"/>
      <c r="D91" s="1120"/>
      <c r="E91" s="1015">
        <f t="shared" si="1"/>
        <v>0</v>
      </c>
      <c r="F91" s="1201"/>
      <c r="G91" s="90"/>
      <c r="H91" s="90"/>
    </row>
    <row r="92" spans="1:8" ht="15" customHeight="1">
      <c r="A92" s="680"/>
      <c r="B92" s="1200"/>
      <c r="C92" s="1120"/>
      <c r="D92" s="1120"/>
      <c r="E92" s="1015">
        <f t="shared" si="1"/>
        <v>0</v>
      </c>
      <c r="F92" s="1201"/>
      <c r="G92" s="90"/>
      <c r="H92" s="90"/>
    </row>
    <row r="93" spans="1:8" ht="15" customHeight="1">
      <c r="A93" s="680"/>
      <c r="B93" s="1200"/>
      <c r="C93" s="1120"/>
      <c r="D93" s="1120"/>
      <c r="E93" s="1015">
        <f t="shared" si="1"/>
        <v>0</v>
      </c>
      <c r="F93" s="1201"/>
      <c r="G93" s="90"/>
      <c r="H93" s="90"/>
    </row>
    <row r="94" spans="1:8" ht="15" customHeight="1">
      <c r="A94" s="680"/>
      <c r="B94" s="1200"/>
      <c r="C94" s="1120"/>
      <c r="D94" s="1120"/>
      <c r="E94" s="1015">
        <f t="shared" si="1"/>
        <v>0</v>
      </c>
      <c r="F94" s="1201"/>
      <c r="G94" s="90"/>
      <c r="H94" s="90"/>
    </row>
    <row r="95" spans="1:8" ht="15" customHeight="1">
      <c r="A95" s="680"/>
      <c r="B95" s="1200"/>
      <c r="C95" s="1120"/>
      <c r="D95" s="1120"/>
      <c r="E95" s="1015">
        <f t="shared" si="1"/>
        <v>0</v>
      </c>
      <c r="F95" s="1201"/>
      <c r="G95" s="90"/>
      <c r="H95" s="90"/>
    </row>
    <row r="96" spans="1:8" ht="15" customHeight="1">
      <c r="A96" s="680"/>
      <c r="B96" s="1200"/>
      <c r="C96" s="1120"/>
      <c r="D96" s="1120"/>
      <c r="E96" s="1015">
        <f t="shared" si="1"/>
        <v>0</v>
      </c>
      <c r="F96" s="1201"/>
      <c r="G96" s="90"/>
      <c r="H96" s="90"/>
    </row>
    <row r="97" spans="1:8" ht="15" customHeight="1">
      <c r="A97" s="680"/>
      <c r="B97" s="1200"/>
      <c r="C97" s="1120"/>
      <c r="D97" s="1120"/>
      <c r="E97" s="1015">
        <f t="shared" si="1"/>
        <v>0</v>
      </c>
      <c r="F97" s="1201"/>
      <c r="G97" s="90"/>
      <c r="H97" s="90"/>
    </row>
    <row r="98" spans="1:8" ht="15" customHeight="1">
      <c r="A98" s="680"/>
      <c r="B98" s="1200"/>
      <c r="C98" s="1120"/>
      <c r="D98" s="1120"/>
      <c r="E98" s="1015">
        <f t="shared" si="1"/>
        <v>0</v>
      </c>
      <c r="F98" s="1201"/>
      <c r="G98" s="90"/>
      <c r="H98" s="90"/>
    </row>
    <row r="99" spans="1:8" ht="15" customHeight="1">
      <c r="A99" s="680"/>
      <c r="B99" s="1200"/>
      <c r="C99" s="1120"/>
      <c r="D99" s="1120"/>
      <c r="E99" s="1015">
        <f t="shared" si="1"/>
        <v>0</v>
      </c>
      <c r="F99" s="1201"/>
      <c r="G99" s="90"/>
      <c r="H99" s="90"/>
    </row>
    <row r="100" spans="1:8" ht="15" customHeight="1">
      <c r="A100" s="680"/>
      <c r="B100" s="1200"/>
      <c r="C100" s="1120"/>
      <c r="D100" s="1120"/>
      <c r="E100" s="1015">
        <f t="shared" si="1"/>
        <v>0</v>
      </c>
      <c r="F100" s="1201"/>
      <c r="G100" s="90"/>
      <c r="H100" s="90"/>
    </row>
    <row r="101" spans="1:8" ht="15" customHeight="1">
      <c r="A101" s="680"/>
      <c r="B101" s="1200"/>
      <c r="C101" s="1120"/>
      <c r="D101" s="1120"/>
      <c r="E101" s="1015">
        <f t="shared" si="1"/>
        <v>0</v>
      </c>
      <c r="F101" s="1201"/>
      <c r="G101" s="90"/>
      <c r="H101" s="90"/>
    </row>
    <row r="102" spans="1:8" ht="15" customHeight="1">
      <c r="A102" s="680"/>
      <c r="B102" s="1200"/>
      <c r="C102" s="1120"/>
      <c r="D102" s="1120"/>
      <c r="E102" s="1015">
        <f t="shared" si="1"/>
        <v>0</v>
      </c>
      <c r="F102" s="1201"/>
      <c r="G102" s="90"/>
      <c r="H102" s="90"/>
    </row>
    <row r="103" spans="1:8" ht="15" customHeight="1">
      <c r="A103" s="680"/>
      <c r="B103" s="1200"/>
      <c r="C103" s="1120"/>
      <c r="D103" s="1120"/>
      <c r="E103" s="1015">
        <f t="shared" si="1"/>
        <v>0</v>
      </c>
      <c r="F103" s="1201"/>
      <c r="G103" s="90"/>
      <c r="H103" s="90"/>
    </row>
    <row r="104" spans="1:8" ht="15" customHeight="1">
      <c r="A104" s="680"/>
      <c r="B104" s="1200"/>
      <c r="C104" s="1120"/>
      <c r="D104" s="1120"/>
      <c r="E104" s="1015">
        <f t="shared" si="1"/>
        <v>0</v>
      </c>
      <c r="F104" s="1201"/>
      <c r="G104" s="90"/>
      <c r="H104" s="90"/>
    </row>
    <row r="105" spans="1:8" ht="15" customHeight="1">
      <c r="A105" s="680"/>
      <c r="B105" s="1200"/>
      <c r="C105" s="1120"/>
      <c r="D105" s="1120"/>
      <c r="E105" s="1015">
        <f t="shared" si="1"/>
        <v>0</v>
      </c>
      <c r="F105" s="1201"/>
      <c r="G105" s="90"/>
      <c r="H105" s="90"/>
    </row>
    <row r="106" spans="1:8" ht="15" customHeight="1">
      <c r="A106" s="680"/>
      <c r="B106" s="1200"/>
      <c r="C106" s="1120"/>
      <c r="D106" s="1120"/>
      <c r="E106" s="1015">
        <f t="shared" si="1"/>
        <v>0</v>
      </c>
      <c r="F106" s="1201"/>
      <c r="G106" s="90"/>
      <c r="H106" s="90"/>
    </row>
    <row r="107" spans="1:8" ht="15" customHeight="1">
      <c r="A107" s="680"/>
      <c r="B107" s="1200"/>
      <c r="C107" s="1120"/>
      <c r="D107" s="1120"/>
      <c r="E107" s="1015">
        <f t="shared" si="1"/>
        <v>0</v>
      </c>
      <c r="F107" s="1201"/>
      <c r="G107" s="90"/>
      <c r="H107" s="90"/>
    </row>
    <row r="108" spans="1:8" ht="15" customHeight="1">
      <c r="A108" s="680"/>
      <c r="B108" s="1200"/>
      <c r="C108" s="1120"/>
      <c r="D108" s="1120"/>
      <c r="E108" s="1015">
        <f t="shared" si="1"/>
        <v>0</v>
      </c>
      <c r="F108" s="1201"/>
      <c r="G108" s="90"/>
      <c r="H108" s="90"/>
    </row>
    <row r="109" spans="1:8" ht="15" customHeight="1">
      <c r="A109" s="680"/>
      <c r="B109" s="1200"/>
      <c r="C109" s="1120"/>
      <c r="D109" s="1120"/>
      <c r="E109" s="1015">
        <f t="shared" si="1"/>
        <v>0</v>
      </c>
      <c r="F109" s="1201"/>
      <c r="G109" s="90"/>
      <c r="H109" s="90"/>
    </row>
    <row r="110" spans="1:8" ht="15" customHeight="1">
      <c r="A110" s="680"/>
      <c r="B110" s="1200"/>
      <c r="C110" s="1120"/>
      <c r="D110" s="1120"/>
      <c r="E110" s="1015">
        <f t="shared" si="1"/>
        <v>0</v>
      </c>
      <c r="F110" s="1201"/>
      <c r="G110" s="90"/>
      <c r="H110" s="90"/>
    </row>
    <row r="111" spans="1:8" ht="15" customHeight="1">
      <c r="A111" s="680"/>
      <c r="B111" s="1200"/>
      <c r="C111" s="1120"/>
      <c r="D111" s="1120"/>
      <c r="E111" s="1015">
        <f t="shared" si="1"/>
        <v>0</v>
      </c>
      <c r="F111" s="1201"/>
      <c r="G111" s="90"/>
      <c r="H111" s="90"/>
    </row>
    <row r="112" spans="1:8" ht="15" customHeight="1">
      <c r="A112" s="680"/>
      <c r="B112" s="1200"/>
      <c r="C112" s="1120"/>
      <c r="D112" s="1120"/>
      <c r="E112" s="1015">
        <f t="shared" si="1"/>
        <v>0</v>
      </c>
      <c r="F112" s="1201"/>
      <c r="G112" s="90"/>
      <c r="H112" s="90"/>
    </row>
    <row r="113" spans="1:8" ht="15" customHeight="1">
      <c r="A113" s="680"/>
      <c r="B113" s="1200"/>
      <c r="C113" s="1120"/>
      <c r="D113" s="1120"/>
      <c r="E113" s="1015">
        <f t="shared" si="1"/>
        <v>0</v>
      </c>
      <c r="F113" s="1201"/>
      <c r="G113" s="90"/>
      <c r="H113" s="90"/>
    </row>
    <row r="114" spans="1:8" ht="15" customHeight="1">
      <c r="A114" s="680"/>
      <c r="B114" s="1200"/>
      <c r="C114" s="1120"/>
      <c r="D114" s="1120"/>
      <c r="E114" s="1015">
        <f t="shared" si="1"/>
        <v>0</v>
      </c>
      <c r="F114" s="1201"/>
      <c r="G114" s="90"/>
      <c r="H114" s="90"/>
    </row>
    <row r="115" spans="1:8" ht="15" customHeight="1">
      <c r="A115" s="680"/>
      <c r="B115" s="1200"/>
      <c r="C115" s="1120"/>
      <c r="D115" s="1120"/>
      <c r="E115" s="1015">
        <f t="shared" si="1"/>
        <v>0</v>
      </c>
      <c r="F115" s="1201"/>
      <c r="G115" s="90"/>
      <c r="H115" s="90"/>
    </row>
    <row r="116" spans="1:8" ht="15" customHeight="1">
      <c r="A116" s="680"/>
      <c r="B116" s="1200"/>
      <c r="C116" s="1120"/>
      <c r="D116" s="1120"/>
      <c r="E116" s="1015">
        <f t="shared" si="1"/>
        <v>0</v>
      </c>
      <c r="F116" s="1201"/>
      <c r="G116" s="90"/>
      <c r="H116" s="90"/>
    </row>
    <row r="117" spans="1:8" ht="15" customHeight="1">
      <c r="A117" s="680"/>
      <c r="B117" s="1200"/>
      <c r="C117" s="1120"/>
      <c r="D117" s="1120"/>
      <c r="E117" s="1015">
        <f t="shared" si="1"/>
        <v>0</v>
      </c>
      <c r="F117" s="1201"/>
      <c r="G117" s="90"/>
      <c r="H117" s="90"/>
    </row>
    <row r="118" spans="1:8" ht="15" customHeight="1">
      <c r="A118" s="680"/>
      <c r="B118" s="1200"/>
      <c r="C118" s="1120"/>
      <c r="D118" s="1120"/>
      <c r="E118" s="1015">
        <f t="shared" si="1"/>
        <v>0</v>
      </c>
      <c r="F118" s="1201"/>
      <c r="G118" s="90"/>
      <c r="H118" s="90"/>
    </row>
    <row r="119" spans="1:8" ht="15" customHeight="1">
      <c r="A119" s="680"/>
      <c r="B119" s="1200"/>
      <c r="C119" s="1120"/>
      <c r="D119" s="1120"/>
      <c r="E119" s="1015">
        <f t="shared" si="1"/>
        <v>0</v>
      </c>
      <c r="F119" s="1201"/>
      <c r="G119" s="90"/>
      <c r="H119" s="90"/>
    </row>
    <row r="120" spans="1:8" ht="15" customHeight="1">
      <c r="A120" s="680"/>
      <c r="B120" s="1200"/>
      <c r="C120" s="1120"/>
      <c r="D120" s="1120"/>
      <c r="E120" s="1015">
        <f t="shared" si="1"/>
        <v>0</v>
      </c>
      <c r="F120" s="1201"/>
      <c r="G120" s="90"/>
      <c r="H120" s="90"/>
    </row>
    <row r="121" spans="1:8" ht="15" customHeight="1">
      <c r="A121" s="680"/>
      <c r="B121" s="1200"/>
      <c r="C121" s="1120"/>
      <c r="D121" s="1120"/>
      <c r="E121" s="1015">
        <f t="shared" si="1"/>
        <v>0</v>
      </c>
      <c r="F121" s="1201"/>
      <c r="G121" s="90"/>
      <c r="H121" s="90"/>
    </row>
    <row r="122" spans="1:8" ht="15" customHeight="1">
      <c r="A122" s="680"/>
      <c r="B122" s="1200"/>
      <c r="C122" s="1120"/>
      <c r="D122" s="1120"/>
      <c r="E122" s="1015">
        <f t="shared" si="1"/>
        <v>0</v>
      </c>
      <c r="F122" s="1201"/>
      <c r="G122" s="90"/>
      <c r="H122" s="90"/>
    </row>
    <row r="123" spans="1:8" ht="15" customHeight="1">
      <c r="A123" s="680"/>
      <c r="B123" s="1200"/>
      <c r="C123" s="1120"/>
      <c r="D123" s="1120"/>
      <c r="E123" s="1015">
        <f t="shared" si="1"/>
        <v>0</v>
      </c>
      <c r="F123" s="1201"/>
      <c r="G123" s="90"/>
      <c r="H123" s="90"/>
    </row>
    <row r="124" spans="1:8" ht="15" customHeight="1">
      <c r="A124" s="680"/>
      <c r="B124" s="1200"/>
      <c r="C124" s="1120"/>
      <c r="D124" s="1120"/>
      <c r="E124" s="1015">
        <f t="shared" si="1"/>
        <v>0</v>
      </c>
      <c r="F124" s="1201"/>
      <c r="G124" s="90"/>
      <c r="H124" s="90"/>
    </row>
    <row r="125" spans="1:8" ht="15" customHeight="1">
      <c r="A125" s="680"/>
      <c r="B125" s="1200"/>
      <c r="C125" s="1120"/>
      <c r="D125" s="1120"/>
      <c r="E125" s="1015">
        <f t="shared" si="1"/>
        <v>0</v>
      </c>
      <c r="F125" s="1201"/>
      <c r="G125" s="90"/>
      <c r="H125" s="90"/>
    </row>
    <row r="126" spans="1:8" ht="15" customHeight="1">
      <c r="A126" s="680"/>
      <c r="B126" s="1200"/>
      <c r="C126" s="1120"/>
      <c r="D126" s="1120"/>
      <c r="E126" s="1015">
        <f t="shared" si="1"/>
        <v>0</v>
      </c>
      <c r="F126" s="1201"/>
      <c r="G126" s="90"/>
      <c r="H126" s="90"/>
    </row>
    <row r="127" spans="1:8" ht="15" customHeight="1">
      <c r="A127" s="680"/>
      <c r="B127" s="1200"/>
      <c r="C127" s="1120"/>
      <c r="D127" s="1120"/>
      <c r="E127" s="1015">
        <f t="shared" si="1"/>
        <v>0</v>
      </c>
      <c r="F127" s="1201"/>
      <c r="G127" s="90"/>
      <c r="H127" s="90"/>
    </row>
    <row r="128" spans="1:8" ht="15" customHeight="1">
      <c r="A128" s="680"/>
      <c r="B128" s="1200"/>
      <c r="C128" s="1120"/>
      <c r="D128" s="1120"/>
      <c r="E128" s="1015">
        <f t="shared" si="1"/>
        <v>0</v>
      </c>
      <c r="F128" s="1201"/>
      <c r="G128" s="90"/>
      <c r="H128" s="90"/>
    </row>
    <row r="129" spans="1:8" ht="15" customHeight="1">
      <c r="A129" s="680"/>
      <c r="B129" s="1200"/>
      <c r="C129" s="1120"/>
      <c r="D129" s="1120"/>
      <c r="E129" s="1015">
        <f t="shared" si="1"/>
        <v>0</v>
      </c>
      <c r="F129" s="1201"/>
      <c r="G129" s="90"/>
      <c r="H129" s="90"/>
    </row>
    <row r="130" spans="1:8" ht="15" customHeight="1">
      <c r="A130" s="680"/>
      <c r="B130" s="1200"/>
      <c r="C130" s="1120"/>
      <c r="D130" s="1120"/>
      <c r="E130" s="1015">
        <f t="shared" si="1"/>
        <v>0</v>
      </c>
      <c r="F130" s="1201"/>
      <c r="G130" s="90"/>
      <c r="H130" s="90"/>
    </row>
    <row r="131" spans="1:8" ht="15" customHeight="1">
      <c r="A131" s="680"/>
      <c r="B131" s="1200"/>
      <c r="C131" s="1120"/>
      <c r="D131" s="1120"/>
      <c r="E131" s="1015">
        <f t="shared" si="1"/>
        <v>0</v>
      </c>
      <c r="F131" s="1201"/>
      <c r="G131" s="90"/>
      <c r="H131" s="90"/>
    </row>
    <row r="132" spans="1:8" ht="15" customHeight="1">
      <c r="A132" s="680"/>
      <c r="B132" s="1200"/>
      <c r="C132" s="1120"/>
      <c r="D132" s="1120"/>
      <c r="E132" s="1015">
        <f t="shared" si="1"/>
        <v>0</v>
      </c>
      <c r="F132" s="1201"/>
      <c r="G132" s="90"/>
      <c r="H132" s="90"/>
    </row>
    <row r="133" spans="1:8" ht="15" customHeight="1">
      <c r="A133" s="680"/>
      <c r="B133" s="1200"/>
      <c r="C133" s="1120"/>
      <c r="D133" s="1120"/>
      <c r="E133" s="1015">
        <f t="shared" si="1"/>
        <v>0</v>
      </c>
      <c r="F133" s="1201"/>
      <c r="G133" s="90"/>
      <c r="H133" s="90"/>
    </row>
    <row r="134" spans="1:8" ht="15" customHeight="1">
      <c r="A134" s="680"/>
      <c r="B134" s="1200"/>
      <c r="C134" s="1120"/>
      <c r="D134" s="1120"/>
      <c r="E134" s="1015">
        <f t="shared" si="1"/>
        <v>0</v>
      </c>
      <c r="F134" s="1201"/>
      <c r="G134" s="90"/>
      <c r="H134" s="90"/>
    </row>
    <row r="135" spans="1:8" ht="15" customHeight="1">
      <c r="A135" s="680"/>
      <c r="B135" s="1200"/>
      <c r="C135" s="1120"/>
      <c r="D135" s="1120"/>
      <c r="E135" s="1015">
        <f t="shared" si="1"/>
        <v>0</v>
      </c>
      <c r="F135" s="1201"/>
      <c r="G135" s="90"/>
      <c r="H135" s="90"/>
    </row>
    <row r="136" spans="1:8" ht="15" customHeight="1">
      <c r="A136" s="680"/>
      <c r="B136" s="1200"/>
      <c r="C136" s="1120"/>
      <c r="D136" s="1120"/>
      <c r="E136" s="1015">
        <f t="shared" si="1"/>
        <v>0</v>
      </c>
      <c r="F136" s="1201"/>
      <c r="G136" s="90"/>
      <c r="H136" s="90"/>
    </row>
    <row r="137" spans="1:8" ht="15" customHeight="1">
      <c r="A137" s="680"/>
      <c r="B137" s="1200"/>
      <c r="C137" s="1120"/>
      <c r="D137" s="1120"/>
      <c r="E137" s="1015">
        <f t="shared" si="1"/>
        <v>0</v>
      </c>
      <c r="F137" s="1201"/>
      <c r="G137" s="90"/>
      <c r="H137" s="90"/>
    </row>
    <row r="138" spans="1:8" ht="15" customHeight="1">
      <c r="A138" s="680"/>
      <c r="B138" s="1200"/>
      <c r="C138" s="1120"/>
      <c r="D138" s="1120"/>
      <c r="E138" s="1015">
        <f t="shared" si="1"/>
        <v>0</v>
      </c>
      <c r="F138" s="1201"/>
      <c r="G138" s="90"/>
      <c r="H138" s="90"/>
    </row>
    <row r="139" spans="1:8" ht="15" customHeight="1">
      <c r="A139" s="680"/>
      <c r="B139" s="1200"/>
      <c r="C139" s="1120"/>
      <c r="D139" s="1120"/>
      <c r="E139" s="1015">
        <f t="shared" si="1"/>
        <v>0</v>
      </c>
      <c r="F139" s="1201"/>
      <c r="G139" s="90"/>
      <c r="H139" s="90"/>
    </row>
    <row r="140" spans="1:8" ht="15" customHeight="1">
      <c r="A140" s="680"/>
      <c r="B140" s="1200"/>
      <c r="C140" s="1120"/>
      <c r="D140" s="1120"/>
      <c r="E140" s="1015">
        <f t="shared" si="1"/>
        <v>0</v>
      </c>
      <c r="F140" s="1201"/>
      <c r="G140" s="90"/>
      <c r="H140" s="90"/>
    </row>
    <row r="141" spans="1:8" ht="15" customHeight="1">
      <c r="A141" s="680"/>
      <c r="B141" s="1200"/>
      <c r="C141" s="1120"/>
      <c r="D141" s="1120"/>
      <c r="E141" s="1015">
        <f t="shared" si="1"/>
        <v>0</v>
      </c>
      <c r="F141" s="1201"/>
      <c r="G141" s="90"/>
      <c r="H141" s="90"/>
    </row>
    <row r="142" spans="1:8" ht="15" customHeight="1">
      <c r="A142" s="680"/>
      <c r="B142" s="1200"/>
      <c r="C142" s="1120"/>
      <c r="D142" s="1120"/>
      <c r="E142" s="1015">
        <f t="shared" si="1"/>
        <v>0</v>
      </c>
      <c r="F142" s="1201"/>
      <c r="G142" s="90"/>
      <c r="H142" s="90"/>
    </row>
    <row r="143" spans="1:8" ht="15" customHeight="1">
      <c r="A143" s="680"/>
      <c r="B143" s="1200"/>
      <c r="C143" s="1120"/>
      <c r="D143" s="1120"/>
      <c r="E143" s="1015">
        <f t="shared" ref="E143:E206" si="2">C143-B143+D143</f>
        <v>0</v>
      </c>
      <c r="F143" s="1201"/>
      <c r="G143" s="90"/>
      <c r="H143" s="90"/>
    </row>
    <row r="144" spans="1:8" ht="15" customHeight="1">
      <c r="A144" s="680"/>
      <c r="B144" s="1200"/>
      <c r="C144" s="1120"/>
      <c r="D144" s="1120"/>
      <c r="E144" s="1015">
        <f t="shared" si="2"/>
        <v>0</v>
      </c>
      <c r="F144" s="1201"/>
      <c r="G144" s="90"/>
      <c r="H144" s="90"/>
    </row>
    <row r="145" spans="1:8" ht="15" customHeight="1">
      <c r="A145" s="680"/>
      <c r="B145" s="1200"/>
      <c r="C145" s="1120"/>
      <c r="D145" s="1120"/>
      <c r="E145" s="1015">
        <f t="shared" si="2"/>
        <v>0</v>
      </c>
      <c r="F145" s="1201"/>
      <c r="G145" s="90"/>
      <c r="H145" s="90"/>
    </row>
    <row r="146" spans="1:8" ht="15" customHeight="1">
      <c r="A146" s="680"/>
      <c r="B146" s="1200"/>
      <c r="C146" s="1120"/>
      <c r="D146" s="1120"/>
      <c r="E146" s="1015">
        <f t="shared" si="2"/>
        <v>0</v>
      </c>
      <c r="F146" s="1201"/>
      <c r="G146" s="90"/>
      <c r="H146" s="90"/>
    </row>
    <row r="147" spans="1:8" ht="15" customHeight="1">
      <c r="A147" s="680"/>
      <c r="B147" s="1200"/>
      <c r="C147" s="1120"/>
      <c r="D147" s="1120"/>
      <c r="E147" s="1015">
        <f t="shared" si="2"/>
        <v>0</v>
      </c>
      <c r="F147" s="1201"/>
      <c r="G147" s="90"/>
      <c r="H147" s="90"/>
    </row>
    <row r="148" spans="1:8" ht="15" customHeight="1">
      <c r="A148" s="680"/>
      <c r="B148" s="1200"/>
      <c r="C148" s="1120"/>
      <c r="D148" s="1120"/>
      <c r="E148" s="1015">
        <f t="shared" si="2"/>
        <v>0</v>
      </c>
      <c r="F148" s="1201"/>
      <c r="G148" s="90"/>
      <c r="H148" s="90"/>
    </row>
    <row r="149" spans="1:8" ht="15" customHeight="1">
      <c r="A149" s="680"/>
      <c r="B149" s="1200"/>
      <c r="C149" s="1120"/>
      <c r="D149" s="1120"/>
      <c r="E149" s="1015">
        <f t="shared" si="2"/>
        <v>0</v>
      </c>
      <c r="F149" s="1201"/>
      <c r="G149" s="90"/>
      <c r="H149" s="90"/>
    </row>
    <row r="150" spans="1:8" ht="15" customHeight="1">
      <c r="A150" s="680"/>
      <c r="B150" s="1200"/>
      <c r="C150" s="1120"/>
      <c r="D150" s="1120"/>
      <c r="E150" s="1015">
        <f t="shared" si="2"/>
        <v>0</v>
      </c>
      <c r="F150" s="1201"/>
      <c r="G150" s="90"/>
      <c r="H150" s="90"/>
    </row>
    <row r="151" spans="1:8" ht="15" customHeight="1">
      <c r="A151" s="680"/>
      <c r="B151" s="1200"/>
      <c r="C151" s="1120"/>
      <c r="D151" s="1120"/>
      <c r="E151" s="1015">
        <f t="shared" si="2"/>
        <v>0</v>
      </c>
      <c r="F151" s="1201"/>
      <c r="G151" s="90"/>
      <c r="H151" s="90"/>
    </row>
    <row r="152" spans="1:8" ht="15" customHeight="1">
      <c r="A152" s="680"/>
      <c r="B152" s="1200"/>
      <c r="C152" s="1120"/>
      <c r="D152" s="1120"/>
      <c r="E152" s="1015">
        <f t="shared" si="2"/>
        <v>0</v>
      </c>
      <c r="F152" s="1201"/>
      <c r="G152" s="90"/>
      <c r="H152" s="90"/>
    </row>
    <row r="153" spans="1:8" ht="15" customHeight="1">
      <c r="A153" s="680"/>
      <c r="B153" s="1200"/>
      <c r="C153" s="1120"/>
      <c r="D153" s="1120"/>
      <c r="E153" s="1015">
        <f t="shared" si="2"/>
        <v>0</v>
      </c>
      <c r="F153" s="1201"/>
      <c r="G153" s="90"/>
      <c r="H153" s="90"/>
    </row>
    <row r="154" spans="1:8" ht="15" customHeight="1">
      <c r="A154" s="680"/>
      <c r="B154" s="1200"/>
      <c r="C154" s="1120"/>
      <c r="D154" s="1120"/>
      <c r="E154" s="1015">
        <f t="shared" si="2"/>
        <v>0</v>
      </c>
      <c r="F154" s="1201"/>
      <c r="G154" s="90"/>
      <c r="H154" s="90"/>
    </row>
    <row r="155" spans="1:8" ht="15" customHeight="1">
      <c r="A155" s="680"/>
      <c r="B155" s="1200"/>
      <c r="C155" s="1120"/>
      <c r="D155" s="1120"/>
      <c r="E155" s="1015">
        <f t="shared" si="2"/>
        <v>0</v>
      </c>
      <c r="F155" s="1201"/>
      <c r="G155" s="90"/>
      <c r="H155" s="90"/>
    </row>
    <row r="156" spans="1:8" ht="15" customHeight="1">
      <c r="A156" s="680"/>
      <c r="B156" s="1200"/>
      <c r="C156" s="1120"/>
      <c r="D156" s="1120"/>
      <c r="E156" s="1015">
        <f t="shared" si="2"/>
        <v>0</v>
      </c>
      <c r="F156" s="1201"/>
      <c r="G156" s="90"/>
      <c r="H156" s="90"/>
    </row>
    <row r="157" spans="1:8" ht="15" customHeight="1">
      <c r="A157" s="680"/>
      <c r="B157" s="1200"/>
      <c r="C157" s="1120"/>
      <c r="D157" s="1120"/>
      <c r="E157" s="1015">
        <f t="shared" si="2"/>
        <v>0</v>
      </c>
      <c r="F157" s="1201"/>
      <c r="G157" s="90"/>
      <c r="H157" s="90"/>
    </row>
    <row r="158" spans="1:8" ht="15" customHeight="1">
      <c r="A158" s="680"/>
      <c r="B158" s="1200"/>
      <c r="C158" s="1120"/>
      <c r="D158" s="1120"/>
      <c r="E158" s="1015">
        <f t="shared" si="2"/>
        <v>0</v>
      </c>
      <c r="F158" s="1201"/>
      <c r="G158" s="90"/>
      <c r="H158" s="90"/>
    </row>
    <row r="159" spans="1:8" ht="15" customHeight="1">
      <c r="A159" s="680"/>
      <c r="B159" s="1200"/>
      <c r="C159" s="1120"/>
      <c r="D159" s="1120"/>
      <c r="E159" s="1015">
        <f t="shared" si="2"/>
        <v>0</v>
      </c>
      <c r="F159" s="1201"/>
      <c r="G159" s="90"/>
      <c r="H159" s="90"/>
    </row>
    <row r="160" spans="1:8" ht="15" customHeight="1">
      <c r="A160" s="680"/>
      <c r="B160" s="1200"/>
      <c r="C160" s="1120"/>
      <c r="D160" s="1120"/>
      <c r="E160" s="1015">
        <f t="shared" si="2"/>
        <v>0</v>
      </c>
      <c r="F160" s="1201"/>
      <c r="G160" s="90"/>
      <c r="H160" s="90"/>
    </row>
    <row r="161" spans="1:8" ht="15" customHeight="1">
      <c r="A161" s="680"/>
      <c r="B161" s="1200"/>
      <c r="C161" s="1120"/>
      <c r="D161" s="1120"/>
      <c r="E161" s="1015">
        <f t="shared" si="2"/>
        <v>0</v>
      </c>
      <c r="F161" s="1201"/>
      <c r="G161" s="90"/>
      <c r="H161" s="90"/>
    </row>
    <row r="162" spans="1:8" ht="15" customHeight="1">
      <c r="A162" s="680"/>
      <c r="B162" s="1200"/>
      <c r="C162" s="1120"/>
      <c r="D162" s="1120"/>
      <c r="E162" s="1015">
        <f t="shared" si="2"/>
        <v>0</v>
      </c>
      <c r="F162" s="1201"/>
      <c r="G162" s="90"/>
      <c r="H162" s="90"/>
    </row>
    <row r="163" spans="1:8" ht="15" customHeight="1">
      <c r="A163" s="680"/>
      <c r="B163" s="1200"/>
      <c r="C163" s="1120"/>
      <c r="D163" s="1120"/>
      <c r="E163" s="1015">
        <f t="shared" si="2"/>
        <v>0</v>
      </c>
      <c r="F163" s="1201"/>
      <c r="G163" s="90"/>
      <c r="H163" s="90"/>
    </row>
    <row r="164" spans="1:8" ht="15" customHeight="1">
      <c r="A164" s="680"/>
      <c r="B164" s="1200"/>
      <c r="C164" s="1120"/>
      <c r="D164" s="1120"/>
      <c r="E164" s="1015">
        <f t="shared" si="2"/>
        <v>0</v>
      </c>
      <c r="F164" s="1201"/>
      <c r="G164" s="90"/>
      <c r="H164" s="90"/>
    </row>
    <row r="165" spans="1:8" ht="15" customHeight="1">
      <c r="A165" s="680"/>
      <c r="B165" s="1200"/>
      <c r="C165" s="1120"/>
      <c r="D165" s="1120"/>
      <c r="E165" s="1015">
        <f t="shared" si="2"/>
        <v>0</v>
      </c>
      <c r="F165" s="1201"/>
      <c r="G165" s="90"/>
      <c r="H165" s="90"/>
    </row>
    <row r="166" spans="1:8" ht="15" customHeight="1">
      <c r="A166" s="680"/>
      <c r="B166" s="1200"/>
      <c r="C166" s="1120"/>
      <c r="D166" s="1120"/>
      <c r="E166" s="1015">
        <f t="shared" si="2"/>
        <v>0</v>
      </c>
      <c r="F166" s="1201"/>
      <c r="G166" s="90"/>
      <c r="H166" s="90"/>
    </row>
    <row r="167" spans="1:8" ht="15" customHeight="1">
      <c r="A167" s="680"/>
      <c r="B167" s="1200"/>
      <c r="C167" s="1120"/>
      <c r="D167" s="1120"/>
      <c r="E167" s="1015">
        <f t="shared" si="2"/>
        <v>0</v>
      </c>
      <c r="F167" s="1201"/>
      <c r="G167" s="90"/>
      <c r="H167" s="90"/>
    </row>
    <row r="168" spans="1:8" ht="15" customHeight="1">
      <c r="A168" s="680"/>
      <c r="B168" s="1200"/>
      <c r="C168" s="1120"/>
      <c r="D168" s="1120"/>
      <c r="E168" s="1015">
        <f t="shared" si="2"/>
        <v>0</v>
      </c>
      <c r="F168" s="1201"/>
      <c r="G168" s="90"/>
      <c r="H168" s="90"/>
    </row>
    <row r="169" spans="1:8" ht="15" customHeight="1">
      <c r="A169" s="680"/>
      <c r="B169" s="1200"/>
      <c r="C169" s="1120"/>
      <c r="D169" s="1120"/>
      <c r="E169" s="1015">
        <f t="shared" si="2"/>
        <v>0</v>
      </c>
      <c r="F169" s="1201"/>
      <c r="G169" s="90"/>
      <c r="H169" s="90"/>
    </row>
    <row r="170" spans="1:8" ht="15" customHeight="1">
      <c r="A170" s="680"/>
      <c r="B170" s="1200"/>
      <c r="C170" s="1120"/>
      <c r="D170" s="1120"/>
      <c r="E170" s="1015">
        <f t="shared" si="2"/>
        <v>0</v>
      </c>
      <c r="F170" s="1201"/>
      <c r="G170" s="90"/>
      <c r="H170" s="90"/>
    </row>
    <row r="171" spans="1:8" ht="15" customHeight="1">
      <c r="A171" s="680"/>
      <c r="B171" s="1200"/>
      <c r="C171" s="1120"/>
      <c r="D171" s="1120"/>
      <c r="E171" s="1015">
        <f t="shared" si="2"/>
        <v>0</v>
      </c>
      <c r="F171" s="1201"/>
      <c r="G171" s="90"/>
      <c r="H171" s="90"/>
    </row>
    <row r="172" spans="1:8" ht="15" customHeight="1">
      <c r="A172" s="680"/>
      <c r="B172" s="1200"/>
      <c r="C172" s="1120"/>
      <c r="D172" s="1120"/>
      <c r="E172" s="1015">
        <f t="shared" si="2"/>
        <v>0</v>
      </c>
      <c r="F172" s="1201"/>
      <c r="G172" s="90"/>
      <c r="H172" s="90"/>
    </row>
    <row r="173" spans="1:8" ht="15" customHeight="1">
      <c r="A173" s="680"/>
      <c r="B173" s="1200"/>
      <c r="C173" s="1120"/>
      <c r="D173" s="1120"/>
      <c r="E173" s="1015">
        <f t="shared" si="2"/>
        <v>0</v>
      </c>
      <c r="F173" s="1201"/>
      <c r="G173" s="90"/>
      <c r="H173" s="90"/>
    </row>
    <row r="174" spans="1:8" ht="15" customHeight="1">
      <c r="A174" s="680"/>
      <c r="B174" s="1200"/>
      <c r="C174" s="1120"/>
      <c r="D174" s="1120"/>
      <c r="E174" s="1015">
        <f t="shared" si="2"/>
        <v>0</v>
      </c>
      <c r="F174" s="1201"/>
      <c r="G174" s="90"/>
      <c r="H174" s="90"/>
    </row>
    <row r="175" spans="1:8" ht="15" customHeight="1">
      <c r="A175" s="680"/>
      <c r="B175" s="1200"/>
      <c r="C175" s="1120"/>
      <c r="D175" s="1120"/>
      <c r="E175" s="1015">
        <f t="shared" si="2"/>
        <v>0</v>
      </c>
      <c r="F175" s="1201"/>
      <c r="G175" s="90"/>
      <c r="H175" s="90"/>
    </row>
    <row r="176" spans="1:8" ht="15" customHeight="1">
      <c r="A176" s="680"/>
      <c r="B176" s="1200"/>
      <c r="C176" s="1120"/>
      <c r="D176" s="1120"/>
      <c r="E176" s="1015">
        <f t="shared" si="2"/>
        <v>0</v>
      </c>
      <c r="F176" s="1201"/>
      <c r="G176" s="90"/>
      <c r="H176" s="90"/>
    </row>
    <row r="177" spans="1:8" ht="15" customHeight="1">
      <c r="A177" s="680"/>
      <c r="B177" s="1200"/>
      <c r="C177" s="1120"/>
      <c r="D177" s="1120"/>
      <c r="E177" s="1015">
        <f t="shared" si="2"/>
        <v>0</v>
      </c>
      <c r="F177" s="1201"/>
      <c r="G177" s="90"/>
      <c r="H177" s="90"/>
    </row>
    <row r="178" spans="1:8" ht="15" customHeight="1">
      <c r="A178" s="680"/>
      <c r="B178" s="1200"/>
      <c r="C178" s="1120"/>
      <c r="D178" s="1120"/>
      <c r="E178" s="1015">
        <f t="shared" si="2"/>
        <v>0</v>
      </c>
      <c r="F178" s="1201"/>
      <c r="G178" s="90"/>
      <c r="H178" s="90"/>
    </row>
    <row r="179" spans="1:8" ht="15" customHeight="1">
      <c r="A179" s="680"/>
      <c r="B179" s="1200"/>
      <c r="C179" s="1120"/>
      <c r="D179" s="1120"/>
      <c r="E179" s="1015">
        <f t="shared" si="2"/>
        <v>0</v>
      </c>
      <c r="F179" s="1201"/>
      <c r="G179" s="90"/>
      <c r="H179" s="90"/>
    </row>
    <row r="180" spans="1:8" ht="15" customHeight="1">
      <c r="A180" s="680"/>
      <c r="B180" s="1200"/>
      <c r="C180" s="1120"/>
      <c r="D180" s="1120"/>
      <c r="E180" s="1015">
        <f t="shared" si="2"/>
        <v>0</v>
      </c>
      <c r="F180" s="1201"/>
      <c r="G180" s="90"/>
      <c r="H180" s="90"/>
    </row>
    <row r="181" spans="1:8" ht="15" customHeight="1">
      <c r="A181" s="680"/>
      <c r="B181" s="1200"/>
      <c r="C181" s="1120"/>
      <c r="D181" s="1120"/>
      <c r="E181" s="1015">
        <f t="shared" si="2"/>
        <v>0</v>
      </c>
      <c r="F181" s="1201"/>
      <c r="G181" s="90"/>
      <c r="H181" s="90"/>
    </row>
    <row r="182" spans="1:8" ht="15" customHeight="1">
      <c r="A182" s="680"/>
      <c r="B182" s="1200"/>
      <c r="C182" s="1120"/>
      <c r="D182" s="1120"/>
      <c r="E182" s="1015">
        <f t="shared" si="2"/>
        <v>0</v>
      </c>
      <c r="F182" s="1201"/>
      <c r="G182" s="90"/>
      <c r="H182" s="90"/>
    </row>
    <row r="183" spans="1:8" ht="15" customHeight="1">
      <c r="A183" s="680"/>
      <c r="B183" s="1200"/>
      <c r="C183" s="1120"/>
      <c r="D183" s="1120"/>
      <c r="E183" s="1015">
        <f t="shared" si="2"/>
        <v>0</v>
      </c>
      <c r="F183" s="1201"/>
      <c r="G183" s="90"/>
      <c r="H183" s="90"/>
    </row>
    <row r="184" spans="1:8" ht="15" customHeight="1">
      <c r="A184" s="680"/>
      <c r="B184" s="1200"/>
      <c r="C184" s="1120"/>
      <c r="D184" s="1120"/>
      <c r="E184" s="1015">
        <f t="shared" si="2"/>
        <v>0</v>
      </c>
      <c r="F184" s="1201"/>
      <c r="G184" s="90"/>
      <c r="H184" s="90"/>
    </row>
    <row r="185" spans="1:8" ht="15" customHeight="1">
      <c r="A185" s="680"/>
      <c r="B185" s="1200"/>
      <c r="C185" s="1120"/>
      <c r="D185" s="1120"/>
      <c r="E185" s="1015">
        <f t="shared" si="2"/>
        <v>0</v>
      </c>
      <c r="F185" s="1201"/>
      <c r="G185" s="90"/>
      <c r="H185" s="90"/>
    </row>
    <row r="186" spans="1:8" ht="15" customHeight="1">
      <c r="A186" s="680"/>
      <c r="B186" s="1200"/>
      <c r="C186" s="1120"/>
      <c r="D186" s="1120"/>
      <c r="E186" s="1015">
        <f t="shared" si="2"/>
        <v>0</v>
      </c>
      <c r="F186" s="1201"/>
      <c r="G186" s="90"/>
      <c r="H186" s="90"/>
    </row>
    <row r="187" spans="1:8" ht="15" customHeight="1">
      <c r="A187" s="680"/>
      <c r="B187" s="1200"/>
      <c r="C187" s="1120"/>
      <c r="D187" s="1120"/>
      <c r="E187" s="1015">
        <f t="shared" si="2"/>
        <v>0</v>
      </c>
      <c r="F187" s="1201"/>
      <c r="G187" s="90"/>
      <c r="H187" s="90"/>
    </row>
    <row r="188" spans="1:8" ht="15" customHeight="1">
      <c r="A188" s="680"/>
      <c r="B188" s="1200"/>
      <c r="C188" s="1120"/>
      <c r="D188" s="1120"/>
      <c r="E188" s="1015">
        <f t="shared" si="2"/>
        <v>0</v>
      </c>
      <c r="F188" s="1201"/>
      <c r="G188" s="90"/>
      <c r="H188" s="90"/>
    </row>
    <row r="189" spans="1:8" ht="15" customHeight="1">
      <c r="A189" s="680"/>
      <c r="B189" s="1200"/>
      <c r="C189" s="1120"/>
      <c r="D189" s="1120"/>
      <c r="E189" s="1015">
        <f t="shared" si="2"/>
        <v>0</v>
      </c>
      <c r="F189" s="1201"/>
      <c r="G189" s="90"/>
      <c r="H189" s="90"/>
    </row>
    <row r="190" spans="1:8" ht="15" customHeight="1">
      <c r="A190" s="680"/>
      <c r="B190" s="1200"/>
      <c r="C190" s="1120"/>
      <c r="D190" s="1120"/>
      <c r="E190" s="1015">
        <f t="shared" si="2"/>
        <v>0</v>
      </c>
      <c r="F190" s="1201"/>
      <c r="G190" s="90"/>
      <c r="H190" s="90"/>
    </row>
    <row r="191" spans="1:8" ht="15" customHeight="1">
      <c r="A191" s="680"/>
      <c r="B191" s="1200"/>
      <c r="C191" s="1120"/>
      <c r="D191" s="1120"/>
      <c r="E191" s="1015">
        <f t="shared" si="2"/>
        <v>0</v>
      </c>
      <c r="F191" s="1201"/>
      <c r="G191" s="90"/>
      <c r="H191" s="90"/>
    </row>
    <row r="192" spans="1:8" ht="15" customHeight="1">
      <c r="A192" s="680"/>
      <c r="B192" s="1200"/>
      <c r="C192" s="1120"/>
      <c r="D192" s="1120"/>
      <c r="E192" s="1015">
        <f t="shared" si="2"/>
        <v>0</v>
      </c>
      <c r="F192" s="1201"/>
      <c r="G192" s="90"/>
      <c r="H192" s="90"/>
    </row>
    <row r="193" spans="1:8" ht="15" customHeight="1">
      <c r="A193" s="680"/>
      <c r="B193" s="1200"/>
      <c r="C193" s="1120"/>
      <c r="D193" s="1120"/>
      <c r="E193" s="1015">
        <f t="shared" si="2"/>
        <v>0</v>
      </c>
      <c r="F193" s="1201"/>
      <c r="G193" s="90"/>
      <c r="H193" s="90"/>
    </row>
    <row r="194" spans="1:8" ht="15" customHeight="1">
      <c r="A194" s="680"/>
      <c r="B194" s="1200"/>
      <c r="C194" s="1120"/>
      <c r="D194" s="1120"/>
      <c r="E194" s="1015">
        <f t="shared" si="2"/>
        <v>0</v>
      </c>
      <c r="F194" s="1201"/>
      <c r="G194" s="90"/>
      <c r="H194" s="90"/>
    </row>
    <row r="195" spans="1:8" ht="15" customHeight="1">
      <c r="A195" s="680"/>
      <c r="B195" s="1200"/>
      <c r="C195" s="1120"/>
      <c r="D195" s="1120"/>
      <c r="E195" s="1015">
        <f t="shared" si="2"/>
        <v>0</v>
      </c>
      <c r="F195" s="1201"/>
      <c r="G195" s="90"/>
      <c r="H195" s="90"/>
    </row>
    <row r="196" spans="1:8" ht="15" customHeight="1">
      <c r="A196" s="680"/>
      <c r="B196" s="1200"/>
      <c r="C196" s="1120"/>
      <c r="D196" s="1120"/>
      <c r="E196" s="1015">
        <f t="shared" si="2"/>
        <v>0</v>
      </c>
      <c r="F196" s="1201"/>
      <c r="G196" s="90"/>
      <c r="H196" s="90"/>
    </row>
    <row r="197" spans="1:8" ht="15" customHeight="1">
      <c r="A197" s="680"/>
      <c r="B197" s="1200"/>
      <c r="C197" s="1120"/>
      <c r="D197" s="1120"/>
      <c r="E197" s="1015">
        <f t="shared" si="2"/>
        <v>0</v>
      </c>
      <c r="F197" s="1201"/>
      <c r="G197" s="90"/>
      <c r="H197" s="90"/>
    </row>
    <row r="198" spans="1:8" ht="15" customHeight="1">
      <c r="A198" s="680"/>
      <c r="B198" s="1200"/>
      <c r="C198" s="1120"/>
      <c r="D198" s="1120"/>
      <c r="E198" s="1015">
        <f t="shared" si="2"/>
        <v>0</v>
      </c>
      <c r="F198" s="1201"/>
      <c r="G198" s="90"/>
      <c r="H198" s="90"/>
    </row>
    <row r="199" spans="1:8" ht="15" customHeight="1">
      <c r="A199" s="680"/>
      <c r="B199" s="1200"/>
      <c r="C199" s="1120"/>
      <c r="D199" s="1120"/>
      <c r="E199" s="1015">
        <f t="shared" si="2"/>
        <v>0</v>
      </c>
      <c r="F199" s="1201"/>
      <c r="G199" s="90"/>
      <c r="H199" s="90"/>
    </row>
    <row r="200" spans="1:8" ht="15" customHeight="1">
      <c r="A200" s="680"/>
      <c r="B200" s="1200"/>
      <c r="C200" s="1120"/>
      <c r="D200" s="1120"/>
      <c r="E200" s="1015">
        <f t="shared" si="2"/>
        <v>0</v>
      </c>
      <c r="F200" s="1201"/>
      <c r="G200" s="90"/>
      <c r="H200" s="90"/>
    </row>
    <row r="201" spans="1:8" ht="15" customHeight="1">
      <c r="A201" s="680"/>
      <c r="B201" s="1200"/>
      <c r="C201" s="1120"/>
      <c r="D201" s="1120"/>
      <c r="E201" s="1015">
        <f t="shared" si="2"/>
        <v>0</v>
      </c>
      <c r="F201" s="1201"/>
      <c r="G201" s="90"/>
      <c r="H201" s="90"/>
    </row>
    <row r="202" spans="1:8" ht="15" customHeight="1">
      <c r="A202" s="680"/>
      <c r="B202" s="1200"/>
      <c r="C202" s="1120"/>
      <c r="D202" s="1120"/>
      <c r="E202" s="1015">
        <f t="shared" si="2"/>
        <v>0</v>
      </c>
      <c r="F202" s="1201"/>
      <c r="G202" s="90"/>
      <c r="H202" s="90"/>
    </row>
    <row r="203" spans="1:8" ht="15" customHeight="1">
      <c r="A203" s="680"/>
      <c r="B203" s="1200"/>
      <c r="C203" s="1120"/>
      <c r="D203" s="1120"/>
      <c r="E203" s="1015">
        <f t="shared" si="2"/>
        <v>0</v>
      </c>
      <c r="F203" s="1201"/>
      <c r="G203" s="90"/>
      <c r="H203" s="90"/>
    </row>
    <row r="204" spans="1:8" ht="15" customHeight="1">
      <c r="A204" s="680"/>
      <c r="B204" s="1200"/>
      <c r="C204" s="1120"/>
      <c r="D204" s="1120"/>
      <c r="E204" s="1015">
        <f t="shared" si="2"/>
        <v>0</v>
      </c>
      <c r="F204" s="1201"/>
      <c r="G204" s="90"/>
      <c r="H204" s="90"/>
    </row>
    <row r="205" spans="1:8" ht="15" customHeight="1">
      <c r="A205" s="680"/>
      <c r="B205" s="1200"/>
      <c r="C205" s="1120"/>
      <c r="D205" s="1120"/>
      <c r="E205" s="1015">
        <f t="shared" si="2"/>
        <v>0</v>
      </c>
      <c r="F205" s="1201"/>
      <c r="G205" s="90"/>
      <c r="H205" s="90"/>
    </row>
    <row r="206" spans="1:8" ht="15" customHeight="1">
      <c r="A206" s="680"/>
      <c r="B206" s="1200"/>
      <c r="C206" s="1120"/>
      <c r="D206" s="1120"/>
      <c r="E206" s="1015">
        <f t="shared" si="2"/>
        <v>0</v>
      </c>
      <c r="F206" s="1201"/>
      <c r="G206" s="90"/>
      <c r="H206" s="90"/>
    </row>
    <row r="207" spans="1:8" ht="15" customHeight="1">
      <c r="A207" s="680"/>
      <c r="B207" s="1200"/>
      <c r="C207" s="1120"/>
      <c r="D207" s="1120"/>
      <c r="E207" s="1015">
        <f t="shared" ref="E207:E270" si="3">C207-B207+D207</f>
        <v>0</v>
      </c>
      <c r="F207" s="1201"/>
      <c r="G207" s="90"/>
      <c r="H207" s="90"/>
    </row>
    <row r="208" spans="1:8" ht="15" customHeight="1">
      <c r="A208" s="680"/>
      <c r="B208" s="1200"/>
      <c r="C208" s="1120"/>
      <c r="D208" s="1120"/>
      <c r="E208" s="1015">
        <f t="shared" si="3"/>
        <v>0</v>
      </c>
      <c r="F208" s="1201"/>
      <c r="G208" s="90"/>
      <c r="H208" s="90"/>
    </row>
    <row r="209" spans="1:8" ht="15" customHeight="1">
      <c r="A209" s="680"/>
      <c r="B209" s="1200"/>
      <c r="C209" s="1120"/>
      <c r="D209" s="1120"/>
      <c r="E209" s="1015">
        <f t="shared" si="3"/>
        <v>0</v>
      </c>
      <c r="F209" s="1201"/>
      <c r="G209" s="90"/>
      <c r="H209" s="90"/>
    </row>
    <row r="210" spans="1:8" ht="15" customHeight="1">
      <c r="A210" s="680"/>
      <c r="B210" s="1200"/>
      <c r="C210" s="1120"/>
      <c r="D210" s="1120"/>
      <c r="E210" s="1015">
        <f t="shared" si="3"/>
        <v>0</v>
      </c>
      <c r="F210" s="1201"/>
      <c r="G210" s="90"/>
      <c r="H210" s="90"/>
    </row>
    <row r="211" spans="1:8" ht="15" customHeight="1">
      <c r="A211" s="680"/>
      <c r="B211" s="1200"/>
      <c r="C211" s="1120"/>
      <c r="D211" s="1120"/>
      <c r="E211" s="1015">
        <f t="shared" si="3"/>
        <v>0</v>
      </c>
      <c r="F211" s="1201"/>
      <c r="G211" s="90"/>
      <c r="H211" s="90"/>
    </row>
    <row r="212" spans="1:8" ht="15" customHeight="1">
      <c r="A212" s="680"/>
      <c r="B212" s="1200"/>
      <c r="C212" s="1120"/>
      <c r="D212" s="1120"/>
      <c r="E212" s="1015">
        <f t="shared" si="3"/>
        <v>0</v>
      </c>
      <c r="F212" s="1201"/>
      <c r="G212" s="90"/>
      <c r="H212" s="90"/>
    </row>
    <row r="213" spans="1:8" ht="15" customHeight="1">
      <c r="A213" s="680"/>
      <c r="B213" s="1200"/>
      <c r="C213" s="1120"/>
      <c r="D213" s="1120"/>
      <c r="E213" s="1015">
        <f t="shared" si="3"/>
        <v>0</v>
      </c>
      <c r="F213" s="1201"/>
      <c r="G213" s="90"/>
      <c r="H213" s="90"/>
    </row>
    <row r="214" spans="1:8" ht="15" customHeight="1">
      <c r="A214" s="680"/>
      <c r="B214" s="1200"/>
      <c r="C214" s="1120"/>
      <c r="D214" s="1120"/>
      <c r="E214" s="1015">
        <f t="shared" si="3"/>
        <v>0</v>
      </c>
      <c r="F214" s="1201"/>
      <c r="G214" s="90"/>
      <c r="H214" s="90"/>
    </row>
    <row r="215" spans="1:8" ht="15" customHeight="1">
      <c r="A215" s="680"/>
      <c r="B215" s="1200"/>
      <c r="C215" s="1120"/>
      <c r="D215" s="1120"/>
      <c r="E215" s="1015">
        <f t="shared" si="3"/>
        <v>0</v>
      </c>
      <c r="F215" s="1201"/>
      <c r="G215" s="90"/>
      <c r="H215" s="90"/>
    </row>
    <row r="216" spans="1:8" ht="15" customHeight="1">
      <c r="A216" s="680"/>
      <c r="B216" s="1200"/>
      <c r="C216" s="1120"/>
      <c r="D216" s="1120"/>
      <c r="E216" s="1015">
        <f t="shared" si="3"/>
        <v>0</v>
      </c>
      <c r="F216" s="1201"/>
      <c r="G216" s="90"/>
      <c r="H216" s="90"/>
    </row>
    <row r="217" spans="1:8" ht="15" customHeight="1">
      <c r="A217" s="680"/>
      <c r="B217" s="1200"/>
      <c r="C217" s="1120"/>
      <c r="D217" s="1120"/>
      <c r="E217" s="1015">
        <f t="shared" si="3"/>
        <v>0</v>
      </c>
      <c r="F217" s="1201"/>
      <c r="G217" s="90"/>
      <c r="H217" s="90"/>
    </row>
    <row r="218" spans="1:8" ht="15" customHeight="1">
      <c r="A218" s="680"/>
      <c r="B218" s="1200"/>
      <c r="C218" s="1120"/>
      <c r="D218" s="1120"/>
      <c r="E218" s="1015">
        <f t="shared" si="3"/>
        <v>0</v>
      </c>
      <c r="F218" s="1201"/>
      <c r="G218" s="90"/>
      <c r="H218" s="90"/>
    </row>
    <row r="219" spans="1:8" ht="15" customHeight="1">
      <c r="A219" s="680"/>
      <c r="B219" s="1200"/>
      <c r="C219" s="1120"/>
      <c r="D219" s="1120"/>
      <c r="E219" s="1015">
        <f t="shared" si="3"/>
        <v>0</v>
      </c>
      <c r="F219" s="1201"/>
      <c r="G219" s="90"/>
      <c r="H219" s="90"/>
    </row>
    <row r="220" spans="1:8" ht="15" customHeight="1">
      <c r="A220" s="680"/>
      <c r="B220" s="1200"/>
      <c r="C220" s="1120"/>
      <c r="D220" s="1120"/>
      <c r="E220" s="1015">
        <f t="shared" si="3"/>
        <v>0</v>
      </c>
      <c r="F220" s="1201"/>
      <c r="G220" s="90"/>
      <c r="H220" s="90"/>
    </row>
    <row r="221" spans="1:8" ht="15" customHeight="1">
      <c r="A221" s="680"/>
      <c r="B221" s="1200"/>
      <c r="C221" s="1120"/>
      <c r="D221" s="1120"/>
      <c r="E221" s="1015">
        <f t="shared" si="3"/>
        <v>0</v>
      </c>
      <c r="F221" s="1201"/>
      <c r="G221" s="90"/>
      <c r="H221" s="90"/>
    </row>
    <row r="222" spans="1:8" ht="15" customHeight="1">
      <c r="A222" s="680"/>
      <c r="B222" s="1200"/>
      <c r="C222" s="1120"/>
      <c r="D222" s="1120"/>
      <c r="E222" s="1015">
        <f t="shared" si="3"/>
        <v>0</v>
      </c>
      <c r="F222" s="1201"/>
      <c r="G222" s="90"/>
      <c r="H222" s="90"/>
    </row>
    <row r="223" spans="1:8" ht="15" customHeight="1">
      <c r="A223" s="680"/>
      <c r="B223" s="1200"/>
      <c r="C223" s="1120"/>
      <c r="D223" s="1120"/>
      <c r="E223" s="1015">
        <f t="shared" si="3"/>
        <v>0</v>
      </c>
      <c r="F223" s="1201"/>
      <c r="G223" s="90"/>
      <c r="H223" s="90"/>
    </row>
    <row r="224" spans="1:8" ht="15" customHeight="1">
      <c r="A224" s="680"/>
      <c r="B224" s="1200"/>
      <c r="C224" s="1120"/>
      <c r="D224" s="1120"/>
      <c r="E224" s="1015">
        <f t="shared" si="3"/>
        <v>0</v>
      </c>
      <c r="F224" s="1201"/>
      <c r="G224" s="90"/>
      <c r="H224" s="90"/>
    </row>
    <row r="225" spans="1:8" ht="15" customHeight="1">
      <c r="A225" s="680"/>
      <c r="B225" s="1200"/>
      <c r="C225" s="1120"/>
      <c r="D225" s="1120"/>
      <c r="E225" s="1015">
        <f t="shared" si="3"/>
        <v>0</v>
      </c>
      <c r="F225" s="1201"/>
      <c r="G225" s="90"/>
      <c r="H225" s="90"/>
    </row>
    <row r="226" spans="1:8" ht="15" customHeight="1">
      <c r="A226" s="680"/>
      <c r="B226" s="1200"/>
      <c r="C226" s="1120"/>
      <c r="D226" s="1120"/>
      <c r="E226" s="1015">
        <f t="shared" si="3"/>
        <v>0</v>
      </c>
      <c r="F226" s="1201"/>
      <c r="G226" s="90"/>
      <c r="H226" s="90"/>
    </row>
    <row r="227" spans="1:8" ht="15" customHeight="1">
      <c r="A227" s="680"/>
      <c r="B227" s="1200"/>
      <c r="C227" s="1120"/>
      <c r="D227" s="1120"/>
      <c r="E227" s="1015">
        <f t="shared" si="3"/>
        <v>0</v>
      </c>
      <c r="F227" s="1201"/>
      <c r="G227" s="90"/>
      <c r="H227" s="90"/>
    </row>
    <row r="228" spans="1:8" ht="15" customHeight="1">
      <c r="A228" s="680"/>
      <c r="B228" s="1200"/>
      <c r="C228" s="1120"/>
      <c r="D228" s="1120"/>
      <c r="E228" s="1015">
        <f t="shared" si="3"/>
        <v>0</v>
      </c>
      <c r="F228" s="1201"/>
      <c r="G228" s="90"/>
      <c r="H228" s="90"/>
    </row>
    <row r="229" spans="1:8" ht="15" customHeight="1">
      <c r="A229" s="680"/>
      <c r="B229" s="1200"/>
      <c r="C229" s="1120"/>
      <c r="D229" s="1120"/>
      <c r="E229" s="1015">
        <f t="shared" si="3"/>
        <v>0</v>
      </c>
      <c r="F229" s="1201"/>
      <c r="G229" s="90"/>
      <c r="H229" s="90"/>
    </row>
    <row r="230" spans="1:8" ht="15" customHeight="1">
      <c r="A230" s="680"/>
      <c r="B230" s="1200"/>
      <c r="C230" s="1120"/>
      <c r="D230" s="1120"/>
      <c r="E230" s="1015">
        <f t="shared" si="3"/>
        <v>0</v>
      </c>
      <c r="F230" s="1201"/>
      <c r="G230" s="90"/>
      <c r="H230" s="90"/>
    </row>
    <row r="231" spans="1:8" ht="15" customHeight="1">
      <c r="A231" s="680"/>
      <c r="B231" s="1200"/>
      <c r="C231" s="1120"/>
      <c r="D231" s="1120"/>
      <c r="E231" s="1015">
        <f t="shared" si="3"/>
        <v>0</v>
      </c>
      <c r="F231" s="1201"/>
      <c r="G231" s="90"/>
      <c r="H231" s="90"/>
    </row>
    <row r="232" spans="1:8" ht="15" customHeight="1">
      <c r="A232" s="680"/>
      <c r="B232" s="1200"/>
      <c r="C232" s="1120"/>
      <c r="D232" s="1120"/>
      <c r="E232" s="1015">
        <f t="shared" si="3"/>
        <v>0</v>
      </c>
      <c r="F232" s="1201"/>
      <c r="G232" s="90"/>
      <c r="H232" s="90"/>
    </row>
    <row r="233" spans="1:8" ht="15" customHeight="1">
      <c r="A233" s="680"/>
      <c r="B233" s="1200"/>
      <c r="C233" s="1120"/>
      <c r="D233" s="1120"/>
      <c r="E233" s="1015">
        <f t="shared" si="3"/>
        <v>0</v>
      </c>
      <c r="F233" s="1201"/>
      <c r="G233" s="90"/>
      <c r="H233" s="90"/>
    </row>
    <row r="234" spans="1:8" ht="15" customHeight="1">
      <c r="A234" s="680"/>
      <c r="B234" s="1200"/>
      <c r="C234" s="1120"/>
      <c r="D234" s="1120"/>
      <c r="E234" s="1015">
        <f t="shared" si="3"/>
        <v>0</v>
      </c>
      <c r="F234" s="1201"/>
      <c r="G234" s="90"/>
      <c r="H234" s="90"/>
    </row>
    <row r="235" spans="1:8" ht="15" customHeight="1">
      <c r="A235" s="680"/>
      <c r="B235" s="1200"/>
      <c r="C235" s="1120"/>
      <c r="D235" s="1120"/>
      <c r="E235" s="1015">
        <f t="shared" si="3"/>
        <v>0</v>
      </c>
      <c r="F235" s="1201"/>
      <c r="G235" s="90"/>
      <c r="H235" s="90"/>
    </row>
    <row r="236" spans="1:8" ht="15" customHeight="1">
      <c r="A236" s="680"/>
      <c r="B236" s="1200"/>
      <c r="C236" s="1120"/>
      <c r="D236" s="1120"/>
      <c r="E236" s="1015">
        <f t="shared" si="3"/>
        <v>0</v>
      </c>
      <c r="F236" s="1201"/>
      <c r="G236" s="90"/>
      <c r="H236" s="90"/>
    </row>
    <row r="237" spans="1:8" ht="15" customHeight="1">
      <c r="A237" s="680"/>
      <c r="B237" s="1200"/>
      <c r="C237" s="1120"/>
      <c r="D237" s="1120"/>
      <c r="E237" s="1015">
        <f t="shared" si="3"/>
        <v>0</v>
      </c>
      <c r="F237" s="1201"/>
      <c r="G237" s="90"/>
      <c r="H237" s="90"/>
    </row>
    <row r="238" spans="1:8" ht="15" customHeight="1">
      <c r="A238" s="680"/>
      <c r="B238" s="1200"/>
      <c r="C238" s="1120"/>
      <c r="D238" s="1120"/>
      <c r="E238" s="1015">
        <f t="shared" si="3"/>
        <v>0</v>
      </c>
      <c r="F238" s="1201"/>
      <c r="G238" s="90"/>
      <c r="H238" s="90"/>
    </row>
    <row r="239" spans="1:8" ht="15" customHeight="1">
      <c r="A239" s="680"/>
      <c r="B239" s="1200"/>
      <c r="C239" s="1120"/>
      <c r="D239" s="1120"/>
      <c r="E239" s="1015">
        <f t="shared" si="3"/>
        <v>0</v>
      </c>
      <c r="F239" s="1201"/>
      <c r="G239" s="90"/>
      <c r="H239" s="90"/>
    </row>
    <row r="240" spans="1:8" ht="15" customHeight="1">
      <c r="A240" s="680"/>
      <c r="B240" s="1200"/>
      <c r="C240" s="1120"/>
      <c r="D240" s="1120"/>
      <c r="E240" s="1015">
        <f t="shared" si="3"/>
        <v>0</v>
      </c>
      <c r="F240" s="1201"/>
      <c r="G240" s="90"/>
      <c r="H240" s="90"/>
    </row>
    <row r="241" spans="1:8" ht="15" customHeight="1">
      <c r="A241" s="680"/>
      <c r="B241" s="1200"/>
      <c r="C241" s="1120"/>
      <c r="D241" s="1120"/>
      <c r="E241" s="1015">
        <f t="shared" si="3"/>
        <v>0</v>
      </c>
      <c r="F241" s="1201"/>
      <c r="G241" s="90"/>
      <c r="H241" s="90"/>
    </row>
    <row r="242" spans="1:8" ht="15" customHeight="1">
      <c r="A242" s="680"/>
      <c r="B242" s="1200"/>
      <c r="C242" s="1120"/>
      <c r="D242" s="1120"/>
      <c r="E242" s="1015">
        <f t="shared" si="3"/>
        <v>0</v>
      </c>
      <c r="F242" s="1201"/>
      <c r="G242" s="90"/>
      <c r="H242" s="90"/>
    </row>
    <row r="243" spans="1:8" ht="15" customHeight="1">
      <c r="A243" s="680"/>
      <c r="B243" s="1200"/>
      <c r="C243" s="1120"/>
      <c r="D243" s="1120"/>
      <c r="E243" s="1015">
        <f t="shared" si="3"/>
        <v>0</v>
      </c>
      <c r="F243" s="1201"/>
      <c r="G243" s="90"/>
      <c r="H243" s="90"/>
    </row>
    <row r="244" spans="1:8" ht="15" customHeight="1">
      <c r="A244" s="680"/>
      <c r="B244" s="1200"/>
      <c r="C244" s="1120"/>
      <c r="D244" s="1120"/>
      <c r="E244" s="1015">
        <f t="shared" si="3"/>
        <v>0</v>
      </c>
      <c r="F244" s="1201"/>
      <c r="G244" s="90"/>
      <c r="H244" s="90"/>
    </row>
    <row r="245" spans="1:8" ht="15" customHeight="1">
      <c r="A245" s="680"/>
      <c r="B245" s="1200"/>
      <c r="C245" s="1120"/>
      <c r="D245" s="1120"/>
      <c r="E245" s="1015">
        <f t="shared" si="3"/>
        <v>0</v>
      </c>
      <c r="F245" s="1201"/>
      <c r="G245" s="90"/>
      <c r="H245" s="90"/>
    </row>
    <row r="246" spans="1:8" ht="15" customHeight="1">
      <c r="A246" s="680"/>
      <c r="B246" s="1200"/>
      <c r="C246" s="1120"/>
      <c r="D246" s="1120"/>
      <c r="E246" s="1015">
        <f t="shared" si="3"/>
        <v>0</v>
      </c>
      <c r="F246" s="1201"/>
      <c r="G246" s="90"/>
      <c r="H246" s="90"/>
    </row>
    <row r="247" spans="1:8" ht="15" customHeight="1">
      <c r="A247" s="680"/>
      <c r="B247" s="1200"/>
      <c r="C247" s="1120"/>
      <c r="D247" s="1120"/>
      <c r="E247" s="1015">
        <f t="shared" si="3"/>
        <v>0</v>
      </c>
      <c r="F247" s="1201"/>
      <c r="G247" s="90"/>
      <c r="H247" s="90"/>
    </row>
    <row r="248" spans="1:8" ht="15" customHeight="1">
      <c r="A248" s="680"/>
      <c r="B248" s="1200"/>
      <c r="C248" s="1120"/>
      <c r="D248" s="1120"/>
      <c r="E248" s="1015">
        <f t="shared" si="3"/>
        <v>0</v>
      </c>
      <c r="F248" s="1201"/>
      <c r="G248" s="90"/>
      <c r="H248" s="90"/>
    </row>
    <row r="249" spans="1:8" ht="15" customHeight="1">
      <c r="A249" s="680"/>
      <c r="B249" s="1200"/>
      <c r="C249" s="1120"/>
      <c r="D249" s="1120"/>
      <c r="E249" s="1015">
        <f t="shared" si="3"/>
        <v>0</v>
      </c>
      <c r="F249" s="1201"/>
      <c r="G249" s="90"/>
      <c r="H249" s="90"/>
    </row>
    <row r="250" spans="1:8" ht="15" customHeight="1">
      <c r="A250" s="680"/>
      <c r="B250" s="1200"/>
      <c r="C250" s="1120"/>
      <c r="D250" s="1120"/>
      <c r="E250" s="1015">
        <f t="shared" si="3"/>
        <v>0</v>
      </c>
      <c r="F250" s="1201"/>
      <c r="G250" s="90"/>
      <c r="H250" s="90"/>
    </row>
    <row r="251" spans="1:8" ht="15" customHeight="1">
      <c r="A251" s="680"/>
      <c r="B251" s="1200"/>
      <c r="C251" s="1120"/>
      <c r="D251" s="1120"/>
      <c r="E251" s="1015">
        <f t="shared" si="3"/>
        <v>0</v>
      </c>
      <c r="F251" s="1201"/>
      <c r="G251" s="90"/>
      <c r="H251" s="90"/>
    </row>
    <row r="252" spans="1:8" ht="15" customHeight="1">
      <c r="A252" s="680"/>
      <c r="B252" s="1200"/>
      <c r="C252" s="1120"/>
      <c r="D252" s="1120"/>
      <c r="E252" s="1015">
        <f t="shared" si="3"/>
        <v>0</v>
      </c>
      <c r="F252" s="1201"/>
      <c r="G252" s="90"/>
      <c r="H252" s="90"/>
    </row>
    <row r="253" spans="1:8" ht="15" customHeight="1">
      <c r="A253" s="680"/>
      <c r="B253" s="1200"/>
      <c r="C253" s="1120"/>
      <c r="D253" s="1120"/>
      <c r="E253" s="1015">
        <f t="shared" si="3"/>
        <v>0</v>
      </c>
      <c r="F253" s="1201"/>
      <c r="G253" s="90"/>
      <c r="H253" s="90"/>
    </row>
    <row r="254" spans="1:8" ht="15" customHeight="1">
      <c r="A254" s="680"/>
      <c r="B254" s="1200"/>
      <c r="C254" s="1120"/>
      <c r="D254" s="1120"/>
      <c r="E254" s="1015">
        <f t="shared" si="3"/>
        <v>0</v>
      </c>
      <c r="F254" s="1201"/>
      <c r="G254" s="90"/>
      <c r="H254" s="90"/>
    </row>
    <row r="255" spans="1:8" ht="15" customHeight="1">
      <c r="A255" s="680"/>
      <c r="B255" s="1200"/>
      <c r="C255" s="1120"/>
      <c r="D255" s="1120"/>
      <c r="E255" s="1015">
        <f t="shared" si="3"/>
        <v>0</v>
      </c>
      <c r="F255" s="1201"/>
      <c r="G255" s="90"/>
      <c r="H255" s="90"/>
    </row>
    <row r="256" spans="1:8" ht="15" customHeight="1">
      <c r="A256" s="680"/>
      <c r="B256" s="1200"/>
      <c r="C256" s="1120"/>
      <c r="D256" s="1120"/>
      <c r="E256" s="1015">
        <f t="shared" si="3"/>
        <v>0</v>
      </c>
      <c r="F256" s="1201"/>
      <c r="G256" s="90"/>
      <c r="H256" s="90"/>
    </row>
    <row r="257" spans="1:8" ht="15" customHeight="1">
      <c r="A257" s="680"/>
      <c r="B257" s="1200"/>
      <c r="C257" s="1120"/>
      <c r="D257" s="1120"/>
      <c r="E257" s="1015">
        <f t="shared" si="3"/>
        <v>0</v>
      </c>
      <c r="F257" s="1201"/>
      <c r="G257" s="90"/>
      <c r="H257" s="90"/>
    </row>
    <row r="258" spans="1:8" ht="15" customHeight="1">
      <c r="A258" s="680"/>
      <c r="B258" s="1200"/>
      <c r="C258" s="1120"/>
      <c r="D258" s="1120"/>
      <c r="E258" s="1015">
        <f t="shared" si="3"/>
        <v>0</v>
      </c>
      <c r="F258" s="1201"/>
      <c r="G258" s="90"/>
      <c r="H258" s="90"/>
    </row>
    <row r="259" spans="1:8" ht="15" customHeight="1">
      <c r="A259" s="680"/>
      <c r="B259" s="1200"/>
      <c r="C259" s="1120"/>
      <c r="D259" s="1120"/>
      <c r="E259" s="1015">
        <f t="shared" si="3"/>
        <v>0</v>
      </c>
      <c r="F259" s="1201"/>
      <c r="G259" s="90"/>
      <c r="H259" s="90"/>
    </row>
    <row r="260" spans="1:8" ht="15" customHeight="1">
      <c r="A260" s="680"/>
      <c r="B260" s="1200"/>
      <c r="C260" s="1120"/>
      <c r="D260" s="1120"/>
      <c r="E260" s="1015">
        <f t="shared" si="3"/>
        <v>0</v>
      </c>
      <c r="F260" s="1201"/>
      <c r="G260" s="90"/>
      <c r="H260" s="90"/>
    </row>
    <row r="261" spans="1:8" ht="15" customHeight="1">
      <c r="A261" s="680"/>
      <c r="B261" s="1200"/>
      <c r="C261" s="1120"/>
      <c r="D261" s="1120"/>
      <c r="E261" s="1015">
        <f t="shared" si="3"/>
        <v>0</v>
      </c>
      <c r="F261" s="1201"/>
      <c r="G261" s="90"/>
      <c r="H261" s="90"/>
    </row>
    <row r="262" spans="1:8" ht="15" customHeight="1">
      <c r="A262" s="680"/>
      <c r="B262" s="1200"/>
      <c r="C262" s="1120"/>
      <c r="D262" s="1120"/>
      <c r="E262" s="1015">
        <f t="shared" si="3"/>
        <v>0</v>
      </c>
      <c r="F262" s="1201"/>
      <c r="G262" s="90"/>
      <c r="H262" s="90"/>
    </row>
    <row r="263" spans="1:8" ht="15" customHeight="1">
      <c r="A263" s="680"/>
      <c r="B263" s="1200"/>
      <c r="C263" s="1120"/>
      <c r="D263" s="1120"/>
      <c r="E263" s="1015">
        <f t="shared" si="3"/>
        <v>0</v>
      </c>
      <c r="F263" s="1201"/>
      <c r="G263" s="90"/>
      <c r="H263" s="90"/>
    </row>
    <row r="264" spans="1:8" ht="15" customHeight="1">
      <c r="A264" s="680"/>
      <c r="B264" s="1200"/>
      <c r="C264" s="1120"/>
      <c r="D264" s="1120"/>
      <c r="E264" s="1015">
        <f t="shared" si="3"/>
        <v>0</v>
      </c>
      <c r="F264" s="1201"/>
      <c r="G264" s="90"/>
      <c r="H264" s="90"/>
    </row>
    <row r="265" spans="1:8" ht="15" customHeight="1">
      <c r="A265" s="680"/>
      <c r="B265" s="1200"/>
      <c r="C265" s="1120"/>
      <c r="D265" s="1120"/>
      <c r="E265" s="1015">
        <f t="shared" si="3"/>
        <v>0</v>
      </c>
      <c r="F265" s="1201"/>
      <c r="G265" s="90"/>
      <c r="H265" s="90"/>
    </row>
    <row r="266" spans="1:8" ht="15" customHeight="1">
      <c r="A266" s="680"/>
      <c r="B266" s="1200"/>
      <c r="C266" s="1120"/>
      <c r="D266" s="1120"/>
      <c r="E266" s="1015">
        <f t="shared" si="3"/>
        <v>0</v>
      </c>
      <c r="F266" s="1201"/>
      <c r="G266" s="90"/>
      <c r="H266" s="90"/>
    </row>
    <row r="267" spans="1:8" ht="15" customHeight="1">
      <c r="A267" s="680"/>
      <c r="B267" s="1200"/>
      <c r="C267" s="1120"/>
      <c r="D267" s="1120"/>
      <c r="E267" s="1015">
        <f t="shared" si="3"/>
        <v>0</v>
      </c>
      <c r="F267" s="1201"/>
      <c r="G267" s="90"/>
      <c r="H267" s="90"/>
    </row>
    <row r="268" spans="1:8" ht="15" customHeight="1">
      <c r="A268" s="680"/>
      <c r="B268" s="1200"/>
      <c r="C268" s="1120"/>
      <c r="D268" s="1120"/>
      <c r="E268" s="1015">
        <f t="shared" si="3"/>
        <v>0</v>
      </c>
      <c r="F268" s="1201"/>
      <c r="G268" s="90"/>
      <c r="H268" s="90"/>
    </row>
    <row r="269" spans="1:8" ht="15" customHeight="1">
      <c r="A269" s="680"/>
      <c r="B269" s="1200"/>
      <c r="C269" s="1120"/>
      <c r="D269" s="1120"/>
      <c r="E269" s="1015">
        <f t="shared" si="3"/>
        <v>0</v>
      </c>
      <c r="F269" s="1201"/>
      <c r="G269" s="90"/>
      <c r="H269" s="90"/>
    </row>
    <row r="270" spans="1:8" ht="15" customHeight="1">
      <c r="A270" s="680"/>
      <c r="B270" s="1200"/>
      <c r="C270" s="1120"/>
      <c r="D270" s="1120"/>
      <c r="E270" s="1015">
        <f t="shared" si="3"/>
        <v>0</v>
      </c>
      <c r="F270" s="1201"/>
      <c r="G270" s="90"/>
      <c r="H270" s="90"/>
    </row>
    <row r="271" spans="1:8" ht="15" customHeight="1">
      <c r="A271" s="680"/>
      <c r="B271" s="1200"/>
      <c r="C271" s="1120"/>
      <c r="D271" s="1120"/>
      <c r="E271" s="1015">
        <f t="shared" ref="E271:E302" si="4">C271-B271+D271</f>
        <v>0</v>
      </c>
      <c r="F271" s="1201"/>
      <c r="G271" s="90"/>
      <c r="H271" s="90"/>
    </row>
    <row r="272" spans="1:8" ht="15" customHeight="1">
      <c r="A272" s="680"/>
      <c r="B272" s="1200"/>
      <c r="C272" s="1120"/>
      <c r="D272" s="1120"/>
      <c r="E272" s="1015">
        <f t="shared" si="4"/>
        <v>0</v>
      </c>
      <c r="F272" s="1201"/>
      <c r="G272" s="90"/>
      <c r="H272" s="90"/>
    </row>
    <row r="273" spans="1:8" ht="15" customHeight="1">
      <c r="A273" s="680"/>
      <c r="B273" s="1200"/>
      <c r="C273" s="1120"/>
      <c r="D273" s="1120"/>
      <c r="E273" s="1015">
        <f t="shared" si="4"/>
        <v>0</v>
      </c>
      <c r="F273" s="1201"/>
      <c r="G273" s="90"/>
      <c r="H273" s="90"/>
    </row>
    <row r="274" spans="1:8" ht="15" customHeight="1">
      <c r="A274" s="680"/>
      <c r="B274" s="1200"/>
      <c r="C274" s="1120"/>
      <c r="D274" s="1120"/>
      <c r="E274" s="1015">
        <f t="shared" si="4"/>
        <v>0</v>
      </c>
      <c r="F274" s="1201"/>
      <c r="G274" s="90"/>
      <c r="H274" s="90"/>
    </row>
    <row r="275" spans="1:8" ht="15" customHeight="1">
      <c r="A275" s="680"/>
      <c r="B275" s="1200"/>
      <c r="C275" s="1120"/>
      <c r="D275" s="1120"/>
      <c r="E275" s="1015">
        <f t="shared" si="4"/>
        <v>0</v>
      </c>
      <c r="F275" s="1201"/>
      <c r="G275" s="90"/>
      <c r="H275" s="90"/>
    </row>
    <row r="276" spans="1:8" ht="15" customHeight="1">
      <c r="A276" s="680"/>
      <c r="B276" s="1200"/>
      <c r="C276" s="1120"/>
      <c r="D276" s="1120"/>
      <c r="E276" s="1015">
        <f t="shared" si="4"/>
        <v>0</v>
      </c>
      <c r="F276" s="1201"/>
      <c r="G276" s="90"/>
      <c r="H276" s="90"/>
    </row>
    <row r="277" spans="1:8" ht="15" customHeight="1">
      <c r="A277" s="680"/>
      <c r="B277" s="1200"/>
      <c r="C277" s="1120"/>
      <c r="D277" s="1120"/>
      <c r="E277" s="1015">
        <f t="shared" si="4"/>
        <v>0</v>
      </c>
      <c r="F277" s="1201"/>
      <c r="G277" s="90"/>
      <c r="H277" s="90"/>
    </row>
    <row r="278" spans="1:8" ht="15" customHeight="1">
      <c r="A278" s="680"/>
      <c r="B278" s="1200"/>
      <c r="C278" s="1120"/>
      <c r="D278" s="1120"/>
      <c r="E278" s="1015">
        <f t="shared" si="4"/>
        <v>0</v>
      </c>
      <c r="F278" s="1201"/>
      <c r="G278" s="90"/>
      <c r="H278" s="90"/>
    </row>
    <row r="279" spans="1:8" ht="15" customHeight="1">
      <c r="A279" s="680"/>
      <c r="B279" s="1200"/>
      <c r="C279" s="1120"/>
      <c r="D279" s="1120"/>
      <c r="E279" s="1015">
        <f t="shared" si="4"/>
        <v>0</v>
      </c>
      <c r="F279" s="1201"/>
      <c r="G279" s="90"/>
      <c r="H279" s="90"/>
    </row>
    <row r="280" spans="1:8" ht="15" customHeight="1">
      <c r="A280" s="680"/>
      <c r="B280" s="1200"/>
      <c r="C280" s="1120"/>
      <c r="D280" s="1120"/>
      <c r="E280" s="1015">
        <f t="shared" si="4"/>
        <v>0</v>
      </c>
      <c r="F280" s="1201"/>
      <c r="G280" s="90"/>
      <c r="H280" s="90"/>
    </row>
    <row r="281" spans="1:8" ht="15" customHeight="1">
      <c r="A281" s="680"/>
      <c r="B281" s="1200"/>
      <c r="C281" s="1120"/>
      <c r="D281" s="1120"/>
      <c r="E281" s="1015">
        <f t="shared" si="4"/>
        <v>0</v>
      </c>
      <c r="F281" s="1201"/>
      <c r="G281" s="90"/>
      <c r="H281" s="90"/>
    </row>
    <row r="282" spans="1:8" ht="15" customHeight="1">
      <c r="A282" s="680"/>
      <c r="B282" s="1200"/>
      <c r="C282" s="1120"/>
      <c r="D282" s="1120"/>
      <c r="E282" s="1015">
        <f t="shared" si="4"/>
        <v>0</v>
      </c>
      <c r="F282" s="1201"/>
      <c r="G282" s="90"/>
      <c r="H282" s="90"/>
    </row>
    <row r="283" spans="1:8" ht="15" customHeight="1">
      <c r="A283" s="680"/>
      <c r="B283" s="1200"/>
      <c r="C283" s="1120"/>
      <c r="D283" s="1120"/>
      <c r="E283" s="1015">
        <f t="shared" si="4"/>
        <v>0</v>
      </c>
      <c r="F283" s="1201"/>
      <c r="G283" s="90"/>
      <c r="H283" s="90"/>
    </row>
    <row r="284" spans="1:8" ht="15" customHeight="1">
      <c r="A284" s="680"/>
      <c r="B284" s="1200"/>
      <c r="C284" s="1120"/>
      <c r="D284" s="1120"/>
      <c r="E284" s="1015">
        <f t="shared" si="4"/>
        <v>0</v>
      </c>
      <c r="F284" s="1201"/>
      <c r="G284" s="90"/>
      <c r="H284" s="90"/>
    </row>
    <row r="285" spans="1:8" ht="15" customHeight="1">
      <c r="A285" s="680"/>
      <c r="B285" s="1200"/>
      <c r="C285" s="1120"/>
      <c r="D285" s="1120"/>
      <c r="E285" s="1015">
        <f t="shared" si="4"/>
        <v>0</v>
      </c>
      <c r="F285" s="1201"/>
      <c r="G285" s="90"/>
      <c r="H285" s="90"/>
    </row>
    <row r="286" spans="1:8" ht="15" customHeight="1">
      <c r="A286" s="680"/>
      <c r="B286" s="1200"/>
      <c r="C286" s="1120"/>
      <c r="D286" s="1120"/>
      <c r="E286" s="1015">
        <f t="shared" si="4"/>
        <v>0</v>
      </c>
      <c r="F286" s="1201"/>
      <c r="G286" s="90"/>
      <c r="H286" s="90"/>
    </row>
    <row r="287" spans="1:8" ht="15" customHeight="1">
      <c r="A287" s="680"/>
      <c r="B287" s="1200"/>
      <c r="C287" s="1120"/>
      <c r="D287" s="1120"/>
      <c r="E287" s="1015">
        <f t="shared" si="4"/>
        <v>0</v>
      </c>
      <c r="F287" s="1201"/>
      <c r="G287" s="90"/>
      <c r="H287" s="90"/>
    </row>
    <row r="288" spans="1:8" ht="15" customHeight="1">
      <c r="A288" s="680"/>
      <c r="B288" s="1200"/>
      <c r="C288" s="1120"/>
      <c r="D288" s="1120"/>
      <c r="E288" s="1015">
        <f t="shared" si="4"/>
        <v>0</v>
      </c>
      <c r="F288" s="1201"/>
      <c r="G288" s="90"/>
      <c r="H288" s="90"/>
    </row>
    <row r="289" spans="1:8" ht="15" customHeight="1">
      <c r="A289" s="680"/>
      <c r="B289" s="1200"/>
      <c r="C289" s="1120"/>
      <c r="D289" s="1120"/>
      <c r="E289" s="1015">
        <f t="shared" si="4"/>
        <v>0</v>
      </c>
      <c r="F289" s="1201"/>
      <c r="G289" s="90"/>
      <c r="H289" s="90"/>
    </row>
    <row r="290" spans="1:8" ht="15" customHeight="1">
      <c r="A290" s="680"/>
      <c r="B290" s="1200"/>
      <c r="C290" s="1120"/>
      <c r="D290" s="1120"/>
      <c r="E290" s="1015">
        <f t="shared" si="4"/>
        <v>0</v>
      </c>
      <c r="F290" s="1201"/>
      <c r="G290" s="90"/>
      <c r="H290" s="90"/>
    </row>
    <row r="291" spans="1:8" ht="15" customHeight="1">
      <c r="A291" s="680"/>
      <c r="B291" s="1200"/>
      <c r="C291" s="1120"/>
      <c r="D291" s="1120"/>
      <c r="E291" s="1015">
        <f t="shared" si="4"/>
        <v>0</v>
      </c>
      <c r="F291" s="1201"/>
      <c r="G291" s="90"/>
      <c r="H291" s="90"/>
    </row>
    <row r="292" spans="1:8" ht="15" customHeight="1">
      <c r="A292" s="680"/>
      <c r="B292" s="1200"/>
      <c r="C292" s="1120"/>
      <c r="D292" s="1120"/>
      <c r="E292" s="1015">
        <f t="shared" si="4"/>
        <v>0</v>
      </c>
      <c r="F292" s="1201"/>
      <c r="G292" s="90"/>
      <c r="H292" s="90"/>
    </row>
    <row r="293" spans="1:8" ht="15" customHeight="1">
      <c r="A293" s="680"/>
      <c r="B293" s="1200"/>
      <c r="C293" s="1120"/>
      <c r="D293" s="1120"/>
      <c r="E293" s="1015">
        <f t="shared" si="4"/>
        <v>0</v>
      </c>
      <c r="F293" s="1201"/>
      <c r="G293" s="90"/>
      <c r="H293" s="90"/>
    </row>
    <row r="294" spans="1:8" ht="15" customHeight="1">
      <c r="A294" s="680"/>
      <c r="B294" s="1200"/>
      <c r="C294" s="1120"/>
      <c r="D294" s="1120"/>
      <c r="E294" s="1015">
        <f t="shared" si="4"/>
        <v>0</v>
      </c>
      <c r="F294" s="1201"/>
      <c r="G294" s="90"/>
      <c r="H294" s="90"/>
    </row>
    <row r="295" spans="1:8" ht="15" customHeight="1">
      <c r="A295" s="680"/>
      <c r="B295" s="1200"/>
      <c r="C295" s="1120"/>
      <c r="D295" s="1120"/>
      <c r="E295" s="1015">
        <f t="shared" si="4"/>
        <v>0</v>
      </c>
      <c r="F295" s="1201"/>
      <c r="G295" s="90"/>
      <c r="H295" s="90"/>
    </row>
    <row r="296" spans="1:8" ht="15" customHeight="1">
      <c r="A296" s="680"/>
      <c r="B296" s="1200"/>
      <c r="C296" s="1120"/>
      <c r="D296" s="1120"/>
      <c r="E296" s="1015">
        <f t="shared" si="4"/>
        <v>0</v>
      </c>
      <c r="F296" s="1201"/>
      <c r="G296" s="90"/>
      <c r="H296" s="90"/>
    </row>
    <row r="297" spans="1:8" ht="15" customHeight="1">
      <c r="A297" s="680"/>
      <c r="B297" s="1200"/>
      <c r="C297" s="1120"/>
      <c r="D297" s="1120"/>
      <c r="E297" s="1015">
        <f t="shared" si="4"/>
        <v>0</v>
      </c>
      <c r="F297" s="1201"/>
      <c r="G297" s="90"/>
      <c r="H297" s="90"/>
    </row>
    <row r="298" spans="1:8" ht="15" customHeight="1">
      <c r="A298" s="680"/>
      <c r="B298" s="1200"/>
      <c r="C298" s="1120"/>
      <c r="D298" s="1120"/>
      <c r="E298" s="1015">
        <f t="shared" si="4"/>
        <v>0</v>
      </c>
      <c r="F298" s="1201"/>
      <c r="G298" s="90"/>
      <c r="H298" s="90"/>
    </row>
    <row r="299" spans="1:8" ht="15" customHeight="1">
      <c r="A299" s="680"/>
      <c r="B299" s="1200"/>
      <c r="C299" s="1120"/>
      <c r="D299" s="1120"/>
      <c r="E299" s="1015">
        <f t="shared" si="4"/>
        <v>0</v>
      </c>
      <c r="F299" s="1201"/>
      <c r="G299" s="90"/>
      <c r="H299" s="90"/>
    </row>
    <row r="300" spans="1:8" ht="15" customHeight="1">
      <c r="A300" s="680"/>
      <c r="B300" s="1200"/>
      <c r="C300" s="1120"/>
      <c r="D300" s="1120"/>
      <c r="E300" s="1015">
        <f t="shared" si="4"/>
        <v>0</v>
      </c>
      <c r="F300" s="1201"/>
      <c r="G300" s="90"/>
      <c r="H300" s="90"/>
    </row>
    <row r="301" spans="1:8" ht="15" customHeight="1">
      <c r="A301" s="680"/>
      <c r="B301" s="1200"/>
      <c r="C301" s="1120"/>
      <c r="D301" s="1120"/>
      <c r="E301" s="1015">
        <f t="shared" si="4"/>
        <v>0</v>
      </c>
      <c r="F301" s="1201"/>
      <c r="G301" s="90"/>
      <c r="H301" s="90"/>
    </row>
    <row r="302" spans="1:8" ht="15" customHeight="1">
      <c r="A302" s="682"/>
      <c r="B302" s="1202"/>
      <c r="C302" s="1125"/>
      <c r="D302" s="1125"/>
      <c r="E302" s="1020">
        <f t="shared" si="4"/>
        <v>0</v>
      </c>
      <c r="F302" s="1203"/>
      <c r="G302" s="90"/>
      <c r="H302" s="90"/>
    </row>
    <row r="303" spans="1:8" ht="15" customHeight="1">
      <c r="A303" s="1050"/>
      <c r="B303" s="1050"/>
      <c r="C303" s="1050"/>
      <c r="D303" s="1050"/>
      <c r="E303" s="1050"/>
      <c r="F303" s="1050"/>
    </row>
    <row r="304" spans="1:8" ht="15" customHeight="1">
      <c r="A304" s="1050"/>
      <c r="B304" s="1050"/>
      <c r="C304" s="1050"/>
      <c r="D304" s="1050"/>
      <c r="E304" s="1050"/>
      <c r="F304" s="1050"/>
    </row>
    <row r="305" spans="1:6" ht="15" customHeight="1">
      <c r="A305" s="1050"/>
      <c r="B305" s="1050"/>
      <c r="C305" s="1050"/>
      <c r="D305" s="1050"/>
      <c r="E305" s="1050"/>
      <c r="F305" s="1050"/>
    </row>
    <row r="306" spans="1:6" ht="15" customHeight="1">
      <c r="A306" s="1050"/>
      <c r="B306" s="1050"/>
      <c r="C306" s="1050"/>
      <c r="D306" s="1050"/>
      <c r="E306" s="1050"/>
      <c r="F306" s="1050"/>
    </row>
    <row r="307" spans="1:6" ht="15" customHeight="1">
      <c r="A307" s="1050"/>
      <c r="B307" s="1050"/>
      <c r="C307" s="1050"/>
      <c r="D307" s="1050"/>
      <c r="E307" s="1050"/>
      <c r="F307" s="1050"/>
    </row>
    <row r="308" spans="1:6" ht="15" customHeight="1">
      <c r="A308" s="1050"/>
      <c r="B308" s="1050"/>
      <c r="C308" s="1050"/>
      <c r="D308" s="1050"/>
      <c r="E308" s="1050"/>
      <c r="F308" s="1050"/>
    </row>
    <row r="309" spans="1:6" ht="15" customHeight="1">
      <c r="A309" s="1050"/>
      <c r="B309" s="1050"/>
      <c r="C309" s="1050"/>
      <c r="D309" s="1050"/>
      <c r="E309" s="1050"/>
      <c r="F309" s="1050"/>
    </row>
    <row r="310" spans="1:6" ht="15" customHeight="1">
      <c r="A310" s="1050"/>
      <c r="B310" s="1050"/>
      <c r="C310" s="1050"/>
      <c r="D310" s="1050"/>
      <c r="E310" s="1050"/>
      <c r="F310" s="1050"/>
    </row>
    <row r="311" spans="1:6" ht="15" customHeight="1">
      <c r="A311" s="1050"/>
      <c r="B311" s="1050"/>
      <c r="C311" s="1050"/>
      <c r="D311" s="1050"/>
      <c r="E311" s="1050"/>
      <c r="F311" s="1050"/>
    </row>
    <row r="312" spans="1:6" ht="15" customHeight="1">
      <c r="A312" s="1050"/>
      <c r="B312" s="1050"/>
      <c r="C312" s="1050"/>
      <c r="D312" s="1050"/>
      <c r="E312" s="1050"/>
      <c r="F312" s="1050"/>
    </row>
    <row r="313" spans="1:6" ht="15" customHeight="1">
      <c r="A313" s="1050"/>
      <c r="B313" s="1050"/>
      <c r="C313" s="1050"/>
      <c r="D313" s="1050"/>
      <c r="E313" s="1050"/>
      <c r="F313" s="1050"/>
    </row>
    <row r="314" spans="1:6" ht="15" customHeight="1">
      <c r="A314" s="1050"/>
      <c r="B314" s="1050"/>
      <c r="C314" s="1050"/>
      <c r="D314" s="1050"/>
      <c r="E314" s="1050"/>
      <c r="F314" s="1050"/>
    </row>
    <row r="315" spans="1:6" ht="15" customHeight="1">
      <c r="A315" s="1050"/>
      <c r="B315" s="1050"/>
      <c r="C315" s="1050"/>
      <c r="D315" s="1050"/>
      <c r="E315" s="1050"/>
      <c r="F315" s="1050"/>
    </row>
    <row r="316" spans="1:6" ht="15" customHeight="1">
      <c r="A316" s="1050"/>
      <c r="B316" s="1050"/>
      <c r="C316" s="1050"/>
      <c r="D316" s="1050"/>
      <c r="E316" s="1050"/>
      <c r="F316" s="1050"/>
    </row>
    <row r="317" spans="1:6" ht="15" customHeight="1">
      <c r="A317" s="1050"/>
      <c r="B317" s="1050"/>
      <c r="C317" s="1050"/>
      <c r="D317" s="1050"/>
      <c r="E317" s="1050"/>
      <c r="F317" s="1050"/>
    </row>
    <row r="318" spans="1:6" ht="15" customHeight="1">
      <c r="A318" s="1050"/>
      <c r="B318" s="1050"/>
      <c r="C318" s="1050"/>
      <c r="D318" s="1050"/>
      <c r="E318" s="1050"/>
      <c r="F318" s="1050"/>
    </row>
    <row r="319" spans="1:6" ht="15" customHeight="1">
      <c r="A319" s="1050"/>
      <c r="B319" s="1050"/>
      <c r="C319" s="1050"/>
      <c r="D319" s="1050"/>
      <c r="E319" s="1050"/>
      <c r="F319" s="1050"/>
    </row>
    <row r="320" spans="1:6" ht="15" customHeight="1">
      <c r="A320" s="1050"/>
      <c r="B320" s="1050"/>
      <c r="C320" s="1050"/>
      <c r="D320" s="1050"/>
      <c r="E320" s="1050"/>
      <c r="F320" s="1050"/>
    </row>
    <row r="321" spans="1:6" ht="15" customHeight="1">
      <c r="A321" s="1050"/>
      <c r="B321" s="1050"/>
      <c r="C321" s="1050"/>
      <c r="D321" s="1050"/>
      <c r="E321" s="1050"/>
      <c r="F321" s="1050"/>
    </row>
    <row r="322" spans="1:6" ht="15" customHeight="1">
      <c r="A322" s="1050"/>
      <c r="B322" s="1050"/>
      <c r="C322" s="1050"/>
      <c r="D322" s="1050"/>
      <c r="E322" s="1050"/>
      <c r="F322" s="1050"/>
    </row>
    <row r="323" spans="1:6" ht="15" customHeight="1">
      <c r="A323" s="1050"/>
      <c r="B323" s="1050"/>
      <c r="C323" s="1050"/>
      <c r="D323" s="1050"/>
      <c r="E323" s="1050"/>
      <c r="F323" s="1050"/>
    </row>
    <row r="324" spans="1:6" ht="15" customHeight="1">
      <c r="A324" s="1050"/>
      <c r="B324" s="1050"/>
      <c r="C324" s="1050"/>
      <c r="D324" s="1050"/>
      <c r="E324" s="1050"/>
      <c r="F324" s="1050"/>
    </row>
    <row r="325" spans="1:6" ht="15" customHeight="1">
      <c r="A325" s="1050"/>
      <c r="B325" s="1050"/>
      <c r="C325" s="1050"/>
      <c r="D325" s="1050"/>
      <c r="E325" s="1050"/>
      <c r="F325" s="1050"/>
    </row>
    <row r="326" spans="1:6" ht="15" customHeight="1">
      <c r="A326" s="1050"/>
      <c r="B326" s="1050"/>
      <c r="C326" s="1050"/>
      <c r="D326" s="1050"/>
      <c r="E326" s="1050"/>
      <c r="F326" s="1050"/>
    </row>
    <row r="327" spans="1:6" ht="15" customHeight="1">
      <c r="A327" s="1050"/>
      <c r="B327" s="1050"/>
      <c r="C327" s="1050"/>
      <c r="D327" s="1050"/>
      <c r="E327" s="1050"/>
      <c r="F327" s="1050"/>
    </row>
    <row r="328" spans="1:6" ht="15" customHeight="1">
      <c r="A328" s="1050"/>
      <c r="B328" s="1050"/>
      <c r="C328" s="1050"/>
      <c r="D328" s="1050"/>
      <c r="E328" s="1050"/>
      <c r="F328" s="1050"/>
    </row>
    <row r="329" spans="1:6" ht="15" customHeight="1">
      <c r="A329" s="1050"/>
      <c r="B329" s="1050"/>
      <c r="C329" s="1050"/>
      <c r="D329" s="1050"/>
      <c r="E329" s="1050"/>
      <c r="F329" s="1050"/>
    </row>
    <row r="330" spans="1:6" ht="15" customHeight="1">
      <c r="A330" s="1050"/>
      <c r="B330" s="1050"/>
      <c r="C330" s="1050"/>
      <c r="D330" s="1050"/>
      <c r="E330" s="1050"/>
      <c r="F330" s="1050"/>
    </row>
    <row r="331" spans="1:6" ht="15" customHeight="1">
      <c r="A331" s="744"/>
      <c r="B331" s="744"/>
      <c r="C331" s="744"/>
      <c r="D331" s="744"/>
      <c r="E331" s="744"/>
      <c r="F331" s="744"/>
    </row>
    <row r="332" spans="1:6" ht="15" customHeight="1">
      <c r="A332" s="744"/>
      <c r="B332" s="744"/>
      <c r="C332" s="744"/>
      <c r="D332" s="744"/>
      <c r="E332" s="744"/>
      <c r="F332" s="744"/>
    </row>
    <row r="333" spans="1:6" ht="15" customHeight="1">
      <c r="A333" s="744"/>
      <c r="B333" s="744"/>
      <c r="C333" s="744"/>
      <c r="D333" s="744"/>
      <c r="E333" s="744"/>
      <c r="F333" s="744"/>
    </row>
    <row r="334" spans="1:6" ht="15" customHeight="1">
      <c r="A334" s="744"/>
      <c r="B334" s="744"/>
      <c r="C334" s="744"/>
      <c r="D334" s="744"/>
      <c r="E334" s="744"/>
      <c r="F334" s="744"/>
    </row>
    <row r="335" spans="1:6" ht="15" customHeight="1">
      <c r="A335" s="744"/>
      <c r="B335" s="744"/>
      <c r="C335" s="744"/>
      <c r="D335" s="744"/>
      <c r="E335" s="744"/>
      <c r="F335" s="744"/>
    </row>
    <row r="336" spans="1:6" ht="15" customHeight="1">
      <c r="A336" s="744"/>
      <c r="B336" s="744"/>
      <c r="C336" s="744"/>
      <c r="D336" s="744"/>
      <c r="E336" s="744"/>
      <c r="F336" s="744"/>
    </row>
    <row r="337" spans="1:6" ht="15" customHeight="1">
      <c r="A337" s="744"/>
      <c r="B337" s="744"/>
      <c r="C337" s="744"/>
      <c r="D337" s="744"/>
      <c r="E337" s="744"/>
      <c r="F337" s="744"/>
    </row>
    <row r="338" spans="1:6" ht="15" customHeight="1">
      <c r="A338" s="744"/>
      <c r="B338" s="744"/>
      <c r="C338" s="744"/>
      <c r="D338" s="744"/>
      <c r="E338" s="744"/>
      <c r="F338" s="744"/>
    </row>
    <row r="339" spans="1:6" ht="15" customHeight="1">
      <c r="A339" s="744"/>
      <c r="B339" s="744"/>
      <c r="C339" s="744"/>
      <c r="D339" s="744"/>
      <c r="E339" s="744"/>
      <c r="F339" s="744"/>
    </row>
    <row r="340" spans="1:6" ht="15" customHeight="1">
      <c r="A340" s="744"/>
      <c r="B340" s="744"/>
      <c r="C340" s="744"/>
      <c r="D340" s="744"/>
      <c r="E340" s="744"/>
      <c r="F340" s="744"/>
    </row>
    <row r="341" spans="1:6" ht="15" customHeight="1">
      <c r="A341" s="744"/>
      <c r="B341" s="744"/>
      <c r="C341" s="744"/>
      <c r="D341" s="744"/>
      <c r="E341" s="744"/>
      <c r="F341" s="744"/>
    </row>
    <row r="342" spans="1:6" ht="15" customHeight="1">
      <c r="A342" s="744"/>
      <c r="B342" s="744"/>
      <c r="C342" s="744"/>
      <c r="D342" s="744"/>
      <c r="E342" s="744"/>
      <c r="F342" s="744"/>
    </row>
    <row r="343" spans="1:6" ht="15" customHeight="1">
      <c r="A343" s="744"/>
      <c r="B343" s="744"/>
      <c r="C343" s="744"/>
      <c r="D343" s="744"/>
      <c r="E343" s="744"/>
      <c r="F343" s="744"/>
    </row>
    <row r="344" spans="1:6" ht="15" customHeight="1">
      <c r="A344" s="744"/>
      <c r="B344" s="744"/>
      <c r="C344" s="744"/>
      <c r="D344" s="744"/>
      <c r="E344" s="744"/>
      <c r="F344" s="744"/>
    </row>
    <row r="345" spans="1:6" ht="15" customHeight="1">
      <c r="A345" s="744"/>
      <c r="B345" s="744"/>
      <c r="C345" s="744"/>
      <c r="D345" s="744"/>
      <c r="E345" s="744"/>
      <c r="F345" s="744"/>
    </row>
    <row r="346" spans="1:6" ht="15" customHeight="1">
      <c r="A346" s="744"/>
      <c r="B346" s="744"/>
      <c r="C346" s="744"/>
      <c r="D346" s="744"/>
      <c r="E346" s="744"/>
      <c r="F346" s="744"/>
    </row>
    <row r="347" spans="1:6" ht="15" customHeight="1">
      <c r="A347" s="744"/>
      <c r="B347" s="744"/>
      <c r="C347" s="744"/>
      <c r="D347" s="744"/>
      <c r="E347" s="744"/>
      <c r="F347" s="744"/>
    </row>
    <row r="348" spans="1:6" ht="15" customHeight="1">
      <c r="A348" s="744"/>
      <c r="B348" s="744"/>
      <c r="C348" s="744"/>
      <c r="D348" s="744"/>
      <c r="E348" s="744"/>
      <c r="F348" s="744"/>
    </row>
    <row r="349" spans="1:6" ht="15" customHeight="1">
      <c r="A349" s="744"/>
      <c r="B349" s="744"/>
      <c r="C349" s="744"/>
      <c r="D349" s="744"/>
      <c r="E349" s="744"/>
      <c r="F349" s="744"/>
    </row>
    <row r="350" spans="1:6" ht="15" customHeight="1">
      <c r="A350" s="744"/>
      <c r="B350" s="744"/>
      <c r="C350" s="744"/>
      <c r="D350" s="744"/>
      <c r="E350" s="744"/>
      <c r="F350" s="744"/>
    </row>
    <row r="351" spans="1:6" ht="15" customHeight="1">
      <c r="A351" s="744"/>
      <c r="B351" s="744"/>
      <c r="C351" s="744"/>
      <c r="D351" s="744"/>
      <c r="E351" s="744"/>
      <c r="F351" s="744"/>
    </row>
    <row r="352" spans="1:6" ht="15" customHeight="1">
      <c r="A352" s="744"/>
      <c r="B352" s="744"/>
      <c r="C352" s="744"/>
      <c r="D352" s="744"/>
      <c r="E352" s="744"/>
      <c r="F352" s="744"/>
    </row>
    <row r="353" spans="1:6" ht="15" customHeight="1">
      <c r="A353" s="744"/>
      <c r="B353" s="744"/>
      <c r="C353" s="744"/>
      <c r="D353" s="744"/>
      <c r="E353" s="744"/>
      <c r="F353" s="744"/>
    </row>
    <row r="354" spans="1:6" ht="15" customHeight="1">
      <c r="A354" s="744"/>
      <c r="B354" s="744"/>
      <c r="C354" s="744"/>
      <c r="D354" s="744"/>
      <c r="E354" s="744"/>
      <c r="F354" s="744"/>
    </row>
    <row r="355" spans="1:6" ht="15" customHeight="1"/>
    <row r="356" spans="1:6" ht="15" customHeight="1"/>
    <row r="357" spans="1:6" ht="15" customHeight="1"/>
    <row r="358" spans="1:6" ht="15" customHeight="1"/>
    <row r="359" spans="1:6" ht="15" customHeight="1"/>
    <row r="360" spans="1:6" ht="15" customHeight="1"/>
    <row r="361" spans="1:6" ht="15" customHeight="1"/>
    <row r="362" spans="1:6" ht="15" customHeight="1"/>
    <row r="363" spans="1:6" ht="15" customHeight="1"/>
    <row r="364" spans="1:6" ht="15" customHeight="1"/>
    <row r="365" spans="1:6" ht="15" customHeight="1"/>
    <row r="366" spans="1:6" ht="15" customHeight="1"/>
    <row r="367" spans="1:6" ht="15" customHeight="1"/>
    <row r="368" spans="1:6" ht="15" customHeight="1"/>
    <row r="369" ht="15" customHeight="1"/>
    <row r="370" ht="15" customHeight="1"/>
    <row r="371" ht="15" customHeight="1"/>
    <row r="372" ht="15" customHeight="1"/>
    <row r="373" ht="15" customHeight="1"/>
    <row r="374" ht="15" customHeight="1"/>
    <row r="375" ht="15" customHeight="1"/>
    <row r="376" ht="15" customHeight="1"/>
    <row r="377" ht="15" customHeight="1"/>
    <row r="378" ht="15" customHeight="1"/>
    <row r="379" ht="15" customHeight="1"/>
    <row r="380" ht="15" customHeight="1"/>
    <row r="381" ht="15" customHeight="1"/>
    <row r="382" ht="15" customHeight="1"/>
    <row r="383" ht="15" customHeight="1"/>
    <row r="384" ht="15" customHeight="1"/>
    <row r="385" ht="15" customHeight="1"/>
    <row r="386" ht="15" customHeight="1"/>
    <row r="387" ht="15" customHeight="1"/>
    <row r="388" ht="15" customHeight="1"/>
    <row r="389" ht="15" customHeight="1"/>
    <row r="390" ht="15" customHeight="1"/>
  </sheetData>
  <sheetProtection selectLockedCells="1" selectUnlockedCells="1"/>
  <mergeCells count="12">
    <mergeCell ref="A1:F1"/>
    <mergeCell ref="A2:B3"/>
    <mergeCell ref="F3:F4"/>
    <mergeCell ref="A4:B4"/>
    <mergeCell ref="B9:F9"/>
    <mergeCell ref="G13:H21"/>
    <mergeCell ref="A5:F5"/>
    <mergeCell ref="B6:F6"/>
    <mergeCell ref="A7:A8"/>
    <mergeCell ref="B7:D7"/>
    <mergeCell ref="E7:F7"/>
    <mergeCell ref="B8:F8"/>
  </mergeCells>
  <phoneticPr fontId="51" type="noConversion"/>
  <dataValidations count="2">
    <dataValidation allowBlank="1" showErrorMessage="1" sqref="D3">
      <formula1>0</formula1>
      <formula2>0</formula2>
    </dataValidation>
    <dataValidation allowBlank="1" showErrorMessage="1" promptTitle="存在调整事项时" prompt="_x000a_选择 “E”" sqref="E7:F7">
      <formula1>0</formula1>
      <formula2>0</formula2>
    </dataValidation>
  </dataValidations>
  <hyperlinks>
    <hyperlink ref="G9" location="资产负债!A1" display="资产负债表"/>
    <hyperlink ref="G10" location="利润!A1" display="利润及利润分配表"/>
  </hyperlinks>
  <pageMargins left="0.78740157480314998" right="0.35433070866141703" top="0.511811023622047" bottom="0.11811023622047198" header="0.511811023622047" footer="0.511811023622047"/>
  <pageSetup paperSize="9" firstPageNumber="0" orientation="portrait" blackAndWhite="1" r:id="rId1"/>
  <headerFooter alignWithMargins="0"/>
</worksheet>
</file>

<file path=xl/worksheets/sheet9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62"/>
  <dimension ref="A1:H400"/>
  <sheetViews>
    <sheetView workbookViewId="0">
      <selection sqref="A1:F1"/>
    </sheetView>
  </sheetViews>
  <sheetFormatPr defaultColWidth="9" defaultRowHeight="15.6"/>
  <cols>
    <col min="1" max="1" width="23.09765625" style="130" customWidth="1"/>
    <col min="2" max="3" width="13.69921875" style="130" customWidth="1"/>
    <col min="4" max="4" width="9.09765625" style="130" customWidth="1"/>
    <col min="5" max="5" width="13.69921875" style="130" customWidth="1"/>
    <col min="6" max="6" width="9.69921875" style="130" customWidth="1"/>
    <col min="7" max="7" width="55.3984375" style="554" customWidth="1"/>
    <col min="8" max="16384" width="9" style="554"/>
  </cols>
  <sheetData>
    <row r="1" spans="1:8" ht="30" customHeight="1">
      <c r="A1" s="2707" t="s">
        <v>366</v>
      </c>
      <c r="B1" s="2707"/>
      <c r="C1" s="2707"/>
      <c r="D1" s="2707"/>
      <c r="E1" s="2707"/>
      <c r="F1" s="2707"/>
      <c r="G1" s="90"/>
    </row>
    <row r="2" spans="1:8" s="558" customFormat="1" ht="20.25" customHeight="1">
      <c r="A2" s="3190" t="str">
        <f>"委托单位："&amp;基本情况!B2</f>
        <v>委托单位：0</v>
      </c>
      <c r="B2" s="3190"/>
      <c r="C2" s="509"/>
      <c r="D2" s="136" t="s">
        <v>1283</v>
      </c>
      <c r="E2" s="136" t="s">
        <v>1054</v>
      </c>
      <c r="F2" s="485" t="s">
        <v>283</v>
      </c>
      <c r="G2" s="557"/>
    </row>
    <row r="3" spans="1:8" s="558" customFormat="1" ht="20.25" customHeight="1">
      <c r="A3" s="3190"/>
      <c r="B3" s="3190"/>
      <c r="C3" s="158" t="s">
        <v>451</v>
      </c>
      <c r="D3" s="510">
        <f>基本情况!B12</f>
        <v>0</v>
      </c>
      <c r="E3" s="559" t="str">
        <f>TEXT(基本情况!B21,"yyyy-mm-dd")</f>
        <v>2017-03-16</v>
      </c>
      <c r="F3" s="3081" t="str">
        <f>档案索引!D41</f>
        <v>4-8</v>
      </c>
      <c r="G3" s="557"/>
    </row>
    <row r="4" spans="1:8" s="558" customFormat="1" ht="20.25" customHeight="1">
      <c r="A4" s="3161" t="str">
        <f>"会计期间："&amp;基本情况!B7</f>
        <v>会计期间：2016年01月01日至2016年12月31日</v>
      </c>
      <c r="B4" s="3161"/>
      <c r="C4" s="140" t="s">
        <v>453</v>
      </c>
      <c r="D4" s="513">
        <f>基本情况!B11</f>
        <v>0</v>
      </c>
      <c r="E4" s="513" t="str">
        <f>TEXT(基本情况!B22,"yyyy-mm-dd")</f>
        <v>2017-05-04</v>
      </c>
      <c r="F4" s="3081"/>
      <c r="G4" s="557"/>
    </row>
    <row r="5" spans="1:8" s="565" customFormat="1" ht="7.5" customHeight="1">
      <c r="A5" s="2894"/>
      <c r="B5" s="2894"/>
      <c r="C5" s="2894"/>
      <c r="D5" s="2894"/>
      <c r="E5" s="2894"/>
      <c r="F5" s="2894"/>
      <c r="G5" s="543"/>
    </row>
    <row r="6" spans="1:8" s="649" customFormat="1" ht="20.25" customHeight="1">
      <c r="A6" s="532" t="s">
        <v>642</v>
      </c>
      <c r="B6" s="3250" t="str">
        <f>IF(基本情况!B29="否",IF(C12-B12&lt;&gt;资产负债!H8,"账载数与报表数相差"&amp;DOLLAR(C12-B12-资产负债!H8,2)&amp;"元！","账载数与报表数相符！"),IF(C11&lt;&gt;资产负债!H8,"账载数与报表数相差"&amp;DOLLAR(C11-资产负债!H8,2)&amp;"元！","账载数与报表数相符！"))</f>
        <v>账载数与报表数相符！</v>
      </c>
      <c r="C6" s="3250"/>
      <c r="D6" s="3250"/>
      <c r="E6" s="3250"/>
      <c r="F6" s="3250"/>
      <c r="G6" s="84" t="s">
        <v>396</v>
      </c>
      <c r="H6" s="607"/>
    </row>
    <row r="7" spans="1:8" s="649" customFormat="1" ht="15" customHeight="1">
      <c r="A7" s="3024" t="s">
        <v>1324</v>
      </c>
      <c r="B7" s="3142" t="s">
        <v>1408</v>
      </c>
      <c r="C7" s="3142"/>
      <c r="D7" s="3142"/>
      <c r="E7" s="3109" t="str">
        <f>IF(OR(D11&lt;&gt;0,D12&lt;&gt;0),"、E","")</f>
        <v/>
      </c>
      <c r="F7" s="3109"/>
      <c r="G7" s="648"/>
      <c r="H7" s="607"/>
    </row>
    <row r="8" spans="1:8" s="649" customFormat="1" ht="61.5" customHeight="1">
      <c r="A8" s="3024"/>
      <c r="B8" s="3653"/>
      <c r="C8" s="3653"/>
      <c r="D8" s="3653"/>
      <c r="E8" s="3653"/>
      <c r="F8" s="3653"/>
      <c r="G8" s="606"/>
      <c r="H8" s="607"/>
    </row>
    <row r="9" spans="1:8" s="649" customFormat="1" ht="20.25" customHeight="1">
      <c r="A9" s="528" t="s">
        <v>575</v>
      </c>
      <c r="B9" s="3135" t="str">
        <f>IF(OR(D12&lt;&gt;0,D11&lt;&gt;0),"调整后认可！","不存在调整事项,认可！")</f>
        <v>不存在调整事项,认可！</v>
      </c>
      <c r="C9" s="3135"/>
      <c r="D9" s="3135"/>
      <c r="E9" s="3135"/>
      <c r="F9" s="3135"/>
      <c r="G9" s="493" t="s">
        <v>1289</v>
      </c>
      <c r="H9" s="607"/>
    </row>
    <row r="10" spans="1:8" s="649" customFormat="1" ht="20.25" customHeight="1">
      <c r="A10" s="135" t="s">
        <v>666</v>
      </c>
      <c r="B10" s="1011" t="s">
        <v>1410</v>
      </c>
      <c r="C10" s="136" t="s">
        <v>1411</v>
      </c>
      <c r="D10" s="136" t="s">
        <v>981</v>
      </c>
      <c r="E10" s="136" t="s">
        <v>503</v>
      </c>
      <c r="F10" s="485" t="s">
        <v>1412</v>
      </c>
      <c r="G10" s="493" t="s">
        <v>643</v>
      </c>
    </row>
    <row r="11" spans="1:8" s="649" customFormat="1" ht="20.25" customHeight="1">
      <c r="A11" s="1013" t="s">
        <v>840</v>
      </c>
      <c r="B11" s="1014">
        <f>IF(基本情况!B29="否",0,B12+应收!B14)</f>
        <v>0</v>
      </c>
      <c r="C11" s="1014">
        <f>IF(基本情况!B29="否",0,C12+应收!C14)</f>
        <v>0</v>
      </c>
      <c r="D11" s="1204"/>
      <c r="E11" s="527">
        <f>C11+D11</f>
        <v>0</v>
      </c>
      <c r="F11" s="1023">
        <f>IF(基本情况!B29="否",0,F12+应收!F14)</f>
        <v>0</v>
      </c>
      <c r="G11" s="493"/>
    </row>
    <row r="12" spans="1:8" s="649" customFormat="1" ht="20.25" customHeight="1">
      <c r="A12" s="528" t="s">
        <v>1414</v>
      </c>
      <c r="B12" s="1017">
        <f>SUM(B13:B3002)</f>
        <v>0</v>
      </c>
      <c r="C12" s="1017">
        <f>SUM(C13:C3002)</f>
        <v>0</v>
      </c>
      <c r="D12" s="823">
        <f>SUM(D13:D302)</f>
        <v>0</v>
      </c>
      <c r="E12" s="823">
        <f>SUM(E13:E302)</f>
        <v>0</v>
      </c>
      <c r="F12" s="596">
        <f>SUM(F13:F302)</f>
        <v>0</v>
      </c>
      <c r="G12" s="648"/>
    </row>
    <row r="13" spans="1:8" s="558" customFormat="1" ht="15" customHeight="1">
      <c r="A13" s="1018"/>
      <c r="B13" s="1198"/>
      <c r="C13" s="1161"/>
      <c r="D13" s="1161"/>
      <c r="E13" s="1019">
        <f>C13-B13+D13</f>
        <v>0</v>
      </c>
      <c r="F13" s="1199"/>
      <c r="G13" s="3090" t="s">
        <v>842</v>
      </c>
    </row>
    <row r="14" spans="1:8" s="558" customFormat="1" ht="15" customHeight="1">
      <c r="A14" s="680"/>
      <c r="B14" s="1200"/>
      <c r="C14" s="1120"/>
      <c r="D14" s="1120"/>
      <c r="E14" s="1015">
        <f>C14-B14+D14</f>
        <v>0</v>
      </c>
      <c r="F14" s="1201"/>
      <c r="G14" s="3090"/>
    </row>
    <row r="15" spans="1:8" s="558" customFormat="1" ht="15" customHeight="1">
      <c r="A15" s="680"/>
      <c r="B15" s="1200"/>
      <c r="C15" s="1120"/>
      <c r="D15" s="1120"/>
      <c r="E15" s="1015">
        <f t="shared" ref="E15:E78" si="0">C15-B15+D15</f>
        <v>0</v>
      </c>
      <c r="F15" s="1201"/>
      <c r="G15" s="3090"/>
    </row>
    <row r="16" spans="1:8" s="558" customFormat="1" ht="15" customHeight="1">
      <c r="A16" s="680"/>
      <c r="B16" s="1200"/>
      <c r="C16" s="1120"/>
      <c r="D16" s="1120"/>
      <c r="E16" s="1015">
        <f t="shared" si="0"/>
        <v>0</v>
      </c>
      <c r="F16" s="1201"/>
      <c r="G16" s="3090"/>
    </row>
    <row r="17" spans="1:7" s="558" customFormat="1" ht="15" customHeight="1">
      <c r="A17" s="680"/>
      <c r="B17" s="1200"/>
      <c r="C17" s="1120"/>
      <c r="D17" s="1120"/>
      <c r="E17" s="1015">
        <f t="shared" si="0"/>
        <v>0</v>
      </c>
      <c r="F17" s="1201"/>
      <c r="G17" s="3090"/>
    </row>
    <row r="18" spans="1:7" s="558" customFormat="1" ht="15" customHeight="1">
      <c r="A18" s="680"/>
      <c r="B18" s="1200"/>
      <c r="C18" s="1120"/>
      <c r="D18" s="1120"/>
      <c r="E18" s="1015">
        <f t="shared" si="0"/>
        <v>0</v>
      </c>
      <c r="F18" s="1201"/>
      <c r="G18" s="3090"/>
    </row>
    <row r="19" spans="1:7" s="558" customFormat="1" ht="15" customHeight="1">
      <c r="A19" s="680"/>
      <c r="B19" s="1200"/>
      <c r="C19" s="1120"/>
      <c r="D19" s="1120"/>
      <c r="E19" s="1015">
        <f t="shared" si="0"/>
        <v>0</v>
      </c>
      <c r="F19" s="1201"/>
      <c r="G19" s="3090"/>
    </row>
    <row r="20" spans="1:7" s="558" customFormat="1" ht="15" customHeight="1">
      <c r="A20" s="680"/>
      <c r="B20" s="1200"/>
      <c r="C20" s="1120"/>
      <c r="D20" s="1120"/>
      <c r="E20" s="1015">
        <f t="shared" si="0"/>
        <v>0</v>
      </c>
      <c r="F20" s="1201"/>
      <c r="G20" s="3090"/>
    </row>
    <row r="21" spans="1:7" s="558" customFormat="1" ht="15" customHeight="1">
      <c r="A21" s="680"/>
      <c r="B21" s="1200"/>
      <c r="C21" s="1120"/>
      <c r="D21" s="1120"/>
      <c r="E21" s="1015">
        <f t="shared" si="0"/>
        <v>0</v>
      </c>
      <c r="F21" s="1201"/>
      <c r="G21" s="3090"/>
    </row>
    <row r="22" spans="1:7" s="558" customFormat="1" ht="15" customHeight="1">
      <c r="A22" s="680"/>
      <c r="B22" s="1200"/>
      <c r="C22" s="1120"/>
      <c r="D22" s="1120"/>
      <c r="E22" s="1015">
        <f t="shared" si="0"/>
        <v>0</v>
      </c>
      <c r="F22" s="1201"/>
      <c r="G22" s="1051"/>
    </row>
    <row r="23" spans="1:7" s="558" customFormat="1" ht="15" customHeight="1">
      <c r="A23" s="680"/>
      <c r="B23" s="1200"/>
      <c r="C23" s="1120"/>
      <c r="D23" s="1120"/>
      <c r="E23" s="1015">
        <f t="shared" si="0"/>
        <v>0</v>
      </c>
      <c r="F23" s="1201"/>
      <c r="G23" s="557"/>
    </row>
    <row r="24" spans="1:7" s="558" customFormat="1" ht="15" customHeight="1">
      <c r="A24" s="680"/>
      <c r="B24" s="1200"/>
      <c r="C24" s="1120"/>
      <c r="D24" s="1120"/>
      <c r="E24" s="1015">
        <f t="shared" si="0"/>
        <v>0</v>
      </c>
      <c r="F24" s="1201"/>
      <c r="G24" s="557"/>
    </row>
    <row r="25" spans="1:7" s="558" customFormat="1" ht="15" customHeight="1">
      <c r="A25" s="680"/>
      <c r="B25" s="1200"/>
      <c r="C25" s="1120"/>
      <c r="D25" s="1120"/>
      <c r="E25" s="1015">
        <f t="shared" si="0"/>
        <v>0</v>
      </c>
      <c r="F25" s="1201"/>
      <c r="G25" s="557"/>
    </row>
    <row r="26" spans="1:7" s="558" customFormat="1" ht="15" customHeight="1">
      <c r="A26" s="680"/>
      <c r="B26" s="1200"/>
      <c r="C26" s="1120"/>
      <c r="D26" s="1120"/>
      <c r="E26" s="1015">
        <f t="shared" si="0"/>
        <v>0</v>
      </c>
      <c r="F26" s="1201"/>
      <c r="G26" s="557"/>
    </row>
    <row r="27" spans="1:7" s="558" customFormat="1" ht="15" customHeight="1">
      <c r="A27" s="680"/>
      <c r="B27" s="1200"/>
      <c r="C27" s="1120"/>
      <c r="D27" s="1120"/>
      <c r="E27" s="1015">
        <f t="shared" si="0"/>
        <v>0</v>
      </c>
      <c r="F27" s="1201"/>
      <c r="G27" s="557"/>
    </row>
    <row r="28" spans="1:7" s="558" customFormat="1" ht="15" customHeight="1">
      <c r="A28" s="680"/>
      <c r="B28" s="1200"/>
      <c r="C28" s="1120"/>
      <c r="D28" s="1120"/>
      <c r="E28" s="1015">
        <f t="shared" si="0"/>
        <v>0</v>
      </c>
      <c r="F28" s="1201"/>
      <c r="G28" s="557"/>
    </row>
    <row r="29" spans="1:7" s="558" customFormat="1" ht="15" customHeight="1">
      <c r="A29" s="680"/>
      <c r="B29" s="1200"/>
      <c r="C29" s="1120"/>
      <c r="D29" s="1120"/>
      <c r="E29" s="1015">
        <f t="shared" si="0"/>
        <v>0</v>
      </c>
      <c r="F29" s="1201"/>
      <c r="G29" s="557"/>
    </row>
    <row r="30" spans="1:7" s="558" customFormat="1" ht="15" customHeight="1">
      <c r="A30" s="680"/>
      <c r="B30" s="1200"/>
      <c r="C30" s="1120"/>
      <c r="D30" s="1120"/>
      <c r="E30" s="1015">
        <f t="shared" si="0"/>
        <v>0</v>
      </c>
      <c r="F30" s="1201"/>
      <c r="G30" s="557"/>
    </row>
    <row r="31" spans="1:7" s="558" customFormat="1" ht="15" customHeight="1">
      <c r="A31" s="680"/>
      <c r="B31" s="1200"/>
      <c r="C31" s="1120"/>
      <c r="D31" s="1120"/>
      <c r="E31" s="1015">
        <f t="shared" si="0"/>
        <v>0</v>
      </c>
      <c r="F31" s="1201"/>
      <c r="G31" s="557"/>
    </row>
    <row r="32" spans="1:7" s="558" customFormat="1" ht="15" customHeight="1">
      <c r="A32" s="680"/>
      <c r="B32" s="1200"/>
      <c r="C32" s="1120"/>
      <c r="D32" s="1120"/>
      <c r="E32" s="1015">
        <f t="shared" si="0"/>
        <v>0</v>
      </c>
      <c r="F32" s="1201"/>
      <c r="G32" s="557"/>
    </row>
    <row r="33" spans="1:7" s="558" customFormat="1" ht="15" customHeight="1">
      <c r="A33" s="680"/>
      <c r="B33" s="1200"/>
      <c r="C33" s="1120"/>
      <c r="D33" s="1120"/>
      <c r="E33" s="1015">
        <f t="shared" si="0"/>
        <v>0</v>
      </c>
      <c r="F33" s="1201"/>
      <c r="G33" s="557"/>
    </row>
    <row r="34" spans="1:7" s="558" customFormat="1" ht="15" customHeight="1">
      <c r="A34" s="680"/>
      <c r="B34" s="1200"/>
      <c r="C34" s="1120"/>
      <c r="D34" s="1120"/>
      <c r="E34" s="1015">
        <f t="shared" si="0"/>
        <v>0</v>
      </c>
      <c r="F34" s="1201"/>
      <c r="G34" s="557"/>
    </row>
    <row r="35" spans="1:7" s="558" customFormat="1" ht="15" customHeight="1">
      <c r="A35" s="680"/>
      <c r="B35" s="1200"/>
      <c r="C35" s="1120"/>
      <c r="D35" s="1120"/>
      <c r="E35" s="1015">
        <f t="shared" si="0"/>
        <v>0</v>
      </c>
      <c r="F35" s="1201"/>
      <c r="G35" s="557"/>
    </row>
    <row r="36" spans="1:7" s="558" customFormat="1" ht="15" customHeight="1">
      <c r="A36" s="680"/>
      <c r="B36" s="1200"/>
      <c r="C36" s="1120"/>
      <c r="D36" s="1120"/>
      <c r="E36" s="1015">
        <f t="shared" si="0"/>
        <v>0</v>
      </c>
      <c r="F36" s="1201"/>
      <c r="G36" s="557"/>
    </row>
    <row r="37" spans="1:7" s="558" customFormat="1" ht="15" customHeight="1">
      <c r="A37" s="680"/>
      <c r="B37" s="1200"/>
      <c r="C37" s="1120"/>
      <c r="D37" s="1120"/>
      <c r="E37" s="1015">
        <f t="shared" si="0"/>
        <v>0</v>
      </c>
      <c r="F37" s="1201"/>
      <c r="G37" s="557"/>
    </row>
    <row r="38" spans="1:7" s="558" customFormat="1" ht="15" customHeight="1">
      <c r="A38" s="680"/>
      <c r="B38" s="1200"/>
      <c r="C38" s="1120"/>
      <c r="D38" s="1120"/>
      <c r="E38" s="1015">
        <f t="shared" si="0"/>
        <v>0</v>
      </c>
      <c r="F38" s="1201"/>
      <c r="G38" s="557"/>
    </row>
    <row r="39" spans="1:7" s="558" customFormat="1" ht="15" customHeight="1">
      <c r="A39" s="680"/>
      <c r="B39" s="1200"/>
      <c r="C39" s="1120"/>
      <c r="D39" s="1120"/>
      <c r="E39" s="1015">
        <f t="shared" si="0"/>
        <v>0</v>
      </c>
      <c r="F39" s="1201"/>
      <c r="G39" s="557"/>
    </row>
    <row r="40" spans="1:7" s="558" customFormat="1" ht="15" customHeight="1">
      <c r="A40" s="680"/>
      <c r="B40" s="1200"/>
      <c r="C40" s="1120"/>
      <c r="D40" s="1120"/>
      <c r="E40" s="1015">
        <f t="shared" si="0"/>
        <v>0</v>
      </c>
      <c r="F40" s="1201"/>
      <c r="G40" s="557"/>
    </row>
    <row r="41" spans="1:7" s="558" customFormat="1" ht="15" customHeight="1">
      <c r="A41" s="680"/>
      <c r="B41" s="1200"/>
      <c r="C41" s="1120"/>
      <c r="D41" s="1120"/>
      <c r="E41" s="1015">
        <f t="shared" si="0"/>
        <v>0</v>
      </c>
      <c r="F41" s="1201"/>
      <c r="G41" s="557"/>
    </row>
    <row r="42" spans="1:7" s="558" customFormat="1" ht="15" customHeight="1">
      <c r="A42" s="680"/>
      <c r="B42" s="1200"/>
      <c r="C42" s="1120"/>
      <c r="D42" s="1120"/>
      <c r="E42" s="1015">
        <f t="shared" si="0"/>
        <v>0</v>
      </c>
      <c r="F42" s="1201"/>
      <c r="G42" s="557"/>
    </row>
    <row r="43" spans="1:7" s="558" customFormat="1" ht="15" customHeight="1">
      <c r="A43" s="680"/>
      <c r="B43" s="1200"/>
      <c r="C43" s="1120"/>
      <c r="D43" s="1120"/>
      <c r="E43" s="1015">
        <f t="shared" si="0"/>
        <v>0</v>
      </c>
      <c r="F43" s="1201"/>
      <c r="G43" s="557"/>
    </row>
    <row r="44" spans="1:7" s="558" customFormat="1" ht="15" customHeight="1">
      <c r="A44" s="680"/>
      <c r="B44" s="1200"/>
      <c r="C44" s="1120"/>
      <c r="D44" s="1120"/>
      <c r="E44" s="1015">
        <f t="shared" si="0"/>
        <v>0</v>
      </c>
      <c r="F44" s="1201"/>
      <c r="G44" s="557"/>
    </row>
    <row r="45" spans="1:7" s="558" customFormat="1" ht="15" customHeight="1">
      <c r="A45" s="680"/>
      <c r="B45" s="1200"/>
      <c r="C45" s="1120"/>
      <c r="D45" s="1120"/>
      <c r="E45" s="1015">
        <f t="shared" si="0"/>
        <v>0</v>
      </c>
      <c r="F45" s="1201"/>
      <c r="G45" s="557"/>
    </row>
    <row r="46" spans="1:7" s="558" customFormat="1" ht="15" customHeight="1">
      <c r="A46" s="680"/>
      <c r="B46" s="1200"/>
      <c r="C46" s="1120"/>
      <c r="D46" s="1120"/>
      <c r="E46" s="1015">
        <f t="shared" si="0"/>
        <v>0</v>
      </c>
      <c r="F46" s="1201"/>
      <c r="G46" s="557"/>
    </row>
    <row r="47" spans="1:7" s="558" customFormat="1" ht="15" customHeight="1">
      <c r="A47" s="680"/>
      <c r="B47" s="1200"/>
      <c r="C47" s="1120"/>
      <c r="D47" s="1120"/>
      <c r="E47" s="1015">
        <f t="shared" si="0"/>
        <v>0</v>
      </c>
      <c r="F47" s="1201"/>
      <c r="G47" s="557"/>
    </row>
    <row r="48" spans="1:7" s="502" customFormat="1" ht="15" customHeight="1">
      <c r="A48" s="680"/>
      <c r="B48" s="1200"/>
      <c r="C48" s="1120"/>
      <c r="D48" s="1120"/>
      <c r="E48" s="1015">
        <f t="shared" si="0"/>
        <v>0</v>
      </c>
      <c r="F48" s="1201"/>
      <c r="G48" s="144"/>
    </row>
    <row r="49" spans="1:7" s="502" customFormat="1" ht="15" customHeight="1">
      <c r="A49" s="680"/>
      <c r="B49" s="1200"/>
      <c r="C49" s="1120"/>
      <c r="D49" s="1120"/>
      <c r="E49" s="1015">
        <f t="shared" si="0"/>
        <v>0</v>
      </c>
      <c r="F49" s="1201"/>
      <c r="G49" s="144"/>
    </row>
    <row r="50" spans="1:7" s="502" customFormat="1" ht="15" customHeight="1">
      <c r="A50" s="680"/>
      <c r="B50" s="1200"/>
      <c r="C50" s="1120"/>
      <c r="D50" s="1120"/>
      <c r="E50" s="1015">
        <f t="shared" si="0"/>
        <v>0</v>
      </c>
      <c r="F50" s="1201"/>
      <c r="G50" s="144"/>
    </row>
    <row r="51" spans="1:7" s="502" customFormat="1" ht="15" customHeight="1">
      <c r="A51" s="680"/>
      <c r="B51" s="1200"/>
      <c r="C51" s="1120"/>
      <c r="D51" s="1120"/>
      <c r="E51" s="1015">
        <f t="shared" si="0"/>
        <v>0</v>
      </c>
      <c r="F51" s="1201"/>
      <c r="G51" s="144"/>
    </row>
    <row r="52" spans="1:7" s="502" customFormat="1" ht="15" customHeight="1">
      <c r="A52" s="680"/>
      <c r="B52" s="1200"/>
      <c r="C52" s="1120"/>
      <c r="D52" s="1120"/>
      <c r="E52" s="1015">
        <f t="shared" si="0"/>
        <v>0</v>
      </c>
      <c r="F52" s="1201"/>
      <c r="G52" s="144"/>
    </row>
    <row r="53" spans="1:7" ht="15" customHeight="1">
      <c r="A53" s="680"/>
      <c r="B53" s="1200"/>
      <c r="C53" s="1120"/>
      <c r="D53" s="1120"/>
      <c r="E53" s="1015">
        <f t="shared" si="0"/>
        <v>0</v>
      </c>
      <c r="F53" s="1201"/>
      <c r="G53" s="90"/>
    </row>
    <row r="54" spans="1:7" ht="15" customHeight="1">
      <c r="A54" s="680"/>
      <c r="B54" s="1200"/>
      <c r="C54" s="1120"/>
      <c r="D54" s="1120"/>
      <c r="E54" s="1015">
        <f t="shared" si="0"/>
        <v>0</v>
      </c>
      <c r="F54" s="1201"/>
      <c r="G54" s="90"/>
    </row>
    <row r="55" spans="1:7" ht="15" customHeight="1">
      <c r="A55" s="680"/>
      <c r="B55" s="1200"/>
      <c r="C55" s="1120"/>
      <c r="D55" s="1120"/>
      <c r="E55" s="1015">
        <f t="shared" si="0"/>
        <v>0</v>
      </c>
      <c r="F55" s="1201"/>
      <c r="G55" s="90"/>
    </row>
    <row r="56" spans="1:7" ht="15" customHeight="1">
      <c r="A56" s="680"/>
      <c r="B56" s="1200"/>
      <c r="C56" s="1120"/>
      <c r="D56" s="1120"/>
      <c r="E56" s="1015">
        <f t="shared" si="0"/>
        <v>0</v>
      </c>
      <c r="F56" s="1201"/>
      <c r="G56" s="90"/>
    </row>
    <row r="57" spans="1:7" ht="15" customHeight="1">
      <c r="A57" s="680"/>
      <c r="B57" s="1200"/>
      <c r="C57" s="1120"/>
      <c r="D57" s="1120"/>
      <c r="E57" s="1015">
        <f t="shared" si="0"/>
        <v>0</v>
      </c>
      <c r="F57" s="1201"/>
      <c r="G57" s="90"/>
    </row>
    <row r="58" spans="1:7" ht="15" customHeight="1">
      <c r="A58" s="680"/>
      <c r="B58" s="1200"/>
      <c r="C58" s="1120"/>
      <c r="D58" s="1120"/>
      <c r="E58" s="1015">
        <f t="shared" si="0"/>
        <v>0</v>
      </c>
      <c r="F58" s="1201"/>
      <c r="G58" s="90"/>
    </row>
    <row r="59" spans="1:7" ht="15" customHeight="1">
      <c r="A59" s="680"/>
      <c r="B59" s="1200"/>
      <c r="C59" s="1120"/>
      <c r="D59" s="1120"/>
      <c r="E59" s="1015">
        <f t="shared" si="0"/>
        <v>0</v>
      </c>
      <c r="F59" s="1201"/>
      <c r="G59" s="90"/>
    </row>
    <row r="60" spans="1:7" ht="15" customHeight="1">
      <c r="A60" s="680"/>
      <c r="B60" s="1200"/>
      <c r="C60" s="1120"/>
      <c r="D60" s="1120"/>
      <c r="E60" s="1015">
        <f t="shared" si="0"/>
        <v>0</v>
      </c>
      <c r="F60" s="1201"/>
      <c r="G60" s="90"/>
    </row>
    <row r="61" spans="1:7" ht="15" customHeight="1">
      <c r="A61" s="680"/>
      <c r="B61" s="1200"/>
      <c r="C61" s="1120"/>
      <c r="D61" s="1120"/>
      <c r="E61" s="1015">
        <f t="shared" si="0"/>
        <v>0</v>
      </c>
      <c r="F61" s="1201"/>
      <c r="G61" s="90"/>
    </row>
    <row r="62" spans="1:7" ht="15" customHeight="1">
      <c r="A62" s="680"/>
      <c r="B62" s="1200"/>
      <c r="C62" s="1120"/>
      <c r="D62" s="1120"/>
      <c r="E62" s="1015">
        <f t="shared" si="0"/>
        <v>0</v>
      </c>
      <c r="F62" s="1201"/>
      <c r="G62" s="90"/>
    </row>
    <row r="63" spans="1:7" ht="15" customHeight="1">
      <c r="A63" s="680"/>
      <c r="B63" s="1200"/>
      <c r="C63" s="1120"/>
      <c r="D63" s="1120"/>
      <c r="E63" s="1015">
        <f t="shared" si="0"/>
        <v>0</v>
      </c>
      <c r="F63" s="1201"/>
      <c r="G63" s="90"/>
    </row>
    <row r="64" spans="1:7" ht="15" customHeight="1">
      <c r="A64" s="680"/>
      <c r="B64" s="1200"/>
      <c r="C64" s="1120"/>
      <c r="D64" s="1120"/>
      <c r="E64" s="1015">
        <f t="shared" si="0"/>
        <v>0</v>
      </c>
      <c r="F64" s="1201"/>
      <c r="G64" s="90"/>
    </row>
    <row r="65" spans="1:7" ht="15" customHeight="1">
      <c r="A65" s="680"/>
      <c r="B65" s="1200"/>
      <c r="C65" s="1120"/>
      <c r="D65" s="1120"/>
      <c r="E65" s="1015">
        <f t="shared" si="0"/>
        <v>0</v>
      </c>
      <c r="F65" s="1201"/>
      <c r="G65" s="90"/>
    </row>
    <row r="66" spans="1:7" ht="15" customHeight="1">
      <c r="A66" s="680"/>
      <c r="B66" s="1200"/>
      <c r="C66" s="1120"/>
      <c r="D66" s="1120"/>
      <c r="E66" s="1015">
        <f t="shared" si="0"/>
        <v>0</v>
      </c>
      <c r="F66" s="1201"/>
      <c r="G66" s="90"/>
    </row>
    <row r="67" spans="1:7" ht="15" customHeight="1">
      <c r="A67" s="680"/>
      <c r="B67" s="1200"/>
      <c r="C67" s="1120"/>
      <c r="D67" s="1120"/>
      <c r="E67" s="1015">
        <f t="shared" si="0"/>
        <v>0</v>
      </c>
      <c r="F67" s="1201"/>
      <c r="G67" s="90"/>
    </row>
    <row r="68" spans="1:7" ht="15" customHeight="1">
      <c r="A68" s="680"/>
      <c r="B68" s="1200"/>
      <c r="C68" s="1120"/>
      <c r="D68" s="1120"/>
      <c r="E68" s="1015">
        <f t="shared" si="0"/>
        <v>0</v>
      </c>
      <c r="F68" s="1201"/>
      <c r="G68" s="90"/>
    </row>
    <row r="69" spans="1:7" ht="15" customHeight="1">
      <c r="A69" s="680"/>
      <c r="B69" s="1200"/>
      <c r="C69" s="1120"/>
      <c r="D69" s="1120"/>
      <c r="E69" s="1015">
        <f t="shared" si="0"/>
        <v>0</v>
      </c>
      <c r="F69" s="1201"/>
      <c r="G69" s="90"/>
    </row>
    <row r="70" spans="1:7" ht="15" customHeight="1">
      <c r="A70" s="680"/>
      <c r="B70" s="1200"/>
      <c r="C70" s="1120"/>
      <c r="D70" s="1120"/>
      <c r="E70" s="1015">
        <f t="shared" si="0"/>
        <v>0</v>
      </c>
      <c r="F70" s="1201"/>
      <c r="G70" s="90"/>
    </row>
    <row r="71" spans="1:7" ht="15" customHeight="1">
      <c r="A71" s="680"/>
      <c r="B71" s="1200"/>
      <c r="C71" s="1120"/>
      <c r="D71" s="1120"/>
      <c r="E71" s="1015">
        <f t="shared" si="0"/>
        <v>0</v>
      </c>
      <c r="F71" s="1201"/>
      <c r="G71" s="90"/>
    </row>
    <row r="72" spans="1:7" ht="15" customHeight="1">
      <c r="A72" s="680"/>
      <c r="B72" s="1200"/>
      <c r="C72" s="1120"/>
      <c r="D72" s="1120"/>
      <c r="E72" s="1015">
        <f t="shared" si="0"/>
        <v>0</v>
      </c>
      <c r="F72" s="1201"/>
      <c r="G72" s="90"/>
    </row>
    <row r="73" spans="1:7" ht="15" customHeight="1">
      <c r="A73" s="680"/>
      <c r="B73" s="1200"/>
      <c r="C73" s="1120"/>
      <c r="D73" s="1120"/>
      <c r="E73" s="1015">
        <f t="shared" si="0"/>
        <v>0</v>
      </c>
      <c r="F73" s="1201"/>
      <c r="G73" s="90"/>
    </row>
    <row r="74" spans="1:7" ht="15" customHeight="1">
      <c r="A74" s="680"/>
      <c r="B74" s="1200"/>
      <c r="C74" s="1120"/>
      <c r="D74" s="1120"/>
      <c r="E74" s="1015">
        <f t="shared" si="0"/>
        <v>0</v>
      </c>
      <c r="F74" s="1201"/>
      <c r="G74" s="90"/>
    </row>
    <row r="75" spans="1:7" ht="15" customHeight="1">
      <c r="A75" s="680"/>
      <c r="B75" s="1200"/>
      <c r="C75" s="1120"/>
      <c r="D75" s="1120"/>
      <c r="E75" s="1015">
        <f t="shared" si="0"/>
        <v>0</v>
      </c>
      <c r="F75" s="1201"/>
      <c r="G75" s="90"/>
    </row>
    <row r="76" spans="1:7" ht="15" customHeight="1">
      <c r="A76" s="680"/>
      <c r="B76" s="1200"/>
      <c r="C76" s="1120"/>
      <c r="D76" s="1120"/>
      <c r="E76" s="1015">
        <f t="shared" si="0"/>
        <v>0</v>
      </c>
      <c r="F76" s="1201"/>
      <c r="G76" s="90"/>
    </row>
    <row r="77" spans="1:7" ht="15" customHeight="1">
      <c r="A77" s="680"/>
      <c r="B77" s="1200"/>
      <c r="C77" s="1120"/>
      <c r="D77" s="1120"/>
      <c r="E77" s="1015">
        <f t="shared" si="0"/>
        <v>0</v>
      </c>
      <c r="F77" s="1201"/>
      <c r="G77" s="90"/>
    </row>
    <row r="78" spans="1:7" ht="15" customHeight="1">
      <c r="A78" s="680"/>
      <c r="B78" s="1200"/>
      <c r="C78" s="1120"/>
      <c r="D78" s="1120"/>
      <c r="E78" s="1015">
        <f t="shared" si="0"/>
        <v>0</v>
      </c>
      <c r="F78" s="1201"/>
      <c r="G78" s="90"/>
    </row>
    <row r="79" spans="1:7" ht="15" customHeight="1">
      <c r="A79" s="680"/>
      <c r="B79" s="1200"/>
      <c r="C79" s="1120"/>
      <c r="D79" s="1120"/>
      <c r="E79" s="1015">
        <f t="shared" ref="E79:E142" si="1">C79-B79+D79</f>
        <v>0</v>
      </c>
      <c r="F79" s="1201"/>
      <c r="G79" s="90"/>
    </row>
    <row r="80" spans="1:7" ht="15" customHeight="1">
      <c r="A80" s="680"/>
      <c r="B80" s="1200"/>
      <c r="C80" s="1120"/>
      <c r="D80" s="1120"/>
      <c r="E80" s="1015">
        <f t="shared" si="1"/>
        <v>0</v>
      </c>
      <c r="F80" s="1201"/>
      <c r="G80" s="90"/>
    </row>
    <row r="81" spans="1:7" ht="15" customHeight="1">
      <c r="A81" s="680"/>
      <c r="B81" s="1200"/>
      <c r="C81" s="1120"/>
      <c r="D81" s="1120"/>
      <c r="E81" s="1015">
        <f t="shared" si="1"/>
        <v>0</v>
      </c>
      <c r="F81" s="1201"/>
      <c r="G81" s="90"/>
    </row>
    <row r="82" spans="1:7" ht="15" customHeight="1">
      <c r="A82" s="680"/>
      <c r="B82" s="1200"/>
      <c r="C82" s="1120"/>
      <c r="D82" s="1120"/>
      <c r="E82" s="1015">
        <f t="shared" si="1"/>
        <v>0</v>
      </c>
      <c r="F82" s="1201"/>
      <c r="G82" s="90"/>
    </row>
    <row r="83" spans="1:7" ht="15" customHeight="1">
      <c r="A83" s="680"/>
      <c r="B83" s="1200"/>
      <c r="C83" s="1120"/>
      <c r="D83" s="1120"/>
      <c r="E83" s="1015">
        <f t="shared" si="1"/>
        <v>0</v>
      </c>
      <c r="F83" s="1201"/>
      <c r="G83" s="90"/>
    </row>
    <row r="84" spans="1:7" ht="15" customHeight="1">
      <c r="A84" s="680"/>
      <c r="B84" s="1200"/>
      <c r="C84" s="1120"/>
      <c r="D84" s="1120"/>
      <c r="E84" s="1015">
        <f t="shared" si="1"/>
        <v>0</v>
      </c>
      <c r="F84" s="1201"/>
      <c r="G84" s="90"/>
    </row>
    <row r="85" spans="1:7" ht="15" customHeight="1">
      <c r="A85" s="680"/>
      <c r="B85" s="1200"/>
      <c r="C85" s="1120"/>
      <c r="D85" s="1120"/>
      <c r="E85" s="1015">
        <f t="shared" si="1"/>
        <v>0</v>
      </c>
      <c r="F85" s="1201"/>
      <c r="G85" s="90"/>
    </row>
    <row r="86" spans="1:7" ht="15" customHeight="1">
      <c r="A86" s="680"/>
      <c r="B86" s="1200"/>
      <c r="C86" s="1120"/>
      <c r="D86" s="1120"/>
      <c r="E86" s="1015">
        <f t="shared" si="1"/>
        <v>0</v>
      </c>
      <c r="F86" s="1201"/>
      <c r="G86" s="90"/>
    </row>
    <row r="87" spans="1:7" ht="15" customHeight="1">
      <c r="A87" s="680"/>
      <c r="B87" s="1200"/>
      <c r="C87" s="1120"/>
      <c r="D87" s="1120"/>
      <c r="E87" s="1015">
        <f t="shared" si="1"/>
        <v>0</v>
      </c>
      <c r="F87" s="1201"/>
      <c r="G87" s="90"/>
    </row>
    <row r="88" spans="1:7" ht="15" customHeight="1">
      <c r="A88" s="680"/>
      <c r="B88" s="1200"/>
      <c r="C88" s="1120"/>
      <c r="D88" s="1120"/>
      <c r="E88" s="1015">
        <f t="shared" si="1"/>
        <v>0</v>
      </c>
      <c r="F88" s="1201"/>
      <c r="G88" s="90"/>
    </row>
    <row r="89" spans="1:7" ht="15" customHeight="1">
      <c r="A89" s="680"/>
      <c r="B89" s="1200"/>
      <c r="C89" s="1120"/>
      <c r="D89" s="1120"/>
      <c r="E89" s="1015">
        <f t="shared" si="1"/>
        <v>0</v>
      </c>
      <c r="F89" s="1201"/>
      <c r="G89" s="90"/>
    </row>
    <row r="90" spans="1:7" ht="15" customHeight="1">
      <c r="A90" s="680"/>
      <c r="B90" s="1200"/>
      <c r="C90" s="1120"/>
      <c r="D90" s="1120"/>
      <c r="E90" s="1015">
        <f t="shared" si="1"/>
        <v>0</v>
      </c>
      <c r="F90" s="1201"/>
      <c r="G90" s="90"/>
    </row>
    <row r="91" spans="1:7" ht="15" customHeight="1">
      <c r="A91" s="680"/>
      <c r="B91" s="1200"/>
      <c r="C91" s="1120"/>
      <c r="D91" s="1120"/>
      <c r="E91" s="1015">
        <f t="shared" si="1"/>
        <v>0</v>
      </c>
      <c r="F91" s="1201"/>
      <c r="G91" s="90"/>
    </row>
    <row r="92" spans="1:7" ht="15" customHeight="1">
      <c r="A92" s="680"/>
      <c r="B92" s="1200"/>
      <c r="C92" s="1120"/>
      <c r="D92" s="1120"/>
      <c r="E92" s="1015">
        <f t="shared" si="1"/>
        <v>0</v>
      </c>
      <c r="F92" s="1201"/>
      <c r="G92" s="90"/>
    </row>
    <row r="93" spans="1:7" ht="15" customHeight="1">
      <c r="A93" s="680"/>
      <c r="B93" s="1200"/>
      <c r="C93" s="1120"/>
      <c r="D93" s="1120"/>
      <c r="E93" s="1015">
        <f t="shared" si="1"/>
        <v>0</v>
      </c>
      <c r="F93" s="1201"/>
      <c r="G93" s="90"/>
    </row>
    <row r="94" spans="1:7" ht="15" customHeight="1">
      <c r="A94" s="680"/>
      <c r="B94" s="1200"/>
      <c r="C94" s="1120"/>
      <c r="D94" s="1120"/>
      <c r="E94" s="1015">
        <f t="shared" si="1"/>
        <v>0</v>
      </c>
      <c r="F94" s="1201"/>
      <c r="G94" s="90"/>
    </row>
    <row r="95" spans="1:7" ht="15" customHeight="1">
      <c r="A95" s="680"/>
      <c r="B95" s="1200"/>
      <c r="C95" s="1120"/>
      <c r="D95" s="1120"/>
      <c r="E95" s="1015">
        <f t="shared" si="1"/>
        <v>0</v>
      </c>
      <c r="F95" s="1201"/>
      <c r="G95" s="90"/>
    </row>
    <row r="96" spans="1:7" ht="15" customHeight="1">
      <c r="A96" s="680"/>
      <c r="B96" s="1200"/>
      <c r="C96" s="1120"/>
      <c r="D96" s="1120"/>
      <c r="E96" s="1015">
        <f t="shared" si="1"/>
        <v>0</v>
      </c>
      <c r="F96" s="1201"/>
      <c r="G96" s="90"/>
    </row>
    <row r="97" spans="1:7" ht="15" customHeight="1">
      <c r="A97" s="680"/>
      <c r="B97" s="1200"/>
      <c r="C97" s="1120"/>
      <c r="D97" s="1120"/>
      <c r="E97" s="1015">
        <f t="shared" si="1"/>
        <v>0</v>
      </c>
      <c r="F97" s="1201"/>
      <c r="G97" s="90"/>
    </row>
    <row r="98" spans="1:7" ht="15" customHeight="1">
      <c r="A98" s="680"/>
      <c r="B98" s="1200"/>
      <c r="C98" s="1120"/>
      <c r="D98" s="1120"/>
      <c r="E98" s="1015">
        <f t="shared" si="1"/>
        <v>0</v>
      </c>
      <c r="F98" s="1201"/>
      <c r="G98" s="90"/>
    </row>
    <row r="99" spans="1:7" ht="15" customHeight="1">
      <c r="A99" s="680"/>
      <c r="B99" s="1200"/>
      <c r="C99" s="1120"/>
      <c r="D99" s="1120"/>
      <c r="E99" s="1015">
        <f t="shared" si="1"/>
        <v>0</v>
      </c>
      <c r="F99" s="1201"/>
      <c r="G99" s="90"/>
    </row>
    <row r="100" spans="1:7" ht="15" customHeight="1">
      <c r="A100" s="680"/>
      <c r="B100" s="1200"/>
      <c r="C100" s="1120"/>
      <c r="D100" s="1120"/>
      <c r="E100" s="1015">
        <f t="shared" si="1"/>
        <v>0</v>
      </c>
      <c r="F100" s="1201"/>
      <c r="G100" s="90"/>
    </row>
    <row r="101" spans="1:7" ht="15" customHeight="1">
      <c r="A101" s="680"/>
      <c r="B101" s="1200"/>
      <c r="C101" s="1120"/>
      <c r="D101" s="1120"/>
      <c r="E101" s="1015">
        <f t="shared" si="1"/>
        <v>0</v>
      </c>
      <c r="F101" s="1201"/>
      <c r="G101" s="90"/>
    </row>
    <row r="102" spans="1:7" ht="15" customHeight="1">
      <c r="A102" s="680"/>
      <c r="B102" s="1200"/>
      <c r="C102" s="1120"/>
      <c r="D102" s="1120"/>
      <c r="E102" s="1015">
        <f t="shared" si="1"/>
        <v>0</v>
      </c>
      <c r="F102" s="1201"/>
      <c r="G102" s="90"/>
    </row>
    <row r="103" spans="1:7" ht="15" customHeight="1">
      <c r="A103" s="680"/>
      <c r="B103" s="1200"/>
      <c r="C103" s="1120"/>
      <c r="D103" s="1120"/>
      <c r="E103" s="1015">
        <f t="shared" si="1"/>
        <v>0</v>
      </c>
      <c r="F103" s="1201"/>
      <c r="G103" s="90"/>
    </row>
    <row r="104" spans="1:7" ht="15" customHeight="1">
      <c r="A104" s="680"/>
      <c r="B104" s="1200"/>
      <c r="C104" s="1120"/>
      <c r="D104" s="1120"/>
      <c r="E104" s="1015">
        <f t="shared" si="1"/>
        <v>0</v>
      </c>
      <c r="F104" s="1201"/>
      <c r="G104" s="90"/>
    </row>
    <row r="105" spans="1:7" ht="15" customHeight="1">
      <c r="A105" s="680"/>
      <c r="B105" s="1200"/>
      <c r="C105" s="1120"/>
      <c r="D105" s="1120"/>
      <c r="E105" s="1015">
        <f t="shared" si="1"/>
        <v>0</v>
      </c>
      <c r="F105" s="1201"/>
      <c r="G105" s="90"/>
    </row>
    <row r="106" spans="1:7" ht="15" customHeight="1">
      <c r="A106" s="680"/>
      <c r="B106" s="1200"/>
      <c r="C106" s="1120"/>
      <c r="D106" s="1120"/>
      <c r="E106" s="1015">
        <f t="shared" si="1"/>
        <v>0</v>
      </c>
      <c r="F106" s="1201"/>
      <c r="G106" s="90"/>
    </row>
    <row r="107" spans="1:7" ht="15" customHeight="1">
      <c r="A107" s="680"/>
      <c r="B107" s="1200"/>
      <c r="C107" s="1120"/>
      <c r="D107" s="1120"/>
      <c r="E107" s="1015">
        <f t="shared" si="1"/>
        <v>0</v>
      </c>
      <c r="F107" s="1201"/>
      <c r="G107" s="90"/>
    </row>
    <row r="108" spans="1:7" ht="15" customHeight="1">
      <c r="A108" s="680"/>
      <c r="B108" s="1200"/>
      <c r="C108" s="1120"/>
      <c r="D108" s="1120"/>
      <c r="E108" s="1015">
        <f t="shared" si="1"/>
        <v>0</v>
      </c>
      <c r="F108" s="1201"/>
      <c r="G108" s="90"/>
    </row>
    <row r="109" spans="1:7" ht="15" customHeight="1">
      <c r="A109" s="680"/>
      <c r="B109" s="1200"/>
      <c r="C109" s="1120"/>
      <c r="D109" s="1120"/>
      <c r="E109" s="1015">
        <f t="shared" si="1"/>
        <v>0</v>
      </c>
      <c r="F109" s="1201"/>
      <c r="G109" s="90"/>
    </row>
    <row r="110" spans="1:7" ht="15" customHeight="1">
      <c r="A110" s="680"/>
      <c r="B110" s="1200"/>
      <c r="C110" s="1120"/>
      <c r="D110" s="1120"/>
      <c r="E110" s="1015">
        <f t="shared" si="1"/>
        <v>0</v>
      </c>
      <c r="F110" s="1201"/>
      <c r="G110" s="90"/>
    </row>
    <row r="111" spans="1:7" ht="15" customHeight="1">
      <c r="A111" s="680"/>
      <c r="B111" s="1200"/>
      <c r="C111" s="1120"/>
      <c r="D111" s="1120"/>
      <c r="E111" s="1015">
        <f t="shared" si="1"/>
        <v>0</v>
      </c>
      <c r="F111" s="1201"/>
      <c r="G111" s="90"/>
    </row>
    <row r="112" spans="1:7" ht="15" customHeight="1">
      <c r="A112" s="680"/>
      <c r="B112" s="1200"/>
      <c r="C112" s="1120"/>
      <c r="D112" s="1120"/>
      <c r="E112" s="1015">
        <f t="shared" si="1"/>
        <v>0</v>
      </c>
      <c r="F112" s="1201"/>
      <c r="G112" s="90"/>
    </row>
    <row r="113" spans="1:7" ht="15" customHeight="1">
      <c r="A113" s="680"/>
      <c r="B113" s="1200"/>
      <c r="C113" s="1120"/>
      <c r="D113" s="1120"/>
      <c r="E113" s="1015">
        <f t="shared" si="1"/>
        <v>0</v>
      </c>
      <c r="F113" s="1201"/>
      <c r="G113" s="90"/>
    </row>
    <row r="114" spans="1:7" ht="15" customHeight="1">
      <c r="A114" s="680"/>
      <c r="B114" s="1200"/>
      <c r="C114" s="1120"/>
      <c r="D114" s="1120"/>
      <c r="E114" s="1015">
        <f t="shared" si="1"/>
        <v>0</v>
      </c>
      <c r="F114" s="1201"/>
      <c r="G114" s="90"/>
    </row>
    <row r="115" spans="1:7" ht="15" customHeight="1">
      <c r="A115" s="680"/>
      <c r="B115" s="1200"/>
      <c r="C115" s="1120"/>
      <c r="D115" s="1120"/>
      <c r="E115" s="1015">
        <f t="shared" si="1"/>
        <v>0</v>
      </c>
      <c r="F115" s="1201"/>
      <c r="G115" s="90"/>
    </row>
    <row r="116" spans="1:7" ht="15" customHeight="1">
      <c r="A116" s="680"/>
      <c r="B116" s="1200"/>
      <c r="C116" s="1120"/>
      <c r="D116" s="1120"/>
      <c r="E116" s="1015">
        <f t="shared" si="1"/>
        <v>0</v>
      </c>
      <c r="F116" s="1201"/>
      <c r="G116" s="90"/>
    </row>
    <row r="117" spans="1:7" ht="15" customHeight="1">
      <c r="A117" s="680"/>
      <c r="B117" s="1200"/>
      <c r="C117" s="1120"/>
      <c r="D117" s="1120"/>
      <c r="E117" s="1015">
        <f t="shared" si="1"/>
        <v>0</v>
      </c>
      <c r="F117" s="1201"/>
      <c r="G117" s="90"/>
    </row>
    <row r="118" spans="1:7" ht="15" customHeight="1">
      <c r="A118" s="680"/>
      <c r="B118" s="1200"/>
      <c r="C118" s="1120"/>
      <c r="D118" s="1120"/>
      <c r="E118" s="1015">
        <f t="shared" si="1"/>
        <v>0</v>
      </c>
      <c r="F118" s="1201"/>
      <c r="G118" s="90"/>
    </row>
    <row r="119" spans="1:7" ht="15" customHeight="1">
      <c r="A119" s="680"/>
      <c r="B119" s="1200"/>
      <c r="C119" s="1120"/>
      <c r="D119" s="1120"/>
      <c r="E119" s="1015">
        <f t="shared" si="1"/>
        <v>0</v>
      </c>
      <c r="F119" s="1201"/>
      <c r="G119" s="90"/>
    </row>
    <row r="120" spans="1:7" ht="15" customHeight="1">
      <c r="A120" s="680"/>
      <c r="B120" s="1200"/>
      <c r="C120" s="1120"/>
      <c r="D120" s="1120"/>
      <c r="E120" s="1015">
        <f t="shared" si="1"/>
        <v>0</v>
      </c>
      <c r="F120" s="1201"/>
      <c r="G120" s="90"/>
    </row>
    <row r="121" spans="1:7" ht="15" customHeight="1">
      <c r="A121" s="680"/>
      <c r="B121" s="1200"/>
      <c r="C121" s="1120"/>
      <c r="D121" s="1120"/>
      <c r="E121" s="1015">
        <f t="shared" si="1"/>
        <v>0</v>
      </c>
      <c r="F121" s="1201"/>
      <c r="G121" s="90"/>
    </row>
    <row r="122" spans="1:7" ht="15" customHeight="1">
      <c r="A122" s="680"/>
      <c r="B122" s="1200"/>
      <c r="C122" s="1120"/>
      <c r="D122" s="1120"/>
      <c r="E122" s="1015">
        <f t="shared" si="1"/>
        <v>0</v>
      </c>
      <c r="F122" s="1201"/>
      <c r="G122" s="90"/>
    </row>
    <row r="123" spans="1:7" ht="15" customHeight="1">
      <c r="A123" s="680"/>
      <c r="B123" s="1200"/>
      <c r="C123" s="1120"/>
      <c r="D123" s="1120"/>
      <c r="E123" s="1015">
        <f t="shared" si="1"/>
        <v>0</v>
      </c>
      <c r="F123" s="1201"/>
      <c r="G123" s="90"/>
    </row>
    <row r="124" spans="1:7" ht="15" customHeight="1">
      <c r="A124" s="680"/>
      <c r="B124" s="1200"/>
      <c r="C124" s="1120"/>
      <c r="D124" s="1120"/>
      <c r="E124" s="1015">
        <f t="shared" si="1"/>
        <v>0</v>
      </c>
      <c r="F124" s="1201"/>
      <c r="G124" s="90"/>
    </row>
    <row r="125" spans="1:7" ht="15" customHeight="1">
      <c r="A125" s="680"/>
      <c r="B125" s="1200"/>
      <c r="C125" s="1120"/>
      <c r="D125" s="1120"/>
      <c r="E125" s="1015">
        <f t="shared" si="1"/>
        <v>0</v>
      </c>
      <c r="F125" s="1201"/>
      <c r="G125" s="90"/>
    </row>
    <row r="126" spans="1:7" ht="15" customHeight="1">
      <c r="A126" s="680"/>
      <c r="B126" s="1200"/>
      <c r="C126" s="1120"/>
      <c r="D126" s="1120"/>
      <c r="E126" s="1015">
        <f t="shared" si="1"/>
        <v>0</v>
      </c>
      <c r="F126" s="1201"/>
      <c r="G126" s="90"/>
    </row>
    <row r="127" spans="1:7" ht="15" customHeight="1">
      <c r="A127" s="680"/>
      <c r="B127" s="1200"/>
      <c r="C127" s="1120"/>
      <c r="D127" s="1120"/>
      <c r="E127" s="1015">
        <f t="shared" si="1"/>
        <v>0</v>
      </c>
      <c r="F127" s="1201"/>
      <c r="G127" s="90"/>
    </row>
    <row r="128" spans="1:7" ht="15" customHeight="1">
      <c r="A128" s="680"/>
      <c r="B128" s="1200"/>
      <c r="C128" s="1120"/>
      <c r="D128" s="1120"/>
      <c r="E128" s="1015">
        <f t="shared" si="1"/>
        <v>0</v>
      </c>
      <c r="F128" s="1201"/>
      <c r="G128" s="90"/>
    </row>
    <row r="129" spans="1:7" ht="15" customHeight="1">
      <c r="A129" s="680"/>
      <c r="B129" s="1200"/>
      <c r="C129" s="1120"/>
      <c r="D129" s="1120"/>
      <c r="E129" s="1015">
        <f t="shared" si="1"/>
        <v>0</v>
      </c>
      <c r="F129" s="1201"/>
      <c r="G129" s="90"/>
    </row>
    <row r="130" spans="1:7" ht="15" customHeight="1">
      <c r="A130" s="680"/>
      <c r="B130" s="1200"/>
      <c r="C130" s="1120"/>
      <c r="D130" s="1120"/>
      <c r="E130" s="1015">
        <f t="shared" si="1"/>
        <v>0</v>
      </c>
      <c r="F130" s="1201"/>
      <c r="G130" s="90"/>
    </row>
    <row r="131" spans="1:7" ht="15" customHeight="1">
      <c r="A131" s="680"/>
      <c r="B131" s="1200"/>
      <c r="C131" s="1120"/>
      <c r="D131" s="1120"/>
      <c r="E131" s="1015">
        <f t="shared" si="1"/>
        <v>0</v>
      </c>
      <c r="F131" s="1201"/>
      <c r="G131" s="90"/>
    </row>
    <row r="132" spans="1:7" ht="15" customHeight="1">
      <c r="A132" s="680"/>
      <c r="B132" s="1200"/>
      <c r="C132" s="1120"/>
      <c r="D132" s="1120"/>
      <c r="E132" s="1015">
        <f t="shared" si="1"/>
        <v>0</v>
      </c>
      <c r="F132" s="1201"/>
      <c r="G132" s="90"/>
    </row>
    <row r="133" spans="1:7" ht="15" customHeight="1">
      <c r="A133" s="680"/>
      <c r="B133" s="1200"/>
      <c r="C133" s="1120"/>
      <c r="D133" s="1120"/>
      <c r="E133" s="1015">
        <f t="shared" si="1"/>
        <v>0</v>
      </c>
      <c r="F133" s="1201"/>
      <c r="G133" s="90"/>
    </row>
    <row r="134" spans="1:7" ht="15" customHeight="1">
      <c r="A134" s="680"/>
      <c r="B134" s="1200"/>
      <c r="C134" s="1120"/>
      <c r="D134" s="1120"/>
      <c r="E134" s="1015">
        <f t="shared" si="1"/>
        <v>0</v>
      </c>
      <c r="F134" s="1201"/>
      <c r="G134" s="90"/>
    </row>
    <row r="135" spans="1:7" ht="15" customHeight="1">
      <c r="A135" s="680"/>
      <c r="B135" s="1200"/>
      <c r="C135" s="1120"/>
      <c r="D135" s="1120"/>
      <c r="E135" s="1015">
        <f t="shared" si="1"/>
        <v>0</v>
      </c>
      <c r="F135" s="1201"/>
      <c r="G135" s="90"/>
    </row>
    <row r="136" spans="1:7" ht="15" customHeight="1">
      <c r="A136" s="680"/>
      <c r="B136" s="1200"/>
      <c r="C136" s="1120"/>
      <c r="D136" s="1120"/>
      <c r="E136" s="1015">
        <f t="shared" si="1"/>
        <v>0</v>
      </c>
      <c r="F136" s="1201"/>
      <c r="G136" s="90"/>
    </row>
    <row r="137" spans="1:7" ht="15" customHeight="1">
      <c r="A137" s="680"/>
      <c r="B137" s="1200"/>
      <c r="C137" s="1120"/>
      <c r="D137" s="1120"/>
      <c r="E137" s="1015">
        <f t="shared" si="1"/>
        <v>0</v>
      </c>
      <c r="F137" s="1201"/>
      <c r="G137" s="90"/>
    </row>
    <row r="138" spans="1:7" ht="15" customHeight="1">
      <c r="A138" s="680"/>
      <c r="B138" s="1200"/>
      <c r="C138" s="1120"/>
      <c r="D138" s="1120"/>
      <c r="E138" s="1015">
        <f t="shared" si="1"/>
        <v>0</v>
      </c>
      <c r="F138" s="1201"/>
      <c r="G138" s="90"/>
    </row>
    <row r="139" spans="1:7" ht="15" customHeight="1">
      <c r="A139" s="680"/>
      <c r="B139" s="1200"/>
      <c r="C139" s="1120"/>
      <c r="D139" s="1120"/>
      <c r="E139" s="1015">
        <f t="shared" si="1"/>
        <v>0</v>
      </c>
      <c r="F139" s="1201"/>
      <c r="G139" s="90"/>
    </row>
    <row r="140" spans="1:7" ht="15" customHeight="1">
      <c r="A140" s="680"/>
      <c r="B140" s="1200"/>
      <c r="C140" s="1120"/>
      <c r="D140" s="1120"/>
      <c r="E140" s="1015">
        <f t="shared" si="1"/>
        <v>0</v>
      </c>
      <c r="F140" s="1201"/>
      <c r="G140" s="90"/>
    </row>
    <row r="141" spans="1:7" ht="15" customHeight="1">
      <c r="A141" s="680"/>
      <c r="B141" s="1200"/>
      <c r="C141" s="1120"/>
      <c r="D141" s="1120"/>
      <c r="E141" s="1015">
        <f t="shared" si="1"/>
        <v>0</v>
      </c>
      <c r="F141" s="1201"/>
      <c r="G141" s="90"/>
    </row>
    <row r="142" spans="1:7" ht="15" customHeight="1">
      <c r="A142" s="680"/>
      <c r="B142" s="1200"/>
      <c r="C142" s="1120"/>
      <c r="D142" s="1120"/>
      <c r="E142" s="1015">
        <f t="shared" si="1"/>
        <v>0</v>
      </c>
      <c r="F142" s="1201"/>
      <c r="G142" s="90"/>
    </row>
    <row r="143" spans="1:7" ht="15" customHeight="1">
      <c r="A143" s="680"/>
      <c r="B143" s="1200"/>
      <c r="C143" s="1120"/>
      <c r="D143" s="1120"/>
      <c r="E143" s="1015">
        <f t="shared" ref="E143:E206" si="2">C143-B143+D143</f>
        <v>0</v>
      </c>
      <c r="F143" s="1201"/>
      <c r="G143" s="90"/>
    </row>
    <row r="144" spans="1:7" ht="15" customHeight="1">
      <c r="A144" s="680"/>
      <c r="B144" s="1200"/>
      <c r="C144" s="1120"/>
      <c r="D144" s="1120"/>
      <c r="E144" s="1015">
        <f t="shared" si="2"/>
        <v>0</v>
      </c>
      <c r="F144" s="1201"/>
      <c r="G144" s="90"/>
    </row>
    <row r="145" spans="1:7" ht="15" customHeight="1">
      <c r="A145" s="680"/>
      <c r="B145" s="1200"/>
      <c r="C145" s="1120"/>
      <c r="D145" s="1120"/>
      <c r="E145" s="1015">
        <f t="shared" si="2"/>
        <v>0</v>
      </c>
      <c r="F145" s="1201"/>
      <c r="G145" s="90"/>
    </row>
    <row r="146" spans="1:7" ht="15" customHeight="1">
      <c r="A146" s="680"/>
      <c r="B146" s="1200"/>
      <c r="C146" s="1120"/>
      <c r="D146" s="1120"/>
      <c r="E146" s="1015">
        <f t="shared" si="2"/>
        <v>0</v>
      </c>
      <c r="F146" s="1201"/>
      <c r="G146" s="90"/>
    </row>
    <row r="147" spans="1:7" ht="15" customHeight="1">
      <c r="A147" s="680"/>
      <c r="B147" s="1200"/>
      <c r="C147" s="1120"/>
      <c r="D147" s="1120"/>
      <c r="E147" s="1015">
        <f t="shared" si="2"/>
        <v>0</v>
      </c>
      <c r="F147" s="1201"/>
      <c r="G147" s="90"/>
    </row>
    <row r="148" spans="1:7" ht="15" customHeight="1">
      <c r="A148" s="680"/>
      <c r="B148" s="1200"/>
      <c r="C148" s="1120"/>
      <c r="D148" s="1120"/>
      <c r="E148" s="1015">
        <f t="shared" si="2"/>
        <v>0</v>
      </c>
      <c r="F148" s="1201"/>
      <c r="G148" s="90"/>
    </row>
    <row r="149" spans="1:7" ht="15" customHeight="1">
      <c r="A149" s="680"/>
      <c r="B149" s="1200"/>
      <c r="C149" s="1120"/>
      <c r="D149" s="1120"/>
      <c r="E149" s="1015">
        <f t="shared" si="2"/>
        <v>0</v>
      </c>
      <c r="F149" s="1201"/>
      <c r="G149" s="90"/>
    </row>
    <row r="150" spans="1:7" ht="15" customHeight="1">
      <c r="A150" s="680"/>
      <c r="B150" s="1200"/>
      <c r="C150" s="1120"/>
      <c r="D150" s="1120"/>
      <c r="E150" s="1015">
        <f t="shared" si="2"/>
        <v>0</v>
      </c>
      <c r="F150" s="1201"/>
      <c r="G150" s="90"/>
    </row>
    <row r="151" spans="1:7" ht="15" customHeight="1">
      <c r="A151" s="680"/>
      <c r="B151" s="1200"/>
      <c r="C151" s="1120"/>
      <c r="D151" s="1120"/>
      <c r="E151" s="1015">
        <f t="shared" si="2"/>
        <v>0</v>
      </c>
      <c r="F151" s="1201"/>
      <c r="G151" s="90"/>
    </row>
    <row r="152" spans="1:7" ht="15" customHeight="1">
      <c r="A152" s="680"/>
      <c r="B152" s="1200"/>
      <c r="C152" s="1120"/>
      <c r="D152" s="1120"/>
      <c r="E152" s="1015">
        <f t="shared" si="2"/>
        <v>0</v>
      </c>
      <c r="F152" s="1201"/>
      <c r="G152" s="90"/>
    </row>
    <row r="153" spans="1:7" ht="15" customHeight="1">
      <c r="A153" s="680"/>
      <c r="B153" s="1200"/>
      <c r="C153" s="1120"/>
      <c r="D153" s="1120"/>
      <c r="E153" s="1015">
        <f t="shared" si="2"/>
        <v>0</v>
      </c>
      <c r="F153" s="1201"/>
      <c r="G153" s="90"/>
    </row>
    <row r="154" spans="1:7" ht="15" customHeight="1">
      <c r="A154" s="680"/>
      <c r="B154" s="1200"/>
      <c r="C154" s="1120"/>
      <c r="D154" s="1120"/>
      <c r="E154" s="1015">
        <f t="shared" si="2"/>
        <v>0</v>
      </c>
      <c r="F154" s="1201"/>
      <c r="G154" s="90"/>
    </row>
    <row r="155" spans="1:7" ht="15" customHeight="1">
      <c r="A155" s="680"/>
      <c r="B155" s="1200"/>
      <c r="C155" s="1120"/>
      <c r="D155" s="1120"/>
      <c r="E155" s="1015">
        <f t="shared" si="2"/>
        <v>0</v>
      </c>
      <c r="F155" s="1201"/>
      <c r="G155" s="90"/>
    </row>
    <row r="156" spans="1:7" ht="15" customHeight="1">
      <c r="A156" s="680"/>
      <c r="B156" s="1200"/>
      <c r="C156" s="1120"/>
      <c r="D156" s="1120"/>
      <c r="E156" s="1015">
        <f t="shared" si="2"/>
        <v>0</v>
      </c>
      <c r="F156" s="1201"/>
      <c r="G156" s="90"/>
    </row>
    <row r="157" spans="1:7" ht="15" customHeight="1">
      <c r="A157" s="680"/>
      <c r="B157" s="1200"/>
      <c r="C157" s="1120"/>
      <c r="D157" s="1120"/>
      <c r="E157" s="1015">
        <f t="shared" si="2"/>
        <v>0</v>
      </c>
      <c r="F157" s="1201"/>
      <c r="G157" s="90"/>
    </row>
    <row r="158" spans="1:7" ht="15" customHeight="1">
      <c r="A158" s="680"/>
      <c r="B158" s="1200"/>
      <c r="C158" s="1120"/>
      <c r="D158" s="1120"/>
      <c r="E158" s="1015">
        <f t="shared" si="2"/>
        <v>0</v>
      </c>
      <c r="F158" s="1201"/>
      <c r="G158" s="90"/>
    </row>
    <row r="159" spans="1:7" ht="15" customHeight="1">
      <c r="A159" s="680"/>
      <c r="B159" s="1200"/>
      <c r="C159" s="1120"/>
      <c r="D159" s="1120"/>
      <c r="E159" s="1015">
        <f t="shared" si="2"/>
        <v>0</v>
      </c>
      <c r="F159" s="1201"/>
      <c r="G159" s="90"/>
    </row>
    <row r="160" spans="1:7" ht="15" customHeight="1">
      <c r="A160" s="680"/>
      <c r="B160" s="1200"/>
      <c r="C160" s="1120"/>
      <c r="D160" s="1120"/>
      <c r="E160" s="1015">
        <f t="shared" si="2"/>
        <v>0</v>
      </c>
      <c r="F160" s="1201"/>
      <c r="G160" s="90"/>
    </row>
    <row r="161" spans="1:7" ht="15" customHeight="1">
      <c r="A161" s="680"/>
      <c r="B161" s="1200"/>
      <c r="C161" s="1120"/>
      <c r="D161" s="1120"/>
      <c r="E161" s="1015">
        <f t="shared" si="2"/>
        <v>0</v>
      </c>
      <c r="F161" s="1201"/>
      <c r="G161" s="90"/>
    </row>
    <row r="162" spans="1:7" ht="15" customHeight="1">
      <c r="A162" s="680"/>
      <c r="B162" s="1200"/>
      <c r="C162" s="1120"/>
      <c r="D162" s="1120"/>
      <c r="E162" s="1015">
        <f t="shared" si="2"/>
        <v>0</v>
      </c>
      <c r="F162" s="1201"/>
      <c r="G162" s="90"/>
    </row>
    <row r="163" spans="1:7" ht="15" customHeight="1">
      <c r="A163" s="680"/>
      <c r="B163" s="1200"/>
      <c r="C163" s="1120"/>
      <c r="D163" s="1120"/>
      <c r="E163" s="1015">
        <f t="shared" si="2"/>
        <v>0</v>
      </c>
      <c r="F163" s="1201"/>
      <c r="G163" s="90"/>
    </row>
    <row r="164" spans="1:7" ht="15" customHeight="1">
      <c r="A164" s="680"/>
      <c r="B164" s="1200"/>
      <c r="C164" s="1120"/>
      <c r="D164" s="1120"/>
      <c r="E164" s="1015">
        <f t="shared" si="2"/>
        <v>0</v>
      </c>
      <c r="F164" s="1201"/>
      <c r="G164" s="90"/>
    </row>
    <row r="165" spans="1:7" ht="15" customHeight="1">
      <c r="A165" s="680"/>
      <c r="B165" s="1200"/>
      <c r="C165" s="1120"/>
      <c r="D165" s="1120"/>
      <c r="E165" s="1015">
        <f t="shared" si="2"/>
        <v>0</v>
      </c>
      <c r="F165" s="1201"/>
      <c r="G165" s="90"/>
    </row>
    <row r="166" spans="1:7" ht="15" customHeight="1">
      <c r="A166" s="680"/>
      <c r="B166" s="1200"/>
      <c r="C166" s="1120"/>
      <c r="D166" s="1120"/>
      <c r="E166" s="1015">
        <f t="shared" si="2"/>
        <v>0</v>
      </c>
      <c r="F166" s="1201"/>
      <c r="G166" s="90"/>
    </row>
    <row r="167" spans="1:7" ht="15" customHeight="1">
      <c r="A167" s="680"/>
      <c r="B167" s="1200"/>
      <c r="C167" s="1120"/>
      <c r="D167" s="1120"/>
      <c r="E167" s="1015">
        <f t="shared" si="2"/>
        <v>0</v>
      </c>
      <c r="F167" s="1201"/>
      <c r="G167" s="90"/>
    </row>
    <row r="168" spans="1:7" ht="15" customHeight="1">
      <c r="A168" s="680"/>
      <c r="B168" s="1200"/>
      <c r="C168" s="1120"/>
      <c r="D168" s="1120"/>
      <c r="E168" s="1015">
        <f t="shared" si="2"/>
        <v>0</v>
      </c>
      <c r="F168" s="1201"/>
      <c r="G168" s="90"/>
    </row>
    <row r="169" spans="1:7" ht="15" customHeight="1">
      <c r="A169" s="680"/>
      <c r="B169" s="1200"/>
      <c r="C169" s="1120"/>
      <c r="D169" s="1120"/>
      <c r="E169" s="1015">
        <f t="shared" si="2"/>
        <v>0</v>
      </c>
      <c r="F169" s="1201"/>
      <c r="G169" s="90"/>
    </row>
    <row r="170" spans="1:7" ht="15" customHeight="1">
      <c r="A170" s="680"/>
      <c r="B170" s="1200"/>
      <c r="C170" s="1120"/>
      <c r="D170" s="1120"/>
      <c r="E170" s="1015">
        <f t="shared" si="2"/>
        <v>0</v>
      </c>
      <c r="F170" s="1201"/>
      <c r="G170" s="90"/>
    </row>
    <row r="171" spans="1:7" ht="15" customHeight="1">
      <c r="A171" s="680"/>
      <c r="B171" s="1200"/>
      <c r="C171" s="1120"/>
      <c r="D171" s="1120"/>
      <c r="E171" s="1015">
        <f t="shared" si="2"/>
        <v>0</v>
      </c>
      <c r="F171" s="1201"/>
      <c r="G171" s="90"/>
    </row>
    <row r="172" spans="1:7" ht="15" customHeight="1">
      <c r="A172" s="680"/>
      <c r="B172" s="1200"/>
      <c r="C172" s="1120"/>
      <c r="D172" s="1120"/>
      <c r="E172" s="1015">
        <f t="shared" si="2"/>
        <v>0</v>
      </c>
      <c r="F172" s="1201"/>
      <c r="G172" s="90"/>
    </row>
    <row r="173" spans="1:7" ht="15" customHeight="1">
      <c r="A173" s="680"/>
      <c r="B173" s="1200"/>
      <c r="C173" s="1120"/>
      <c r="D173" s="1120"/>
      <c r="E173" s="1015">
        <f t="shared" si="2"/>
        <v>0</v>
      </c>
      <c r="F173" s="1201"/>
      <c r="G173" s="90"/>
    </row>
    <row r="174" spans="1:7" ht="15" customHeight="1">
      <c r="A174" s="680"/>
      <c r="B174" s="1200"/>
      <c r="C174" s="1120"/>
      <c r="D174" s="1120"/>
      <c r="E174" s="1015">
        <f t="shared" si="2"/>
        <v>0</v>
      </c>
      <c r="F174" s="1201"/>
      <c r="G174" s="90"/>
    </row>
    <row r="175" spans="1:7" ht="15" customHeight="1">
      <c r="A175" s="680"/>
      <c r="B175" s="1200"/>
      <c r="C175" s="1120"/>
      <c r="D175" s="1120"/>
      <c r="E175" s="1015">
        <f t="shared" si="2"/>
        <v>0</v>
      </c>
      <c r="F175" s="1201"/>
      <c r="G175" s="90"/>
    </row>
    <row r="176" spans="1:7" ht="15" customHeight="1">
      <c r="A176" s="680"/>
      <c r="B176" s="1200"/>
      <c r="C176" s="1120"/>
      <c r="D176" s="1120"/>
      <c r="E176" s="1015">
        <f t="shared" si="2"/>
        <v>0</v>
      </c>
      <c r="F176" s="1201"/>
      <c r="G176" s="90"/>
    </row>
    <row r="177" spans="1:7" ht="15" customHeight="1">
      <c r="A177" s="680"/>
      <c r="B177" s="1200"/>
      <c r="C177" s="1120"/>
      <c r="D177" s="1120"/>
      <c r="E177" s="1015">
        <f t="shared" si="2"/>
        <v>0</v>
      </c>
      <c r="F177" s="1201"/>
      <c r="G177" s="90"/>
    </row>
    <row r="178" spans="1:7" ht="15" customHeight="1">
      <c r="A178" s="680"/>
      <c r="B178" s="1200"/>
      <c r="C178" s="1120"/>
      <c r="D178" s="1120"/>
      <c r="E178" s="1015">
        <f t="shared" si="2"/>
        <v>0</v>
      </c>
      <c r="F178" s="1201"/>
      <c r="G178" s="90"/>
    </row>
    <row r="179" spans="1:7" ht="15" customHeight="1">
      <c r="A179" s="680"/>
      <c r="B179" s="1200"/>
      <c r="C179" s="1120"/>
      <c r="D179" s="1120"/>
      <c r="E179" s="1015">
        <f t="shared" si="2"/>
        <v>0</v>
      </c>
      <c r="F179" s="1201"/>
      <c r="G179" s="90"/>
    </row>
    <row r="180" spans="1:7" ht="15" customHeight="1">
      <c r="A180" s="680"/>
      <c r="B180" s="1200"/>
      <c r="C180" s="1120"/>
      <c r="D180" s="1120"/>
      <c r="E180" s="1015">
        <f t="shared" si="2"/>
        <v>0</v>
      </c>
      <c r="F180" s="1201"/>
      <c r="G180" s="90"/>
    </row>
    <row r="181" spans="1:7" ht="15" customHeight="1">
      <c r="A181" s="680"/>
      <c r="B181" s="1200"/>
      <c r="C181" s="1120"/>
      <c r="D181" s="1120"/>
      <c r="E181" s="1015">
        <f t="shared" si="2"/>
        <v>0</v>
      </c>
      <c r="F181" s="1201"/>
      <c r="G181" s="90"/>
    </row>
    <row r="182" spans="1:7" ht="15" customHeight="1">
      <c r="A182" s="680"/>
      <c r="B182" s="1200"/>
      <c r="C182" s="1120"/>
      <c r="D182" s="1120"/>
      <c r="E182" s="1015">
        <f t="shared" si="2"/>
        <v>0</v>
      </c>
      <c r="F182" s="1201"/>
      <c r="G182" s="90"/>
    </row>
    <row r="183" spans="1:7" ht="15" customHeight="1">
      <c r="A183" s="680"/>
      <c r="B183" s="1200"/>
      <c r="C183" s="1120"/>
      <c r="D183" s="1120"/>
      <c r="E183" s="1015">
        <f t="shared" si="2"/>
        <v>0</v>
      </c>
      <c r="F183" s="1201"/>
      <c r="G183" s="90"/>
    </row>
    <row r="184" spans="1:7" ht="15" customHeight="1">
      <c r="A184" s="680"/>
      <c r="B184" s="1200"/>
      <c r="C184" s="1120"/>
      <c r="D184" s="1120"/>
      <c r="E184" s="1015">
        <f t="shared" si="2"/>
        <v>0</v>
      </c>
      <c r="F184" s="1201"/>
      <c r="G184" s="90"/>
    </row>
    <row r="185" spans="1:7" ht="15" customHeight="1">
      <c r="A185" s="680"/>
      <c r="B185" s="1200"/>
      <c r="C185" s="1120"/>
      <c r="D185" s="1120"/>
      <c r="E185" s="1015">
        <f t="shared" si="2"/>
        <v>0</v>
      </c>
      <c r="F185" s="1201"/>
      <c r="G185" s="90"/>
    </row>
    <row r="186" spans="1:7" ht="15" customHeight="1">
      <c r="A186" s="680"/>
      <c r="B186" s="1200"/>
      <c r="C186" s="1120"/>
      <c r="D186" s="1120"/>
      <c r="E186" s="1015">
        <f t="shared" si="2"/>
        <v>0</v>
      </c>
      <c r="F186" s="1201"/>
      <c r="G186" s="90"/>
    </row>
    <row r="187" spans="1:7" ht="15" customHeight="1">
      <c r="A187" s="680"/>
      <c r="B187" s="1200"/>
      <c r="C187" s="1120"/>
      <c r="D187" s="1120"/>
      <c r="E187" s="1015">
        <f t="shared" si="2"/>
        <v>0</v>
      </c>
      <c r="F187" s="1201"/>
      <c r="G187" s="90"/>
    </row>
    <row r="188" spans="1:7" ht="15" customHeight="1">
      <c r="A188" s="680"/>
      <c r="B188" s="1200"/>
      <c r="C188" s="1120"/>
      <c r="D188" s="1120"/>
      <c r="E188" s="1015">
        <f t="shared" si="2"/>
        <v>0</v>
      </c>
      <c r="F188" s="1201"/>
      <c r="G188" s="90"/>
    </row>
    <row r="189" spans="1:7" ht="15" customHeight="1">
      <c r="A189" s="680"/>
      <c r="B189" s="1200"/>
      <c r="C189" s="1120"/>
      <c r="D189" s="1120"/>
      <c r="E189" s="1015">
        <f t="shared" si="2"/>
        <v>0</v>
      </c>
      <c r="F189" s="1201"/>
      <c r="G189" s="90"/>
    </row>
    <row r="190" spans="1:7" ht="15" customHeight="1">
      <c r="A190" s="680"/>
      <c r="B190" s="1200"/>
      <c r="C190" s="1120"/>
      <c r="D190" s="1120"/>
      <c r="E190" s="1015">
        <f t="shared" si="2"/>
        <v>0</v>
      </c>
      <c r="F190" s="1201"/>
      <c r="G190" s="90"/>
    </row>
    <row r="191" spans="1:7" ht="15" customHeight="1">
      <c r="A191" s="680"/>
      <c r="B191" s="1200"/>
      <c r="C191" s="1120"/>
      <c r="D191" s="1120"/>
      <c r="E191" s="1015">
        <f t="shared" si="2"/>
        <v>0</v>
      </c>
      <c r="F191" s="1201"/>
      <c r="G191" s="90"/>
    </row>
    <row r="192" spans="1:7" ht="15" customHeight="1">
      <c r="A192" s="680"/>
      <c r="B192" s="1200"/>
      <c r="C192" s="1120"/>
      <c r="D192" s="1120"/>
      <c r="E192" s="1015">
        <f t="shared" si="2"/>
        <v>0</v>
      </c>
      <c r="F192" s="1201"/>
      <c r="G192" s="90"/>
    </row>
    <row r="193" spans="1:7" ht="15" customHeight="1">
      <c r="A193" s="680"/>
      <c r="B193" s="1200"/>
      <c r="C193" s="1120"/>
      <c r="D193" s="1120"/>
      <c r="E193" s="1015">
        <f t="shared" si="2"/>
        <v>0</v>
      </c>
      <c r="F193" s="1201"/>
      <c r="G193" s="90"/>
    </row>
    <row r="194" spans="1:7" ht="15" customHeight="1">
      <c r="A194" s="680"/>
      <c r="B194" s="1200"/>
      <c r="C194" s="1120"/>
      <c r="D194" s="1120"/>
      <c r="E194" s="1015">
        <f t="shared" si="2"/>
        <v>0</v>
      </c>
      <c r="F194" s="1201"/>
      <c r="G194" s="90"/>
    </row>
    <row r="195" spans="1:7" ht="15" customHeight="1">
      <c r="A195" s="680"/>
      <c r="B195" s="1200"/>
      <c r="C195" s="1120"/>
      <c r="D195" s="1120"/>
      <c r="E195" s="1015">
        <f t="shared" si="2"/>
        <v>0</v>
      </c>
      <c r="F195" s="1201"/>
      <c r="G195" s="90"/>
    </row>
    <row r="196" spans="1:7" ht="15" customHeight="1">
      <c r="A196" s="680"/>
      <c r="B196" s="1200"/>
      <c r="C196" s="1120"/>
      <c r="D196" s="1120"/>
      <c r="E196" s="1015">
        <f t="shared" si="2"/>
        <v>0</v>
      </c>
      <c r="F196" s="1201"/>
      <c r="G196" s="90"/>
    </row>
    <row r="197" spans="1:7" ht="15" customHeight="1">
      <c r="A197" s="680"/>
      <c r="B197" s="1200"/>
      <c r="C197" s="1120"/>
      <c r="D197" s="1120"/>
      <c r="E197" s="1015">
        <f t="shared" si="2"/>
        <v>0</v>
      </c>
      <c r="F197" s="1201"/>
      <c r="G197" s="90"/>
    </row>
    <row r="198" spans="1:7" ht="15" customHeight="1">
      <c r="A198" s="680"/>
      <c r="B198" s="1200"/>
      <c r="C198" s="1120"/>
      <c r="D198" s="1120"/>
      <c r="E198" s="1015">
        <f t="shared" si="2"/>
        <v>0</v>
      </c>
      <c r="F198" s="1201"/>
      <c r="G198" s="90"/>
    </row>
    <row r="199" spans="1:7" ht="15" customHeight="1">
      <c r="A199" s="680"/>
      <c r="B199" s="1200"/>
      <c r="C199" s="1120"/>
      <c r="D199" s="1120"/>
      <c r="E199" s="1015">
        <f t="shared" si="2"/>
        <v>0</v>
      </c>
      <c r="F199" s="1201"/>
      <c r="G199" s="90"/>
    </row>
    <row r="200" spans="1:7" ht="15" customHeight="1">
      <c r="A200" s="680"/>
      <c r="B200" s="1200"/>
      <c r="C200" s="1120"/>
      <c r="D200" s="1120"/>
      <c r="E200" s="1015">
        <f t="shared" si="2"/>
        <v>0</v>
      </c>
      <c r="F200" s="1201"/>
      <c r="G200" s="90"/>
    </row>
    <row r="201" spans="1:7" ht="15" customHeight="1">
      <c r="A201" s="680"/>
      <c r="B201" s="1200"/>
      <c r="C201" s="1120"/>
      <c r="D201" s="1120"/>
      <c r="E201" s="1015">
        <f t="shared" si="2"/>
        <v>0</v>
      </c>
      <c r="F201" s="1201"/>
      <c r="G201" s="90"/>
    </row>
    <row r="202" spans="1:7" ht="15" customHeight="1">
      <c r="A202" s="680"/>
      <c r="B202" s="1200"/>
      <c r="C202" s="1120"/>
      <c r="D202" s="1120"/>
      <c r="E202" s="1015">
        <f t="shared" si="2"/>
        <v>0</v>
      </c>
      <c r="F202" s="1201"/>
      <c r="G202" s="90"/>
    </row>
    <row r="203" spans="1:7" ht="15" customHeight="1">
      <c r="A203" s="680"/>
      <c r="B203" s="1200"/>
      <c r="C203" s="1120"/>
      <c r="D203" s="1120"/>
      <c r="E203" s="1015">
        <f t="shared" si="2"/>
        <v>0</v>
      </c>
      <c r="F203" s="1201"/>
      <c r="G203" s="90"/>
    </row>
    <row r="204" spans="1:7" ht="15" customHeight="1">
      <c r="A204" s="680"/>
      <c r="B204" s="1200"/>
      <c r="C204" s="1120"/>
      <c r="D204" s="1120"/>
      <c r="E204" s="1015">
        <f t="shared" si="2"/>
        <v>0</v>
      </c>
      <c r="F204" s="1201"/>
      <c r="G204" s="90"/>
    </row>
    <row r="205" spans="1:7" ht="15" customHeight="1">
      <c r="A205" s="680"/>
      <c r="B205" s="1200"/>
      <c r="C205" s="1120"/>
      <c r="D205" s="1120"/>
      <c r="E205" s="1015">
        <f t="shared" si="2"/>
        <v>0</v>
      </c>
      <c r="F205" s="1201"/>
      <c r="G205" s="90"/>
    </row>
    <row r="206" spans="1:7" ht="15" customHeight="1">
      <c r="A206" s="680"/>
      <c r="B206" s="1200"/>
      <c r="C206" s="1120"/>
      <c r="D206" s="1120"/>
      <c r="E206" s="1015">
        <f t="shared" si="2"/>
        <v>0</v>
      </c>
      <c r="F206" s="1201"/>
      <c r="G206" s="90"/>
    </row>
    <row r="207" spans="1:7" ht="15" customHeight="1">
      <c r="A207" s="680"/>
      <c r="B207" s="1200"/>
      <c r="C207" s="1120"/>
      <c r="D207" s="1120"/>
      <c r="E207" s="1015">
        <f t="shared" ref="E207:E270" si="3">C207-B207+D207</f>
        <v>0</v>
      </c>
      <c r="F207" s="1201"/>
      <c r="G207" s="90"/>
    </row>
    <row r="208" spans="1:7" ht="15" customHeight="1">
      <c r="A208" s="680"/>
      <c r="B208" s="1200"/>
      <c r="C208" s="1120"/>
      <c r="D208" s="1120"/>
      <c r="E208" s="1015">
        <f t="shared" si="3"/>
        <v>0</v>
      </c>
      <c r="F208" s="1201"/>
      <c r="G208" s="90"/>
    </row>
    <row r="209" spans="1:7" ht="15" customHeight="1">
      <c r="A209" s="680"/>
      <c r="B209" s="1200"/>
      <c r="C209" s="1120"/>
      <c r="D209" s="1120"/>
      <c r="E209" s="1015">
        <f t="shared" si="3"/>
        <v>0</v>
      </c>
      <c r="F209" s="1201"/>
      <c r="G209" s="90"/>
    </row>
    <row r="210" spans="1:7" ht="15" customHeight="1">
      <c r="A210" s="680"/>
      <c r="B210" s="1200"/>
      <c r="C210" s="1120"/>
      <c r="D210" s="1120"/>
      <c r="E210" s="1015">
        <f t="shared" si="3"/>
        <v>0</v>
      </c>
      <c r="F210" s="1201"/>
      <c r="G210" s="90"/>
    </row>
    <row r="211" spans="1:7" ht="15" customHeight="1">
      <c r="A211" s="680"/>
      <c r="B211" s="1200"/>
      <c r="C211" s="1120"/>
      <c r="D211" s="1120"/>
      <c r="E211" s="1015">
        <f t="shared" si="3"/>
        <v>0</v>
      </c>
      <c r="F211" s="1201"/>
      <c r="G211" s="90"/>
    </row>
    <row r="212" spans="1:7" ht="15" customHeight="1">
      <c r="A212" s="680"/>
      <c r="B212" s="1200"/>
      <c r="C212" s="1120"/>
      <c r="D212" s="1120"/>
      <c r="E212" s="1015">
        <f t="shared" si="3"/>
        <v>0</v>
      </c>
      <c r="F212" s="1201"/>
      <c r="G212" s="90"/>
    </row>
    <row r="213" spans="1:7" ht="15" customHeight="1">
      <c r="A213" s="680"/>
      <c r="B213" s="1200"/>
      <c r="C213" s="1120"/>
      <c r="D213" s="1120"/>
      <c r="E213" s="1015">
        <f t="shared" si="3"/>
        <v>0</v>
      </c>
      <c r="F213" s="1201"/>
      <c r="G213" s="90"/>
    </row>
    <row r="214" spans="1:7" ht="15" customHeight="1">
      <c r="A214" s="680"/>
      <c r="B214" s="1200"/>
      <c r="C214" s="1120"/>
      <c r="D214" s="1120"/>
      <c r="E214" s="1015">
        <f t="shared" si="3"/>
        <v>0</v>
      </c>
      <c r="F214" s="1201"/>
      <c r="G214" s="90"/>
    </row>
    <row r="215" spans="1:7" ht="15" customHeight="1">
      <c r="A215" s="680"/>
      <c r="B215" s="1200"/>
      <c r="C215" s="1120"/>
      <c r="D215" s="1120"/>
      <c r="E215" s="1015">
        <f t="shared" si="3"/>
        <v>0</v>
      </c>
      <c r="F215" s="1201"/>
      <c r="G215" s="90"/>
    </row>
    <row r="216" spans="1:7" ht="15" customHeight="1">
      <c r="A216" s="680"/>
      <c r="B216" s="1200"/>
      <c r="C216" s="1120"/>
      <c r="D216" s="1120"/>
      <c r="E216" s="1015">
        <f t="shared" si="3"/>
        <v>0</v>
      </c>
      <c r="F216" s="1201"/>
      <c r="G216" s="90"/>
    </row>
    <row r="217" spans="1:7" ht="15" customHeight="1">
      <c r="A217" s="680"/>
      <c r="B217" s="1200"/>
      <c r="C217" s="1120"/>
      <c r="D217" s="1120"/>
      <c r="E217" s="1015">
        <f t="shared" si="3"/>
        <v>0</v>
      </c>
      <c r="F217" s="1201"/>
      <c r="G217" s="90"/>
    </row>
    <row r="218" spans="1:7" ht="15" customHeight="1">
      <c r="A218" s="680"/>
      <c r="B218" s="1200"/>
      <c r="C218" s="1120"/>
      <c r="D218" s="1120"/>
      <c r="E218" s="1015">
        <f t="shared" si="3"/>
        <v>0</v>
      </c>
      <c r="F218" s="1201"/>
      <c r="G218" s="90"/>
    </row>
    <row r="219" spans="1:7" ht="15" customHeight="1">
      <c r="A219" s="680"/>
      <c r="B219" s="1200"/>
      <c r="C219" s="1120"/>
      <c r="D219" s="1120"/>
      <c r="E219" s="1015">
        <f t="shared" si="3"/>
        <v>0</v>
      </c>
      <c r="F219" s="1201"/>
      <c r="G219" s="90"/>
    </row>
    <row r="220" spans="1:7" ht="15" customHeight="1">
      <c r="A220" s="680"/>
      <c r="B220" s="1200"/>
      <c r="C220" s="1120"/>
      <c r="D220" s="1120"/>
      <c r="E220" s="1015">
        <f t="shared" si="3"/>
        <v>0</v>
      </c>
      <c r="F220" s="1201"/>
      <c r="G220" s="90"/>
    </row>
    <row r="221" spans="1:7" ht="15" customHeight="1">
      <c r="A221" s="680"/>
      <c r="B221" s="1200"/>
      <c r="C221" s="1120"/>
      <c r="D221" s="1120"/>
      <c r="E221" s="1015">
        <f t="shared" si="3"/>
        <v>0</v>
      </c>
      <c r="F221" s="1201"/>
      <c r="G221" s="90"/>
    </row>
    <row r="222" spans="1:7" ht="15" customHeight="1">
      <c r="A222" s="680"/>
      <c r="B222" s="1200"/>
      <c r="C222" s="1120"/>
      <c r="D222" s="1120"/>
      <c r="E222" s="1015">
        <f t="shared" si="3"/>
        <v>0</v>
      </c>
      <c r="F222" s="1201"/>
      <c r="G222" s="90"/>
    </row>
    <row r="223" spans="1:7" ht="15" customHeight="1">
      <c r="A223" s="680"/>
      <c r="B223" s="1200"/>
      <c r="C223" s="1120"/>
      <c r="D223" s="1120"/>
      <c r="E223" s="1015">
        <f t="shared" si="3"/>
        <v>0</v>
      </c>
      <c r="F223" s="1201"/>
      <c r="G223" s="90"/>
    </row>
    <row r="224" spans="1:7" ht="15" customHeight="1">
      <c r="A224" s="680"/>
      <c r="B224" s="1200"/>
      <c r="C224" s="1120"/>
      <c r="D224" s="1120"/>
      <c r="E224" s="1015">
        <f t="shared" si="3"/>
        <v>0</v>
      </c>
      <c r="F224" s="1201"/>
      <c r="G224" s="90"/>
    </row>
    <row r="225" spans="1:7" ht="15" customHeight="1">
      <c r="A225" s="680"/>
      <c r="B225" s="1200"/>
      <c r="C225" s="1120"/>
      <c r="D225" s="1120"/>
      <c r="E225" s="1015">
        <f t="shared" si="3"/>
        <v>0</v>
      </c>
      <c r="F225" s="1201"/>
      <c r="G225" s="90"/>
    </row>
    <row r="226" spans="1:7" ht="15" customHeight="1">
      <c r="A226" s="680"/>
      <c r="B226" s="1200"/>
      <c r="C226" s="1120"/>
      <c r="D226" s="1120"/>
      <c r="E226" s="1015">
        <f t="shared" si="3"/>
        <v>0</v>
      </c>
      <c r="F226" s="1201"/>
      <c r="G226" s="90"/>
    </row>
    <row r="227" spans="1:7" ht="15" customHeight="1">
      <c r="A227" s="680"/>
      <c r="B227" s="1200"/>
      <c r="C227" s="1120"/>
      <c r="D227" s="1120"/>
      <c r="E227" s="1015">
        <f t="shared" si="3"/>
        <v>0</v>
      </c>
      <c r="F227" s="1201"/>
      <c r="G227" s="90"/>
    </row>
    <row r="228" spans="1:7" ht="15" customHeight="1">
      <c r="A228" s="680"/>
      <c r="B228" s="1200"/>
      <c r="C228" s="1120"/>
      <c r="D228" s="1120"/>
      <c r="E228" s="1015">
        <f t="shared" si="3"/>
        <v>0</v>
      </c>
      <c r="F228" s="1201"/>
      <c r="G228" s="90"/>
    </row>
    <row r="229" spans="1:7" ht="15" customHeight="1">
      <c r="A229" s="680"/>
      <c r="B229" s="1200"/>
      <c r="C229" s="1120"/>
      <c r="D229" s="1120"/>
      <c r="E229" s="1015">
        <f t="shared" si="3"/>
        <v>0</v>
      </c>
      <c r="F229" s="1201"/>
      <c r="G229" s="90"/>
    </row>
    <row r="230" spans="1:7" ht="15" customHeight="1">
      <c r="A230" s="680"/>
      <c r="B230" s="1200"/>
      <c r="C230" s="1120"/>
      <c r="D230" s="1120"/>
      <c r="E230" s="1015">
        <f t="shared" si="3"/>
        <v>0</v>
      </c>
      <c r="F230" s="1201"/>
      <c r="G230" s="90"/>
    </row>
    <row r="231" spans="1:7" ht="15" customHeight="1">
      <c r="A231" s="680"/>
      <c r="B231" s="1200"/>
      <c r="C231" s="1120"/>
      <c r="D231" s="1120"/>
      <c r="E231" s="1015">
        <f t="shared" si="3"/>
        <v>0</v>
      </c>
      <c r="F231" s="1201"/>
      <c r="G231" s="90"/>
    </row>
    <row r="232" spans="1:7" ht="15" customHeight="1">
      <c r="A232" s="680"/>
      <c r="B232" s="1200"/>
      <c r="C232" s="1120"/>
      <c r="D232" s="1120"/>
      <c r="E232" s="1015">
        <f t="shared" si="3"/>
        <v>0</v>
      </c>
      <c r="F232" s="1201"/>
      <c r="G232" s="90"/>
    </row>
    <row r="233" spans="1:7" ht="15" customHeight="1">
      <c r="A233" s="680"/>
      <c r="B233" s="1200"/>
      <c r="C233" s="1120"/>
      <c r="D233" s="1120"/>
      <c r="E233" s="1015">
        <f t="shared" si="3"/>
        <v>0</v>
      </c>
      <c r="F233" s="1201"/>
      <c r="G233" s="90"/>
    </row>
    <row r="234" spans="1:7" ht="15" customHeight="1">
      <c r="A234" s="680"/>
      <c r="B234" s="1200"/>
      <c r="C234" s="1120"/>
      <c r="D234" s="1120"/>
      <c r="E234" s="1015">
        <f t="shared" si="3"/>
        <v>0</v>
      </c>
      <c r="F234" s="1201"/>
      <c r="G234" s="90"/>
    </row>
    <row r="235" spans="1:7" ht="15" customHeight="1">
      <c r="A235" s="680"/>
      <c r="B235" s="1200"/>
      <c r="C235" s="1120"/>
      <c r="D235" s="1120"/>
      <c r="E235" s="1015">
        <f t="shared" si="3"/>
        <v>0</v>
      </c>
      <c r="F235" s="1201"/>
      <c r="G235" s="90"/>
    </row>
    <row r="236" spans="1:7" ht="15" customHeight="1">
      <c r="A236" s="680"/>
      <c r="B236" s="1200"/>
      <c r="C236" s="1120"/>
      <c r="D236" s="1120"/>
      <c r="E236" s="1015">
        <f t="shared" si="3"/>
        <v>0</v>
      </c>
      <c r="F236" s="1201"/>
      <c r="G236" s="90"/>
    </row>
    <row r="237" spans="1:7" ht="15" customHeight="1">
      <c r="A237" s="680"/>
      <c r="B237" s="1200"/>
      <c r="C237" s="1120"/>
      <c r="D237" s="1120"/>
      <c r="E237" s="1015">
        <f t="shared" si="3"/>
        <v>0</v>
      </c>
      <c r="F237" s="1201"/>
      <c r="G237" s="90"/>
    </row>
    <row r="238" spans="1:7" ht="15" customHeight="1">
      <c r="A238" s="680"/>
      <c r="B238" s="1200"/>
      <c r="C238" s="1120"/>
      <c r="D238" s="1120"/>
      <c r="E238" s="1015">
        <f t="shared" si="3"/>
        <v>0</v>
      </c>
      <c r="F238" s="1201"/>
      <c r="G238" s="90"/>
    </row>
    <row r="239" spans="1:7" ht="15" customHeight="1">
      <c r="A239" s="680"/>
      <c r="B239" s="1200"/>
      <c r="C239" s="1120"/>
      <c r="D239" s="1120"/>
      <c r="E239" s="1015">
        <f t="shared" si="3"/>
        <v>0</v>
      </c>
      <c r="F239" s="1201"/>
      <c r="G239" s="90"/>
    </row>
    <row r="240" spans="1:7" ht="15" customHeight="1">
      <c r="A240" s="680"/>
      <c r="B240" s="1200"/>
      <c r="C240" s="1120"/>
      <c r="D240" s="1120"/>
      <c r="E240" s="1015">
        <f t="shared" si="3"/>
        <v>0</v>
      </c>
      <c r="F240" s="1201"/>
      <c r="G240" s="90"/>
    </row>
    <row r="241" spans="1:7" ht="15" customHeight="1">
      <c r="A241" s="680"/>
      <c r="B241" s="1200"/>
      <c r="C241" s="1120"/>
      <c r="D241" s="1120"/>
      <c r="E241" s="1015">
        <f t="shared" si="3"/>
        <v>0</v>
      </c>
      <c r="F241" s="1201"/>
      <c r="G241" s="90"/>
    </row>
    <row r="242" spans="1:7" ht="15" customHeight="1">
      <c r="A242" s="680"/>
      <c r="B242" s="1200"/>
      <c r="C242" s="1120"/>
      <c r="D242" s="1120"/>
      <c r="E242" s="1015">
        <f t="shared" si="3"/>
        <v>0</v>
      </c>
      <c r="F242" s="1201"/>
      <c r="G242" s="90"/>
    </row>
    <row r="243" spans="1:7" ht="15" customHeight="1">
      <c r="A243" s="680"/>
      <c r="B243" s="1200"/>
      <c r="C243" s="1120"/>
      <c r="D243" s="1120"/>
      <c r="E243" s="1015">
        <f t="shared" si="3"/>
        <v>0</v>
      </c>
      <c r="F243" s="1201"/>
      <c r="G243" s="90"/>
    </row>
    <row r="244" spans="1:7" ht="15" customHeight="1">
      <c r="A244" s="680"/>
      <c r="B244" s="1200"/>
      <c r="C244" s="1120"/>
      <c r="D244" s="1120"/>
      <c r="E244" s="1015">
        <f t="shared" si="3"/>
        <v>0</v>
      </c>
      <c r="F244" s="1201"/>
      <c r="G244" s="90"/>
    </row>
    <row r="245" spans="1:7" ht="15" customHeight="1">
      <c r="A245" s="680"/>
      <c r="B245" s="1200"/>
      <c r="C245" s="1120"/>
      <c r="D245" s="1120"/>
      <c r="E245" s="1015">
        <f t="shared" si="3"/>
        <v>0</v>
      </c>
      <c r="F245" s="1201"/>
      <c r="G245" s="90"/>
    </row>
    <row r="246" spans="1:7" ht="15" customHeight="1">
      <c r="A246" s="680"/>
      <c r="B246" s="1200"/>
      <c r="C246" s="1120"/>
      <c r="D246" s="1120"/>
      <c r="E246" s="1015">
        <f t="shared" si="3"/>
        <v>0</v>
      </c>
      <c r="F246" s="1201"/>
      <c r="G246" s="90"/>
    </row>
    <row r="247" spans="1:7" ht="15" customHeight="1">
      <c r="A247" s="680"/>
      <c r="B247" s="1200"/>
      <c r="C247" s="1120"/>
      <c r="D247" s="1120"/>
      <c r="E247" s="1015">
        <f t="shared" si="3"/>
        <v>0</v>
      </c>
      <c r="F247" s="1201"/>
      <c r="G247" s="90"/>
    </row>
    <row r="248" spans="1:7" ht="15" customHeight="1">
      <c r="A248" s="680"/>
      <c r="B248" s="1200"/>
      <c r="C248" s="1120"/>
      <c r="D248" s="1120"/>
      <c r="E248" s="1015">
        <f t="shared" si="3"/>
        <v>0</v>
      </c>
      <c r="F248" s="1201"/>
      <c r="G248" s="90"/>
    </row>
    <row r="249" spans="1:7" ht="15" customHeight="1">
      <c r="A249" s="680"/>
      <c r="B249" s="1200"/>
      <c r="C249" s="1120"/>
      <c r="D249" s="1120"/>
      <c r="E249" s="1015">
        <f t="shared" si="3"/>
        <v>0</v>
      </c>
      <c r="F249" s="1201"/>
      <c r="G249" s="90"/>
    </row>
    <row r="250" spans="1:7" ht="15" customHeight="1">
      <c r="A250" s="680"/>
      <c r="B250" s="1200"/>
      <c r="C250" s="1120"/>
      <c r="D250" s="1120"/>
      <c r="E250" s="1015">
        <f t="shared" si="3"/>
        <v>0</v>
      </c>
      <c r="F250" s="1201"/>
      <c r="G250" s="90"/>
    </row>
    <row r="251" spans="1:7" ht="15" customHeight="1">
      <c r="A251" s="680"/>
      <c r="B251" s="1200"/>
      <c r="C251" s="1120"/>
      <c r="D251" s="1120"/>
      <c r="E251" s="1015">
        <f t="shared" si="3"/>
        <v>0</v>
      </c>
      <c r="F251" s="1201"/>
      <c r="G251" s="90"/>
    </row>
    <row r="252" spans="1:7" ht="15" customHeight="1">
      <c r="A252" s="680"/>
      <c r="B252" s="1200"/>
      <c r="C252" s="1120"/>
      <c r="D252" s="1120"/>
      <c r="E252" s="1015">
        <f t="shared" si="3"/>
        <v>0</v>
      </c>
      <c r="F252" s="1201"/>
      <c r="G252" s="90"/>
    </row>
    <row r="253" spans="1:7" ht="15" customHeight="1">
      <c r="A253" s="680"/>
      <c r="B253" s="1200"/>
      <c r="C253" s="1120"/>
      <c r="D253" s="1120"/>
      <c r="E253" s="1015">
        <f t="shared" si="3"/>
        <v>0</v>
      </c>
      <c r="F253" s="1201"/>
      <c r="G253" s="90"/>
    </row>
    <row r="254" spans="1:7" ht="15" customHeight="1">
      <c r="A254" s="680"/>
      <c r="B254" s="1200"/>
      <c r="C254" s="1120"/>
      <c r="D254" s="1120"/>
      <c r="E254" s="1015">
        <f t="shared" si="3"/>
        <v>0</v>
      </c>
      <c r="F254" s="1201"/>
      <c r="G254" s="90"/>
    </row>
    <row r="255" spans="1:7" ht="15" customHeight="1">
      <c r="A255" s="680"/>
      <c r="B255" s="1200"/>
      <c r="C255" s="1120"/>
      <c r="D255" s="1120"/>
      <c r="E255" s="1015">
        <f t="shared" si="3"/>
        <v>0</v>
      </c>
      <c r="F255" s="1201"/>
      <c r="G255" s="90"/>
    </row>
    <row r="256" spans="1:7" ht="15" customHeight="1">
      <c r="A256" s="680"/>
      <c r="B256" s="1200"/>
      <c r="C256" s="1120"/>
      <c r="D256" s="1120"/>
      <c r="E256" s="1015">
        <f t="shared" si="3"/>
        <v>0</v>
      </c>
      <c r="F256" s="1201"/>
      <c r="G256" s="90"/>
    </row>
    <row r="257" spans="1:7" ht="15" customHeight="1">
      <c r="A257" s="680"/>
      <c r="B257" s="1200"/>
      <c r="C257" s="1120"/>
      <c r="D257" s="1120"/>
      <c r="E257" s="1015">
        <f t="shared" si="3"/>
        <v>0</v>
      </c>
      <c r="F257" s="1201"/>
      <c r="G257" s="90"/>
    </row>
    <row r="258" spans="1:7" ht="15" customHeight="1">
      <c r="A258" s="680"/>
      <c r="B258" s="1200"/>
      <c r="C258" s="1120"/>
      <c r="D258" s="1120"/>
      <c r="E258" s="1015">
        <f t="shared" si="3"/>
        <v>0</v>
      </c>
      <c r="F258" s="1201"/>
      <c r="G258" s="90"/>
    </row>
    <row r="259" spans="1:7" ht="15" customHeight="1">
      <c r="A259" s="680"/>
      <c r="B259" s="1200"/>
      <c r="C259" s="1120"/>
      <c r="D259" s="1120"/>
      <c r="E259" s="1015">
        <f t="shared" si="3"/>
        <v>0</v>
      </c>
      <c r="F259" s="1201"/>
      <c r="G259" s="90"/>
    </row>
    <row r="260" spans="1:7" ht="15" customHeight="1">
      <c r="A260" s="680"/>
      <c r="B260" s="1200"/>
      <c r="C260" s="1120"/>
      <c r="D260" s="1120"/>
      <c r="E260" s="1015">
        <f t="shared" si="3"/>
        <v>0</v>
      </c>
      <c r="F260" s="1201"/>
      <c r="G260" s="90"/>
    </row>
    <row r="261" spans="1:7" ht="15" customHeight="1">
      <c r="A261" s="680"/>
      <c r="B261" s="1200"/>
      <c r="C261" s="1120"/>
      <c r="D261" s="1120"/>
      <c r="E261" s="1015">
        <f t="shared" si="3"/>
        <v>0</v>
      </c>
      <c r="F261" s="1201"/>
      <c r="G261" s="90"/>
    </row>
    <row r="262" spans="1:7" ht="15" customHeight="1">
      <c r="A262" s="680"/>
      <c r="B262" s="1200"/>
      <c r="C262" s="1120"/>
      <c r="D262" s="1120"/>
      <c r="E262" s="1015">
        <f t="shared" si="3"/>
        <v>0</v>
      </c>
      <c r="F262" s="1201"/>
      <c r="G262" s="90"/>
    </row>
    <row r="263" spans="1:7" ht="15" customHeight="1">
      <c r="A263" s="680"/>
      <c r="B263" s="1200"/>
      <c r="C263" s="1120"/>
      <c r="D263" s="1120"/>
      <c r="E263" s="1015">
        <f t="shared" si="3"/>
        <v>0</v>
      </c>
      <c r="F263" s="1201"/>
      <c r="G263" s="90"/>
    </row>
    <row r="264" spans="1:7" ht="15" customHeight="1">
      <c r="A264" s="680"/>
      <c r="B264" s="1200"/>
      <c r="C264" s="1120"/>
      <c r="D264" s="1120"/>
      <c r="E264" s="1015">
        <f t="shared" si="3"/>
        <v>0</v>
      </c>
      <c r="F264" s="1201"/>
      <c r="G264" s="90"/>
    </row>
    <row r="265" spans="1:7" ht="15" customHeight="1">
      <c r="A265" s="680"/>
      <c r="B265" s="1200"/>
      <c r="C265" s="1120"/>
      <c r="D265" s="1120"/>
      <c r="E265" s="1015">
        <f t="shared" si="3"/>
        <v>0</v>
      </c>
      <c r="F265" s="1201"/>
      <c r="G265" s="90"/>
    </row>
    <row r="266" spans="1:7" ht="15" customHeight="1">
      <c r="A266" s="680"/>
      <c r="B266" s="1200"/>
      <c r="C266" s="1120"/>
      <c r="D266" s="1120"/>
      <c r="E266" s="1015">
        <f t="shared" si="3"/>
        <v>0</v>
      </c>
      <c r="F266" s="1201"/>
      <c r="G266" s="90"/>
    </row>
    <row r="267" spans="1:7" ht="15" customHeight="1">
      <c r="A267" s="680"/>
      <c r="B267" s="1200"/>
      <c r="C267" s="1120"/>
      <c r="D267" s="1120"/>
      <c r="E267" s="1015">
        <f t="shared" si="3"/>
        <v>0</v>
      </c>
      <c r="F267" s="1201"/>
      <c r="G267" s="90"/>
    </row>
    <row r="268" spans="1:7" ht="15" customHeight="1">
      <c r="A268" s="680"/>
      <c r="B268" s="1200"/>
      <c r="C268" s="1120"/>
      <c r="D268" s="1120"/>
      <c r="E268" s="1015">
        <f t="shared" si="3"/>
        <v>0</v>
      </c>
      <c r="F268" s="1201"/>
      <c r="G268" s="90"/>
    </row>
    <row r="269" spans="1:7" ht="15" customHeight="1">
      <c r="A269" s="680"/>
      <c r="B269" s="1200"/>
      <c r="C269" s="1120"/>
      <c r="D269" s="1120"/>
      <c r="E269" s="1015">
        <f t="shared" si="3"/>
        <v>0</v>
      </c>
      <c r="F269" s="1201"/>
      <c r="G269" s="90"/>
    </row>
    <row r="270" spans="1:7" ht="15" customHeight="1">
      <c r="A270" s="680"/>
      <c r="B270" s="1200"/>
      <c r="C270" s="1120"/>
      <c r="D270" s="1120"/>
      <c r="E270" s="1015">
        <f t="shared" si="3"/>
        <v>0</v>
      </c>
      <c r="F270" s="1201"/>
      <c r="G270" s="90"/>
    </row>
    <row r="271" spans="1:7" ht="15" customHeight="1">
      <c r="A271" s="680"/>
      <c r="B271" s="1200"/>
      <c r="C271" s="1120"/>
      <c r="D271" s="1120"/>
      <c r="E271" s="1015">
        <f t="shared" ref="E271:E302" si="4">C271-B271+D271</f>
        <v>0</v>
      </c>
      <c r="F271" s="1201"/>
      <c r="G271" s="90"/>
    </row>
    <row r="272" spans="1:7" ht="15" customHeight="1">
      <c r="A272" s="680"/>
      <c r="B272" s="1200"/>
      <c r="C272" s="1120"/>
      <c r="D272" s="1120"/>
      <c r="E272" s="1015">
        <f t="shared" si="4"/>
        <v>0</v>
      </c>
      <c r="F272" s="1201"/>
      <c r="G272" s="90"/>
    </row>
    <row r="273" spans="1:7" ht="15" customHeight="1">
      <c r="A273" s="680"/>
      <c r="B273" s="1200"/>
      <c r="C273" s="1120"/>
      <c r="D273" s="1120"/>
      <c r="E273" s="1015">
        <f t="shared" si="4"/>
        <v>0</v>
      </c>
      <c r="F273" s="1201"/>
      <c r="G273" s="90"/>
    </row>
    <row r="274" spans="1:7" ht="15" customHeight="1">
      <c r="A274" s="680"/>
      <c r="B274" s="1200"/>
      <c r="C274" s="1120"/>
      <c r="D274" s="1120"/>
      <c r="E274" s="1015">
        <f t="shared" si="4"/>
        <v>0</v>
      </c>
      <c r="F274" s="1201"/>
      <c r="G274" s="90"/>
    </row>
    <row r="275" spans="1:7" ht="15" customHeight="1">
      <c r="A275" s="680"/>
      <c r="B275" s="1200"/>
      <c r="C275" s="1120"/>
      <c r="D275" s="1120"/>
      <c r="E275" s="1015">
        <f t="shared" si="4"/>
        <v>0</v>
      </c>
      <c r="F275" s="1201"/>
      <c r="G275" s="90"/>
    </row>
    <row r="276" spans="1:7" ht="15" customHeight="1">
      <c r="A276" s="680"/>
      <c r="B276" s="1200"/>
      <c r="C276" s="1120"/>
      <c r="D276" s="1120"/>
      <c r="E276" s="1015">
        <f t="shared" si="4"/>
        <v>0</v>
      </c>
      <c r="F276" s="1201"/>
      <c r="G276" s="90"/>
    </row>
    <row r="277" spans="1:7" ht="15" customHeight="1">
      <c r="A277" s="680"/>
      <c r="B277" s="1200"/>
      <c r="C277" s="1120"/>
      <c r="D277" s="1120"/>
      <c r="E277" s="1015">
        <f t="shared" si="4"/>
        <v>0</v>
      </c>
      <c r="F277" s="1201"/>
      <c r="G277" s="90"/>
    </row>
    <row r="278" spans="1:7" ht="15" customHeight="1">
      <c r="A278" s="680"/>
      <c r="B278" s="1200"/>
      <c r="C278" s="1120"/>
      <c r="D278" s="1120"/>
      <c r="E278" s="1015">
        <f t="shared" si="4"/>
        <v>0</v>
      </c>
      <c r="F278" s="1201"/>
      <c r="G278" s="90"/>
    </row>
    <row r="279" spans="1:7" ht="15" customHeight="1">
      <c r="A279" s="680"/>
      <c r="B279" s="1200"/>
      <c r="C279" s="1120"/>
      <c r="D279" s="1120"/>
      <c r="E279" s="1015">
        <f t="shared" si="4"/>
        <v>0</v>
      </c>
      <c r="F279" s="1201"/>
      <c r="G279" s="90"/>
    </row>
    <row r="280" spans="1:7" ht="15" customHeight="1">
      <c r="A280" s="680"/>
      <c r="B280" s="1200"/>
      <c r="C280" s="1120"/>
      <c r="D280" s="1120"/>
      <c r="E280" s="1015">
        <f t="shared" si="4"/>
        <v>0</v>
      </c>
      <c r="F280" s="1201"/>
      <c r="G280" s="90"/>
    </row>
    <row r="281" spans="1:7" ht="15" customHeight="1">
      <c r="A281" s="680"/>
      <c r="B281" s="1200"/>
      <c r="C281" s="1120"/>
      <c r="D281" s="1120"/>
      <c r="E281" s="1015">
        <f t="shared" si="4"/>
        <v>0</v>
      </c>
      <c r="F281" s="1201"/>
      <c r="G281" s="90"/>
    </row>
    <row r="282" spans="1:7" ht="15" customHeight="1">
      <c r="A282" s="680"/>
      <c r="B282" s="1200"/>
      <c r="C282" s="1120"/>
      <c r="D282" s="1120"/>
      <c r="E282" s="1015">
        <f t="shared" si="4"/>
        <v>0</v>
      </c>
      <c r="F282" s="1201"/>
      <c r="G282" s="90"/>
    </row>
    <row r="283" spans="1:7" ht="15" customHeight="1">
      <c r="A283" s="680"/>
      <c r="B283" s="1200"/>
      <c r="C283" s="1120"/>
      <c r="D283" s="1120"/>
      <c r="E283" s="1015">
        <f t="shared" si="4"/>
        <v>0</v>
      </c>
      <c r="F283" s="1201"/>
      <c r="G283" s="90"/>
    </row>
    <row r="284" spans="1:7" ht="15" customHeight="1">
      <c r="A284" s="680"/>
      <c r="B284" s="1200"/>
      <c r="C284" s="1120"/>
      <c r="D284" s="1120"/>
      <c r="E284" s="1015">
        <f t="shared" si="4"/>
        <v>0</v>
      </c>
      <c r="F284" s="1201"/>
      <c r="G284" s="90"/>
    </row>
    <row r="285" spans="1:7" ht="15" customHeight="1">
      <c r="A285" s="680"/>
      <c r="B285" s="1200"/>
      <c r="C285" s="1120"/>
      <c r="D285" s="1120"/>
      <c r="E285" s="1015">
        <f t="shared" si="4"/>
        <v>0</v>
      </c>
      <c r="F285" s="1201"/>
      <c r="G285" s="90"/>
    </row>
    <row r="286" spans="1:7" ht="15" customHeight="1">
      <c r="A286" s="680"/>
      <c r="B286" s="1200"/>
      <c r="C286" s="1120"/>
      <c r="D286" s="1120"/>
      <c r="E286" s="1015">
        <f t="shared" si="4"/>
        <v>0</v>
      </c>
      <c r="F286" s="1201"/>
      <c r="G286" s="90"/>
    </row>
    <row r="287" spans="1:7" ht="15" customHeight="1">
      <c r="A287" s="680"/>
      <c r="B287" s="1200"/>
      <c r="C287" s="1120"/>
      <c r="D287" s="1120"/>
      <c r="E287" s="1015">
        <f t="shared" si="4"/>
        <v>0</v>
      </c>
      <c r="F287" s="1201"/>
      <c r="G287" s="90"/>
    </row>
    <row r="288" spans="1:7" ht="15" customHeight="1">
      <c r="A288" s="680"/>
      <c r="B288" s="1200"/>
      <c r="C288" s="1120"/>
      <c r="D288" s="1120"/>
      <c r="E288" s="1015">
        <f t="shared" si="4"/>
        <v>0</v>
      </c>
      <c r="F288" s="1201"/>
      <c r="G288" s="90"/>
    </row>
    <row r="289" spans="1:7" ht="15" customHeight="1">
      <c r="A289" s="680"/>
      <c r="B289" s="1200"/>
      <c r="C289" s="1120"/>
      <c r="D289" s="1120"/>
      <c r="E289" s="1015">
        <f t="shared" si="4"/>
        <v>0</v>
      </c>
      <c r="F289" s="1201"/>
      <c r="G289" s="90"/>
    </row>
    <row r="290" spans="1:7" ht="15" customHeight="1">
      <c r="A290" s="680"/>
      <c r="B290" s="1200"/>
      <c r="C290" s="1120"/>
      <c r="D290" s="1120"/>
      <c r="E290" s="1015">
        <f t="shared" si="4"/>
        <v>0</v>
      </c>
      <c r="F290" s="1201"/>
      <c r="G290" s="90"/>
    </row>
    <row r="291" spans="1:7" ht="15" customHeight="1">
      <c r="A291" s="680"/>
      <c r="B291" s="1200"/>
      <c r="C291" s="1120"/>
      <c r="D291" s="1120"/>
      <c r="E291" s="1015">
        <f t="shared" si="4"/>
        <v>0</v>
      </c>
      <c r="F291" s="1201"/>
      <c r="G291" s="90"/>
    </row>
    <row r="292" spans="1:7" ht="15" customHeight="1">
      <c r="A292" s="680"/>
      <c r="B292" s="1200"/>
      <c r="C292" s="1120"/>
      <c r="D292" s="1120"/>
      <c r="E292" s="1015">
        <f t="shared" si="4"/>
        <v>0</v>
      </c>
      <c r="F292" s="1201"/>
      <c r="G292" s="90"/>
    </row>
    <row r="293" spans="1:7" ht="15" customHeight="1">
      <c r="A293" s="680"/>
      <c r="B293" s="1200"/>
      <c r="C293" s="1120"/>
      <c r="D293" s="1120"/>
      <c r="E293" s="1015">
        <f t="shared" si="4"/>
        <v>0</v>
      </c>
      <c r="F293" s="1201"/>
      <c r="G293" s="90"/>
    </row>
    <row r="294" spans="1:7" ht="15" customHeight="1">
      <c r="A294" s="680"/>
      <c r="B294" s="1200"/>
      <c r="C294" s="1120"/>
      <c r="D294" s="1120"/>
      <c r="E294" s="1015">
        <f t="shared" si="4"/>
        <v>0</v>
      </c>
      <c r="F294" s="1201"/>
      <c r="G294" s="90"/>
    </row>
    <row r="295" spans="1:7" ht="15" customHeight="1">
      <c r="A295" s="680"/>
      <c r="B295" s="1200"/>
      <c r="C295" s="1120"/>
      <c r="D295" s="1120"/>
      <c r="E295" s="1015">
        <f t="shared" si="4"/>
        <v>0</v>
      </c>
      <c r="F295" s="1201"/>
      <c r="G295" s="90"/>
    </row>
    <row r="296" spans="1:7" ht="15" customHeight="1">
      <c r="A296" s="680"/>
      <c r="B296" s="1200"/>
      <c r="C296" s="1120"/>
      <c r="D296" s="1120"/>
      <c r="E296" s="1015">
        <f t="shared" si="4"/>
        <v>0</v>
      </c>
      <c r="F296" s="1201"/>
      <c r="G296" s="90"/>
    </row>
    <row r="297" spans="1:7" ht="15" customHeight="1">
      <c r="A297" s="680"/>
      <c r="B297" s="1200"/>
      <c r="C297" s="1120"/>
      <c r="D297" s="1120"/>
      <c r="E297" s="1015">
        <f t="shared" si="4"/>
        <v>0</v>
      </c>
      <c r="F297" s="1201"/>
      <c r="G297" s="90"/>
    </row>
    <row r="298" spans="1:7" ht="15" customHeight="1">
      <c r="A298" s="680"/>
      <c r="B298" s="1200"/>
      <c r="C298" s="1120"/>
      <c r="D298" s="1120"/>
      <c r="E298" s="1015">
        <f t="shared" si="4"/>
        <v>0</v>
      </c>
      <c r="F298" s="1201"/>
      <c r="G298" s="90"/>
    </row>
    <row r="299" spans="1:7" ht="15" customHeight="1">
      <c r="A299" s="680"/>
      <c r="B299" s="1200"/>
      <c r="C299" s="1120"/>
      <c r="D299" s="1120"/>
      <c r="E299" s="1015">
        <f t="shared" si="4"/>
        <v>0</v>
      </c>
      <c r="F299" s="1201"/>
      <c r="G299" s="90"/>
    </row>
    <row r="300" spans="1:7" ht="15" customHeight="1">
      <c r="A300" s="680"/>
      <c r="B300" s="1200"/>
      <c r="C300" s="1120"/>
      <c r="D300" s="1120"/>
      <c r="E300" s="1015">
        <f t="shared" si="4"/>
        <v>0</v>
      </c>
      <c r="F300" s="1201"/>
      <c r="G300" s="90"/>
    </row>
    <row r="301" spans="1:7" ht="15" customHeight="1">
      <c r="A301" s="680"/>
      <c r="B301" s="1200"/>
      <c r="C301" s="1120"/>
      <c r="D301" s="1120"/>
      <c r="E301" s="1015">
        <f t="shared" si="4"/>
        <v>0</v>
      </c>
      <c r="F301" s="1201"/>
      <c r="G301" s="90"/>
    </row>
    <row r="302" spans="1:7" ht="15" customHeight="1">
      <c r="A302" s="682"/>
      <c r="B302" s="1202"/>
      <c r="C302" s="1125"/>
      <c r="D302" s="1125"/>
      <c r="E302" s="1020">
        <f t="shared" si="4"/>
        <v>0</v>
      </c>
      <c r="F302" s="1203"/>
      <c r="G302" s="90"/>
    </row>
    <row r="303" spans="1:7" ht="15" customHeight="1">
      <c r="A303" s="554"/>
      <c r="B303" s="554"/>
      <c r="C303" s="554"/>
      <c r="D303" s="554"/>
      <c r="E303" s="554"/>
      <c r="F303" s="554"/>
    </row>
    <row r="304" spans="1:7" ht="15" customHeight="1">
      <c r="A304" s="554"/>
      <c r="B304" s="554"/>
      <c r="C304" s="554"/>
      <c r="D304" s="554"/>
      <c r="E304" s="554"/>
      <c r="F304" s="554"/>
    </row>
    <row r="305" spans="1:6" ht="15" customHeight="1">
      <c r="A305" s="554"/>
      <c r="B305" s="554"/>
      <c r="C305" s="554"/>
      <c r="D305" s="554"/>
      <c r="E305" s="554"/>
      <c r="F305" s="554"/>
    </row>
    <row r="306" spans="1:6" ht="15" customHeight="1">
      <c r="A306" s="554"/>
      <c r="B306" s="554"/>
      <c r="C306" s="554"/>
      <c r="D306" s="554"/>
      <c r="E306" s="554"/>
      <c r="F306" s="554"/>
    </row>
    <row r="307" spans="1:6" ht="15" customHeight="1">
      <c r="A307" s="554"/>
      <c r="B307" s="554"/>
      <c r="C307" s="554"/>
      <c r="D307" s="554"/>
      <c r="E307" s="554"/>
      <c r="F307" s="554"/>
    </row>
    <row r="308" spans="1:6" ht="15" customHeight="1">
      <c r="A308" s="554"/>
      <c r="B308" s="554"/>
      <c r="C308" s="554"/>
      <c r="D308" s="554"/>
      <c r="E308" s="554"/>
      <c r="F308" s="554"/>
    </row>
    <row r="309" spans="1:6" ht="15" customHeight="1">
      <c r="A309" s="554"/>
      <c r="B309" s="554"/>
      <c r="C309" s="554"/>
      <c r="D309" s="554"/>
      <c r="E309" s="554"/>
      <c r="F309" s="554"/>
    </row>
    <row r="310" spans="1:6" ht="15" customHeight="1">
      <c r="A310" s="554"/>
      <c r="B310" s="554"/>
      <c r="C310" s="554"/>
      <c r="D310" s="554"/>
      <c r="E310" s="554"/>
      <c r="F310" s="554"/>
    </row>
    <row r="311" spans="1:6" ht="15" customHeight="1">
      <c r="A311" s="554"/>
      <c r="B311" s="554"/>
      <c r="C311" s="554"/>
      <c r="D311" s="554"/>
      <c r="E311" s="554"/>
      <c r="F311" s="554"/>
    </row>
    <row r="312" spans="1:6" ht="15" customHeight="1">
      <c r="A312" s="554"/>
      <c r="B312" s="554"/>
      <c r="C312" s="554"/>
      <c r="D312" s="554"/>
      <c r="E312" s="554"/>
      <c r="F312" s="554"/>
    </row>
    <row r="313" spans="1:6" ht="15" customHeight="1">
      <c r="A313" s="554"/>
      <c r="B313" s="554"/>
      <c r="C313" s="554"/>
      <c r="D313" s="554"/>
      <c r="E313" s="554"/>
      <c r="F313" s="554"/>
    </row>
    <row r="314" spans="1:6" ht="15" customHeight="1">
      <c r="A314" s="554"/>
      <c r="B314" s="554"/>
      <c r="C314" s="554"/>
      <c r="D314" s="554"/>
      <c r="E314" s="554"/>
      <c r="F314" s="554"/>
    </row>
    <row r="315" spans="1:6" ht="15" customHeight="1">
      <c r="A315" s="554"/>
      <c r="B315" s="554"/>
      <c r="C315" s="554"/>
      <c r="D315" s="554"/>
      <c r="E315" s="554"/>
      <c r="F315" s="554"/>
    </row>
    <row r="316" spans="1:6" ht="15" customHeight="1">
      <c r="A316" s="554"/>
      <c r="B316" s="554"/>
      <c r="C316" s="554"/>
      <c r="D316" s="554"/>
      <c r="E316" s="554"/>
      <c r="F316" s="554"/>
    </row>
    <row r="317" spans="1:6" ht="15" customHeight="1">
      <c r="A317" s="554"/>
      <c r="B317" s="554"/>
      <c r="C317" s="554"/>
      <c r="D317" s="554"/>
      <c r="E317" s="554"/>
      <c r="F317" s="554"/>
    </row>
    <row r="318" spans="1:6" ht="15" customHeight="1">
      <c r="A318" s="554"/>
      <c r="B318" s="554"/>
      <c r="C318" s="554"/>
      <c r="D318" s="554"/>
      <c r="E318" s="554"/>
      <c r="F318" s="554"/>
    </row>
    <row r="319" spans="1:6" ht="15" customHeight="1">
      <c r="A319" s="554"/>
      <c r="B319" s="554"/>
      <c r="C319" s="554"/>
      <c r="D319" s="554"/>
      <c r="E319" s="554"/>
      <c r="F319" s="554"/>
    </row>
    <row r="320" spans="1:6" ht="15" customHeight="1">
      <c r="A320" s="554"/>
      <c r="B320" s="554"/>
      <c r="C320" s="554"/>
      <c r="D320" s="554"/>
      <c r="E320" s="554"/>
      <c r="F320" s="554"/>
    </row>
    <row r="321" spans="1:6" ht="15" customHeight="1">
      <c r="A321" s="554"/>
      <c r="B321" s="554"/>
      <c r="C321" s="554"/>
      <c r="D321" s="554"/>
      <c r="E321" s="554"/>
      <c r="F321" s="554"/>
    </row>
    <row r="322" spans="1:6" ht="15" customHeight="1">
      <c r="A322" s="554"/>
      <c r="B322" s="554"/>
      <c r="C322" s="554"/>
      <c r="D322" s="554"/>
      <c r="E322" s="554"/>
      <c r="F322" s="554"/>
    </row>
    <row r="323" spans="1:6" ht="15" customHeight="1">
      <c r="A323" s="554"/>
      <c r="B323" s="554"/>
      <c r="C323" s="554"/>
      <c r="D323" s="554"/>
      <c r="E323" s="554"/>
      <c r="F323" s="554"/>
    </row>
    <row r="324" spans="1:6" ht="15" customHeight="1">
      <c r="A324" s="554"/>
      <c r="B324" s="554"/>
      <c r="C324" s="554"/>
      <c r="D324" s="554"/>
      <c r="E324" s="554"/>
      <c r="F324" s="554"/>
    </row>
    <row r="325" spans="1:6" ht="15" customHeight="1">
      <c r="A325" s="554"/>
      <c r="B325" s="554"/>
      <c r="C325" s="554"/>
      <c r="D325" s="554"/>
      <c r="E325" s="554"/>
      <c r="F325" s="554"/>
    </row>
    <row r="326" spans="1:6" ht="15" customHeight="1">
      <c r="A326" s="554"/>
      <c r="B326" s="554"/>
      <c r="C326" s="554"/>
      <c r="D326" s="554"/>
      <c r="E326" s="554"/>
      <c r="F326" s="554"/>
    </row>
    <row r="327" spans="1:6" ht="15" customHeight="1">
      <c r="A327" s="554"/>
      <c r="B327" s="554"/>
      <c r="C327" s="554"/>
      <c r="D327" s="554"/>
      <c r="E327" s="554"/>
      <c r="F327" s="554"/>
    </row>
    <row r="328" spans="1:6" ht="15" customHeight="1">
      <c r="A328" s="554"/>
      <c r="B328" s="554"/>
      <c r="C328" s="554"/>
      <c r="D328" s="554"/>
      <c r="E328" s="554"/>
      <c r="F328" s="554"/>
    </row>
    <row r="329" spans="1:6" ht="15" customHeight="1">
      <c r="A329" s="554"/>
      <c r="B329" s="554"/>
      <c r="C329" s="554"/>
      <c r="D329" s="554"/>
      <c r="E329" s="554"/>
      <c r="F329" s="554"/>
    </row>
    <row r="330" spans="1:6" ht="15" customHeight="1">
      <c r="A330" s="554"/>
      <c r="B330" s="554"/>
      <c r="C330" s="554"/>
      <c r="D330" s="554"/>
      <c r="E330" s="554"/>
      <c r="F330" s="554"/>
    </row>
    <row r="331" spans="1:6" ht="15" customHeight="1">
      <c r="A331" s="554"/>
      <c r="B331" s="554"/>
      <c r="C331" s="554"/>
      <c r="D331" s="554"/>
      <c r="E331" s="554"/>
      <c r="F331" s="554"/>
    </row>
    <row r="332" spans="1:6" ht="15" customHeight="1">
      <c r="A332" s="554"/>
      <c r="B332" s="554"/>
      <c r="C332" s="554"/>
      <c r="D332" s="554"/>
      <c r="E332" s="554"/>
      <c r="F332" s="554"/>
    </row>
    <row r="333" spans="1:6" ht="15" customHeight="1">
      <c r="A333" s="554"/>
      <c r="B333" s="554"/>
      <c r="C333" s="554"/>
      <c r="D333" s="554"/>
      <c r="E333" s="554"/>
      <c r="F333" s="554"/>
    </row>
    <row r="334" spans="1:6" ht="15" customHeight="1">
      <c r="A334" s="554"/>
      <c r="B334" s="554"/>
      <c r="C334" s="554"/>
      <c r="D334" s="554"/>
      <c r="E334" s="554"/>
      <c r="F334" s="554"/>
    </row>
    <row r="335" spans="1:6" ht="15" customHeight="1">
      <c r="A335" s="554"/>
      <c r="B335" s="554"/>
      <c r="C335" s="554"/>
      <c r="D335" s="554"/>
      <c r="E335" s="554"/>
      <c r="F335" s="554"/>
    </row>
    <row r="336" spans="1:6" ht="15" customHeight="1">
      <c r="A336" s="554"/>
      <c r="B336" s="554"/>
      <c r="C336" s="554"/>
      <c r="D336" s="554"/>
      <c r="E336" s="554"/>
      <c r="F336" s="554"/>
    </row>
    <row r="337" spans="1:6" ht="15" customHeight="1">
      <c r="A337" s="554"/>
      <c r="B337" s="554"/>
      <c r="C337" s="554"/>
      <c r="D337" s="554"/>
      <c r="E337" s="554"/>
      <c r="F337" s="554"/>
    </row>
    <row r="338" spans="1:6" ht="15" customHeight="1">
      <c r="A338" s="554"/>
      <c r="B338" s="554"/>
      <c r="C338" s="554"/>
      <c r="D338" s="554"/>
      <c r="E338" s="554"/>
      <c r="F338" s="554"/>
    </row>
    <row r="339" spans="1:6" ht="15" customHeight="1">
      <c r="A339" s="554"/>
      <c r="B339" s="554"/>
      <c r="C339" s="554"/>
      <c r="D339" s="554"/>
      <c r="E339" s="554"/>
      <c r="F339" s="554"/>
    </row>
    <row r="340" spans="1:6" ht="15" customHeight="1">
      <c r="A340" s="554"/>
      <c r="B340" s="554"/>
      <c r="C340" s="554"/>
      <c r="D340" s="554"/>
      <c r="E340" s="554"/>
      <c r="F340" s="554"/>
    </row>
    <row r="341" spans="1:6" ht="15" customHeight="1">
      <c r="A341" s="554"/>
      <c r="B341" s="554"/>
      <c r="C341" s="554"/>
      <c r="D341" s="554"/>
      <c r="E341" s="554"/>
      <c r="F341" s="554"/>
    </row>
    <row r="342" spans="1:6" ht="15" customHeight="1">
      <c r="A342" s="554"/>
      <c r="B342" s="554"/>
      <c r="C342" s="554"/>
      <c r="D342" s="554"/>
      <c r="E342" s="554"/>
      <c r="F342" s="554"/>
    </row>
    <row r="343" spans="1:6" ht="15" customHeight="1">
      <c r="A343" s="554"/>
      <c r="B343" s="554"/>
      <c r="C343" s="554"/>
      <c r="D343" s="554"/>
      <c r="E343" s="554"/>
      <c r="F343" s="554"/>
    </row>
    <row r="344" spans="1:6" ht="15" customHeight="1">
      <c r="A344" s="554"/>
      <c r="B344" s="554"/>
      <c r="C344" s="554"/>
      <c r="D344" s="554"/>
      <c r="E344" s="554"/>
      <c r="F344" s="554"/>
    </row>
    <row r="345" spans="1:6" ht="15" customHeight="1">
      <c r="A345" s="554"/>
      <c r="B345" s="554"/>
      <c r="C345" s="554"/>
      <c r="D345" s="554"/>
      <c r="E345" s="554"/>
      <c r="F345" s="554"/>
    </row>
    <row r="346" spans="1:6" ht="15" customHeight="1">
      <c r="A346" s="554"/>
      <c r="B346" s="554"/>
      <c r="C346" s="554"/>
      <c r="D346" s="554"/>
      <c r="E346" s="554"/>
      <c r="F346" s="554"/>
    </row>
    <row r="347" spans="1:6" ht="15" customHeight="1">
      <c r="A347" s="554"/>
      <c r="B347" s="554"/>
      <c r="C347" s="554"/>
      <c r="D347" s="554"/>
      <c r="E347" s="554"/>
      <c r="F347" s="554"/>
    </row>
    <row r="348" spans="1:6" ht="15" customHeight="1">
      <c r="A348" s="554"/>
      <c r="B348" s="554"/>
      <c r="C348" s="554"/>
      <c r="D348" s="554"/>
      <c r="E348" s="554"/>
      <c r="F348" s="554"/>
    </row>
    <row r="349" spans="1:6" ht="15" customHeight="1">
      <c r="A349" s="554"/>
      <c r="B349" s="554"/>
      <c r="C349" s="554"/>
      <c r="D349" s="554"/>
      <c r="E349" s="554"/>
      <c r="F349" s="554"/>
    </row>
    <row r="350" spans="1:6" ht="15" customHeight="1">
      <c r="A350" s="554"/>
      <c r="B350" s="554"/>
      <c r="C350" s="554"/>
      <c r="D350" s="554"/>
      <c r="E350" s="554"/>
      <c r="F350" s="554"/>
    </row>
    <row r="351" spans="1:6" ht="15" customHeight="1">
      <c r="A351" s="554"/>
      <c r="B351" s="554"/>
      <c r="C351" s="554"/>
      <c r="D351" s="554"/>
      <c r="E351" s="554"/>
      <c r="F351" s="554"/>
    </row>
    <row r="352" spans="1:6" ht="15" customHeight="1">
      <c r="A352" s="554"/>
      <c r="B352" s="554"/>
      <c r="C352" s="554"/>
      <c r="D352" s="554"/>
      <c r="E352" s="554"/>
      <c r="F352" s="554"/>
    </row>
    <row r="353" spans="1:6" ht="15" customHeight="1">
      <c r="A353" s="554"/>
      <c r="B353" s="554"/>
      <c r="C353" s="554"/>
      <c r="D353" s="554"/>
      <c r="E353" s="554"/>
      <c r="F353" s="554"/>
    </row>
    <row r="354" spans="1:6" ht="15" customHeight="1">
      <c r="A354" s="554"/>
      <c r="B354" s="554"/>
      <c r="C354" s="554"/>
      <c r="D354" s="554"/>
      <c r="E354" s="554"/>
      <c r="F354" s="554"/>
    </row>
    <row r="355" spans="1:6" ht="15" customHeight="1">
      <c r="A355" s="554"/>
      <c r="B355" s="554"/>
      <c r="C355" s="554"/>
      <c r="D355" s="554"/>
      <c r="E355" s="554"/>
      <c r="F355" s="554"/>
    </row>
    <row r="356" spans="1:6" ht="15" customHeight="1">
      <c r="A356" s="554"/>
      <c r="B356" s="554"/>
      <c r="C356" s="554"/>
      <c r="D356" s="554"/>
      <c r="E356" s="554"/>
      <c r="F356" s="554"/>
    </row>
    <row r="357" spans="1:6" ht="15" customHeight="1">
      <c r="A357" s="554"/>
      <c r="B357" s="554"/>
      <c r="C357" s="554"/>
      <c r="D357" s="554"/>
      <c r="E357" s="554"/>
      <c r="F357" s="554"/>
    </row>
    <row r="358" spans="1:6" ht="15" customHeight="1">
      <c r="A358" s="554"/>
      <c r="B358" s="554"/>
      <c r="C358" s="554"/>
      <c r="D358" s="554"/>
      <c r="E358" s="554"/>
      <c r="F358" s="554"/>
    </row>
    <row r="359" spans="1:6" ht="15" customHeight="1">
      <c r="A359" s="554"/>
      <c r="B359" s="554"/>
      <c r="C359" s="554"/>
      <c r="D359" s="554"/>
      <c r="E359" s="554"/>
      <c r="F359" s="554"/>
    </row>
    <row r="360" spans="1:6" ht="15" customHeight="1">
      <c r="A360" s="554"/>
      <c r="B360" s="554"/>
      <c r="C360" s="554"/>
      <c r="D360" s="554"/>
      <c r="E360" s="554"/>
      <c r="F360" s="554"/>
    </row>
    <row r="361" spans="1:6" ht="15" customHeight="1">
      <c r="A361" s="554"/>
      <c r="B361" s="554"/>
      <c r="C361" s="554"/>
      <c r="D361" s="554"/>
      <c r="E361" s="554"/>
      <c r="F361" s="554"/>
    </row>
    <row r="362" spans="1:6" ht="15" customHeight="1">
      <c r="A362" s="554"/>
      <c r="B362" s="554"/>
      <c r="C362" s="554"/>
      <c r="D362" s="554"/>
      <c r="E362" s="554"/>
      <c r="F362" s="554"/>
    </row>
    <row r="363" spans="1:6" ht="15" customHeight="1">
      <c r="A363" s="554"/>
      <c r="B363" s="554"/>
      <c r="C363" s="554"/>
      <c r="D363" s="554"/>
      <c r="E363" s="554"/>
      <c r="F363" s="554"/>
    </row>
    <row r="364" spans="1:6" ht="15" customHeight="1">
      <c r="A364" s="554"/>
      <c r="B364" s="554"/>
      <c r="C364" s="554"/>
      <c r="D364" s="554"/>
      <c r="E364" s="554"/>
      <c r="F364" s="554"/>
    </row>
    <row r="365" spans="1:6" ht="15" customHeight="1">
      <c r="A365" s="554"/>
      <c r="B365" s="554"/>
      <c r="C365" s="554"/>
      <c r="D365" s="554"/>
      <c r="E365" s="554"/>
      <c r="F365" s="554"/>
    </row>
    <row r="366" spans="1:6" ht="15" customHeight="1">
      <c r="A366" s="554"/>
      <c r="B366" s="554"/>
      <c r="C366" s="554"/>
      <c r="D366" s="554"/>
      <c r="E366" s="554"/>
      <c r="F366" s="554"/>
    </row>
    <row r="367" spans="1:6" ht="15" customHeight="1">
      <c r="A367" s="554"/>
      <c r="B367" s="554"/>
      <c r="C367" s="554"/>
      <c r="D367" s="554"/>
      <c r="E367" s="554"/>
      <c r="F367" s="554"/>
    </row>
    <row r="368" spans="1:6" ht="15" customHeight="1">
      <c r="A368" s="554"/>
      <c r="B368" s="554"/>
      <c r="C368" s="554"/>
      <c r="D368" s="554"/>
      <c r="E368" s="554"/>
      <c r="F368" s="554"/>
    </row>
    <row r="369" spans="1:6" ht="15" customHeight="1">
      <c r="A369" s="554"/>
      <c r="B369" s="554"/>
      <c r="C369" s="554"/>
      <c r="D369" s="554"/>
      <c r="E369" s="554"/>
      <c r="F369" s="554"/>
    </row>
    <row r="370" spans="1:6" ht="15" customHeight="1">
      <c r="A370" s="554"/>
      <c r="B370" s="554"/>
      <c r="C370" s="554"/>
      <c r="D370" s="554"/>
      <c r="E370" s="554"/>
      <c r="F370" s="554"/>
    </row>
    <row r="371" spans="1:6" ht="15" customHeight="1">
      <c r="A371" s="554"/>
      <c r="B371" s="554"/>
      <c r="C371" s="554"/>
      <c r="D371" s="554"/>
      <c r="E371" s="554"/>
      <c r="F371" s="554"/>
    </row>
    <row r="372" spans="1:6" ht="15" customHeight="1">
      <c r="A372" s="554"/>
      <c r="B372" s="554"/>
      <c r="C372" s="554"/>
      <c r="D372" s="554"/>
      <c r="E372" s="554"/>
      <c r="F372" s="554"/>
    </row>
    <row r="373" spans="1:6" ht="15" customHeight="1">
      <c r="A373" s="554"/>
      <c r="B373" s="554"/>
      <c r="C373" s="554"/>
      <c r="D373" s="554"/>
      <c r="E373" s="554"/>
      <c r="F373" s="554"/>
    </row>
    <row r="374" spans="1:6" ht="15" customHeight="1">
      <c r="A374" s="554"/>
      <c r="B374" s="554"/>
      <c r="C374" s="554"/>
      <c r="D374" s="554"/>
      <c r="E374" s="554"/>
      <c r="F374" s="554"/>
    </row>
    <row r="375" spans="1:6" ht="15" customHeight="1">
      <c r="A375" s="554"/>
      <c r="B375" s="554"/>
      <c r="C375" s="554"/>
      <c r="D375" s="554"/>
      <c r="E375" s="554"/>
      <c r="F375" s="554"/>
    </row>
    <row r="376" spans="1:6" ht="15" customHeight="1">
      <c r="A376" s="554"/>
      <c r="B376" s="554"/>
      <c r="C376" s="554"/>
      <c r="D376" s="554"/>
      <c r="E376" s="554"/>
      <c r="F376" s="554"/>
    </row>
    <row r="377" spans="1:6" ht="15" customHeight="1">
      <c r="A377" s="554"/>
      <c r="B377" s="554"/>
      <c r="C377" s="554"/>
      <c r="D377" s="554"/>
      <c r="E377" s="554"/>
      <c r="F377" s="554"/>
    </row>
    <row r="378" spans="1:6" ht="15" customHeight="1">
      <c r="A378" s="554"/>
      <c r="B378" s="554"/>
      <c r="C378" s="554"/>
      <c r="D378" s="554"/>
      <c r="E378" s="554"/>
      <c r="F378" s="554"/>
    </row>
    <row r="379" spans="1:6" ht="15" customHeight="1">
      <c r="A379" s="554"/>
      <c r="B379" s="554"/>
      <c r="C379" s="554"/>
      <c r="D379" s="554"/>
      <c r="E379" s="554"/>
      <c r="F379" s="554"/>
    </row>
    <row r="380" spans="1:6" ht="15" customHeight="1">
      <c r="A380" s="554"/>
      <c r="B380" s="554"/>
      <c r="C380" s="554"/>
      <c r="D380" s="554"/>
      <c r="E380" s="554"/>
      <c r="F380" s="554"/>
    </row>
    <row r="381" spans="1:6" ht="15" customHeight="1">
      <c r="A381" s="554"/>
      <c r="B381" s="554"/>
      <c r="C381" s="554"/>
      <c r="D381" s="554"/>
      <c r="E381" s="554"/>
      <c r="F381" s="554"/>
    </row>
    <row r="382" spans="1:6" ht="15" customHeight="1">
      <c r="A382" s="554"/>
      <c r="B382" s="554"/>
      <c r="C382" s="554"/>
      <c r="D382" s="554"/>
      <c r="E382" s="554"/>
      <c r="F382" s="554"/>
    </row>
    <row r="383" spans="1:6" ht="15" customHeight="1">
      <c r="A383" s="554"/>
      <c r="B383" s="554"/>
      <c r="C383" s="554"/>
      <c r="D383" s="554"/>
      <c r="E383" s="554"/>
      <c r="F383" s="554"/>
    </row>
    <row r="384" spans="1:6" ht="15" customHeight="1">
      <c r="A384" s="554"/>
      <c r="B384" s="554"/>
      <c r="C384" s="554"/>
      <c r="D384" s="554"/>
      <c r="E384" s="554"/>
      <c r="F384" s="554"/>
    </row>
    <row r="385" spans="1:6" ht="15" customHeight="1">
      <c r="A385" s="554"/>
      <c r="B385" s="554"/>
      <c r="C385" s="554"/>
      <c r="D385" s="554"/>
      <c r="E385" s="554"/>
      <c r="F385" s="554"/>
    </row>
    <row r="386" spans="1:6" ht="15" customHeight="1">
      <c r="A386" s="554"/>
      <c r="B386" s="554"/>
      <c r="C386" s="554"/>
      <c r="D386" s="554"/>
      <c r="E386" s="554"/>
      <c r="F386" s="554"/>
    </row>
    <row r="387" spans="1:6" ht="15" customHeight="1">
      <c r="A387" s="554"/>
      <c r="B387" s="554"/>
      <c r="C387" s="554"/>
      <c r="D387" s="554"/>
      <c r="E387" s="554"/>
      <c r="F387" s="554"/>
    </row>
    <row r="388" spans="1:6" ht="15" customHeight="1">
      <c r="A388" s="554"/>
      <c r="B388" s="554"/>
      <c r="C388" s="554"/>
      <c r="D388" s="554"/>
      <c r="E388" s="554"/>
      <c r="F388" s="554"/>
    </row>
    <row r="389" spans="1:6" ht="15" customHeight="1">
      <c r="A389" s="554"/>
      <c r="B389" s="554"/>
      <c r="C389" s="554"/>
      <c r="D389" s="554"/>
      <c r="E389" s="554"/>
      <c r="F389" s="554"/>
    </row>
    <row r="390" spans="1:6" ht="15" customHeight="1">
      <c r="A390" s="554"/>
      <c r="B390" s="554"/>
      <c r="C390" s="554"/>
      <c r="D390" s="554"/>
      <c r="E390" s="554"/>
      <c r="F390" s="554"/>
    </row>
    <row r="391" spans="1:6">
      <c r="A391" s="554"/>
      <c r="B391" s="554"/>
      <c r="C391" s="554"/>
      <c r="D391" s="554"/>
      <c r="E391" s="554"/>
      <c r="F391" s="554"/>
    </row>
    <row r="392" spans="1:6">
      <c r="A392" s="554"/>
      <c r="B392" s="554"/>
      <c r="C392" s="554"/>
      <c r="D392" s="554"/>
      <c r="E392" s="554"/>
      <c r="F392" s="554"/>
    </row>
    <row r="393" spans="1:6">
      <c r="A393" s="554"/>
      <c r="B393" s="554"/>
      <c r="C393" s="554"/>
      <c r="D393" s="554"/>
      <c r="E393" s="554"/>
      <c r="F393" s="554"/>
    </row>
    <row r="394" spans="1:6">
      <c r="A394" s="554"/>
      <c r="B394" s="554"/>
      <c r="C394" s="554"/>
      <c r="D394" s="554"/>
      <c r="E394" s="554"/>
      <c r="F394" s="554"/>
    </row>
    <row r="395" spans="1:6">
      <c r="A395" s="554"/>
      <c r="B395" s="554"/>
      <c r="C395" s="554"/>
      <c r="D395" s="554"/>
      <c r="E395" s="554"/>
      <c r="F395" s="554"/>
    </row>
    <row r="396" spans="1:6">
      <c r="A396" s="554"/>
      <c r="B396" s="554"/>
      <c r="C396" s="554"/>
      <c r="D396" s="554"/>
      <c r="E396" s="554"/>
      <c r="F396" s="554"/>
    </row>
    <row r="397" spans="1:6">
      <c r="A397" s="554"/>
      <c r="B397" s="554"/>
      <c r="C397" s="554"/>
      <c r="D397" s="554"/>
      <c r="E397" s="554"/>
      <c r="F397" s="554"/>
    </row>
    <row r="398" spans="1:6">
      <c r="A398" s="554"/>
      <c r="B398" s="554"/>
      <c r="C398" s="554"/>
      <c r="D398" s="554"/>
      <c r="E398" s="554"/>
      <c r="F398" s="554"/>
    </row>
    <row r="399" spans="1:6">
      <c r="A399" s="554"/>
      <c r="B399" s="554"/>
      <c r="C399" s="554"/>
      <c r="D399" s="554"/>
      <c r="E399" s="554"/>
      <c r="F399" s="554"/>
    </row>
    <row r="400" spans="1:6">
      <c r="A400" s="554"/>
      <c r="B400" s="554"/>
      <c r="C400" s="554"/>
      <c r="D400" s="554"/>
      <c r="E400" s="554"/>
      <c r="F400" s="554"/>
    </row>
  </sheetData>
  <sheetProtection selectLockedCells="1" selectUnlockedCells="1"/>
  <mergeCells count="12">
    <mergeCell ref="A1:F1"/>
    <mergeCell ref="A2:B3"/>
    <mergeCell ref="F3:F4"/>
    <mergeCell ref="A4:B4"/>
    <mergeCell ref="B9:F9"/>
    <mergeCell ref="G13:G21"/>
    <mergeCell ref="A5:F5"/>
    <mergeCell ref="B6:F6"/>
    <mergeCell ref="A7:A8"/>
    <mergeCell ref="B7:D7"/>
    <mergeCell ref="E7:F7"/>
    <mergeCell ref="B8:F8"/>
  </mergeCells>
  <phoneticPr fontId="51" type="noConversion"/>
  <dataValidations count="2">
    <dataValidation allowBlank="1" showErrorMessage="1" sqref="D3">
      <formula1>0</formula1>
      <formula2>0</formula2>
    </dataValidation>
    <dataValidation allowBlank="1" showErrorMessage="1" promptTitle="存在调整事项时" prompt="_x000a_选择 “E”" sqref="E7:F7">
      <formula1>0</formula1>
      <formula2>0</formula2>
    </dataValidation>
  </dataValidations>
  <hyperlinks>
    <hyperlink ref="G9" location="资产负债!A1" display="资产负债表"/>
    <hyperlink ref="G10" location="利润!A1" display="利润及利润分配表"/>
  </hyperlinks>
  <pageMargins left="0.78740157480314998" right="0.35433070866141703" top="0.511811023622047" bottom="0.11811023622047198" header="0.511811023622047" footer="0.511811023622047"/>
  <pageSetup paperSize="9" firstPageNumber="0" orientation="portrait" blackAndWhite="1" r:id="rId1"/>
  <headerFooter alignWithMargins="0"/>
</worksheet>
</file>

<file path=xl/worksheets/sheet9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63"/>
  <dimension ref="A1:H390"/>
  <sheetViews>
    <sheetView workbookViewId="0">
      <selection activeCell="G7" sqref="G7"/>
    </sheetView>
  </sheetViews>
  <sheetFormatPr defaultColWidth="9" defaultRowHeight="15.6"/>
  <cols>
    <col min="1" max="1" width="23.09765625" style="130" customWidth="1"/>
    <col min="2" max="3" width="13.69921875" style="130" customWidth="1"/>
    <col min="4" max="4" width="9.09765625" style="130" customWidth="1"/>
    <col min="5" max="5" width="13.69921875" style="130" customWidth="1"/>
    <col min="6" max="6" width="9.69921875" style="130" customWidth="1"/>
    <col min="7" max="7" width="63.8984375" style="953" customWidth="1"/>
    <col min="8" max="16384" width="9" style="554"/>
  </cols>
  <sheetData>
    <row r="1" spans="1:8" ht="30" customHeight="1">
      <c r="A1" s="2707" t="s">
        <v>370</v>
      </c>
      <c r="B1" s="2707"/>
      <c r="C1" s="2707"/>
      <c r="D1" s="2707"/>
      <c r="E1" s="2707"/>
      <c r="F1" s="2707"/>
      <c r="G1" s="1009"/>
    </row>
    <row r="2" spans="1:8" s="558" customFormat="1" ht="20.25" customHeight="1">
      <c r="A2" s="3190" t="str">
        <f>"委托单位："&amp;基本情况!B2</f>
        <v>委托单位：0</v>
      </c>
      <c r="B2" s="3190"/>
      <c r="C2" s="509"/>
      <c r="D2" s="136" t="s">
        <v>1283</v>
      </c>
      <c r="E2" s="136" t="s">
        <v>1054</v>
      </c>
      <c r="F2" s="485" t="s">
        <v>283</v>
      </c>
      <c r="G2" s="1026"/>
    </row>
    <row r="3" spans="1:8" s="558" customFormat="1" ht="20.25" customHeight="1">
      <c r="A3" s="3190"/>
      <c r="B3" s="3190"/>
      <c r="C3" s="158" t="s">
        <v>451</v>
      </c>
      <c r="D3" s="510">
        <f>基本情况!B12</f>
        <v>0</v>
      </c>
      <c r="E3" s="559" t="str">
        <f>TEXT(基本情况!B21,"yyyy-mm-dd")</f>
        <v>2017-03-16</v>
      </c>
      <c r="F3" s="3081" t="str">
        <f>档案索引!D42</f>
        <v>4-9</v>
      </c>
      <c r="G3" s="1026"/>
    </row>
    <row r="4" spans="1:8" s="558" customFormat="1" ht="20.25" customHeight="1">
      <c r="A4" s="3161" t="str">
        <f>"会计期间："&amp;基本情况!B7</f>
        <v>会计期间：2016年01月01日至2016年12月31日</v>
      </c>
      <c r="B4" s="3161"/>
      <c r="C4" s="140" t="s">
        <v>453</v>
      </c>
      <c r="D4" s="513">
        <f>基本情况!B11</f>
        <v>0</v>
      </c>
      <c r="E4" s="513" t="str">
        <f>TEXT(基本情况!B22,"yyyy-mm-dd")</f>
        <v>2017-05-04</v>
      </c>
      <c r="F4" s="3081"/>
      <c r="G4" s="1026"/>
    </row>
    <row r="5" spans="1:8" s="565" customFormat="1" ht="7.5" customHeight="1">
      <c r="A5" s="2894"/>
      <c r="B5" s="2894"/>
      <c r="C5" s="2894"/>
      <c r="D5" s="2894"/>
      <c r="E5" s="2894"/>
      <c r="F5" s="2894"/>
      <c r="G5" s="1021"/>
    </row>
    <row r="6" spans="1:8" s="649" customFormat="1" ht="20.25" customHeight="1">
      <c r="A6" s="532" t="s">
        <v>642</v>
      </c>
      <c r="B6" s="3250" t="str">
        <f>IF(基本情况!B29="否",IF(C12-B12&lt;&gt;资产负债!H13,"账载数与报表数相差"&amp;DOLLAR(C12-B12-资产负债!H13,2)&amp;"元！","账载数与报表数相符！"),IF(C11&lt;&gt;资产负债!H13,"账载数与报表数相差"&amp;DOLLAR(C11-资产负债!H13,2)&amp;"元！","账载数与报表数相符！"))</f>
        <v>账载数与报表数相符！</v>
      </c>
      <c r="C6" s="3250"/>
      <c r="D6" s="3250"/>
      <c r="E6" s="3250"/>
      <c r="F6" s="3250"/>
      <c r="G6" s="483" t="s">
        <v>396</v>
      </c>
      <c r="H6" s="607"/>
    </row>
    <row r="7" spans="1:8" s="649" customFormat="1" ht="15" customHeight="1">
      <c r="A7" s="3024" t="s">
        <v>1324</v>
      </c>
      <c r="B7" s="3142" t="s">
        <v>1408</v>
      </c>
      <c r="C7" s="3142"/>
      <c r="D7" s="3142"/>
      <c r="E7" s="3109" t="str">
        <f>IF(D12&lt;&gt;0,"、E","")</f>
        <v/>
      </c>
      <c r="F7" s="3109"/>
      <c r="G7" s="1052"/>
      <c r="H7" s="607"/>
    </row>
    <row r="8" spans="1:8" s="649" customFormat="1" ht="61.5" customHeight="1">
      <c r="A8" s="3024"/>
      <c r="B8" s="3653"/>
      <c r="C8" s="3653"/>
      <c r="D8" s="3653"/>
      <c r="E8" s="3653"/>
      <c r="F8" s="3653"/>
      <c r="G8" s="1012"/>
      <c r="H8" s="607"/>
    </row>
    <row r="9" spans="1:8" s="649" customFormat="1" ht="20.25" customHeight="1">
      <c r="A9" s="528" t="s">
        <v>575</v>
      </c>
      <c r="B9" s="3135" t="str">
        <f>IF(D12&lt;&gt;0,"调整后认可！","不存在调整事项,认可！")</f>
        <v>不存在调整事项,认可！</v>
      </c>
      <c r="C9" s="3135"/>
      <c r="D9" s="3135"/>
      <c r="E9" s="3135"/>
      <c r="F9" s="3135"/>
      <c r="G9" s="1010" t="s">
        <v>1289</v>
      </c>
      <c r="H9" s="607"/>
    </row>
    <row r="10" spans="1:8" s="649" customFormat="1" ht="20.25" customHeight="1">
      <c r="A10" s="135" t="s">
        <v>666</v>
      </c>
      <c r="B10" s="1011" t="s">
        <v>1410</v>
      </c>
      <c r="C10" s="136" t="s">
        <v>1411</v>
      </c>
      <c r="D10" s="136" t="s">
        <v>981</v>
      </c>
      <c r="E10" s="136" t="s">
        <v>503</v>
      </c>
      <c r="F10" s="485" t="s">
        <v>1418</v>
      </c>
      <c r="G10" s="1010" t="s">
        <v>643</v>
      </c>
    </row>
    <row r="11" spans="1:8" s="649" customFormat="1" ht="20.25" customHeight="1">
      <c r="A11" s="1013" t="s">
        <v>1413</v>
      </c>
      <c r="B11" s="1014">
        <f>IF(基本情况!B29="否",0,B12+其他应收!B14)</f>
        <v>0</v>
      </c>
      <c r="C11" s="1014">
        <f>IF(基本情况!B29="否",0,C12+其他应收!C14)</f>
        <v>0</v>
      </c>
      <c r="D11" s="1204"/>
      <c r="E11" s="521">
        <f>C11+D11</f>
        <v>0</v>
      </c>
      <c r="F11" s="1023">
        <f>IF(基本情况!B29="否",0,F12+其他应收!F14)</f>
        <v>0</v>
      </c>
      <c r="G11" s="1022"/>
    </row>
    <row r="12" spans="1:8" s="649" customFormat="1" ht="20.25" customHeight="1">
      <c r="A12" s="528" t="s">
        <v>1414</v>
      </c>
      <c r="B12" s="1017">
        <f>SUM(B13:B3002)</f>
        <v>0</v>
      </c>
      <c r="C12" s="1017">
        <f>SUM(C13:C3002)</f>
        <v>0</v>
      </c>
      <c r="D12" s="823">
        <f>SUM(D13:D302)</f>
        <v>0</v>
      </c>
      <c r="E12" s="823">
        <f>SUM(E13:E302)</f>
        <v>0</v>
      </c>
      <c r="F12" s="596">
        <f>SUM(F13:F302)</f>
        <v>0</v>
      </c>
      <c r="G12" s="1052"/>
    </row>
    <row r="13" spans="1:8" s="558" customFormat="1" ht="15" customHeight="1">
      <c r="A13" s="1018"/>
      <c r="B13" s="1198"/>
      <c r="C13" s="1161"/>
      <c r="D13" s="1161"/>
      <c r="E13" s="1019">
        <f>C13-B13+D13</f>
        <v>0</v>
      </c>
      <c r="F13" s="1199"/>
      <c r="G13" s="3650" t="s">
        <v>990</v>
      </c>
    </row>
    <row r="14" spans="1:8" s="558" customFormat="1" ht="15" customHeight="1">
      <c r="A14" s="680"/>
      <c r="B14" s="1200"/>
      <c r="C14" s="1120"/>
      <c r="D14" s="1120"/>
      <c r="E14" s="1015">
        <f>C14-B14+D14</f>
        <v>0</v>
      </c>
      <c r="F14" s="1201"/>
      <c r="G14" s="3650"/>
    </row>
    <row r="15" spans="1:8" s="558" customFormat="1" ht="15" customHeight="1">
      <c r="A15" s="680"/>
      <c r="B15" s="1200"/>
      <c r="C15" s="1120"/>
      <c r="D15" s="1120"/>
      <c r="E15" s="1015">
        <f t="shared" ref="E15:E78" si="0">C15-B15+D15</f>
        <v>0</v>
      </c>
      <c r="F15" s="1201"/>
      <c r="G15" s="1029" t="s">
        <v>991</v>
      </c>
    </row>
    <row r="16" spans="1:8" s="558" customFormat="1" ht="15" customHeight="1">
      <c r="A16" s="680"/>
      <c r="B16" s="1200"/>
      <c r="C16" s="1120"/>
      <c r="D16" s="1120"/>
      <c r="E16" s="1015">
        <f t="shared" si="0"/>
        <v>0</v>
      </c>
      <c r="F16" s="1201"/>
      <c r="G16" s="1029" t="s">
        <v>992</v>
      </c>
    </row>
    <row r="17" spans="1:7" s="558" customFormat="1" ht="15" customHeight="1">
      <c r="A17" s="680"/>
      <c r="B17" s="1200"/>
      <c r="C17" s="1120"/>
      <c r="D17" s="1120"/>
      <c r="E17" s="1015">
        <f t="shared" si="0"/>
        <v>0</v>
      </c>
      <c r="F17" s="1201"/>
      <c r="G17" s="1029" t="s">
        <v>993</v>
      </c>
    </row>
    <row r="18" spans="1:7" s="558" customFormat="1" ht="15" customHeight="1">
      <c r="A18" s="680"/>
      <c r="B18" s="1200"/>
      <c r="C18" s="1120"/>
      <c r="D18" s="1120"/>
      <c r="E18" s="1015">
        <f t="shared" si="0"/>
        <v>0</v>
      </c>
      <c r="F18" s="1201"/>
      <c r="G18" s="1029" t="s">
        <v>994</v>
      </c>
    </row>
    <row r="19" spans="1:7" s="558" customFormat="1" ht="15" customHeight="1">
      <c r="A19" s="680"/>
      <c r="B19" s="1200"/>
      <c r="C19" s="1120"/>
      <c r="D19" s="1120"/>
      <c r="E19" s="1015">
        <f t="shared" si="0"/>
        <v>0</v>
      </c>
      <c r="F19" s="1201"/>
      <c r="G19" s="1029" t="s">
        <v>995</v>
      </c>
    </row>
    <row r="20" spans="1:7" s="558" customFormat="1" ht="15" customHeight="1">
      <c r="A20" s="680"/>
      <c r="B20" s="1200"/>
      <c r="C20" s="1120"/>
      <c r="D20" s="1120"/>
      <c r="E20" s="1015">
        <f t="shared" si="0"/>
        <v>0</v>
      </c>
      <c r="F20" s="1201"/>
      <c r="G20" s="1029" t="s">
        <v>996</v>
      </c>
    </row>
    <row r="21" spans="1:7" s="558" customFormat="1" ht="15" customHeight="1">
      <c r="A21" s="680"/>
      <c r="B21" s="1200"/>
      <c r="C21" s="1120"/>
      <c r="D21" s="1120"/>
      <c r="E21" s="1015">
        <f t="shared" si="0"/>
        <v>0</v>
      </c>
      <c r="F21" s="1201"/>
      <c r="G21" s="1026"/>
    </row>
    <row r="22" spans="1:7" s="558" customFormat="1" ht="15" customHeight="1">
      <c r="A22" s="680"/>
      <c r="B22" s="1200"/>
      <c r="C22" s="1120"/>
      <c r="D22" s="1120"/>
      <c r="E22" s="1015">
        <f t="shared" si="0"/>
        <v>0</v>
      </c>
      <c r="F22" s="1201"/>
      <c r="G22" s="1026"/>
    </row>
    <row r="23" spans="1:7" s="558" customFormat="1" ht="15" customHeight="1">
      <c r="A23" s="680"/>
      <c r="B23" s="1200"/>
      <c r="C23" s="1120"/>
      <c r="D23" s="1120"/>
      <c r="E23" s="1015">
        <f t="shared" si="0"/>
        <v>0</v>
      </c>
      <c r="F23" s="1201"/>
      <c r="G23" s="1026"/>
    </row>
    <row r="24" spans="1:7" s="558" customFormat="1" ht="15" customHeight="1">
      <c r="A24" s="680"/>
      <c r="B24" s="1200"/>
      <c r="C24" s="1120"/>
      <c r="D24" s="1120"/>
      <c r="E24" s="1015">
        <f t="shared" si="0"/>
        <v>0</v>
      </c>
      <c r="F24" s="1201"/>
      <c r="G24" s="1026"/>
    </row>
    <row r="25" spans="1:7" s="558" customFormat="1" ht="15" customHeight="1">
      <c r="A25" s="680"/>
      <c r="B25" s="1200"/>
      <c r="C25" s="1120"/>
      <c r="D25" s="1120"/>
      <c r="E25" s="1015">
        <f t="shared" si="0"/>
        <v>0</v>
      </c>
      <c r="F25" s="1201"/>
      <c r="G25" s="1026"/>
    </row>
    <row r="26" spans="1:7" s="558" customFormat="1" ht="15" customHeight="1">
      <c r="A26" s="680"/>
      <c r="B26" s="1200"/>
      <c r="C26" s="1120"/>
      <c r="D26" s="1120"/>
      <c r="E26" s="1015">
        <f t="shared" si="0"/>
        <v>0</v>
      </c>
      <c r="F26" s="1201"/>
      <c r="G26" s="1026"/>
    </row>
    <row r="27" spans="1:7" s="558" customFormat="1" ht="15" customHeight="1">
      <c r="A27" s="680"/>
      <c r="B27" s="1200"/>
      <c r="C27" s="1120"/>
      <c r="D27" s="1120"/>
      <c r="E27" s="1015">
        <f t="shared" si="0"/>
        <v>0</v>
      </c>
      <c r="F27" s="1201"/>
      <c r="G27" s="1026"/>
    </row>
    <row r="28" spans="1:7" s="558" customFormat="1" ht="15" customHeight="1">
      <c r="A28" s="680"/>
      <c r="B28" s="1200"/>
      <c r="C28" s="1120"/>
      <c r="D28" s="1120"/>
      <c r="E28" s="1015">
        <f t="shared" si="0"/>
        <v>0</v>
      </c>
      <c r="F28" s="1201"/>
      <c r="G28" s="1026"/>
    </row>
    <row r="29" spans="1:7" s="558" customFormat="1" ht="15" customHeight="1">
      <c r="A29" s="680"/>
      <c r="B29" s="1200"/>
      <c r="C29" s="1120"/>
      <c r="D29" s="1120"/>
      <c r="E29" s="1015">
        <f t="shared" si="0"/>
        <v>0</v>
      </c>
      <c r="F29" s="1201"/>
      <c r="G29" s="1026"/>
    </row>
    <row r="30" spans="1:7" s="558" customFormat="1" ht="15" customHeight="1">
      <c r="A30" s="680"/>
      <c r="B30" s="1200"/>
      <c r="C30" s="1120"/>
      <c r="D30" s="1120"/>
      <c r="E30" s="1015">
        <f t="shared" si="0"/>
        <v>0</v>
      </c>
      <c r="F30" s="1201"/>
      <c r="G30" s="1026"/>
    </row>
    <row r="31" spans="1:7" s="558" customFormat="1" ht="15" customHeight="1">
      <c r="A31" s="680"/>
      <c r="B31" s="1200"/>
      <c r="C31" s="1120"/>
      <c r="D31" s="1120"/>
      <c r="E31" s="1015">
        <f t="shared" si="0"/>
        <v>0</v>
      </c>
      <c r="F31" s="1201"/>
      <c r="G31" s="1026"/>
    </row>
    <row r="32" spans="1:7" s="558" customFormat="1" ht="15" customHeight="1">
      <c r="A32" s="680"/>
      <c r="B32" s="1200"/>
      <c r="C32" s="1120"/>
      <c r="D32" s="1120"/>
      <c r="E32" s="1015">
        <f t="shared" si="0"/>
        <v>0</v>
      </c>
      <c r="F32" s="1201"/>
      <c r="G32" s="1026"/>
    </row>
    <row r="33" spans="1:7" s="558" customFormat="1" ht="15" customHeight="1">
      <c r="A33" s="680"/>
      <c r="B33" s="1200"/>
      <c r="C33" s="1120"/>
      <c r="D33" s="1120"/>
      <c r="E33" s="1015">
        <f t="shared" si="0"/>
        <v>0</v>
      </c>
      <c r="F33" s="1201"/>
      <c r="G33" s="1026"/>
    </row>
    <row r="34" spans="1:7" s="558" customFormat="1" ht="15" customHeight="1">
      <c r="A34" s="680"/>
      <c r="B34" s="1200"/>
      <c r="C34" s="1120"/>
      <c r="D34" s="1120"/>
      <c r="E34" s="1015">
        <f t="shared" si="0"/>
        <v>0</v>
      </c>
      <c r="F34" s="1201"/>
      <c r="G34" s="1026"/>
    </row>
    <row r="35" spans="1:7" s="558" customFormat="1" ht="15" customHeight="1">
      <c r="A35" s="680"/>
      <c r="B35" s="1200"/>
      <c r="C35" s="1120"/>
      <c r="D35" s="1120"/>
      <c r="E35" s="1015">
        <f t="shared" si="0"/>
        <v>0</v>
      </c>
      <c r="F35" s="1201"/>
      <c r="G35" s="1026"/>
    </row>
    <row r="36" spans="1:7" s="558" customFormat="1" ht="15" customHeight="1">
      <c r="A36" s="680"/>
      <c r="B36" s="1200"/>
      <c r="C36" s="1120"/>
      <c r="D36" s="1120"/>
      <c r="E36" s="1015">
        <f t="shared" si="0"/>
        <v>0</v>
      </c>
      <c r="F36" s="1201"/>
      <c r="G36" s="1026"/>
    </row>
    <row r="37" spans="1:7" s="558" customFormat="1" ht="15" customHeight="1">
      <c r="A37" s="680"/>
      <c r="B37" s="1200"/>
      <c r="C37" s="1120"/>
      <c r="D37" s="1120"/>
      <c r="E37" s="1015">
        <f t="shared" si="0"/>
        <v>0</v>
      </c>
      <c r="F37" s="1201"/>
      <c r="G37" s="1026"/>
    </row>
    <row r="38" spans="1:7" s="558" customFormat="1" ht="15" customHeight="1">
      <c r="A38" s="680"/>
      <c r="B38" s="1200"/>
      <c r="C38" s="1120"/>
      <c r="D38" s="1120"/>
      <c r="E38" s="1015">
        <f t="shared" si="0"/>
        <v>0</v>
      </c>
      <c r="F38" s="1201"/>
      <c r="G38" s="1026"/>
    </row>
    <row r="39" spans="1:7" s="558" customFormat="1" ht="15" customHeight="1">
      <c r="A39" s="680"/>
      <c r="B39" s="1200"/>
      <c r="C39" s="1120"/>
      <c r="D39" s="1120"/>
      <c r="E39" s="1015">
        <f t="shared" si="0"/>
        <v>0</v>
      </c>
      <c r="F39" s="1201"/>
      <c r="G39" s="1026"/>
    </row>
    <row r="40" spans="1:7" s="558" customFormat="1" ht="15" customHeight="1">
      <c r="A40" s="680"/>
      <c r="B40" s="1200"/>
      <c r="C40" s="1120"/>
      <c r="D40" s="1120"/>
      <c r="E40" s="1015">
        <f t="shared" si="0"/>
        <v>0</v>
      </c>
      <c r="F40" s="1201"/>
      <c r="G40" s="1026"/>
    </row>
    <row r="41" spans="1:7" s="558" customFormat="1" ht="15" customHeight="1">
      <c r="A41" s="680"/>
      <c r="B41" s="1200"/>
      <c r="C41" s="1120"/>
      <c r="D41" s="1120"/>
      <c r="E41" s="1015">
        <f t="shared" si="0"/>
        <v>0</v>
      </c>
      <c r="F41" s="1201"/>
      <c r="G41" s="1026"/>
    </row>
    <row r="42" spans="1:7" s="558" customFormat="1" ht="15" customHeight="1">
      <c r="A42" s="680"/>
      <c r="B42" s="1200"/>
      <c r="C42" s="1120"/>
      <c r="D42" s="1120"/>
      <c r="E42" s="1015">
        <f t="shared" si="0"/>
        <v>0</v>
      </c>
      <c r="F42" s="1201"/>
      <c r="G42" s="1026"/>
    </row>
    <row r="43" spans="1:7" s="558" customFormat="1" ht="15" customHeight="1">
      <c r="A43" s="680"/>
      <c r="B43" s="1200"/>
      <c r="C43" s="1120"/>
      <c r="D43" s="1120"/>
      <c r="E43" s="1015">
        <f t="shared" si="0"/>
        <v>0</v>
      </c>
      <c r="F43" s="1201"/>
      <c r="G43" s="1026"/>
    </row>
    <row r="44" spans="1:7" s="558" customFormat="1" ht="15" customHeight="1">
      <c r="A44" s="680"/>
      <c r="B44" s="1200"/>
      <c r="C44" s="1120"/>
      <c r="D44" s="1120"/>
      <c r="E44" s="1015">
        <f t="shared" si="0"/>
        <v>0</v>
      </c>
      <c r="F44" s="1201"/>
      <c r="G44" s="1026"/>
    </row>
    <row r="45" spans="1:7" s="558" customFormat="1" ht="15" customHeight="1">
      <c r="A45" s="680"/>
      <c r="B45" s="1200"/>
      <c r="C45" s="1120"/>
      <c r="D45" s="1120"/>
      <c r="E45" s="1015">
        <f t="shared" si="0"/>
        <v>0</v>
      </c>
      <c r="F45" s="1201"/>
      <c r="G45" s="1026"/>
    </row>
    <row r="46" spans="1:7" s="558" customFormat="1" ht="15" customHeight="1">
      <c r="A46" s="680"/>
      <c r="B46" s="1200"/>
      <c r="C46" s="1120"/>
      <c r="D46" s="1120"/>
      <c r="E46" s="1015">
        <f t="shared" si="0"/>
        <v>0</v>
      </c>
      <c r="F46" s="1201"/>
      <c r="G46" s="1026"/>
    </row>
    <row r="47" spans="1:7" s="558" customFormat="1" ht="15" customHeight="1">
      <c r="A47" s="680"/>
      <c r="B47" s="1200"/>
      <c r="C47" s="1120"/>
      <c r="D47" s="1120"/>
      <c r="E47" s="1015">
        <f t="shared" si="0"/>
        <v>0</v>
      </c>
      <c r="F47" s="1201"/>
      <c r="G47" s="1026"/>
    </row>
    <row r="48" spans="1:7" s="502" customFormat="1" ht="15" customHeight="1">
      <c r="A48" s="680"/>
      <c r="B48" s="1200"/>
      <c r="C48" s="1120"/>
      <c r="D48" s="1120"/>
      <c r="E48" s="1015">
        <f t="shared" si="0"/>
        <v>0</v>
      </c>
      <c r="F48" s="1201"/>
      <c r="G48" s="470"/>
    </row>
    <row r="49" spans="1:7" s="502" customFormat="1" ht="15" customHeight="1">
      <c r="A49" s="680"/>
      <c r="B49" s="1200"/>
      <c r="C49" s="1120"/>
      <c r="D49" s="1120"/>
      <c r="E49" s="1015">
        <f t="shared" si="0"/>
        <v>0</v>
      </c>
      <c r="F49" s="1201"/>
      <c r="G49" s="470"/>
    </row>
    <row r="50" spans="1:7" s="502" customFormat="1" ht="15" customHeight="1">
      <c r="A50" s="680"/>
      <c r="B50" s="1200"/>
      <c r="C50" s="1120"/>
      <c r="D50" s="1120"/>
      <c r="E50" s="1015">
        <f t="shared" si="0"/>
        <v>0</v>
      </c>
      <c r="F50" s="1201"/>
      <c r="G50" s="470"/>
    </row>
    <row r="51" spans="1:7" s="502" customFormat="1" ht="15" customHeight="1">
      <c r="A51" s="680"/>
      <c r="B51" s="1200"/>
      <c r="C51" s="1120"/>
      <c r="D51" s="1120"/>
      <c r="E51" s="1015">
        <f t="shared" si="0"/>
        <v>0</v>
      </c>
      <c r="F51" s="1201"/>
      <c r="G51" s="470"/>
    </row>
    <row r="52" spans="1:7" s="502" customFormat="1" ht="15" customHeight="1">
      <c r="A52" s="680"/>
      <c r="B52" s="1200"/>
      <c r="C52" s="1120"/>
      <c r="D52" s="1120"/>
      <c r="E52" s="1015">
        <f t="shared" si="0"/>
        <v>0</v>
      </c>
      <c r="F52" s="1201"/>
      <c r="G52" s="470"/>
    </row>
    <row r="53" spans="1:7" ht="15" customHeight="1">
      <c r="A53" s="680"/>
      <c r="B53" s="1200"/>
      <c r="C53" s="1120"/>
      <c r="D53" s="1120"/>
      <c r="E53" s="1015">
        <f t="shared" si="0"/>
        <v>0</v>
      </c>
      <c r="F53" s="1201"/>
      <c r="G53" s="1009"/>
    </row>
    <row r="54" spans="1:7" ht="15" customHeight="1">
      <c r="A54" s="680"/>
      <c r="B54" s="1200"/>
      <c r="C54" s="1120"/>
      <c r="D54" s="1120"/>
      <c r="E54" s="1015">
        <f t="shared" si="0"/>
        <v>0</v>
      </c>
      <c r="F54" s="1201"/>
      <c r="G54" s="1009"/>
    </row>
    <row r="55" spans="1:7" ht="15" customHeight="1">
      <c r="A55" s="680"/>
      <c r="B55" s="1200"/>
      <c r="C55" s="1120"/>
      <c r="D55" s="1120"/>
      <c r="E55" s="1015">
        <f t="shared" si="0"/>
        <v>0</v>
      </c>
      <c r="F55" s="1201"/>
      <c r="G55" s="1009"/>
    </row>
    <row r="56" spans="1:7" ht="15" customHeight="1">
      <c r="A56" s="680"/>
      <c r="B56" s="1200"/>
      <c r="C56" s="1120"/>
      <c r="D56" s="1120"/>
      <c r="E56" s="1015">
        <f t="shared" si="0"/>
        <v>0</v>
      </c>
      <c r="F56" s="1201"/>
      <c r="G56" s="1009"/>
    </row>
    <row r="57" spans="1:7" ht="15" customHeight="1">
      <c r="A57" s="680"/>
      <c r="B57" s="1200"/>
      <c r="C57" s="1120"/>
      <c r="D57" s="1120"/>
      <c r="E57" s="1015">
        <f t="shared" si="0"/>
        <v>0</v>
      </c>
      <c r="F57" s="1201"/>
      <c r="G57" s="1009"/>
    </row>
    <row r="58" spans="1:7" ht="15" customHeight="1">
      <c r="A58" s="680"/>
      <c r="B58" s="1200"/>
      <c r="C58" s="1120"/>
      <c r="D58" s="1120"/>
      <c r="E58" s="1015">
        <f t="shared" si="0"/>
        <v>0</v>
      </c>
      <c r="F58" s="1201"/>
      <c r="G58" s="1009"/>
    </row>
    <row r="59" spans="1:7" ht="15" customHeight="1">
      <c r="A59" s="680"/>
      <c r="B59" s="1200"/>
      <c r="C59" s="1120"/>
      <c r="D59" s="1120"/>
      <c r="E59" s="1015">
        <f t="shared" si="0"/>
        <v>0</v>
      </c>
      <c r="F59" s="1201"/>
      <c r="G59" s="1009"/>
    </row>
    <row r="60" spans="1:7" ht="15" customHeight="1">
      <c r="A60" s="680"/>
      <c r="B60" s="1200"/>
      <c r="C60" s="1120"/>
      <c r="D60" s="1120"/>
      <c r="E60" s="1015">
        <f t="shared" si="0"/>
        <v>0</v>
      </c>
      <c r="F60" s="1201"/>
      <c r="G60" s="1009"/>
    </row>
    <row r="61" spans="1:7" ht="15" customHeight="1">
      <c r="A61" s="680"/>
      <c r="B61" s="1200"/>
      <c r="C61" s="1120"/>
      <c r="D61" s="1120"/>
      <c r="E61" s="1015">
        <f t="shared" si="0"/>
        <v>0</v>
      </c>
      <c r="F61" s="1201"/>
      <c r="G61" s="1009"/>
    </row>
    <row r="62" spans="1:7" ht="15" customHeight="1">
      <c r="A62" s="680"/>
      <c r="B62" s="1200"/>
      <c r="C62" s="1120"/>
      <c r="D62" s="1120"/>
      <c r="E62" s="1015">
        <f t="shared" si="0"/>
        <v>0</v>
      </c>
      <c r="F62" s="1201"/>
      <c r="G62" s="1009"/>
    </row>
    <row r="63" spans="1:7" ht="15" customHeight="1">
      <c r="A63" s="680"/>
      <c r="B63" s="1200"/>
      <c r="C63" s="1120"/>
      <c r="D63" s="1120"/>
      <c r="E63" s="1015">
        <f t="shared" si="0"/>
        <v>0</v>
      </c>
      <c r="F63" s="1201"/>
      <c r="G63" s="1009"/>
    </row>
    <row r="64" spans="1:7" ht="15" customHeight="1">
      <c r="A64" s="680"/>
      <c r="B64" s="1200"/>
      <c r="C64" s="1120"/>
      <c r="D64" s="1120"/>
      <c r="E64" s="1015">
        <f t="shared" si="0"/>
        <v>0</v>
      </c>
      <c r="F64" s="1201"/>
      <c r="G64" s="1009"/>
    </row>
    <row r="65" spans="1:7" ht="15" customHeight="1">
      <c r="A65" s="680"/>
      <c r="B65" s="1200"/>
      <c r="C65" s="1120"/>
      <c r="D65" s="1120"/>
      <c r="E65" s="1015">
        <f t="shared" si="0"/>
        <v>0</v>
      </c>
      <c r="F65" s="1201"/>
      <c r="G65" s="1009"/>
    </row>
    <row r="66" spans="1:7" ht="15" customHeight="1">
      <c r="A66" s="680"/>
      <c r="B66" s="1200"/>
      <c r="C66" s="1120"/>
      <c r="D66" s="1120"/>
      <c r="E66" s="1015">
        <f t="shared" si="0"/>
        <v>0</v>
      </c>
      <c r="F66" s="1201"/>
      <c r="G66" s="1009"/>
    </row>
    <row r="67" spans="1:7" ht="15" customHeight="1">
      <c r="A67" s="680"/>
      <c r="B67" s="1200"/>
      <c r="C67" s="1120"/>
      <c r="D67" s="1120"/>
      <c r="E67" s="1015">
        <f t="shared" si="0"/>
        <v>0</v>
      </c>
      <c r="F67" s="1201"/>
      <c r="G67" s="1009"/>
    </row>
    <row r="68" spans="1:7" ht="15" customHeight="1">
      <c r="A68" s="680"/>
      <c r="B68" s="1200"/>
      <c r="C68" s="1120"/>
      <c r="D68" s="1120"/>
      <c r="E68" s="1015">
        <f t="shared" si="0"/>
        <v>0</v>
      </c>
      <c r="F68" s="1201"/>
      <c r="G68" s="1009"/>
    </row>
    <row r="69" spans="1:7" ht="15" customHeight="1">
      <c r="A69" s="680"/>
      <c r="B69" s="1200"/>
      <c r="C69" s="1120"/>
      <c r="D69" s="1120"/>
      <c r="E69" s="1015">
        <f t="shared" si="0"/>
        <v>0</v>
      </c>
      <c r="F69" s="1201"/>
      <c r="G69" s="1009"/>
    </row>
    <row r="70" spans="1:7" ht="15" customHeight="1">
      <c r="A70" s="680"/>
      <c r="B70" s="1200"/>
      <c r="C70" s="1120"/>
      <c r="D70" s="1120"/>
      <c r="E70" s="1015">
        <f t="shared" si="0"/>
        <v>0</v>
      </c>
      <c r="F70" s="1201"/>
      <c r="G70" s="1009"/>
    </row>
    <row r="71" spans="1:7" ht="15" customHeight="1">
      <c r="A71" s="680"/>
      <c r="B71" s="1200"/>
      <c r="C71" s="1120"/>
      <c r="D71" s="1120"/>
      <c r="E71" s="1015">
        <f t="shared" si="0"/>
        <v>0</v>
      </c>
      <c r="F71" s="1201"/>
      <c r="G71" s="1009"/>
    </row>
    <row r="72" spans="1:7" ht="15" customHeight="1">
      <c r="A72" s="680"/>
      <c r="B72" s="1200"/>
      <c r="C72" s="1120"/>
      <c r="D72" s="1120"/>
      <c r="E72" s="1015">
        <f t="shared" si="0"/>
        <v>0</v>
      </c>
      <c r="F72" s="1201"/>
      <c r="G72" s="1009"/>
    </row>
    <row r="73" spans="1:7" ht="15" customHeight="1">
      <c r="A73" s="680"/>
      <c r="B73" s="1200"/>
      <c r="C73" s="1120"/>
      <c r="D73" s="1120"/>
      <c r="E73" s="1015">
        <f t="shared" si="0"/>
        <v>0</v>
      </c>
      <c r="F73" s="1201"/>
      <c r="G73" s="1009"/>
    </row>
    <row r="74" spans="1:7" ht="15" customHeight="1">
      <c r="A74" s="680"/>
      <c r="B74" s="1200"/>
      <c r="C74" s="1120"/>
      <c r="D74" s="1120"/>
      <c r="E74" s="1015">
        <f t="shared" si="0"/>
        <v>0</v>
      </c>
      <c r="F74" s="1201"/>
      <c r="G74" s="1009"/>
    </row>
    <row r="75" spans="1:7" ht="15" customHeight="1">
      <c r="A75" s="680"/>
      <c r="B75" s="1200"/>
      <c r="C75" s="1120"/>
      <c r="D75" s="1120"/>
      <c r="E75" s="1015">
        <f t="shared" si="0"/>
        <v>0</v>
      </c>
      <c r="F75" s="1201"/>
      <c r="G75" s="1009"/>
    </row>
    <row r="76" spans="1:7" ht="15" customHeight="1">
      <c r="A76" s="680"/>
      <c r="B76" s="1200"/>
      <c r="C76" s="1120"/>
      <c r="D76" s="1120"/>
      <c r="E76" s="1015">
        <f t="shared" si="0"/>
        <v>0</v>
      </c>
      <c r="F76" s="1201"/>
      <c r="G76" s="1009"/>
    </row>
    <row r="77" spans="1:7" ht="15" customHeight="1">
      <c r="A77" s="680"/>
      <c r="B77" s="1200"/>
      <c r="C77" s="1120"/>
      <c r="D77" s="1120"/>
      <c r="E77" s="1015">
        <f t="shared" si="0"/>
        <v>0</v>
      </c>
      <c r="F77" s="1201"/>
      <c r="G77" s="1009"/>
    </row>
    <row r="78" spans="1:7" ht="15" customHeight="1">
      <c r="A78" s="680"/>
      <c r="B78" s="1200"/>
      <c r="C78" s="1120"/>
      <c r="D78" s="1120"/>
      <c r="E78" s="1015">
        <f t="shared" si="0"/>
        <v>0</v>
      </c>
      <c r="F78" s="1201"/>
      <c r="G78" s="1009"/>
    </row>
    <row r="79" spans="1:7" ht="15" customHeight="1">
      <c r="A79" s="680"/>
      <c r="B79" s="1200"/>
      <c r="C79" s="1120"/>
      <c r="D79" s="1120"/>
      <c r="E79" s="1015">
        <f t="shared" ref="E79:E142" si="1">C79-B79+D79</f>
        <v>0</v>
      </c>
      <c r="F79" s="1201"/>
      <c r="G79" s="1009"/>
    </row>
    <row r="80" spans="1:7" ht="15" customHeight="1">
      <c r="A80" s="680"/>
      <c r="B80" s="1200"/>
      <c r="C80" s="1120"/>
      <c r="D80" s="1120"/>
      <c r="E80" s="1015">
        <f t="shared" si="1"/>
        <v>0</v>
      </c>
      <c r="F80" s="1201"/>
      <c r="G80" s="1009"/>
    </row>
    <row r="81" spans="1:7" ht="15" customHeight="1">
      <c r="A81" s="680"/>
      <c r="B81" s="1200"/>
      <c r="C81" s="1120"/>
      <c r="D81" s="1120"/>
      <c r="E81" s="1015">
        <f t="shared" si="1"/>
        <v>0</v>
      </c>
      <c r="F81" s="1201"/>
      <c r="G81" s="1009"/>
    </row>
    <row r="82" spans="1:7" ht="15" customHeight="1">
      <c r="A82" s="680"/>
      <c r="B82" s="1200"/>
      <c r="C82" s="1120"/>
      <c r="D82" s="1120"/>
      <c r="E82" s="1015">
        <f t="shared" si="1"/>
        <v>0</v>
      </c>
      <c r="F82" s="1201"/>
      <c r="G82" s="1009"/>
    </row>
    <row r="83" spans="1:7" ht="15" customHeight="1">
      <c r="A83" s="680"/>
      <c r="B83" s="1200"/>
      <c r="C83" s="1120"/>
      <c r="D83" s="1120"/>
      <c r="E83" s="1015">
        <f t="shared" si="1"/>
        <v>0</v>
      </c>
      <c r="F83" s="1201"/>
      <c r="G83" s="1009"/>
    </row>
    <row r="84" spans="1:7" ht="15" customHeight="1">
      <c r="A84" s="680"/>
      <c r="B84" s="1200"/>
      <c r="C84" s="1120"/>
      <c r="D84" s="1120"/>
      <c r="E84" s="1015">
        <f t="shared" si="1"/>
        <v>0</v>
      </c>
      <c r="F84" s="1201"/>
      <c r="G84" s="1009"/>
    </row>
    <row r="85" spans="1:7" ht="15" customHeight="1">
      <c r="A85" s="680"/>
      <c r="B85" s="1200"/>
      <c r="C85" s="1120"/>
      <c r="D85" s="1120"/>
      <c r="E85" s="1015">
        <f t="shared" si="1"/>
        <v>0</v>
      </c>
      <c r="F85" s="1201"/>
      <c r="G85" s="1009"/>
    </row>
    <row r="86" spans="1:7" ht="15" customHeight="1">
      <c r="A86" s="680"/>
      <c r="B86" s="1200"/>
      <c r="C86" s="1120"/>
      <c r="D86" s="1120"/>
      <c r="E86" s="1015">
        <f t="shared" si="1"/>
        <v>0</v>
      </c>
      <c r="F86" s="1201"/>
      <c r="G86" s="1009"/>
    </row>
    <row r="87" spans="1:7" ht="15" customHeight="1">
      <c r="A87" s="680"/>
      <c r="B87" s="1200"/>
      <c r="C87" s="1120"/>
      <c r="D87" s="1120"/>
      <c r="E87" s="1015">
        <f t="shared" si="1"/>
        <v>0</v>
      </c>
      <c r="F87" s="1201"/>
      <c r="G87" s="1009"/>
    </row>
    <row r="88" spans="1:7" ht="15" customHeight="1">
      <c r="A88" s="680"/>
      <c r="B88" s="1200"/>
      <c r="C88" s="1120"/>
      <c r="D88" s="1120"/>
      <c r="E88" s="1015">
        <f t="shared" si="1"/>
        <v>0</v>
      </c>
      <c r="F88" s="1201"/>
      <c r="G88" s="1009"/>
    </row>
    <row r="89" spans="1:7" ht="15" customHeight="1">
      <c r="A89" s="680"/>
      <c r="B89" s="1200"/>
      <c r="C89" s="1120"/>
      <c r="D89" s="1120"/>
      <c r="E89" s="1015">
        <f t="shared" si="1"/>
        <v>0</v>
      </c>
      <c r="F89" s="1201"/>
      <c r="G89" s="1009"/>
    </row>
    <row r="90" spans="1:7" ht="15" customHeight="1">
      <c r="A90" s="680"/>
      <c r="B90" s="1200"/>
      <c r="C90" s="1120"/>
      <c r="D90" s="1120"/>
      <c r="E90" s="1015">
        <f t="shared" si="1"/>
        <v>0</v>
      </c>
      <c r="F90" s="1201"/>
      <c r="G90" s="1009"/>
    </row>
    <row r="91" spans="1:7" ht="15" customHeight="1">
      <c r="A91" s="680"/>
      <c r="B91" s="1200"/>
      <c r="C91" s="1120"/>
      <c r="D91" s="1120"/>
      <c r="E91" s="1015">
        <f t="shared" si="1"/>
        <v>0</v>
      </c>
      <c r="F91" s="1201"/>
      <c r="G91" s="1009"/>
    </row>
    <row r="92" spans="1:7" ht="15" customHeight="1">
      <c r="A92" s="680"/>
      <c r="B92" s="1200"/>
      <c r="C92" s="1120"/>
      <c r="D92" s="1120"/>
      <c r="E92" s="1015">
        <f t="shared" si="1"/>
        <v>0</v>
      </c>
      <c r="F92" s="1201"/>
      <c r="G92" s="1009"/>
    </row>
    <row r="93" spans="1:7" ht="15" customHeight="1">
      <c r="A93" s="680"/>
      <c r="B93" s="1200"/>
      <c r="C93" s="1120"/>
      <c r="D93" s="1120"/>
      <c r="E93" s="1015">
        <f t="shared" si="1"/>
        <v>0</v>
      </c>
      <c r="F93" s="1201"/>
      <c r="G93" s="1009"/>
    </row>
    <row r="94" spans="1:7" ht="15" customHeight="1">
      <c r="A94" s="680"/>
      <c r="B94" s="1200"/>
      <c r="C94" s="1120"/>
      <c r="D94" s="1120"/>
      <c r="E94" s="1015">
        <f t="shared" si="1"/>
        <v>0</v>
      </c>
      <c r="F94" s="1201"/>
      <c r="G94" s="1009"/>
    </row>
    <row r="95" spans="1:7" ht="15" customHeight="1">
      <c r="A95" s="680"/>
      <c r="B95" s="1200"/>
      <c r="C95" s="1120"/>
      <c r="D95" s="1120"/>
      <c r="E95" s="1015">
        <f t="shared" si="1"/>
        <v>0</v>
      </c>
      <c r="F95" s="1201"/>
      <c r="G95" s="1009"/>
    </row>
    <row r="96" spans="1:7" ht="15" customHeight="1">
      <c r="A96" s="680"/>
      <c r="B96" s="1200"/>
      <c r="C96" s="1120"/>
      <c r="D96" s="1120"/>
      <c r="E96" s="1015">
        <f t="shared" si="1"/>
        <v>0</v>
      </c>
      <c r="F96" s="1201"/>
      <c r="G96" s="1009"/>
    </row>
    <row r="97" spans="1:7" ht="15" customHeight="1">
      <c r="A97" s="680"/>
      <c r="B97" s="1200"/>
      <c r="C97" s="1120"/>
      <c r="D97" s="1120"/>
      <c r="E97" s="1015">
        <f t="shared" si="1"/>
        <v>0</v>
      </c>
      <c r="F97" s="1201"/>
      <c r="G97" s="1009"/>
    </row>
    <row r="98" spans="1:7" ht="15" customHeight="1">
      <c r="A98" s="680"/>
      <c r="B98" s="1200"/>
      <c r="C98" s="1120"/>
      <c r="D98" s="1120"/>
      <c r="E98" s="1015">
        <f t="shared" si="1"/>
        <v>0</v>
      </c>
      <c r="F98" s="1201"/>
      <c r="G98" s="1009"/>
    </row>
    <row r="99" spans="1:7" ht="15" customHeight="1">
      <c r="A99" s="680"/>
      <c r="B99" s="1200"/>
      <c r="C99" s="1120"/>
      <c r="D99" s="1120"/>
      <c r="E99" s="1015">
        <f t="shared" si="1"/>
        <v>0</v>
      </c>
      <c r="F99" s="1201"/>
      <c r="G99" s="1009"/>
    </row>
    <row r="100" spans="1:7" ht="15" customHeight="1">
      <c r="A100" s="680"/>
      <c r="B100" s="1200"/>
      <c r="C100" s="1120"/>
      <c r="D100" s="1120"/>
      <c r="E100" s="1015">
        <f t="shared" si="1"/>
        <v>0</v>
      </c>
      <c r="F100" s="1201"/>
      <c r="G100" s="1009"/>
    </row>
    <row r="101" spans="1:7" ht="15" customHeight="1">
      <c r="A101" s="680"/>
      <c r="B101" s="1200"/>
      <c r="C101" s="1120"/>
      <c r="D101" s="1120"/>
      <c r="E101" s="1015">
        <f t="shared" si="1"/>
        <v>0</v>
      </c>
      <c r="F101" s="1201"/>
      <c r="G101" s="1009"/>
    </row>
    <row r="102" spans="1:7" ht="15" customHeight="1">
      <c r="A102" s="680"/>
      <c r="B102" s="1200"/>
      <c r="C102" s="1120"/>
      <c r="D102" s="1120"/>
      <c r="E102" s="1015">
        <f t="shared" si="1"/>
        <v>0</v>
      </c>
      <c r="F102" s="1201"/>
      <c r="G102" s="1009"/>
    </row>
    <row r="103" spans="1:7" ht="15" customHeight="1">
      <c r="A103" s="680"/>
      <c r="B103" s="1200"/>
      <c r="C103" s="1120"/>
      <c r="D103" s="1120"/>
      <c r="E103" s="1015">
        <f t="shared" si="1"/>
        <v>0</v>
      </c>
      <c r="F103" s="1201"/>
      <c r="G103" s="1009"/>
    </row>
    <row r="104" spans="1:7" ht="15" customHeight="1">
      <c r="A104" s="680"/>
      <c r="B104" s="1200"/>
      <c r="C104" s="1120"/>
      <c r="D104" s="1120"/>
      <c r="E104" s="1015">
        <f t="shared" si="1"/>
        <v>0</v>
      </c>
      <c r="F104" s="1201"/>
      <c r="G104" s="1009"/>
    </row>
    <row r="105" spans="1:7" ht="15" customHeight="1">
      <c r="A105" s="680"/>
      <c r="B105" s="1200"/>
      <c r="C105" s="1120"/>
      <c r="D105" s="1120"/>
      <c r="E105" s="1015">
        <f t="shared" si="1"/>
        <v>0</v>
      </c>
      <c r="F105" s="1201"/>
      <c r="G105" s="1009"/>
    </row>
    <row r="106" spans="1:7" ht="15" customHeight="1">
      <c r="A106" s="680"/>
      <c r="B106" s="1200"/>
      <c r="C106" s="1120"/>
      <c r="D106" s="1120"/>
      <c r="E106" s="1015">
        <f t="shared" si="1"/>
        <v>0</v>
      </c>
      <c r="F106" s="1201"/>
      <c r="G106" s="1009"/>
    </row>
    <row r="107" spans="1:7" ht="15" customHeight="1">
      <c r="A107" s="680"/>
      <c r="B107" s="1200"/>
      <c r="C107" s="1120"/>
      <c r="D107" s="1120"/>
      <c r="E107" s="1015">
        <f t="shared" si="1"/>
        <v>0</v>
      </c>
      <c r="F107" s="1201"/>
      <c r="G107" s="1009"/>
    </row>
    <row r="108" spans="1:7" ht="15" customHeight="1">
      <c r="A108" s="680"/>
      <c r="B108" s="1200"/>
      <c r="C108" s="1120"/>
      <c r="D108" s="1120"/>
      <c r="E108" s="1015">
        <f t="shared" si="1"/>
        <v>0</v>
      </c>
      <c r="F108" s="1201"/>
      <c r="G108" s="1009"/>
    </row>
    <row r="109" spans="1:7" ht="15" customHeight="1">
      <c r="A109" s="680"/>
      <c r="B109" s="1200"/>
      <c r="C109" s="1120"/>
      <c r="D109" s="1120"/>
      <c r="E109" s="1015">
        <f t="shared" si="1"/>
        <v>0</v>
      </c>
      <c r="F109" s="1201"/>
      <c r="G109" s="1009"/>
    </row>
    <row r="110" spans="1:7" ht="15" customHeight="1">
      <c r="A110" s="680"/>
      <c r="B110" s="1200"/>
      <c r="C110" s="1120"/>
      <c r="D110" s="1120"/>
      <c r="E110" s="1015">
        <f t="shared" si="1"/>
        <v>0</v>
      </c>
      <c r="F110" s="1201"/>
      <c r="G110" s="1009"/>
    </row>
    <row r="111" spans="1:7" ht="15" customHeight="1">
      <c r="A111" s="680"/>
      <c r="B111" s="1200"/>
      <c r="C111" s="1120"/>
      <c r="D111" s="1120"/>
      <c r="E111" s="1015">
        <f t="shared" si="1"/>
        <v>0</v>
      </c>
      <c r="F111" s="1201"/>
      <c r="G111" s="1009"/>
    </row>
    <row r="112" spans="1:7" ht="15" customHeight="1">
      <c r="A112" s="680"/>
      <c r="B112" s="1200"/>
      <c r="C112" s="1120"/>
      <c r="D112" s="1120"/>
      <c r="E112" s="1015">
        <f t="shared" si="1"/>
        <v>0</v>
      </c>
      <c r="F112" s="1201"/>
      <c r="G112" s="1009"/>
    </row>
    <row r="113" spans="1:7" ht="15" customHeight="1">
      <c r="A113" s="680"/>
      <c r="B113" s="1200"/>
      <c r="C113" s="1120"/>
      <c r="D113" s="1120"/>
      <c r="E113" s="1015">
        <f t="shared" si="1"/>
        <v>0</v>
      </c>
      <c r="F113" s="1201"/>
      <c r="G113" s="1009"/>
    </row>
    <row r="114" spans="1:7" ht="15" customHeight="1">
      <c r="A114" s="680"/>
      <c r="B114" s="1200"/>
      <c r="C114" s="1120"/>
      <c r="D114" s="1120"/>
      <c r="E114" s="1015">
        <f t="shared" si="1"/>
        <v>0</v>
      </c>
      <c r="F114" s="1201"/>
      <c r="G114" s="1009"/>
    </row>
    <row r="115" spans="1:7" ht="15" customHeight="1">
      <c r="A115" s="680"/>
      <c r="B115" s="1200"/>
      <c r="C115" s="1120"/>
      <c r="D115" s="1120"/>
      <c r="E115" s="1015">
        <f t="shared" si="1"/>
        <v>0</v>
      </c>
      <c r="F115" s="1201"/>
      <c r="G115" s="1009"/>
    </row>
    <row r="116" spans="1:7" ht="15" customHeight="1">
      <c r="A116" s="680"/>
      <c r="B116" s="1200"/>
      <c r="C116" s="1120"/>
      <c r="D116" s="1120"/>
      <c r="E116" s="1015">
        <f t="shared" si="1"/>
        <v>0</v>
      </c>
      <c r="F116" s="1201"/>
      <c r="G116" s="1009"/>
    </row>
    <row r="117" spans="1:7" ht="15" customHeight="1">
      <c r="A117" s="680"/>
      <c r="B117" s="1200"/>
      <c r="C117" s="1120"/>
      <c r="D117" s="1120"/>
      <c r="E117" s="1015">
        <f t="shared" si="1"/>
        <v>0</v>
      </c>
      <c r="F117" s="1201"/>
      <c r="G117" s="1009"/>
    </row>
    <row r="118" spans="1:7" ht="15" customHeight="1">
      <c r="A118" s="680"/>
      <c r="B118" s="1200"/>
      <c r="C118" s="1120"/>
      <c r="D118" s="1120"/>
      <c r="E118" s="1015">
        <f t="shared" si="1"/>
        <v>0</v>
      </c>
      <c r="F118" s="1201"/>
      <c r="G118" s="1009"/>
    </row>
    <row r="119" spans="1:7" ht="15" customHeight="1">
      <c r="A119" s="680"/>
      <c r="B119" s="1200"/>
      <c r="C119" s="1120"/>
      <c r="D119" s="1120"/>
      <c r="E119" s="1015">
        <f t="shared" si="1"/>
        <v>0</v>
      </c>
      <c r="F119" s="1201"/>
      <c r="G119" s="1009"/>
    </row>
    <row r="120" spans="1:7" ht="15" customHeight="1">
      <c r="A120" s="680"/>
      <c r="B120" s="1200"/>
      <c r="C120" s="1120"/>
      <c r="D120" s="1120"/>
      <c r="E120" s="1015">
        <f t="shared" si="1"/>
        <v>0</v>
      </c>
      <c r="F120" s="1201"/>
      <c r="G120" s="1009"/>
    </row>
    <row r="121" spans="1:7" ht="15" customHeight="1">
      <c r="A121" s="680"/>
      <c r="B121" s="1200"/>
      <c r="C121" s="1120"/>
      <c r="D121" s="1120"/>
      <c r="E121" s="1015">
        <f t="shared" si="1"/>
        <v>0</v>
      </c>
      <c r="F121" s="1201"/>
      <c r="G121" s="1009"/>
    </row>
    <row r="122" spans="1:7" ht="15" customHeight="1">
      <c r="A122" s="680"/>
      <c r="B122" s="1200"/>
      <c r="C122" s="1120"/>
      <c r="D122" s="1120"/>
      <c r="E122" s="1015">
        <f t="shared" si="1"/>
        <v>0</v>
      </c>
      <c r="F122" s="1201"/>
      <c r="G122" s="1009"/>
    </row>
    <row r="123" spans="1:7" ht="15" customHeight="1">
      <c r="A123" s="680"/>
      <c r="B123" s="1200"/>
      <c r="C123" s="1120"/>
      <c r="D123" s="1120"/>
      <c r="E123" s="1015">
        <f t="shared" si="1"/>
        <v>0</v>
      </c>
      <c r="F123" s="1201"/>
      <c r="G123" s="1009"/>
    </row>
    <row r="124" spans="1:7" ht="15" customHeight="1">
      <c r="A124" s="680"/>
      <c r="B124" s="1200"/>
      <c r="C124" s="1120"/>
      <c r="D124" s="1120"/>
      <c r="E124" s="1015">
        <f t="shared" si="1"/>
        <v>0</v>
      </c>
      <c r="F124" s="1201"/>
      <c r="G124" s="1009"/>
    </row>
    <row r="125" spans="1:7" ht="15" customHeight="1">
      <c r="A125" s="680"/>
      <c r="B125" s="1200"/>
      <c r="C125" s="1120"/>
      <c r="D125" s="1120"/>
      <c r="E125" s="1015">
        <f t="shared" si="1"/>
        <v>0</v>
      </c>
      <c r="F125" s="1201"/>
      <c r="G125" s="1009"/>
    </row>
    <row r="126" spans="1:7" ht="15" customHeight="1">
      <c r="A126" s="680"/>
      <c r="B126" s="1200"/>
      <c r="C126" s="1120"/>
      <c r="D126" s="1120"/>
      <c r="E126" s="1015">
        <f t="shared" si="1"/>
        <v>0</v>
      </c>
      <c r="F126" s="1201"/>
      <c r="G126" s="1009"/>
    </row>
    <row r="127" spans="1:7" ht="15" customHeight="1">
      <c r="A127" s="680"/>
      <c r="B127" s="1200"/>
      <c r="C127" s="1120"/>
      <c r="D127" s="1120"/>
      <c r="E127" s="1015">
        <f t="shared" si="1"/>
        <v>0</v>
      </c>
      <c r="F127" s="1201"/>
      <c r="G127" s="1009"/>
    </row>
    <row r="128" spans="1:7" ht="15" customHeight="1">
      <c r="A128" s="680"/>
      <c r="B128" s="1200"/>
      <c r="C128" s="1120"/>
      <c r="D128" s="1120"/>
      <c r="E128" s="1015">
        <f t="shared" si="1"/>
        <v>0</v>
      </c>
      <c r="F128" s="1201"/>
      <c r="G128" s="1009"/>
    </row>
    <row r="129" spans="1:7" ht="15" customHeight="1">
      <c r="A129" s="680"/>
      <c r="B129" s="1200"/>
      <c r="C129" s="1120"/>
      <c r="D129" s="1120"/>
      <c r="E129" s="1015">
        <f t="shared" si="1"/>
        <v>0</v>
      </c>
      <c r="F129" s="1201"/>
      <c r="G129" s="1009"/>
    </row>
    <row r="130" spans="1:7" ht="15" customHeight="1">
      <c r="A130" s="680"/>
      <c r="B130" s="1200"/>
      <c r="C130" s="1120"/>
      <c r="D130" s="1120"/>
      <c r="E130" s="1015">
        <f t="shared" si="1"/>
        <v>0</v>
      </c>
      <c r="F130" s="1201"/>
      <c r="G130" s="1009"/>
    </row>
    <row r="131" spans="1:7" ht="15" customHeight="1">
      <c r="A131" s="680"/>
      <c r="B131" s="1200"/>
      <c r="C131" s="1120"/>
      <c r="D131" s="1120"/>
      <c r="E131" s="1015">
        <f t="shared" si="1"/>
        <v>0</v>
      </c>
      <c r="F131" s="1201"/>
      <c r="G131" s="1009"/>
    </row>
    <row r="132" spans="1:7" ht="15" customHeight="1">
      <c r="A132" s="680"/>
      <c r="B132" s="1200"/>
      <c r="C132" s="1120"/>
      <c r="D132" s="1120"/>
      <c r="E132" s="1015">
        <f t="shared" si="1"/>
        <v>0</v>
      </c>
      <c r="F132" s="1201"/>
      <c r="G132" s="1009"/>
    </row>
    <row r="133" spans="1:7" ht="15" customHeight="1">
      <c r="A133" s="680"/>
      <c r="B133" s="1200"/>
      <c r="C133" s="1120"/>
      <c r="D133" s="1120"/>
      <c r="E133" s="1015">
        <f t="shared" si="1"/>
        <v>0</v>
      </c>
      <c r="F133" s="1201"/>
      <c r="G133" s="1009"/>
    </row>
    <row r="134" spans="1:7" ht="15" customHeight="1">
      <c r="A134" s="680"/>
      <c r="B134" s="1200"/>
      <c r="C134" s="1120"/>
      <c r="D134" s="1120"/>
      <c r="E134" s="1015">
        <f t="shared" si="1"/>
        <v>0</v>
      </c>
      <c r="F134" s="1201"/>
      <c r="G134" s="1009"/>
    </row>
    <row r="135" spans="1:7" ht="15" customHeight="1">
      <c r="A135" s="680"/>
      <c r="B135" s="1200"/>
      <c r="C135" s="1120"/>
      <c r="D135" s="1120"/>
      <c r="E135" s="1015">
        <f t="shared" si="1"/>
        <v>0</v>
      </c>
      <c r="F135" s="1201"/>
      <c r="G135" s="1009"/>
    </row>
    <row r="136" spans="1:7" ht="15" customHeight="1">
      <c r="A136" s="680"/>
      <c r="B136" s="1200"/>
      <c r="C136" s="1120"/>
      <c r="D136" s="1120"/>
      <c r="E136" s="1015">
        <f t="shared" si="1"/>
        <v>0</v>
      </c>
      <c r="F136" s="1201"/>
      <c r="G136" s="1009"/>
    </row>
    <row r="137" spans="1:7" ht="15" customHeight="1">
      <c r="A137" s="680"/>
      <c r="B137" s="1200"/>
      <c r="C137" s="1120"/>
      <c r="D137" s="1120"/>
      <c r="E137" s="1015">
        <f t="shared" si="1"/>
        <v>0</v>
      </c>
      <c r="F137" s="1201"/>
      <c r="G137" s="1009"/>
    </row>
    <row r="138" spans="1:7" ht="15" customHeight="1">
      <c r="A138" s="680"/>
      <c r="B138" s="1200"/>
      <c r="C138" s="1120"/>
      <c r="D138" s="1120"/>
      <c r="E138" s="1015">
        <f t="shared" si="1"/>
        <v>0</v>
      </c>
      <c r="F138" s="1201"/>
      <c r="G138" s="1009"/>
    </row>
    <row r="139" spans="1:7" ht="15" customHeight="1">
      <c r="A139" s="680"/>
      <c r="B139" s="1200"/>
      <c r="C139" s="1120"/>
      <c r="D139" s="1120"/>
      <c r="E139" s="1015">
        <f t="shared" si="1"/>
        <v>0</v>
      </c>
      <c r="F139" s="1201"/>
      <c r="G139" s="1009"/>
    </row>
    <row r="140" spans="1:7" ht="15" customHeight="1">
      <c r="A140" s="680"/>
      <c r="B140" s="1200"/>
      <c r="C140" s="1120"/>
      <c r="D140" s="1120"/>
      <c r="E140" s="1015">
        <f t="shared" si="1"/>
        <v>0</v>
      </c>
      <c r="F140" s="1201"/>
      <c r="G140" s="1009"/>
    </row>
    <row r="141" spans="1:7" ht="15" customHeight="1">
      <c r="A141" s="680"/>
      <c r="B141" s="1200"/>
      <c r="C141" s="1120"/>
      <c r="D141" s="1120"/>
      <c r="E141" s="1015">
        <f t="shared" si="1"/>
        <v>0</v>
      </c>
      <c r="F141" s="1201"/>
      <c r="G141" s="1009"/>
    </row>
    <row r="142" spans="1:7" ht="15" customHeight="1">
      <c r="A142" s="680"/>
      <c r="B142" s="1200"/>
      <c r="C142" s="1120"/>
      <c r="D142" s="1120"/>
      <c r="E142" s="1015">
        <f t="shared" si="1"/>
        <v>0</v>
      </c>
      <c r="F142" s="1201"/>
      <c r="G142" s="1009"/>
    </row>
    <row r="143" spans="1:7" ht="15" customHeight="1">
      <c r="A143" s="680"/>
      <c r="B143" s="1200"/>
      <c r="C143" s="1120"/>
      <c r="D143" s="1120"/>
      <c r="E143" s="1015">
        <f t="shared" ref="E143:E206" si="2">C143-B143+D143</f>
        <v>0</v>
      </c>
      <c r="F143" s="1201"/>
      <c r="G143" s="1009"/>
    </row>
    <row r="144" spans="1:7" ht="15" customHeight="1">
      <c r="A144" s="680"/>
      <c r="B144" s="1200"/>
      <c r="C144" s="1120"/>
      <c r="D144" s="1120"/>
      <c r="E144" s="1015">
        <f t="shared" si="2"/>
        <v>0</v>
      </c>
      <c r="F144" s="1201"/>
      <c r="G144" s="1009"/>
    </row>
    <row r="145" spans="1:7" ht="15" customHeight="1">
      <c r="A145" s="680"/>
      <c r="B145" s="1200"/>
      <c r="C145" s="1120"/>
      <c r="D145" s="1120"/>
      <c r="E145" s="1015">
        <f t="shared" si="2"/>
        <v>0</v>
      </c>
      <c r="F145" s="1201"/>
      <c r="G145" s="1009"/>
    </row>
    <row r="146" spans="1:7" ht="15" customHeight="1">
      <c r="A146" s="680"/>
      <c r="B146" s="1200"/>
      <c r="C146" s="1120"/>
      <c r="D146" s="1120"/>
      <c r="E146" s="1015">
        <f t="shared" si="2"/>
        <v>0</v>
      </c>
      <c r="F146" s="1201"/>
      <c r="G146" s="1009"/>
    </row>
    <row r="147" spans="1:7" ht="15" customHeight="1">
      <c r="A147" s="680"/>
      <c r="B147" s="1200"/>
      <c r="C147" s="1120"/>
      <c r="D147" s="1120"/>
      <c r="E147" s="1015">
        <f t="shared" si="2"/>
        <v>0</v>
      </c>
      <c r="F147" s="1201"/>
      <c r="G147" s="1009"/>
    </row>
    <row r="148" spans="1:7" ht="15" customHeight="1">
      <c r="A148" s="680"/>
      <c r="B148" s="1200"/>
      <c r="C148" s="1120"/>
      <c r="D148" s="1120"/>
      <c r="E148" s="1015">
        <f t="shared" si="2"/>
        <v>0</v>
      </c>
      <c r="F148" s="1201"/>
      <c r="G148" s="1009"/>
    </row>
    <row r="149" spans="1:7" ht="15" customHeight="1">
      <c r="A149" s="680"/>
      <c r="B149" s="1200"/>
      <c r="C149" s="1120"/>
      <c r="D149" s="1120"/>
      <c r="E149" s="1015">
        <f t="shared" si="2"/>
        <v>0</v>
      </c>
      <c r="F149" s="1201"/>
      <c r="G149" s="1009"/>
    </row>
    <row r="150" spans="1:7" ht="15" customHeight="1">
      <c r="A150" s="680"/>
      <c r="B150" s="1200"/>
      <c r="C150" s="1120"/>
      <c r="D150" s="1120"/>
      <c r="E150" s="1015">
        <f t="shared" si="2"/>
        <v>0</v>
      </c>
      <c r="F150" s="1201"/>
      <c r="G150" s="1009"/>
    </row>
    <row r="151" spans="1:7" ht="15" customHeight="1">
      <c r="A151" s="680"/>
      <c r="B151" s="1200"/>
      <c r="C151" s="1120"/>
      <c r="D151" s="1120"/>
      <c r="E151" s="1015">
        <f t="shared" si="2"/>
        <v>0</v>
      </c>
      <c r="F151" s="1201"/>
      <c r="G151" s="1009"/>
    </row>
    <row r="152" spans="1:7" ht="15" customHeight="1">
      <c r="A152" s="680"/>
      <c r="B152" s="1200"/>
      <c r="C152" s="1120"/>
      <c r="D152" s="1120"/>
      <c r="E152" s="1015">
        <f t="shared" si="2"/>
        <v>0</v>
      </c>
      <c r="F152" s="1201"/>
      <c r="G152" s="1009"/>
    </row>
    <row r="153" spans="1:7" ht="15" customHeight="1">
      <c r="A153" s="680"/>
      <c r="B153" s="1200"/>
      <c r="C153" s="1120"/>
      <c r="D153" s="1120"/>
      <c r="E153" s="1015">
        <f t="shared" si="2"/>
        <v>0</v>
      </c>
      <c r="F153" s="1201"/>
      <c r="G153" s="1009"/>
    </row>
    <row r="154" spans="1:7" ht="15" customHeight="1">
      <c r="A154" s="680"/>
      <c r="B154" s="1200"/>
      <c r="C154" s="1120"/>
      <c r="D154" s="1120"/>
      <c r="E154" s="1015">
        <f t="shared" si="2"/>
        <v>0</v>
      </c>
      <c r="F154" s="1201"/>
      <c r="G154" s="1009"/>
    </row>
    <row r="155" spans="1:7" ht="15" customHeight="1">
      <c r="A155" s="680"/>
      <c r="B155" s="1200"/>
      <c r="C155" s="1120"/>
      <c r="D155" s="1120"/>
      <c r="E155" s="1015">
        <f t="shared" si="2"/>
        <v>0</v>
      </c>
      <c r="F155" s="1201"/>
      <c r="G155" s="1009"/>
    </row>
    <row r="156" spans="1:7" ht="15" customHeight="1">
      <c r="A156" s="680"/>
      <c r="B156" s="1200"/>
      <c r="C156" s="1120"/>
      <c r="D156" s="1120"/>
      <c r="E156" s="1015">
        <f t="shared" si="2"/>
        <v>0</v>
      </c>
      <c r="F156" s="1201"/>
      <c r="G156" s="1009"/>
    </row>
    <row r="157" spans="1:7" ht="15" customHeight="1">
      <c r="A157" s="680"/>
      <c r="B157" s="1200"/>
      <c r="C157" s="1120"/>
      <c r="D157" s="1120"/>
      <c r="E157" s="1015">
        <f t="shared" si="2"/>
        <v>0</v>
      </c>
      <c r="F157" s="1201"/>
      <c r="G157" s="1009"/>
    </row>
    <row r="158" spans="1:7" ht="15" customHeight="1">
      <c r="A158" s="680"/>
      <c r="B158" s="1200"/>
      <c r="C158" s="1120"/>
      <c r="D158" s="1120"/>
      <c r="E158" s="1015">
        <f t="shared" si="2"/>
        <v>0</v>
      </c>
      <c r="F158" s="1201"/>
      <c r="G158" s="1009"/>
    </row>
    <row r="159" spans="1:7" ht="15" customHeight="1">
      <c r="A159" s="680"/>
      <c r="B159" s="1200"/>
      <c r="C159" s="1120"/>
      <c r="D159" s="1120"/>
      <c r="E159" s="1015">
        <f t="shared" si="2"/>
        <v>0</v>
      </c>
      <c r="F159" s="1201"/>
      <c r="G159" s="1009"/>
    </row>
    <row r="160" spans="1:7" ht="15" customHeight="1">
      <c r="A160" s="680"/>
      <c r="B160" s="1200"/>
      <c r="C160" s="1120"/>
      <c r="D160" s="1120"/>
      <c r="E160" s="1015">
        <f t="shared" si="2"/>
        <v>0</v>
      </c>
      <c r="F160" s="1201"/>
      <c r="G160" s="1009"/>
    </row>
    <row r="161" spans="1:7" ht="15" customHeight="1">
      <c r="A161" s="680"/>
      <c r="B161" s="1200"/>
      <c r="C161" s="1120"/>
      <c r="D161" s="1120"/>
      <c r="E161" s="1015">
        <f t="shared" si="2"/>
        <v>0</v>
      </c>
      <c r="F161" s="1201"/>
      <c r="G161" s="1009"/>
    </row>
    <row r="162" spans="1:7" ht="15" customHeight="1">
      <c r="A162" s="680"/>
      <c r="B162" s="1200"/>
      <c r="C162" s="1120"/>
      <c r="D162" s="1120"/>
      <c r="E162" s="1015">
        <f t="shared" si="2"/>
        <v>0</v>
      </c>
      <c r="F162" s="1201"/>
      <c r="G162" s="1009"/>
    </row>
    <row r="163" spans="1:7" ht="15" customHeight="1">
      <c r="A163" s="680"/>
      <c r="B163" s="1200"/>
      <c r="C163" s="1120"/>
      <c r="D163" s="1120"/>
      <c r="E163" s="1015">
        <f t="shared" si="2"/>
        <v>0</v>
      </c>
      <c r="F163" s="1201"/>
      <c r="G163" s="1009"/>
    </row>
    <row r="164" spans="1:7" ht="15" customHeight="1">
      <c r="A164" s="680"/>
      <c r="B164" s="1200"/>
      <c r="C164" s="1120"/>
      <c r="D164" s="1120"/>
      <c r="E164" s="1015">
        <f t="shared" si="2"/>
        <v>0</v>
      </c>
      <c r="F164" s="1201"/>
      <c r="G164" s="1009"/>
    </row>
    <row r="165" spans="1:7" ht="15" customHeight="1">
      <c r="A165" s="680"/>
      <c r="B165" s="1200"/>
      <c r="C165" s="1120"/>
      <c r="D165" s="1120"/>
      <c r="E165" s="1015">
        <f t="shared" si="2"/>
        <v>0</v>
      </c>
      <c r="F165" s="1201"/>
      <c r="G165" s="1009"/>
    </row>
    <row r="166" spans="1:7" ht="15" customHeight="1">
      <c r="A166" s="680"/>
      <c r="B166" s="1200"/>
      <c r="C166" s="1120"/>
      <c r="D166" s="1120"/>
      <c r="E166" s="1015">
        <f t="shared" si="2"/>
        <v>0</v>
      </c>
      <c r="F166" s="1201"/>
      <c r="G166" s="1009"/>
    </row>
    <row r="167" spans="1:7" ht="15" customHeight="1">
      <c r="A167" s="680"/>
      <c r="B167" s="1200"/>
      <c r="C167" s="1120"/>
      <c r="D167" s="1120"/>
      <c r="E167" s="1015">
        <f t="shared" si="2"/>
        <v>0</v>
      </c>
      <c r="F167" s="1201"/>
      <c r="G167" s="1009"/>
    </row>
    <row r="168" spans="1:7" ht="15" customHeight="1">
      <c r="A168" s="680"/>
      <c r="B168" s="1200"/>
      <c r="C168" s="1120"/>
      <c r="D168" s="1120"/>
      <c r="E168" s="1015">
        <f t="shared" si="2"/>
        <v>0</v>
      </c>
      <c r="F168" s="1201"/>
      <c r="G168" s="1009"/>
    </row>
    <row r="169" spans="1:7" ht="15" customHeight="1">
      <c r="A169" s="680"/>
      <c r="B169" s="1200"/>
      <c r="C169" s="1120"/>
      <c r="D169" s="1120"/>
      <c r="E169" s="1015">
        <f t="shared" si="2"/>
        <v>0</v>
      </c>
      <c r="F169" s="1201"/>
      <c r="G169" s="1009"/>
    </row>
    <row r="170" spans="1:7" ht="15" customHeight="1">
      <c r="A170" s="680"/>
      <c r="B170" s="1200"/>
      <c r="C170" s="1120"/>
      <c r="D170" s="1120"/>
      <c r="E170" s="1015">
        <f t="shared" si="2"/>
        <v>0</v>
      </c>
      <c r="F170" s="1201"/>
      <c r="G170" s="1009"/>
    </row>
    <row r="171" spans="1:7" ht="15" customHeight="1">
      <c r="A171" s="680"/>
      <c r="B171" s="1200"/>
      <c r="C171" s="1120"/>
      <c r="D171" s="1120"/>
      <c r="E171" s="1015">
        <f t="shared" si="2"/>
        <v>0</v>
      </c>
      <c r="F171" s="1201"/>
      <c r="G171" s="1009"/>
    </row>
    <row r="172" spans="1:7" ht="15" customHeight="1">
      <c r="A172" s="680"/>
      <c r="B172" s="1200"/>
      <c r="C172" s="1120"/>
      <c r="D172" s="1120"/>
      <c r="E172" s="1015">
        <f t="shared" si="2"/>
        <v>0</v>
      </c>
      <c r="F172" s="1201"/>
      <c r="G172" s="1009"/>
    </row>
    <row r="173" spans="1:7" ht="15" customHeight="1">
      <c r="A173" s="680"/>
      <c r="B173" s="1200"/>
      <c r="C173" s="1120"/>
      <c r="D173" s="1120"/>
      <c r="E173" s="1015">
        <f t="shared" si="2"/>
        <v>0</v>
      </c>
      <c r="F173" s="1201"/>
      <c r="G173" s="1009"/>
    </row>
    <row r="174" spans="1:7" ht="15" customHeight="1">
      <c r="A174" s="680"/>
      <c r="B174" s="1200"/>
      <c r="C174" s="1120"/>
      <c r="D174" s="1120"/>
      <c r="E174" s="1015">
        <f t="shared" si="2"/>
        <v>0</v>
      </c>
      <c r="F174" s="1201"/>
      <c r="G174" s="1009"/>
    </row>
    <row r="175" spans="1:7" ht="15" customHeight="1">
      <c r="A175" s="680"/>
      <c r="B175" s="1200"/>
      <c r="C175" s="1120"/>
      <c r="D175" s="1120"/>
      <c r="E175" s="1015">
        <f t="shared" si="2"/>
        <v>0</v>
      </c>
      <c r="F175" s="1201"/>
      <c r="G175" s="1009"/>
    </row>
    <row r="176" spans="1:7" ht="15" customHeight="1">
      <c r="A176" s="680"/>
      <c r="B176" s="1200"/>
      <c r="C176" s="1120"/>
      <c r="D176" s="1120"/>
      <c r="E176" s="1015">
        <f t="shared" si="2"/>
        <v>0</v>
      </c>
      <c r="F176" s="1201"/>
      <c r="G176" s="1009"/>
    </row>
    <row r="177" spans="1:7" ht="15" customHeight="1">
      <c r="A177" s="680"/>
      <c r="B177" s="1200"/>
      <c r="C177" s="1120"/>
      <c r="D177" s="1120"/>
      <c r="E177" s="1015">
        <f t="shared" si="2"/>
        <v>0</v>
      </c>
      <c r="F177" s="1201"/>
      <c r="G177" s="1009"/>
    </row>
    <row r="178" spans="1:7" ht="15" customHeight="1">
      <c r="A178" s="680"/>
      <c r="B178" s="1200"/>
      <c r="C178" s="1120"/>
      <c r="D178" s="1120"/>
      <c r="E178" s="1015">
        <f t="shared" si="2"/>
        <v>0</v>
      </c>
      <c r="F178" s="1201"/>
      <c r="G178" s="1009"/>
    </row>
    <row r="179" spans="1:7" ht="15" customHeight="1">
      <c r="A179" s="680"/>
      <c r="B179" s="1200"/>
      <c r="C179" s="1120"/>
      <c r="D179" s="1120"/>
      <c r="E179" s="1015">
        <f t="shared" si="2"/>
        <v>0</v>
      </c>
      <c r="F179" s="1201"/>
      <c r="G179" s="1009"/>
    </row>
    <row r="180" spans="1:7" ht="15" customHeight="1">
      <c r="A180" s="680"/>
      <c r="B180" s="1200"/>
      <c r="C180" s="1120"/>
      <c r="D180" s="1120"/>
      <c r="E180" s="1015">
        <f t="shared" si="2"/>
        <v>0</v>
      </c>
      <c r="F180" s="1201"/>
      <c r="G180" s="1009"/>
    </row>
    <row r="181" spans="1:7" ht="15" customHeight="1">
      <c r="A181" s="680"/>
      <c r="B181" s="1200"/>
      <c r="C181" s="1120"/>
      <c r="D181" s="1120"/>
      <c r="E181" s="1015">
        <f t="shared" si="2"/>
        <v>0</v>
      </c>
      <c r="F181" s="1201"/>
      <c r="G181" s="1009"/>
    </row>
    <row r="182" spans="1:7" ht="15" customHeight="1">
      <c r="A182" s="680"/>
      <c r="B182" s="1200"/>
      <c r="C182" s="1120"/>
      <c r="D182" s="1120"/>
      <c r="E182" s="1015">
        <f t="shared" si="2"/>
        <v>0</v>
      </c>
      <c r="F182" s="1201"/>
      <c r="G182" s="1009"/>
    </row>
    <row r="183" spans="1:7" ht="15" customHeight="1">
      <c r="A183" s="680"/>
      <c r="B183" s="1200"/>
      <c r="C183" s="1120"/>
      <c r="D183" s="1120"/>
      <c r="E183" s="1015">
        <f t="shared" si="2"/>
        <v>0</v>
      </c>
      <c r="F183" s="1201"/>
      <c r="G183" s="1009"/>
    </row>
    <row r="184" spans="1:7" ht="15" customHeight="1">
      <c r="A184" s="680"/>
      <c r="B184" s="1200"/>
      <c r="C184" s="1120"/>
      <c r="D184" s="1120"/>
      <c r="E184" s="1015">
        <f t="shared" si="2"/>
        <v>0</v>
      </c>
      <c r="F184" s="1201"/>
      <c r="G184" s="1009"/>
    </row>
    <row r="185" spans="1:7" ht="15" customHeight="1">
      <c r="A185" s="680"/>
      <c r="B185" s="1200"/>
      <c r="C185" s="1120"/>
      <c r="D185" s="1120"/>
      <c r="E185" s="1015">
        <f t="shared" si="2"/>
        <v>0</v>
      </c>
      <c r="F185" s="1201"/>
      <c r="G185" s="1009"/>
    </row>
    <row r="186" spans="1:7" ht="15" customHeight="1">
      <c r="A186" s="680"/>
      <c r="B186" s="1200"/>
      <c r="C186" s="1120"/>
      <c r="D186" s="1120"/>
      <c r="E186" s="1015">
        <f t="shared" si="2"/>
        <v>0</v>
      </c>
      <c r="F186" s="1201"/>
      <c r="G186" s="1009"/>
    </row>
    <row r="187" spans="1:7" ht="15" customHeight="1">
      <c r="A187" s="680"/>
      <c r="B187" s="1200"/>
      <c r="C187" s="1120"/>
      <c r="D187" s="1120"/>
      <c r="E187" s="1015">
        <f t="shared" si="2"/>
        <v>0</v>
      </c>
      <c r="F187" s="1201"/>
      <c r="G187" s="1009"/>
    </row>
    <row r="188" spans="1:7" ht="15" customHeight="1">
      <c r="A188" s="680"/>
      <c r="B188" s="1200"/>
      <c r="C188" s="1120"/>
      <c r="D188" s="1120"/>
      <c r="E188" s="1015">
        <f t="shared" si="2"/>
        <v>0</v>
      </c>
      <c r="F188" s="1201"/>
      <c r="G188" s="1009"/>
    </row>
    <row r="189" spans="1:7" ht="15" customHeight="1">
      <c r="A189" s="680"/>
      <c r="B189" s="1200"/>
      <c r="C189" s="1120"/>
      <c r="D189" s="1120"/>
      <c r="E189" s="1015">
        <f t="shared" si="2"/>
        <v>0</v>
      </c>
      <c r="F189" s="1201"/>
      <c r="G189" s="1009"/>
    </row>
    <row r="190" spans="1:7" ht="15" customHeight="1">
      <c r="A190" s="680"/>
      <c r="B190" s="1200"/>
      <c r="C190" s="1120"/>
      <c r="D190" s="1120"/>
      <c r="E190" s="1015">
        <f t="shared" si="2"/>
        <v>0</v>
      </c>
      <c r="F190" s="1201"/>
      <c r="G190" s="1009"/>
    </row>
    <row r="191" spans="1:7" ht="15" customHeight="1">
      <c r="A191" s="680"/>
      <c r="B191" s="1200"/>
      <c r="C191" s="1120"/>
      <c r="D191" s="1120"/>
      <c r="E191" s="1015">
        <f t="shared" si="2"/>
        <v>0</v>
      </c>
      <c r="F191" s="1201"/>
      <c r="G191" s="1009"/>
    </row>
    <row r="192" spans="1:7" ht="15" customHeight="1">
      <c r="A192" s="680"/>
      <c r="B192" s="1200"/>
      <c r="C192" s="1120"/>
      <c r="D192" s="1120"/>
      <c r="E192" s="1015">
        <f t="shared" si="2"/>
        <v>0</v>
      </c>
      <c r="F192" s="1201"/>
      <c r="G192" s="1009"/>
    </row>
    <row r="193" spans="1:7" ht="15" customHeight="1">
      <c r="A193" s="680"/>
      <c r="B193" s="1200"/>
      <c r="C193" s="1120"/>
      <c r="D193" s="1120"/>
      <c r="E193" s="1015">
        <f t="shared" si="2"/>
        <v>0</v>
      </c>
      <c r="F193" s="1201"/>
      <c r="G193" s="1009"/>
    </row>
    <row r="194" spans="1:7" ht="15" customHeight="1">
      <c r="A194" s="680"/>
      <c r="B194" s="1200"/>
      <c r="C194" s="1120"/>
      <c r="D194" s="1120"/>
      <c r="E194" s="1015">
        <f t="shared" si="2"/>
        <v>0</v>
      </c>
      <c r="F194" s="1201"/>
      <c r="G194" s="1009"/>
    </row>
    <row r="195" spans="1:7" ht="15" customHeight="1">
      <c r="A195" s="680"/>
      <c r="B195" s="1200"/>
      <c r="C195" s="1120"/>
      <c r="D195" s="1120"/>
      <c r="E195" s="1015">
        <f t="shared" si="2"/>
        <v>0</v>
      </c>
      <c r="F195" s="1201"/>
      <c r="G195" s="1009"/>
    </row>
    <row r="196" spans="1:7" ht="15" customHeight="1">
      <c r="A196" s="680"/>
      <c r="B196" s="1200"/>
      <c r="C196" s="1120"/>
      <c r="D196" s="1120"/>
      <c r="E196" s="1015">
        <f t="shared" si="2"/>
        <v>0</v>
      </c>
      <c r="F196" s="1201"/>
      <c r="G196" s="1009"/>
    </row>
    <row r="197" spans="1:7" ht="15" customHeight="1">
      <c r="A197" s="680"/>
      <c r="B197" s="1200"/>
      <c r="C197" s="1120"/>
      <c r="D197" s="1120"/>
      <c r="E197" s="1015">
        <f t="shared" si="2"/>
        <v>0</v>
      </c>
      <c r="F197" s="1201"/>
      <c r="G197" s="1009"/>
    </row>
    <row r="198" spans="1:7" ht="15" customHeight="1">
      <c r="A198" s="680"/>
      <c r="B198" s="1200"/>
      <c r="C198" s="1120"/>
      <c r="D198" s="1120"/>
      <c r="E198" s="1015">
        <f t="shared" si="2"/>
        <v>0</v>
      </c>
      <c r="F198" s="1201"/>
      <c r="G198" s="1009"/>
    </row>
    <row r="199" spans="1:7" ht="15" customHeight="1">
      <c r="A199" s="680"/>
      <c r="B199" s="1200"/>
      <c r="C199" s="1120"/>
      <c r="D199" s="1120"/>
      <c r="E199" s="1015">
        <f t="shared" si="2"/>
        <v>0</v>
      </c>
      <c r="F199" s="1201"/>
      <c r="G199" s="1009"/>
    </row>
    <row r="200" spans="1:7" ht="15" customHeight="1">
      <c r="A200" s="680"/>
      <c r="B200" s="1200"/>
      <c r="C200" s="1120"/>
      <c r="D200" s="1120"/>
      <c r="E200" s="1015">
        <f t="shared" si="2"/>
        <v>0</v>
      </c>
      <c r="F200" s="1201"/>
      <c r="G200" s="1009"/>
    </row>
    <row r="201" spans="1:7" ht="15" customHeight="1">
      <c r="A201" s="680"/>
      <c r="B201" s="1200"/>
      <c r="C201" s="1120"/>
      <c r="D201" s="1120"/>
      <c r="E201" s="1015">
        <f t="shared" si="2"/>
        <v>0</v>
      </c>
      <c r="F201" s="1201"/>
      <c r="G201" s="1009"/>
    </row>
    <row r="202" spans="1:7" ht="15" customHeight="1">
      <c r="A202" s="680"/>
      <c r="B202" s="1200"/>
      <c r="C202" s="1120"/>
      <c r="D202" s="1120"/>
      <c r="E202" s="1015">
        <f t="shared" si="2"/>
        <v>0</v>
      </c>
      <c r="F202" s="1201"/>
      <c r="G202" s="1009"/>
    </row>
    <row r="203" spans="1:7" ht="15" customHeight="1">
      <c r="A203" s="680"/>
      <c r="B203" s="1200"/>
      <c r="C203" s="1120"/>
      <c r="D203" s="1120"/>
      <c r="E203" s="1015">
        <f t="shared" si="2"/>
        <v>0</v>
      </c>
      <c r="F203" s="1201"/>
      <c r="G203" s="1009"/>
    </row>
    <row r="204" spans="1:7" ht="15" customHeight="1">
      <c r="A204" s="680"/>
      <c r="B204" s="1200"/>
      <c r="C204" s="1120"/>
      <c r="D204" s="1120"/>
      <c r="E204" s="1015">
        <f t="shared" si="2"/>
        <v>0</v>
      </c>
      <c r="F204" s="1201"/>
      <c r="G204" s="1009"/>
    </row>
    <row r="205" spans="1:7" ht="15" customHeight="1">
      <c r="A205" s="680"/>
      <c r="B205" s="1200"/>
      <c r="C205" s="1120"/>
      <c r="D205" s="1120"/>
      <c r="E205" s="1015">
        <f t="shared" si="2"/>
        <v>0</v>
      </c>
      <c r="F205" s="1201"/>
      <c r="G205" s="1009"/>
    </row>
    <row r="206" spans="1:7" ht="15" customHeight="1">
      <c r="A206" s="680"/>
      <c r="B206" s="1200"/>
      <c r="C206" s="1120"/>
      <c r="D206" s="1120"/>
      <c r="E206" s="1015">
        <f t="shared" si="2"/>
        <v>0</v>
      </c>
      <c r="F206" s="1201"/>
      <c r="G206" s="1009"/>
    </row>
    <row r="207" spans="1:7" ht="15" customHeight="1">
      <c r="A207" s="680"/>
      <c r="B207" s="1200"/>
      <c r="C207" s="1120"/>
      <c r="D207" s="1120"/>
      <c r="E207" s="1015">
        <f t="shared" ref="E207:E270" si="3">C207-B207+D207</f>
        <v>0</v>
      </c>
      <c r="F207" s="1201"/>
      <c r="G207" s="1009"/>
    </row>
    <row r="208" spans="1:7" ht="15" customHeight="1">
      <c r="A208" s="680"/>
      <c r="B208" s="1200"/>
      <c r="C208" s="1120"/>
      <c r="D208" s="1120"/>
      <c r="E208" s="1015">
        <f t="shared" si="3"/>
        <v>0</v>
      </c>
      <c r="F208" s="1201"/>
      <c r="G208" s="1009"/>
    </row>
    <row r="209" spans="1:7" ht="15" customHeight="1">
      <c r="A209" s="680"/>
      <c r="B209" s="1200"/>
      <c r="C209" s="1120"/>
      <c r="D209" s="1120"/>
      <c r="E209" s="1015">
        <f t="shared" si="3"/>
        <v>0</v>
      </c>
      <c r="F209" s="1201"/>
      <c r="G209" s="1009"/>
    </row>
    <row r="210" spans="1:7" ht="15" customHeight="1">
      <c r="A210" s="680"/>
      <c r="B210" s="1200"/>
      <c r="C210" s="1120"/>
      <c r="D210" s="1120"/>
      <c r="E210" s="1015">
        <f t="shared" si="3"/>
        <v>0</v>
      </c>
      <c r="F210" s="1201"/>
      <c r="G210" s="1009"/>
    </row>
    <row r="211" spans="1:7" ht="15" customHeight="1">
      <c r="A211" s="680"/>
      <c r="B211" s="1200"/>
      <c r="C211" s="1120"/>
      <c r="D211" s="1120"/>
      <c r="E211" s="1015">
        <f t="shared" si="3"/>
        <v>0</v>
      </c>
      <c r="F211" s="1201"/>
      <c r="G211" s="1009"/>
    </row>
    <row r="212" spans="1:7" ht="15" customHeight="1">
      <c r="A212" s="680"/>
      <c r="B212" s="1200"/>
      <c r="C212" s="1120"/>
      <c r="D212" s="1120"/>
      <c r="E212" s="1015">
        <f t="shared" si="3"/>
        <v>0</v>
      </c>
      <c r="F212" s="1201"/>
      <c r="G212" s="1009"/>
    </row>
    <row r="213" spans="1:7" ht="15" customHeight="1">
      <c r="A213" s="680"/>
      <c r="B213" s="1200"/>
      <c r="C213" s="1120"/>
      <c r="D213" s="1120"/>
      <c r="E213" s="1015">
        <f t="shared" si="3"/>
        <v>0</v>
      </c>
      <c r="F213" s="1201"/>
      <c r="G213" s="1009"/>
    </row>
    <row r="214" spans="1:7" ht="15" customHeight="1">
      <c r="A214" s="680"/>
      <c r="B214" s="1200"/>
      <c r="C214" s="1120"/>
      <c r="D214" s="1120"/>
      <c r="E214" s="1015">
        <f t="shared" si="3"/>
        <v>0</v>
      </c>
      <c r="F214" s="1201"/>
      <c r="G214" s="1009"/>
    </row>
    <row r="215" spans="1:7" ht="15" customHeight="1">
      <c r="A215" s="680"/>
      <c r="B215" s="1200"/>
      <c r="C215" s="1120"/>
      <c r="D215" s="1120"/>
      <c r="E215" s="1015">
        <f t="shared" si="3"/>
        <v>0</v>
      </c>
      <c r="F215" s="1201"/>
      <c r="G215" s="1009"/>
    </row>
    <row r="216" spans="1:7" ht="15" customHeight="1">
      <c r="A216" s="680"/>
      <c r="B216" s="1200"/>
      <c r="C216" s="1120"/>
      <c r="D216" s="1120"/>
      <c r="E216" s="1015">
        <f t="shared" si="3"/>
        <v>0</v>
      </c>
      <c r="F216" s="1201"/>
      <c r="G216" s="1009"/>
    </row>
    <row r="217" spans="1:7" ht="15" customHeight="1">
      <c r="A217" s="680"/>
      <c r="B217" s="1200"/>
      <c r="C217" s="1120"/>
      <c r="D217" s="1120"/>
      <c r="E217" s="1015">
        <f t="shared" si="3"/>
        <v>0</v>
      </c>
      <c r="F217" s="1201"/>
      <c r="G217" s="1009"/>
    </row>
    <row r="218" spans="1:7" ht="15" customHeight="1">
      <c r="A218" s="680"/>
      <c r="B218" s="1200"/>
      <c r="C218" s="1120"/>
      <c r="D218" s="1120"/>
      <c r="E218" s="1015">
        <f t="shared" si="3"/>
        <v>0</v>
      </c>
      <c r="F218" s="1201"/>
      <c r="G218" s="1009"/>
    </row>
    <row r="219" spans="1:7" ht="15" customHeight="1">
      <c r="A219" s="680"/>
      <c r="B219" s="1200"/>
      <c r="C219" s="1120"/>
      <c r="D219" s="1120"/>
      <c r="E219" s="1015">
        <f t="shared" si="3"/>
        <v>0</v>
      </c>
      <c r="F219" s="1201"/>
      <c r="G219" s="1009"/>
    </row>
    <row r="220" spans="1:7" ht="15" customHeight="1">
      <c r="A220" s="680"/>
      <c r="B220" s="1200"/>
      <c r="C220" s="1120"/>
      <c r="D220" s="1120"/>
      <c r="E220" s="1015">
        <f t="shared" si="3"/>
        <v>0</v>
      </c>
      <c r="F220" s="1201"/>
      <c r="G220" s="1009"/>
    </row>
    <row r="221" spans="1:7" ht="15" customHeight="1">
      <c r="A221" s="680"/>
      <c r="B221" s="1200"/>
      <c r="C221" s="1120"/>
      <c r="D221" s="1120"/>
      <c r="E221" s="1015">
        <f t="shared" si="3"/>
        <v>0</v>
      </c>
      <c r="F221" s="1201"/>
      <c r="G221" s="1009"/>
    </row>
    <row r="222" spans="1:7" ht="15" customHeight="1">
      <c r="A222" s="680"/>
      <c r="B222" s="1200"/>
      <c r="C222" s="1120"/>
      <c r="D222" s="1120"/>
      <c r="E222" s="1015">
        <f t="shared" si="3"/>
        <v>0</v>
      </c>
      <c r="F222" s="1201"/>
      <c r="G222" s="1009"/>
    </row>
    <row r="223" spans="1:7" ht="15" customHeight="1">
      <c r="A223" s="680"/>
      <c r="B223" s="1200"/>
      <c r="C223" s="1120"/>
      <c r="D223" s="1120"/>
      <c r="E223" s="1015">
        <f t="shared" si="3"/>
        <v>0</v>
      </c>
      <c r="F223" s="1201"/>
      <c r="G223" s="1009"/>
    </row>
    <row r="224" spans="1:7" ht="15" customHeight="1">
      <c r="A224" s="680"/>
      <c r="B224" s="1200"/>
      <c r="C224" s="1120"/>
      <c r="D224" s="1120"/>
      <c r="E224" s="1015">
        <f t="shared" si="3"/>
        <v>0</v>
      </c>
      <c r="F224" s="1201"/>
      <c r="G224" s="1009"/>
    </row>
    <row r="225" spans="1:7" ht="15" customHeight="1">
      <c r="A225" s="680"/>
      <c r="B225" s="1200"/>
      <c r="C225" s="1120"/>
      <c r="D225" s="1120"/>
      <c r="E225" s="1015">
        <f t="shared" si="3"/>
        <v>0</v>
      </c>
      <c r="F225" s="1201"/>
      <c r="G225" s="1009"/>
    </row>
    <row r="226" spans="1:7" ht="15" customHeight="1">
      <c r="A226" s="680"/>
      <c r="B226" s="1200"/>
      <c r="C226" s="1120"/>
      <c r="D226" s="1120"/>
      <c r="E226" s="1015">
        <f t="shared" si="3"/>
        <v>0</v>
      </c>
      <c r="F226" s="1201"/>
      <c r="G226" s="1009"/>
    </row>
    <row r="227" spans="1:7" ht="15" customHeight="1">
      <c r="A227" s="680"/>
      <c r="B227" s="1200"/>
      <c r="C227" s="1120"/>
      <c r="D227" s="1120"/>
      <c r="E227" s="1015">
        <f t="shared" si="3"/>
        <v>0</v>
      </c>
      <c r="F227" s="1201"/>
      <c r="G227" s="1009"/>
    </row>
    <row r="228" spans="1:7" ht="15" customHeight="1">
      <c r="A228" s="680"/>
      <c r="B228" s="1200"/>
      <c r="C228" s="1120"/>
      <c r="D228" s="1120"/>
      <c r="E228" s="1015">
        <f t="shared" si="3"/>
        <v>0</v>
      </c>
      <c r="F228" s="1201"/>
      <c r="G228" s="1009"/>
    </row>
    <row r="229" spans="1:7" ht="15" customHeight="1">
      <c r="A229" s="680"/>
      <c r="B229" s="1200"/>
      <c r="C229" s="1120"/>
      <c r="D229" s="1120"/>
      <c r="E229" s="1015">
        <f t="shared" si="3"/>
        <v>0</v>
      </c>
      <c r="F229" s="1201"/>
      <c r="G229" s="1009"/>
    </row>
    <row r="230" spans="1:7" ht="15" customHeight="1">
      <c r="A230" s="680"/>
      <c r="B230" s="1200"/>
      <c r="C230" s="1120"/>
      <c r="D230" s="1120"/>
      <c r="E230" s="1015">
        <f t="shared" si="3"/>
        <v>0</v>
      </c>
      <c r="F230" s="1201"/>
      <c r="G230" s="1009"/>
    </row>
    <row r="231" spans="1:7" ht="15" customHeight="1">
      <c r="A231" s="680"/>
      <c r="B231" s="1200"/>
      <c r="C231" s="1120"/>
      <c r="D231" s="1120"/>
      <c r="E231" s="1015">
        <f t="shared" si="3"/>
        <v>0</v>
      </c>
      <c r="F231" s="1201"/>
      <c r="G231" s="1009"/>
    </row>
    <row r="232" spans="1:7" ht="15" customHeight="1">
      <c r="A232" s="680"/>
      <c r="B232" s="1200"/>
      <c r="C232" s="1120"/>
      <c r="D232" s="1120"/>
      <c r="E232" s="1015">
        <f t="shared" si="3"/>
        <v>0</v>
      </c>
      <c r="F232" s="1201"/>
      <c r="G232" s="1009"/>
    </row>
    <row r="233" spans="1:7" ht="15" customHeight="1">
      <c r="A233" s="680"/>
      <c r="B233" s="1200"/>
      <c r="C233" s="1120"/>
      <c r="D233" s="1120"/>
      <c r="E233" s="1015">
        <f t="shared" si="3"/>
        <v>0</v>
      </c>
      <c r="F233" s="1201"/>
      <c r="G233" s="1009"/>
    </row>
    <row r="234" spans="1:7" ht="15" customHeight="1">
      <c r="A234" s="680"/>
      <c r="B234" s="1200"/>
      <c r="C234" s="1120"/>
      <c r="D234" s="1120"/>
      <c r="E234" s="1015">
        <f t="shared" si="3"/>
        <v>0</v>
      </c>
      <c r="F234" s="1201"/>
      <c r="G234" s="1009"/>
    </row>
    <row r="235" spans="1:7" ht="15" customHeight="1">
      <c r="A235" s="680"/>
      <c r="B235" s="1200"/>
      <c r="C235" s="1120"/>
      <c r="D235" s="1120"/>
      <c r="E235" s="1015">
        <f t="shared" si="3"/>
        <v>0</v>
      </c>
      <c r="F235" s="1201"/>
      <c r="G235" s="1009"/>
    </row>
    <row r="236" spans="1:7" ht="15" customHeight="1">
      <c r="A236" s="680"/>
      <c r="B236" s="1200"/>
      <c r="C236" s="1120"/>
      <c r="D236" s="1120"/>
      <c r="E236" s="1015">
        <f t="shared" si="3"/>
        <v>0</v>
      </c>
      <c r="F236" s="1201"/>
      <c r="G236" s="1009"/>
    </row>
    <row r="237" spans="1:7" ht="15" customHeight="1">
      <c r="A237" s="680"/>
      <c r="B237" s="1200"/>
      <c r="C237" s="1120"/>
      <c r="D237" s="1120"/>
      <c r="E237" s="1015">
        <f t="shared" si="3"/>
        <v>0</v>
      </c>
      <c r="F237" s="1201"/>
      <c r="G237" s="1009"/>
    </row>
    <row r="238" spans="1:7" ht="15" customHeight="1">
      <c r="A238" s="680"/>
      <c r="B238" s="1200"/>
      <c r="C238" s="1120"/>
      <c r="D238" s="1120"/>
      <c r="E238" s="1015">
        <f t="shared" si="3"/>
        <v>0</v>
      </c>
      <c r="F238" s="1201"/>
      <c r="G238" s="1009"/>
    </row>
    <row r="239" spans="1:7" ht="15" customHeight="1">
      <c r="A239" s="680"/>
      <c r="B239" s="1200"/>
      <c r="C239" s="1120"/>
      <c r="D239" s="1120"/>
      <c r="E239" s="1015">
        <f t="shared" si="3"/>
        <v>0</v>
      </c>
      <c r="F239" s="1201"/>
      <c r="G239" s="1009"/>
    </row>
    <row r="240" spans="1:7" ht="15" customHeight="1">
      <c r="A240" s="680"/>
      <c r="B240" s="1200"/>
      <c r="C240" s="1120"/>
      <c r="D240" s="1120"/>
      <c r="E240" s="1015">
        <f t="shared" si="3"/>
        <v>0</v>
      </c>
      <c r="F240" s="1201"/>
      <c r="G240" s="1009"/>
    </row>
    <row r="241" spans="1:7" ht="15" customHeight="1">
      <c r="A241" s="680"/>
      <c r="B241" s="1200"/>
      <c r="C241" s="1120"/>
      <c r="D241" s="1120"/>
      <c r="E241" s="1015">
        <f t="shared" si="3"/>
        <v>0</v>
      </c>
      <c r="F241" s="1201"/>
      <c r="G241" s="1009"/>
    </row>
    <row r="242" spans="1:7" ht="15" customHeight="1">
      <c r="A242" s="680"/>
      <c r="B242" s="1200"/>
      <c r="C242" s="1120"/>
      <c r="D242" s="1120"/>
      <c r="E242" s="1015">
        <f t="shared" si="3"/>
        <v>0</v>
      </c>
      <c r="F242" s="1201"/>
      <c r="G242" s="1009"/>
    </row>
    <row r="243" spans="1:7" ht="15" customHeight="1">
      <c r="A243" s="680"/>
      <c r="B243" s="1200"/>
      <c r="C243" s="1120"/>
      <c r="D243" s="1120"/>
      <c r="E243" s="1015">
        <f t="shared" si="3"/>
        <v>0</v>
      </c>
      <c r="F243" s="1201"/>
      <c r="G243" s="1009"/>
    </row>
    <row r="244" spans="1:7" ht="15" customHeight="1">
      <c r="A244" s="680"/>
      <c r="B244" s="1200"/>
      <c r="C244" s="1120"/>
      <c r="D244" s="1120"/>
      <c r="E244" s="1015">
        <f t="shared" si="3"/>
        <v>0</v>
      </c>
      <c r="F244" s="1201"/>
      <c r="G244" s="1009"/>
    </row>
    <row r="245" spans="1:7" ht="15" customHeight="1">
      <c r="A245" s="680"/>
      <c r="B245" s="1200"/>
      <c r="C245" s="1120"/>
      <c r="D245" s="1120"/>
      <c r="E245" s="1015">
        <f t="shared" si="3"/>
        <v>0</v>
      </c>
      <c r="F245" s="1201"/>
      <c r="G245" s="1009"/>
    </row>
    <row r="246" spans="1:7" ht="15" customHeight="1">
      <c r="A246" s="680"/>
      <c r="B246" s="1200"/>
      <c r="C246" s="1120"/>
      <c r="D246" s="1120"/>
      <c r="E246" s="1015">
        <f t="shared" si="3"/>
        <v>0</v>
      </c>
      <c r="F246" s="1201"/>
      <c r="G246" s="1009"/>
    </row>
    <row r="247" spans="1:7" ht="15" customHeight="1">
      <c r="A247" s="680"/>
      <c r="B247" s="1200"/>
      <c r="C247" s="1120"/>
      <c r="D247" s="1120"/>
      <c r="E247" s="1015">
        <f t="shared" si="3"/>
        <v>0</v>
      </c>
      <c r="F247" s="1201"/>
      <c r="G247" s="1009"/>
    </row>
    <row r="248" spans="1:7" ht="15" customHeight="1">
      <c r="A248" s="680"/>
      <c r="B248" s="1200"/>
      <c r="C248" s="1120"/>
      <c r="D248" s="1120"/>
      <c r="E248" s="1015">
        <f t="shared" si="3"/>
        <v>0</v>
      </c>
      <c r="F248" s="1201"/>
      <c r="G248" s="1009"/>
    </row>
    <row r="249" spans="1:7" ht="15" customHeight="1">
      <c r="A249" s="680"/>
      <c r="B249" s="1200"/>
      <c r="C249" s="1120"/>
      <c r="D249" s="1120"/>
      <c r="E249" s="1015">
        <f t="shared" si="3"/>
        <v>0</v>
      </c>
      <c r="F249" s="1201"/>
      <c r="G249" s="1009"/>
    </row>
    <row r="250" spans="1:7" ht="15" customHeight="1">
      <c r="A250" s="680"/>
      <c r="B250" s="1200"/>
      <c r="C250" s="1120"/>
      <c r="D250" s="1120"/>
      <c r="E250" s="1015">
        <f t="shared" si="3"/>
        <v>0</v>
      </c>
      <c r="F250" s="1201"/>
      <c r="G250" s="1009"/>
    </row>
    <row r="251" spans="1:7" ht="15" customHeight="1">
      <c r="A251" s="680"/>
      <c r="B251" s="1200"/>
      <c r="C251" s="1120"/>
      <c r="D251" s="1120"/>
      <c r="E251" s="1015">
        <f t="shared" si="3"/>
        <v>0</v>
      </c>
      <c r="F251" s="1201"/>
      <c r="G251" s="1009"/>
    </row>
    <row r="252" spans="1:7" ht="15" customHeight="1">
      <c r="A252" s="680"/>
      <c r="B252" s="1200"/>
      <c r="C252" s="1120"/>
      <c r="D252" s="1120"/>
      <c r="E252" s="1015">
        <f t="shared" si="3"/>
        <v>0</v>
      </c>
      <c r="F252" s="1201"/>
      <c r="G252" s="1009"/>
    </row>
    <row r="253" spans="1:7" ht="15" customHeight="1">
      <c r="A253" s="680"/>
      <c r="B253" s="1200"/>
      <c r="C253" s="1120"/>
      <c r="D253" s="1120"/>
      <c r="E253" s="1015">
        <f t="shared" si="3"/>
        <v>0</v>
      </c>
      <c r="F253" s="1201"/>
      <c r="G253" s="1009"/>
    </row>
    <row r="254" spans="1:7" ht="15" customHeight="1">
      <c r="A254" s="680"/>
      <c r="B254" s="1200"/>
      <c r="C254" s="1120"/>
      <c r="D254" s="1120"/>
      <c r="E254" s="1015">
        <f t="shared" si="3"/>
        <v>0</v>
      </c>
      <c r="F254" s="1201"/>
      <c r="G254" s="1009"/>
    </row>
    <row r="255" spans="1:7" ht="15" customHeight="1">
      <c r="A255" s="680"/>
      <c r="B255" s="1200"/>
      <c r="C255" s="1120"/>
      <c r="D255" s="1120"/>
      <c r="E255" s="1015">
        <f t="shared" si="3"/>
        <v>0</v>
      </c>
      <c r="F255" s="1201"/>
      <c r="G255" s="1009"/>
    </row>
    <row r="256" spans="1:7" ht="15" customHeight="1">
      <c r="A256" s="680"/>
      <c r="B256" s="1200"/>
      <c r="C256" s="1120"/>
      <c r="D256" s="1120"/>
      <c r="E256" s="1015">
        <f t="shared" si="3"/>
        <v>0</v>
      </c>
      <c r="F256" s="1201"/>
      <c r="G256" s="1009"/>
    </row>
    <row r="257" spans="1:7" ht="15" customHeight="1">
      <c r="A257" s="680"/>
      <c r="B257" s="1200"/>
      <c r="C257" s="1120"/>
      <c r="D257" s="1120"/>
      <c r="E257" s="1015">
        <f t="shared" si="3"/>
        <v>0</v>
      </c>
      <c r="F257" s="1201"/>
      <c r="G257" s="1009"/>
    </row>
    <row r="258" spans="1:7" ht="15" customHeight="1">
      <c r="A258" s="680"/>
      <c r="B258" s="1200"/>
      <c r="C258" s="1120"/>
      <c r="D258" s="1120"/>
      <c r="E258" s="1015">
        <f t="shared" si="3"/>
        <v>0</v>
      </c>
      <c r="F258" s="1201"/>
      <c r="G258" s="1009"/>
    </row>
    <row r="259" spans="1:7" ht="15" customHeight="1">
      <c r="A259" s="680"/>
      <c r="B259" s="1200"/>
      <c r="C259" s="1120"/>
      <c r="D259" s="1120"/>
      <c r="E259" s="1015">
        <f t="shared" si="3"/>
        <v>0</v>
      </c>
      <c r="F259" s="1201"/>
      <c r="G259" s="1009"/>
    </row>
    <row r="260" spans="1:7" ht="15" customHeight="1">
      <c r="A260" s="680"/>
      <c r="B260" s="1200"/>
      <c r="C260" s="1120"/>
      <c r="D260" s="1120"/>
      <c r="E260" s="1015">
        <f t="shared" si="3"/>
        <v>0</v>
      </c>
      <c r="F260" s="1201"/>
      <c r="G260" s="1009"/>
    </row>
    <row r="261" spans="1:7" ht="15" customHeight="1">
      <c r="A261" s="680"/>
      <c r="B261" s="1200"/>
      <c r="C261" s="1120"/>
      <c r="D261" s="1120"/>
      <c r="E261" s="1015">
        <f t="shared" si="3"/>
        <v>0</v>
      </c>
      <c r="F261" s="1201"/>
      <c r="G261" s="1009"/>
    </row>
    <row r="262" spans="1:7" ht="15" customHeight="1">
      <c r="A262" s="680"/>
      <c r="B262" s="1200"/>
      <c r="C262" s="1120"/>
      <c r="D262" s="1120"/>
      <c r="E262" s="1015">
        <f t="shared" si="3"/>
        <v>0</v>
      </c>
      <c r="F262" s="1201"/>
      <c r="G262" s="1009"/>
    </row>
    <row r="263" spans="1:7" ht="15" customHeight="1">
      <c r="A263" s="680"/>
      <c r="B263" s="1200"/>
      <c r="C263" s="1120"/>
      <c r="D263" s="1120"/>
      <c r="E263" s="1015">
        <f t="shared" si="3"/>
        <v>0</v>
      </c>
      <c r="F263" s="1201"/>
      <c r="G263" s="1009"/>
    </row>
    <row r="264" spans="1:7" ht="15" customHeight="1">
      <c r="A264" s="680"/>
      <c r="B264" s="1200"/>
      <c r="C264" s="1120"/>
      <c r="D264" s="1120"/>
      <c r="E264" s="1015">
        <f t="shared" si="3"/>
        <v>0</v>
      </c>
      <c r="F264" s="1201"/>
      <c r="G264" s="1009"/>
    </row>
    <row r="265" spans="1:7" ht="15" customHeight="1">
      <c r="A265" s="680"/>
      <c r="B265" s="1200"/>
      <c r="C265" s="1120"/>
      <c r="D265" s="1120"/>
      <c r="E265" s="1015">
        <f t="shared" si="3"/>
        <v>0</v>
      </c>
      <c r="F265" s="1201"/>
      <c r="G265" s="1009"/>
    </row>
    <row r="266" spans="1:7" ht="15" customHeight="1">
      <c r="A266" s="680"/>
      <c r="B266" s="1200"/>
      <c r="C266" s="1120"/>
      <c r="D266" s="1120"/>
      <c r="E266" s="1015">
        <f t="shared" si="3"/>
        <v>0</v>
      </c>
      <c r="F266" s="1201"/>
      <c r="G266" s="1009"/>
    </row>
    <row r="267" spans="1:7" ht="15" customHeight="1">
      <c r="A267" s="680"/>
      <c r="B267" s="1200"/>
      <c r="C267" s="1120"/>
      <c r="D267" s="1120"/>
      <c r="E267" s="1015">
        <f t="shared" si="3"/>
        <v>0</v>
      </c>
      <c r="F267" s="1201"/>
      <c r="G267" s="1009"/>
    </row>
    <row r="268" spans="1:7" ht="15" customHeight="1">
      <c r="A268" s="680"/>
      <c r="B268" s="1200"/>
      <c r="C268" s="1120"/>
      <c r="D268" s="1120"/>
      <c r="E268" s="1015">
        <f t="shared" si="3"/>
        <v>0</v>
      </c>
      <c r="F268" s="1201"/>
      <c r="G268" s="1009"/>
    </row>
    <row r="269" spans="1:7" ht="15" customHeight="1">
      <c r="A269" s="680"/>
      <c r="B269" s="1200"/>
      <c r="C269" s="1120"/>
      <c r="D269" s="1120"/>
      <c r="E269" s="1015">
        <f t="shared" si="3"/>
        <v>0</v>
      </c>
      <c r="F269" s="1201"/>
      <c r="G269" s="1009"/>
    </row>
    <row r="270" spans="1:7" ht="15" customHeight="1">
      <c r="A270" s="680"/>
      <c r="B270" s="1200"/>
      <c r="C270" s="1120"/>
      <c r="D270" s="1120"/>
      <c r="E270" s="1015">
        <f t="shared" si="3"/>
        <v>0</v>
      </c>
      <c r="F270" s="1201"/>
      <c r="G270" s="1009"/>
    </row>
    <row r="271" spans="1:7" ht="15" customHeight="1">
      <c r="A271" s="680"/>
      <c r="B271" s="1200"/>
      <c r="C271" s="1120"/>
      <c r="D271" s="1120"/>
      <c r="E271" s="1015">
        <f t="shared" ref="E271:E302" si="4">C271-B271+D271</f>
        <v>0</v>
      </c>
      <c r="F271" s="1201"/>
      <c r="G271" s="1009"/>
    </row>
    <row r="272" spans="1:7" ht="15" customHeight="1">
      <c r="A272" s="680"/>
      <c r="B272" s="1200"/>
      <c r="C272" s="1120"/>
      <c r="D272" s="1120"/>
      <c r="E272" s="1015">
        <f t="shared" si="4"/>
        <v>0</v>
      </c>
      <c r="F272" s="1201"/>
      <c r="G272" s="1009"/>
    </row>
    <row r="273" spans="1:7" ht="15" customHeight="1">
      <c r="A273" s="680"/>
      <c r="B273" s="1200"/>
      <c r="C273" s="1120"/>
      <c r="D273" s="1120"/>
      <c r="E273" s="1015">
        <f t="shared" si="4"/>
        <v>0</v>
      </c>
      <c r="F273" s="1201"/>
      <c r="G273" s="1009"/>
    </row>
    <row r="274" spans="1:7" ht="15" customHeight="1">
      <c r="A274" s="680"/>
      <c r="B274" s="1200"/>
      <c r="C274" s="1120"/>
      <c r="D274" s="1120"/>
      <c r="E274" s="1015">
        <f t="shared" si="4"/>
        <v>0</v>
      </c>
      <c r="F274" s="1201"/>
      <c r="G274" s="1009"/>
    </row>
    <row r="275" spans="1:7" ht="15" customHeight="1">
      <c r="A275" s="680"/>
      <c r="B275" s="1200"/>
      <c r="C275" s="1120"/>
      <c r="D275" s="1120"/>
      <c r="E275" s="1015">
        <f t="shared" si="4"/>
        <v>0</v>
      </c>
      <c r="F275" s="1201"/>
      <c r="G275" s="1009"/>
    </row>
    <row r="276" spans="1:7" ht="15" customHeight="1">
      <c r="A276" s="680"/>
      <c r="B276" s="1200"/>
      <c r="C276" s="1120"/>
      <c r="D276" s="1120"/>
      <c r="E276" s="1015">
        <f t="shared" si="4"/>
        <v>0</v>
      </c>
      <c r="F276" s="1201"/>
      <c r="G276" s="1009"/>
    </row>
    <row r="277" spans="1:7" ht="15" customHeight="1">
      <c r="A277" s="680"/>
      <c r="B277" s="1200"/>
      <c r="C277" s="1120"/>
      <c r="D277" s="1120"/>
      <c r="E277" s="1015">
        <f t="shared" si="4"/>
        <v>0</v>
      </c>
      <c r="F277" s="1201"/>
      <c r="G277" s="1009"/>
    </row>
    <row r="278" spans="1:7" ht="15" customHeight="1">
      <c r="A278" s="680"/>
      <c r="B278" s="1200"/>
      <c r="C278" s="1120"/>
      <c r="D278" s="1120"/>
      <c r="E278" s="1015">
        <f t="shared" si="4"/>
        <v>0</v>
      </c>
      <c r="F278" s="1201"/>
      <c r="G278" s="1009"/>
    </row>
    <row r="279" spans="1:7" ht="15" customHeight="1">
      <c r="A279" s="680"/>
      <c r="B279" s="1200"/>
      <c r="C279" s="1120"/>
      <c r="D279" s="1120"/>
      <c r="E279" s="1015">
        <f t="shared" si="4"/>
        <v>0</v>
      </c>
      <c r="F279" s="1201"/>
      <c r="G279" s="1009"/>
    </row>
    <row r="280" spans="1:7" ht="15" customHeight="1">
      <c r="A280" s="680"/>
      <c r="B280" s="1200"/>
      <c r="C280" s="1120"/>
      <c r="D280" s="1120"/>
      <c r="E280" s="1015">
        <f t="shared" si="4"/>
        <v>0</v>
      </c>
      <c r="F280" s="1201"/>
      <c r="G280" s="1009"/>
    </row>
    <row r="281" spans="1:7" ht="15" customHeight="1">
      <c r="A281" s="680"/>
      <c r="B281" s="1200"/>
      <c r="C281" s="1120"/>
      <c r="D281" s="1120"/>
      <c r="E281" s="1015">
        <f t="shared" si="4"/>
        <v>0</v>
      </c>
      <c r="F281" s="1201"/>
      <c r="G281" s="1009"/>
    </row>
    <row r="282" spans="1:7" ht="15" customHeight="1">
      <c r="A282" s="680"/>
      <c r="B282" s="1200"/>
      <c r="C282" s="1120"/>
      <c r="D282" s="1120"/>
      <c r="E282" s="1015">
        <f t="shared" si="4"/>
        <v>0</v>
      </c>
      <c r="F282" s="1201"/>
      <c r="G282" s="1009"/>
    </row>
    <row r="283" spans="1:7" ht="15" customHeight="1">
      <c r="A283" s="680"/>
      <c r="B283" s="1200"/>
      <c r="C283" s="1120"/>
      <c r="D283" s="1120"/>
      <c r="E283" s="1015">
        <f t="shared" si="4"/>
        <v>0</v>
      </c>
      <c r="F283" s="1201"/>
      <c r="G283" s="1009"/>
    </row>
    <row r="284" spans="1:7" ht="15" customHeight="1">
      <c r="A284" s="680"/>
      <c r="B284" s="1200"/>
      <c r="C284" s="1120"/>
      <c r="D284" s="1120"/>
      <c r="E284" s="1015">
        <f t="shared" si="4"/>
        <v>0</v>
      </c>
      <c r="F284" s="1201"/>
      <c r="G284" s="1009"/>
    </row>
    <row r="285" spans="1:7" ht="15" customHeight="1">
      <c r="A285" s="680"/>
      <c r="B285" s="1200"/>
      <c r="C285" s="1120"/>
      <c r="D285" s="1120"/>
      <c r="E285" s="1015">
        <f t="shared" si="4"/>
        <v>0</v>
      </c>
      <c r="F285" s="1201"/>
      <c r="G285" s="1009"/>
    </row>
    <row r="286" spans="1:7" ht="15" customHeight="1">
      <c r="A286" s="680"/>
      <c r="B286" s="1200"/>
      <c r="C286" s="1120"/>
      <c r="D286" s="1120"/>
      <c r="E286" s="1015">
        <f t="shared" si="4"/>
        <v>0</v>
      </c>
      <c r="F286" s="1201"/>
      <c r="G286" s="1009"/>
    </row>
    <row r="287" spans="1:7" ht="15" customHeight="1">
      <c r="A287" s="680"/>
      <c r="B287" s="1200"/>
      <c r="C287" s="1120"/>
      <c r="D287" s="1120"/>
      <c r="E287" s="1015">
        <f t="shared" si="4"/>
        <v>0</v>
      </c>
      <c r="F287" s="1201"/>
      <c r="G287" s="1009"/>
    </row>
    <row r="288" spans="1:7" ht="15" customHeight="1">
      <c r="A288" s="680"/>
      <c r="B288" s="1200"/>
      <c r="C288" s="1120"/>
      <c r="D288" s="1120"/>
      <c r="E288" s="1015">
        <f t="shared" si="4"/>
        <v>0</v>
      </c>
      <c r="F288" s="1201"/>
      <c r="G288" s="1009"/>
    </row>
    <row r="289" spans="1:7" ht="15" customHeight="1">
      <c r="A289" s="680"/>
      <c r="B289" s="1200"/>
      <c r="C289" s="1120"/>
      <c r="D289" s="1120"/>
      <c r="E289" s="1015">
        <f t="shared" si="4"/>
        <v>0</v>
      </c>
      <c r="F289" s="1201"/>
      <c r="G289" s="1009"/>
    </row>
    <row r="290" spans="1:7" ht="15" customHeight="1">
      <c r="A290" s="680"/>
      <c r="B290" s="1200"/>
      <c r="C290" s="1120"/>
      <c r="D290" s="1120"/>
      <c r="E290" s="1015">
        <f t="shared" si="4"/>
        <v>0</v>
      </c>
      <c r="F290" s="1201"/>
      <c r="G290" s="1009"/>
    </row>
    <row r="291" spans="1:7" ht="15" customHeight="1">
      <c r="A291" s="680"/>
      <c r="B291" s="1200"/>
      <c r="C291" s="1120"/>
      <c r="D291" s="1120"/>
      <c r="E291" s="1015">
        <f t="shared" si="4"/>
        <v>0</v>
      </c>
      <c r="F291" s="1201"/>
      <c r="G291" s="1009"/>
    </row>
    <row r="292" spans="1:7" ht="15" customHeight="1">
      <c r="A292" s="680"/>
      <c r="B292" s="1200"/>
      <c r="C292" s="1120"/>
      <c r="D292" s="1120"/>
      <c r="E292" s="1015">
        <f t="shared" si="4"/>
        <v>0</v>
      </c>
      <c r="F292" s="1201"/>
      <c r="G292" s="1009"/>
    </row>
    <row r="293" spans="1:7" ht="15" customHeight="1">
      <c r="A293" s="680"/>
      <c r="B293" s="1200"/>
      <c r="C293" s="1120"/>
      <c r="D293" s="1120"/>
      <c r="E293" s="1015">
        <f t="shared" si="4"/>
        <v>0</v>
      </c>
      <c r="F293" s="1201"/>
      <c r="G293" s="1009"/>
    </row>
    <row r="294" spans="1:7" ht="15" customHeight="1">
      <c r="A294" s="680"/>
      <c r="B294" s="1200"/>
      <c r="C294" s="1120"/>
      <c r="D294" s="1120"/>
      <c r="E294" s="1015">
        <f t="shared" si="4"/>
        <v>0</v>
      </c>
      <c r="F294" s="1201"/>
      <c r="G294" s="1009"/>
    </row>
    <row r="295" spans="1:7" ht="15" customHeight="1">
      <c r="A295" s="680"/>
      <c r="B295" s="1200"/>
      <c r="C295" s="1120"/>
      <c r="D295" s="1120"/>
      <c r="E295" s="1015">
        <f t="shared" si="4"/>
        <v>0</v>
      </c>
      <c r="F295" s="1201"/>
      <c r="G295" s="1009"/>
    </row>
    <row r="296" spans="1:7" ht="15" customHeight="1">
      <c r="A296" s="680"/>
      <c r="B296" s="1200"/>
      <c r="C296" s="1120"/>
      <c r="D296" s="1120"/>
      <c r="E296" s="1015">
        <f t="shared" si="4"/>
        <v>0</v>
      </c>
      <c r="F296" s="1201"/>
      <c r="G296" s="1009"/>
    </row>
    <row r="297" spans="1:7" ht="15" customHeight="1">
      <c r="A297" s="680"/>
      <c r="B297" s="1200"/>
      <c r="C297" s="1120"/>
      <c r="D297" s="1120"/>
      <c r="E297" s="1015">
        <f t="shared" si="4"/>
        <v>0</v>
      </c>
      <c r="F297" s="1201"/>
      <c r="G297" s="1009"/>
    </row>
    <row r="298" spans="1:7" ht="15" customHeight="1">
      <c r="A298" s="680"/>
      <c r="B298" s="1200"/>
      <c r="C298" s="1120"/>
      <c r="D298" s="1120"/>
      <c r="E298" s="1015">
        <f t="shared" si="4"/>
        <v>0</v>
      </c>
      <c r="F298" s="1201"/>
      <c r="G298" s="1009"/>
    </row>
    <row r="299" spans="1:7" ht="15" customHeight="1">
      <c r="A299" s="680"/>
      <c r="B299" s="1200"/>
      <c r="C299" s="1120"/>
      <c r="D299" s="1120"/>
      <c r="E299" s="1015">
        <f t="shared" si="4"/>
        <v>0</v>
      </c>
      <c r="F299" s="1201"/>
      <c r="G299" s="1009"/>
    </row>
    <row r="300" spans="1:7" ht="15" customHeight="1">
      <c r="A300" s="680"/>
      <c r="B300" s="1200"/>
      <c r="C300" s="1120"/>
      <c r="D300" s="1120"/>
      <c r="E300" s="1015">
        <f t="shared" si="4"/>
        <v>0</v>
      </c>
      <c r="F300" s="1201"/>
      <c r="G300" s="1009"/>
    </row>
    <row r="301" spans="1:7" ht="15" customHeight="1">
      <c r="A301" s="680"/>
      <c r="B301" s="1200"/>
      <c r="C301" s="1120"/>
      <c r="D301" s="1120"/>
      <c r="E301" s="1015">
        <f t="shared" si="4"/>
        <v>0</v>
      </c>
      <c r="F301" s="1201"/>
      <c r="G301" s="1009"/>
    </row>
    <row r="302" spans="1:7" ht="15" customHeight="1">
      <c r="A302" s="682"/>
      <c r="B302" s="1202"/>
      <c r="C302" s="1125"/>
      <c r="D302" s="1125"/>
      <c r="E302" s="1020">
        <f t="shared" si="4"/>
        <v>0</v>
      </c>
      <c r="F302" s="1203"/>
      <c r="G302" s="1009"/>
    </row>
    <row r="303" spans="1:7" ht="15" customHeight="1">
      <c r="A303" s="554"/>
      <c r="B303" s="554"/>
      <c r="C303" s="554"/>
      <c r="D303" s="554"/>
      <c r="E303" s="554"/>
      <c r="F303" s="554"/>
    </row>
    <row r="304" spans="1:7" ht="15" customHeight="1">
      <c r="A304" s="554"/>
      <c r="B304" s="554"/>
      <c r="C304" s="554"/>
      <c r="D304" s="554"/>
      <c r="E304" s="554"/>
      <c r="F304" s="554"/>
    </row>
    <row r="305" spans="1:6" ht="15" customHeight="1">
      <c r="A305" s="554"/>
      <c r="B305" s="554"/>
      <c r="C305" s="554"/>
      <c r="D305" s="554"/>
      <c r="E305" s="554"/>
      <c r="F305" s="554"/>
    </row>
    <row r="306" spans="1:6" ht="15" customHeight="1">
      <c r="A306" s="554"/>
      <c r="B306" s="554"/>
      <c r="C306" s="554"/>
      <c r="D306" s="554"/>
      <c r="E306" s="554"/>
      <c r="F306" s="554"/>
    </row>
    <row r="307" spans="1:6" ht="15" customHeight="1">
      <c r="A307" s="554"/>
      <c r="B307" s="554"/>
      <c r="C307" s="554"/>
      <c r="D307" s="554"/>
      <c r="E307" s="554"/>
      <c r="F307" s="554"/>
    </row>
    <row r="308" spans="1:6" ht="15" customHeight="1">
      <c r="A308" s="554"/>
      <c r="B308" s="554"/>
      <c r="C308" s="554"/>
      <c r="D308" s="554"/>
      <c r="E308" s="554"/>
      <c r="F308" s="554"/>
    </row>
    <row r="309" spans="1:6" ht="15" customHeight="1"/>
    <row r="310" spans="1:6" ht="15" customHeight="1"/>
    <row r="311" spans="1:6" ht="15" customHeight="1"/>
    <row r="312" spans="1:6" ht="15" customHeight="1"/>
    <row r="313" spans="1:6" ht="15" customHeight="1"/>
    <row r="314" spans="1:6" ht="15" customHeight="1"/>
    <row r="315" spans="1:6" ht="15" customHeight="1"/>
    <row r="316" spans="1:6" ht="15" customHeight="1"/>
    <row r="317" spans="1:6" ht="15" customHeight="1"/>
    <row r="318" spans="1:6" ht="15" customHeight="1"/>
    <row r="319" spans="1:6" ht="15" customHeight="1"/>
    <row r="320" spans="1:6" ht="15" customHeight="1"/>
    <row r="321" ht="15" customHeight="1"/>
    <row r="322" ht="15" customHeight="1"/>
    <row r="323" ht="15" customHeight="1"/>
    <row r="324" ht="15" customHeight="1"/>
    <row r="325" ht="15" customHeight="1"/>
    <row r="326" ht="15" customHeight="1"/>
    <row r="327" ht="15" customHeight="1"/>
    <row r="328" ht="15" customHeight="1"/>
    <row r="329" ht="15" customHeight="1"/>
    <row r="330" ht="15" customHeight="1"/>
    <row r="331" ht="15" customHeight="1"/>
    <row r="332" ht="15" customHeight="1"/>
    <row r="333" ht="15" customHeight="1"/>
    <row r="334" ht="15" customHeight="1"/>
    <row r="335" ht="15" customHeight="1"/>
    <row r="336" ht="15" customHeight="1"/>
    <row r="337" ht="15" customHeight="1"/>
    <row r="338" ht="15" customHeight="1"/>
    <row r="339" ht="15" customHeight="1"/>
    <row r="340" ht="15" customHeight="1"/>
    <row r="341" ht="15" customHeight="1"/>
    <row r="342" ht="15" customHeight="1"/>
    <row r="343" ht="15" customHeight="1"/>
    <row r="344" ht="15" customHeight="1"/>
    <row r="345" ht="15" customHeight="1"/>
    <row r="346" ht="15" customHeight="1"/>
    <row r="347" ht="15" customHeight="1"/>
    <row r="348" ht="15" customHeight="1"/>
    <row r="349" ht="15" customHeight="1"/>
    <row r="350" ht="15" customHeight="1"/>
    <row r="351" ht="15" customHeight="1"/>
    <row r="352" ht="15" customHeight="1"/>
    <row r="353" ht="15" customHeight="1"/>
    <row r="354" ht="15" customHeight="1"/>
    <row r="355" ht="15" customHeight="1"/>
    <row r="356" ht="15" customHeight="1"/>
    <row r="357" ht="15" customHeight="1"/>
    <row r="358" ht="15" customHeight="1"/>
    <row r="359" ht="15" customHeight="1"/>
    <row r="360" ht="15" customHeight="1"/>
    <row r="361" ht="15" customHeight="1"/>
    <row r="362" ht="15" customHeight="1"/>
    <row r="363" ht="15" customHeight="1"/>
    <row r="364" ht="15" customHeight="1"/>
    <row r="365" ht="15" customHeight="1"/>
    <row r="366" ht="15" customHeight="1"/>
    <row r="367" ht="15" customHeight="1"/>
    <row r="368" ht="15" customHeight="1"/>
    <row r="369" ht="15" customHeight="1"/>
    <row r="370" ht="15" customHeight="1"/>
    <row r="371" ht="15" customHeight="1"/>
    <row r="372" ht="15" customHeight="1"/>
    <row r="373" ht="15" customHeight="1"/>
    <row r="374" ht="15" customHeight="1"/>
    <row r="375" ht="15" customHeight="1"/>
    <row r="376" ht="15" customHeight="1"/>
    <row r="377" ht="15" customHeight="1"/>
    <row r="378" ht="15" customHeight="1"/>
    <row r="379" ht="15" customHeight="1"/>
    <row r="380" ht="15" customHeight="1"/>
    <row r="381" ht="15" customHeight="1"/>
    <row r="382" ht="15" customHeight="1"/>
    <row r="383" ht="15" customHeight="1"/>
    <row r="384" ht="15" customHeight="1"/>
    <row r="385" ht="15" customHeight="1"/>
    <row r="386" ht="15" customHeight="1"/>
    <row r="387" ht="15" customHeight="1"/>
    <row r="388" ht="15" customHeight="1"/>
    <row r="389" ht="15" customHeight="1"/>
    <row r="390" ht="15" customHeight="1"/>
  </sheetData>
  <sheetProtection selectLockedCells="1" selectUnlockedCells="1"/>
  <mergeCells count="12">
    <mergeCell ref="A1:F1"/>
    <mergeCell ref="A2:B3"/>
    <mergeCell ref="F3:F4"/>
    <mergeCell ref="A4:B4"/>
    <mergeCell ref="B9:F9"/>
    <mergeCell ref="G13:G14"/>
    <mergeCell ref="A5:F5"/>
    <mergeCell ref="B6:F6"/>
    <mergeCell ref="A7:A8"/>
    <mergeCell ref="B7:D7"/>
    <mergeCell ref="E7:F7"/>
    <mergeCell ref="B8:F8"/>
  </mergeCells>
  <phoneticPr fontId="51" type="noConversion"/>
  <dataValidations count="2">
    <dataValidation allowBlank="1" showErrorMessage="1" sqref="D3">
      <formula1>0</formula1>
      <formula2>0</formula2>
    </dataValidation>
    <dataValidation allowBlank="1" showErrorMessage="1" promptTitle="存在调整事项时" prompt="_x000a_选择 “E”" sqref="E7:F7">
      <formula1>0</formula1>
      <formula2>0</formula2>
    </dataValidation>
  </dataValidations>
  <hyperlinks>
    <hyperlink ref="G9" location="资产负债!A1" display="资产负债表"/>
    <hyperlink ref="G10" location="利润!A1" display="利润及利润分配表"/>
  </hyperlinks>
  <pageMargins left="0.78740157480314998" right="0.35433070866141703" top="0.511811023622047" bottom="0.11811023622047198" header="0.511811023622047" footer="0.511811023622047"/>
  <pageSetup paperSize="9" firstPageNumber="0" orientation="portrait" blackAndWhite="1" r:id="rId1"/>
  <headerFooter alignWithMargins="0"/>
</worksheet>
</file>

<file path=xl/worksheets/sheet9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8">
    <pageSetUpPr fitToPage="1"/>
  </sheetPr>
  <dimension ref="A1:Q42"/>
  <sheetViews>
    <sheetView topLeftCell="A13" zoomScaleNormal="100" workbookViewId="0">
      <selection activeCell="H26" sqref="H26:K26"/>
    </sheetView>
  </sheetViews>
  <sheetFormatPr defaultRowHeight="15.6"/>
  <cols>
    <col min="1" max="1" width="4.69921875" style="130" customWidth="1"/>
    <col min="2" max="2" width="5.69921875" style="130" customWidth="1"/>
    <col min="3" max="3" width="24.3984375" style="130" customWidth="1"/>
    <col min="4" max="4" width="12.59765625" style="130" customWidth="1"/>
    <col min="5" max="5" width="8.59765625" style="130" customWidth="1"/>
    <col min="6" max="11" width="12.59765625" style="130" customWidth="1"/>
    <col min="12" max="12" width="24.3984375" customWidth="1"/>
  </cols>
  <sheetData>
    <row r="1" spans="1:12" ht="26.25" customHeight="1">
      <c r="A1" s="3666" t="s">
        <v>10123</v>
      </c>
      <c r="B1" s="3666"/>
      <c r="C1" s="3666"/>
      <c r="D1" s="3666"/>
      <c r="E1" s="3666"/>
      <c r="F1" s="3666"/>
      <c r="G1" s="3666"/>
      <c r="H1" s="3666"/>
      <c r="I1" s="3666"/>
      <c r="J1" s="3666"/>
      <c r="K1" s="3666"/>
    </row>
    <row r="2" spans="1:12" ht="21.75" customHeight="1">
      <c r="A2" s="3256" t="s">
        <v>448</v>
      </c>
      <c r="B2" s="3256"/>
      <c r="C2" s="3257">
        <f>基本情况!B2</f>
        <v>0</v>
      </c>
      <c r="D2" s="3257"/>
      <c r="E2" s="3679" t="s">
        <v>451</v>
      </c>
      <c r="F2" s="3680"/>
      <c r="G2" s="1033">
        <f>基本情况!B12</f>
        <v>0</v>
      </c>
      <c r="H2" s="1032" t="s">
        <v>883</v>
      </c>
      <c r="I2" s="1034" t="str">
        <f>TEXT(基本情况!B21,"yyyy-mm-dd")</f>
        <v>2017-03-16</v>
      </c>
      <c r="J2" s="3258" t="s">
        <v>283</v>
      </c>
      <c r="K2" s="3258"/>
    </row>
    <row r="3" spans="1:12" ht="21.75" customHeight="1">
      <c r="A3" s="3259" t="s">
        <v>452</v>
      </c>
      <c r="B3" s="3259"/>
      <c r="C3" s="3260" t="str">
        <f>基本情况!B7</f>
        <v>2016年01月01日至2016年12月31日</v>
      </c>
      <c r="D3" s="3260"/>
      <c r="E3" s="3681" t="s">
        <v>453</v>
      </c>
      <c r="F3" s="3682"/>
      <c r="G3" s="1036">
        <f>基本情况!B11</f>
        <v>0</v>
      </c>
      <c r="H3" s="2645" t="s">
        <v>883</v>
      </c>
      <c r="I3" s="1036" t="str">
        <f>TEXT(基本情况!B22,"yyyy-mm-dd")</f>
        <v>2017-05-04</v>
      </c>
      <c r="J3" s="3668"/>
      <c r="K3" s="3668"/>
    </row>
    <row r="4" spans="1:12" ht="7.5" customHeight="1">
      <c r="A4" s="3254"/>
      <c r="B4" s="3254"/>
      <c r="C4" s="3254"/>
      <c r="D4" s="3254"/>
      <c r="E4" s="3254"/>
      <c r="F4" s="3254"/>
      <c r="G4" s="3254"/>
      <c r="H4" s="3254"/>
      <c r="I4" s="3254"/>
      <c r="J4" s="3254"/>
      <c r="K4" s="3254"/>
    </row>
    <row r="5" spans="1:12" ht="21.75" customHeight="1">
      <c r="A5" s="2646" t="s">
        <v>666</v>
      </c>
      <c r="B5" s="1038" t="s">
        <v>454</v>
      </c>
      <c r="C5" s="1038" t="s">
        <v>10126</v>
      </c>
      <c r="D5" s="1038" t="s">
        <v>10127</v>
      </c>
      <c r="E5" s="1038" t="s">
        <v>10134</v>
      </c>
      <c r="F5" s="1038" t="s">
        <v>10128</v>
      </c>
      <c r="G5" s="1038" t="s">
        <v>10129</v>
      </c>
      <c r="H5" s="1038" t="s">
        <v>10130</v>
      </c>
      <c r="I5" s="1038" t="s">
        <v>10133</v>
      </c>
      <c r="J5" s="1038" t="s">
        <v>10131</v>
      </c>
      <c r="K5" s="1039" t="s">
        <v>10132</v>
      </c>
    </row>
    <row r="6" spans="1:12" ht="21.75" customHeight="1">
      <c r="A6" s="3265" t="s">
        <v>10124</v>
      </c>
      <c r="B6" s="1032">
        <v>1</v>
      </c>
      <c r="C6" s="1040"/>
      <c r="D6" s="1206"/>
      <c r="E6" s="1206"/>
      <c r="F6" s="2667"/>
      <c r="G6" s="2662"/>
      <c r="H6" s="2662"/>
      <c r="I6" s="2651"/>
      <c r="J6" s="1206"/>
      <c r="K6" s="1208">
        <f>I6-J6</f>
        <v>0</v>
      </c>
      <c r="L6" s="565"/>
    </row>
    <row r="7" spans="1:12" ht="21.75" customHeight="1">
      <c r="A7" s="3265"/>
      <c r="B7" s="2642">
        <v>2</v>
      </c>
      <c r="C7" s="1041"/>
      <c r="D7" s="1209"/>
      <c r="E7" s="2655"/>
      <c r="F7" s="2668"/>
      <c r="G7" s="2663"/>
      <c r="H7" s="2663"/>
      <c r="I7" s="2652"/>
      <c r="J7" s="1209"/>
      <c r="K7" s="1211">
        <f t="shared" ref="K7:K25" si="0">I7-J7</f>
        <v>0</v>
      </c>
      <c r="L7" t="s">
        <v>396</v>
      </c>
    </row>
    <row r="8" spans="1:12" ht="21.75" customHeight="1">
      <c r="A8" s="3265"/>
      <c r="B8" s="2642">
        <v>3</v>
      </c>
      <c r="C8" s="1041"/>
      <c r="D8" s="1209"/>
      <c r="E8" s="2655"/>
      <c r="F8" s="2668"/>
      <c r="G8" s="2663"/>
      <c r="H8" s="2663"/>
      <c r="I8" s="2652"/>
      <c r="J8" s="1209"/>
      <c r="K8" s="1211">
        <f t="shared" si="0"/>
        <v>0</v>
      </c>
      <c r="L8" s="1042" t="s">
        <v>1289</v>
      </c>
    </row>
    <row r="9" spans="1:12" ht="21.75" customHeight="1">
      <c r="A9" s="3265"/>
      <c r="B9" s="2642">
        <v>4</v>
      </c>
      <c r="C9" s="1041"/>
      <c r="D9" s="1209"/>
      <c r="E9" s="2655"/>
      <c r="F9" s="2668"/>
      <c r="G9" s="2663"/>
      <c r="H9" s="2663"/>
      <c r="I9" s="2652"/>
      <c r="J9" s="1209"/>
      <c r="K9" s="1211">
        <f t="shared" si="0"/>
        <v>0</v>
      </c>
    </row>
    <row r="10" spans="1:12" ht="21.75" customHeight="1">
      <c r="A10" s="3265"/>
      <c r="B10" s="2642">
        <v>5</v>
      </c>
      <c r="C10" s="1041"/>
      <c r="D10" s="1209"/>
      <c r="E10" s="2655"/>
      <c r="F10" s="2668"/>
      <c r="G10" s="2663"/>
      <c r="H10" s="2663"/>
      <c r="I10" s="2652"/>
      <c r="J10" s="1209"/>
      <c r="K10" s="1211">
        <f t="shared" si="0"/>
        <v>0</v>
      </c>
    </row>
    <row r="11" spans="1:12" ht="21.75" customHeight="1">
      <c r="A11" s="3265"/>
      <c r="B11" s="2642">
        <v>6</v>
      </c>
      <c r="C11" s="1041"/>
      <c r="D11" s="1209"/>
      <c r="E11" s="2655"/>
      <c r="F11" s="2668"/>
      <c r="G11" s="2663"/>
      <c r="H11" s="2663"/>
      <c r="I11" s="2652"/>
      <c r="J11" s="1209"/>
      <c r="K11" s="1211">
        <f t="shared" si="0"/>
        <v>0</v>
      </c>
    </row>
    <row r="12" spans="1:12" ht="21.75" customHeight="1">
      <c r="A12" s="3265"/>
      <c r="B12" s="2642">
        <v>7</v>
      </c>
      <c r="C12" s="2648"/>
      <c r="D12" s="2649"/>
      <c r="E12" s="2649"/>
      <c r="F12" s="2669"/>
      <c r="G12" s="2664"/>
      <c r="H12" s="2664"/>
      <c r="I12" s="2652"/>
      <c r="J12" s="2649"/>
      <c r="K12" s="1211">
        <f t="shared" si="0"/>
        <v>0</v>
      </c>
    </row>
    <row r="13" spans="1:12" ht="21.75" customHeight="1">
      <c r="A13" s="3265"/>
      <c r="B13" s="2642">
        <v>8</v>
      </c>
      <c r="C13" s="2648"/>
      <c r="D13" s="2649"/>
      <c r="E13" s="2649"/>
      <c r="F13" s="2669"/>
      <c r="G13" s="2664"/>
      <c r="H13" s="2664"/>
      <c r="I13" s="2652"/>
      <c r="J13" s="2649"/>
      <c r="K13" s="1211">
        <f t="shared" si="0"/>
        <v>0</v>
      </c>
    </row>
    <row r="14" spans="1:12" ht="21.75" customHeight="1">
      <c r="A14" s="3265"/>
      <c r="B14" s="2642">
        <v>9</v>
      </c>
      <c r="C14" s="2648"/>
      <c r="D14" s="2649"/>
      <c r="E14" s="2649"/>
      <c r="F14" s="2669"/>
      <c r="G14" s="2664"/>
      <c r="H14" s="2664"/>
      <c r="I14" s="2652"/>
      <c r="J14" s="2649"/>
      <c r="K14" s="1211">
        <f t="shared" si="0"/>
        <v>0</v>
      </c>
    </row>
    <row r="15" spans="1:12" ht="21.75" customHeight="1">
      <c r="A15" s="3265"/>
      <c r="B15" s="3669" t="s">
        <v>703</v>
      </c>
      <c r="C15" s="3669"/>
      <c r="D15" s="1212">
        <f>SUMIF(E6:E14,"是",D6:D14)</f>
        <v>0</v>
      </c>
      <c r="E15" s="2656"/>
      <c r="F15" s="2670"/>
      <c r="G15" s="1212"/>
      <c r="H15" s="1212"/>
      <c r="I15" s="1212">
        <f t="shared" ref="I15:J15" si="1">SUM(I6:I14)</f>
        <v>0</v>
      </c>
      <c r="J15" s="1212">
        <f t="shared" si="1"/>
        <v>0</v>
      </c>
      <c r="K15" s="1213">
        <f t="shared" si="0"/>
        <v>0</v>
      </c>
    </row>
    <row r="16" spans="1:12" ht="21.75" customHeight="1">
      <c r="A16" s="3670" t="s">
        <v>10125</v>
      </c>
      <c r="B16" s="1043">
        <v>1</v>
      </c>
      <c r="C16" s="1044"/>
      <c r="D16" s="1214"/>
      <c r="E16" s="1214"/>
      <c r="F16" s="2671"/>
      <c r="G16" s="2665"/>
      <c r="H16" s="2665"/>
      <c r="I16" s="2653"/>
      <c r="J16" s="1216"/>
      <c r="K16" s="1217">
        <f t="shared" si="0"/>
        <v>0</v>
      </c>
    </row>
    <row r="17" spans="1:17" ht="21.75" customHeight="1">
      <c r="A17" s="3670"/>
      <c r="B17" s="2642">
        <v>2</v>
      </c>
      <c r="C17" s="1041"/>
      <c r="D17" s="2650"/>
      <c r="E17" s="2657"/>
      <c r="F17" s="2668"/>
      <c r="G17" s="2666"/>
      <c r="H17" s="2666"/>
      <c r="I17" s="2654"/>
      <c r="J17" s="1209"/>
      <c r="K17" s="1211">
        <f t="shared" si="0"/>
        <v>0</v>
      </c>
    </row>
    <row r="18" spans="1:17" ht="21.75" customHeight="1">
      <c r="A18" s="3670"/>
      <c r="B18" s="2642">
        <v>3</v>
      </c>
      <c r="C18" s="1041"/>
      <c r="D18" s="2650"/>
      <c r="E18" s="2657"/>
      <c r="F18" s="2668"/>
      <c r="G18" s="2666"/>
      <c r="H18" s="2666"/>
      <c r="I18" s="2654"/>
      <c r="J18" s="1209"/>
      <c r="K18" s="1211">
        <f t="shared" si="0"/>
        <v>0</v>
      </c>
    </row>
    <row r="19" spans="1:17" ht="21.75" customHeight="1">
      <c r="A19" s="3670"/>
      <c r="B19" s="2642">
        <v>4</v>
      </c>
      <c r="C19" s="1041"/>
      <c r="D19" s="2650"/>
      <c r="E19" s="2657"/>
      <c r="F19" s="2668"/>
      <c r="G19" s="2666"/>
      <c r="H19" s="2666"/>
      <c r="I19" s="2654"/>
      <c r="J19" s="1209"/>
      <c r="K19" s="1211">
        <f t="shared" si="0"/>
        <v>0</v>
      </c>
      <c r="L19" s="2643"/>
      <c r="M19" s="673"/>
      <c r="N19" s="673"/>
      <c r="O19" s="673"/>
      <c r="P19" s="673"/>
      <c r="Q19" s="673"/>
    </row>
    <row r="20" spans="1:17" ht="21.75" customHeight="1">
      <c r="A20" s="3670"/>
      <c r="B20" s="2642">
        <v>5</v>
      </c>
      <c r="C20" s="1041"/>
      <c r="D20" s="2650"/>
      <c r="E20" s="2657"/>
      <c r="F20" s="2668"/>
      <c r="G20" s="2666"/>
      <c r="H20" s="2666"/>
      <c r="I20" s="2654"/>
      <c r="J20" s="1209"/>
      <c r="K20" s="1211">
        <f t="shared" si="0"/>
        <v>0</v>
      </c>
    </row>
    <row r="21" spans="1:17" ht="21.75" customHeight="1">
      <c r="A21" s="3670"/>
      <c r="B21" s="2642">
        <v>6</v>
      </c>
      <c r="C21" s="1041"/>
      <c r="D21" s="1209"/>
      <c r="E21" s="2655"/>
      <c r="F21" s="2668"/>
      <c r="G21" s="2663"/>
      <c r="H21" s="2663"/>
      <c r="I21" s="2654"/>
      <c r="J21" s="1209"/>
      <c r="K21" s="1211">
        <f t="shared" si="0"/>
        <v>0</v>
      </c>
    </row>
    <row r="22" spans="1:17" ht="21.75" customHeight="1">
      <c r="A22" s="3670"/>
      <c r="B22" s="2642">
        <v>7</v>
      </c>
      <c r="C22" s="2648"/>
      <c r="D22" s="2649"/>
      <c r="E22" s="2649"/>
      <c r="F22" s="2669"/>
      <c r="G22" s="2664"/>
      <c r="H22" s="2664"/>
      <c r="I22" s="2654"/>
      <c r="J22" s="2649"/>
      <c r="K22" s="1211">
        <f t="shared" si="0"/>
        <v>0</v>
      </c>
    </row>
    <row r="23" spans="1:17" ht="21.75" customHeight="1">
      <c r="A23" s="3670"/>
      <c r="B23" s="2642">
        <v>8</v>
      </c>
      <c r="C23" s="2648"/>
      <c r="D23" s="2649"/>
      <c r="E23" s="2649"/>
      <c r="F23" s="2669"/>
      <c r="G23" s="2664"/>
      <c r="H23" s="2664"/>
      <c r="I23" s="2654"/>
      <c r="J23" s="2649"/>
      <c r="K23" s="1211">
        <f t="shared" si="0"/>
        <v>0</v>
      </c>
    </row>
    <row r="24" spans="1:17" ht="21.75" customHeight="1">
      <c r="A24" s="3670"/>
      <c r="B24" s="2642">
        <v>9</v>
      </c>
      <c r="C24" s="2648"/>
      <c r="D24" s="2649"/>
      <c r="E24" s="2649"/>
      <c r="F24" s="2669"/>
      <c r="G24" s="2664"/>
      <c r="H24" s="2664"/>
      <c r="I24" s="2654"/>
      <c r="J24" s="2649"/>
      <c r="K24" s="1211">
        <f t="shared" si="0"/>
        <v>0</v>
      </c>
    </row>
    <row r="25" spans="1:17" ht="21.75" customHeight="1">
      <c r="A25" s="3670"/>
      <c r="B25" s="3669" t="s">
        <v>703</v>
      </c>
      <c r="C25" s="3669"/>
      <c r="D25" s="1212">
        <f>SUMIF(E16:E24,"是",D16:D24)</f>
        <v>0</v>
      </c>
      <c r="E25" s="2656"/>
      <c r="F25" s="2670"/>
      <c r="G25" s="1212"/>
      <c r="H25" s="1212"/>
      <c r="I25" s="1212">
        <f t="shared" ref="I25:J25" si="2">SUM(I16:I24)</f>
        <v>0</v>
      </c>
      <c r="J25" s="1212">
        <f t="shared" si="2"/>
        <v>0</v>
      </c>
      <c r="K25" s="1213">
        <f t="shared" si="0"/>
        <v>0</v>
      </c>
    </row>
    <row r="26" spans="1:17" ht="21" customHeight="1">
      <c r="A26" s="3271" t="s">
        <v>642</v>
      </c>
      <c r="B26" s="3271"/>
      <c r="C26" s="3671" t="str">
        <f>IF($D$15&lt;&gt;资产负债!$H$5,"短期借款账载数与报表数相差"&amp;DOLLAR($D$15-资产负债!$H$5,2)&amp;"元！","短期借款账载数与报表数相符！")</f>
        <v>短期借款账载数与报表数相符！</v>
      </c>
      <c r="D26" s="3671"/>
      <c r="E26" s="3671"/>
      <c r="F26" s="3671"/>
      <c r="G26" s="3671"/>
      <c r="H26" s="3672" t="str">
        <f>IF($D$25&lt;&gt;资产负债!$H$21,"长期借款账载数与报表数相差"&amp;DOLLAR($D$25-资产负债!$H$21,2)&amp;"元！","长期借款账载数与报表数相符！")</f>
        <v>长期借款账载数与报表数相符！</v>
      </c>
      <c r="I26" s="3672"/>
      <c r="J26" s="3672"/>
      <c r="K26" s="3672"/>
    </row>
    <row r="27" spans="1:17" ht="15" customHeight="1">
      <c r="A27" s="3280" t="s">
        <v>1324</v>
      </c>
      <c r="B27" s="3280"/>
      <c r="C27" s="1045" t="s">
        <v>1408</v>
      </c>
      <c r="D27" s="3675" t="str">
        <f>IF(OR(I15&lt;&gt;资产负债!H5,I25&lt;&gt;资产负债!H21),"、E","")</f>
        <v/>
      </c>
      <c r="E27" s="3675"/>
      <c r="F27" s="3675"/>
      <c r="G27" s="3675"/>
      <c r="H27" s="3675"/>
      <c r="I27" s="3675"/>
      <c r="J27" s="3675"/>
      <c r="K27" s="3675"/>
      <c r="L27" s="2643"/>
      <c r="M27" s="2644"/>
      <c r="N27" s="2644"/>
      <c r="O27" s="2644"/>
      <c r="P27" s="2644"/>
      <c r="Q27" s="2644"/>
    </row>
    <row r="28" spans="1:17" ht="46.5" customHeight="1">
      <c r="A28" s="3280"/>
      <c r="B28" s="3280"/>
      <c r="C28" s="3676"/>
      <c r="D28" s="3676"/>
      <c r="E28" s="3676"/>
      <c r="F28" s="3676"/>
      <c r="G28" s="3676"/>
      <c r="H28" s="3676"/>
      <c r="I28" s="3676"/>
      <c r="J28" s="3676"/>
      <c r="K28" s="3676"/>
    </row>
    <row r="29" spans="1:17" ht="21" customHeight="1">
      <c r="A29" s="3673" t="s">
        <v>575</v>
      </c>
      <c r="B29" s="3673"/>
      <c r="C29" s="3674"/>
      <c r="D29" s="3674"/>
      <c r="E29" s="3678"/>
      <c r="F29" s="3674"/>
      <c r="G29" s="3674"/>
      <c r="H29" s="3674"/>
      <c r="I29" s="3674"/>
      <c r="J29" s="3674"/>
      <c r="K29" s="3674"/>
    </row>
    <row r="30" spans="1:17" ht="13.5" customHeight="1"/>
    <row r="31" spans="1:17" ht="21" customHeight="1"/>
    <row r="32" spans="1:17" ht="21" customHeight="1"/>
    <row r="33" spans="12:17" ht="21" customHeight="1"/>
    <row r="34" spans="12:17" ht="21" customHeight="1"/>
    <row r="35" spans="12:17" ht="21" customHeight="1"/>
    <row r="36" spans="12:17" ht="21" customHeight="1"/>
    <row r="37" spans="12:17" ht="21" customHeight="1"/>
    <row r="38" spans="12:17" ht="21" customHeight="1"/>
    <row r="39" spans="12:17" s="130" customFormat="1" ht="21" customHeight="1">
      <c r="L39"/>
      <c r="M39"/>
      <c r="N39"/>
      <c r="O39"/>
      <c r="P39"/>
      <c r="Q39"/>
    </row>
    <row r="40" spans="12:17" s="130" customFormat="1" ht="21" customHeight="1">
      <c r="L40"/>
      <c r="M40"/>
      <c r="N40"/>
      <c r="O40"/>
      <c r="P40"/>
      <c r="Q40"/>
    </row>
    <row r="41" spans="12:17" s="130" customFormat="1" ht="21" customHeight="1">
      <c r="L41"/>
      <c r="M41"/>
      <c r="N41"/>
      <c r="O41"/>
      <c r="P41"/>
      <c r="Q41"/>
    </row>
    <row r="42" spans="12:17" s="130" customFormat="1" ht="21" customHeight="1">
      <c r="L42"/>
      <c r="M42"/>
      <c r="N42"/>
      <c r="O42"/>
      <c r="P42"/>
      <c r="Q42"/>
    </row>
  </sheetData>
  <sheetProtection selectLockedCells="1" selectUnlockedCells="1"/>
  <mergeCells count="22">
    <mergeCell ref="A1:K1"/>
    <mergeCell ref="A2:B2"/>
    <mergeCell ref="C2:D2"/>
    <mergeCell ref="J2:K2"/>
    <mergeCell ref="A3:B3"/>
    <mergeCell ref="C3:D3"/>
    <mergeCell ref="J3:K3"/>
    <mergeCell ref="E2:F2"/>
    <mergeCell ref="E3:F3"/>
    <mergeCell ref="A29:B29"/>
    <mergeCell ref="C29:K29"/>
    <mergeCell ref="A4:K4"/>
    <mergeCell ref="A6:A15"/>
    <mergeCell ref="B15:C15"/>
    <mergeCell ref="A27:B28"/>
    <mergeCell ref="D27:K27"/>
    <mergeCell ref="C28:K28"/>
    <mergeCell ref="A16:A25"/>
    <mergeCell ref="B25:C25"/>
    <mergeCell ref="A26:B26"/>
    <mergeCell ref="C26:G26"/>
    <mergeCell ref="H26:K26"/>
  </mergeCells>
  <phoneticPr fontId="51" type="noConversion"/>
  <dataValidations count="2">
    <dataValidation allowBlank="1" showErrorMessage="1" promptTitle="存在调整事项时" prompt="_x000a_选择 “E”" sqref="D27:K27">
      <formula1>0</formula1>
      <formula2>0</formula2>
    </dataValidation>
    <dataValidation type="list" allowBlank="1" showInputMessage="1" showErrorMessage="1" sqref="E6:E14 E16:E24">
      <formula1>"是,否"</formula1>
    </dataValidation>
  </dataValidations>
  <hyperlinks>
    <hyperlink ref="L8" location="资产负债!A1" display="资产负债表"/>
  </hyperlinks>
  <pageMargins left="0.78740157480314965" right="0.35433070866141736" top="0.51181102362204722" bottom="0.11811023622047245" header="0.51181102362204722" footer="0.51181102362204722"/>
  <pageSetup paperSize="9" scale="91" firstPageNumber="0" orientation="landscape" blackAndWhite="1" r:id="rId1"/>
  <headerFooter alignWithMargins="0"/>
</worksheet>
</file>

<file path=xl/worksheets/sheet9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64"/>
  <dimension ref="A1:BP31"/>
  <sheetViews>
    <sheetView workbookViewId="0">
      <selection activeCell="H22" sqref="H22"/>
    </sheetView>
  </sheetViews>
  <sheetFormatPr defaultColWidth="9" defaultRowHeight="15.6"/>
  <cols>
    <col min="1" max="1" width="3" style="554" customWidth="1"/>
    <col min="2" max="2" width="17.5" style="130" customWidth="1"/>
    <col min="3" max="8" width="11" style="130" customWidth="1"/>
    <col min="9" max="9" width="52.69921875" style="554" customWidth="1"/>
    <col min="10" max="16384" width="9" style="554"/>
  </cols>
  <sheetData>
    <row r="1" spans="1:68" ht="30" customHeight="1">
      <c r="A1" s="1009"/>
      <c r="B1" s="2707" t="s">
        <v>374</v>
      </c>
      <c r="C1" s="2707"/>
      <c r="D1" s="2707"/>
      <c r="E1" s="2707"/>
      <c r="F1" s="2707"/>
      <c r="G1" s="2707"/>
      <c r="H1" s="2707"/>
      <c r="I1" s="90"/>
      <c r="J1" s="90"/>
    </row>
    <row r="2" spans="1:68" s="649" customFormat="1" ht="20.100000000000001" customHeight="1">
      <c r="A2" s="3163" t="str">
        <f>"委托单位："&amp;基本情况!B2</f>
        <v>委托单位：0</v>
      </c>
      <c r="B2" s="3163"/>
      <c r="C2" s="3163"/>
      <c r="D2" s="3163"/>
      <c r="E2" s="136"/>
      <c r="F2" s="136" t="s">
        <v>1283</v>
      </c>
      <c r="G2" s="136" t="s">
        <v>1054</v>
      </c>
      <c r="H2" s="485" t="s">
        <v>283</v>
      </c>
      <c r="I2" s="1053"/>
      <c r="J2" s="648"/>
    </row>
    <row r="3" spans="1:68" s="649" customFormat="1" ht="20.100000000000001" customHeight="1">
      <c r="A3" s="3163"/>
      <c r="B3" s="3163"/>
      <c r="C3" s="3163"/>
      <c r="D3" s="3163"/>
      <c r="E3" s="158" t="s">
        <v>451</v>
      </c>
      <c r="F3" s="510">
        <f>基本情况!B12</f>
        <v>0</v>
      </c>
      <c r="G3" s="559" t="str">
        <f>TEXT(基本情况!B21,"yyyy-mm-dd")</f>
        <v>2017-03-16</v>
      </c>
      <c r="H3" s="3081" t="str">
        <f>档案索引!D43</f>
        <v>4-10</v>
      </c>
      <c r="I3" s="557"/>
      <c r="J3" s="648"/>
    </row>
    <row r="4" spans="1:68" s="649" customFormat="1" ht="20.100000000000001" customHeight="1">
      <c r="A4" s="3161" t="str">
        <f>"会计期间："&amp;基本情况!B7</f>
        <v>会计期间：2016年01月01日至2016年12月31日</v>
      </c>
      <c r="B4" s="3161"/>
      <c r="C4" s="3161"/>
      <c r="D4" s="3161"/>
      <c r="E4" s="140" t="s">
        <v>453</v>
      </c>
      <c r="F4" s="513">
        <f>基本情况!B11</f>
        <v>0</v>
      </c>
      <c r="G4" s="513" t="str">
        <f>TEXT(基本情况!B22,"yyyy-mm-dd")</f>
        <v>2017-05-04</v>
      </c>
      <c r="H4" s="3081"/>
      <c r="I4" s="557"/>
      <c r="J4" s="648"/>
    </row>
    <row r="5" spans="1:68" s="1055" customFormat="1" ht="6" customHeight="1">
      <c r="A5" s="2894"/>
      <c r="B5" s="2894"/>
      <c r="C5" s="2894"/>
      <c r="D5" s="2894"/>
      <c r="E5" s="2894"/>
      <c r="F5" s="2894"/>
      <c r="G5" s="2894"/>
      <c r="H5" s="2894"/>
      <c r="I5" s="543"/>
      <c r="J5" s="1054"/>
    </row>
    <row r="6" spans="1:68" s="558" customFormat="1" ht="24" customHeight="1">
      <c r="A6" s="3021" t="s">
        <v>666</v>
      </c>
      <c r="B6" s="3021"/>
      <c r="C6" s="582" t="s">
        <v>1252</v>
      </c>
      <c r="D6" s="582" t="s">
        <v>1253</v>
      </c>
      <c r="E6" s="582" t="s">
        <v>1254</v>
      </c>
      <c r="F6" s="582" t="s">
        <v>838</v>
      </c>
      <c r="G6" s="582" t="s">
        <v>843</v>
      </c>
      <c r="H6" s="772" t="s">
        <v>243</v>
      </c>
      <c r="I6" s="536" t="s">
        <v>396</v>
      </c>
      <c r="J6" s="606"/>
      <c r="K6" s="649"/>
      <c r="L6" s="649"/>
      <c r="M6" s="649"/>
      <c r="N6" s="649"/>
      <c r="O6" s="649"/>
      <c r="P6" s="649"/>
      <c r="Q6" s="649"/>
      <c r="R6" s="649"/>
      <c r="S6" s="649"/>
      <c r="T6" s="649"/>
      <c r="U6" s="649"/>
      <c r="V6" s="649"/>
      <c r="W6" s="649"/>
      <c r="X6" s="649"/>
      <c r="Y6" s="649"/>
      <c r="Z6" s="649"/>
      <c r="AA6" s="649"/>
      <c r="AB6" s="649"/>
      <c r="AC6" s="649"/>
      <c r="AD6" s="649"/>
      <c r="AE6" s="649"/>
      <c r="AF6" s="649"/>
      <c r="AG6" s="649"/>
      <c r="AH6" s="649"/>
      <c r="AI6" s="649"/>
      <c r="AJ6" s="649"/>
      <c r="AK6" s="649"/>
      <c r="AL6" s="649"/>
      <c r="AM6" s="649"/>
      <c r="AN6" s="649"/>
      <c r="AO6" s="649"/>
      <c r="AP6" s="649"/>
      <c r="AQ6" s="649"/>
      <c r="AR6" s="649"/>
      <c r="AS6" s="649"/>
      <c r="AT6" s="649"/>
      <c r="AU6" s="649"/>
      <c r="AV6" s="649"/>
      <c r="AW6" s="649"/>
      <c r="AX6" s="649"/>
      <c r="AY6" s="649"/>
      <c r="AZ6" s="649"/>
      <c r="BA6" s="649"/>
      <c r="BB6" s="649"/>
      <c r="BC6" s="649"/>
      <c r="BD6" s="649"/>
      <c r="BE6" s="649"/>
      <c r="BF6" s="649"/>
      <c r="BG6" s="649"/>
      <c r="BH6" s="649"/>
      <c r="BI6" s="649"/>
      <c r="BJ6" s="649"/>
      <c r="BK6" s="649"/>
      <c r="BL6" s="649"/>
      <c r="BM6" s="649"/>
      <c r="BN6" s="649"/>
      <c r="BO6" s="649"/>
      <c r="BP6" s="649"/>
    </row>
    <row r="7" spans="1:68" s="558" customFormat="1" ht="24" customHeight="1">
      <c r="A7" s="3572" t="s">
        <v>440</v>
      </c>
      <c r="B7" s="1056"/>
      <c r="C7" s="1130"/>
      <c r="D7" s="1130"/>
      <c r="E7" s="1130"/>
      <c r="F7" s="659">
        <f>C7+D7-E7</f>
        <v>0</v>
      </c>
      <c r="G7" s="1130"/>
      <c r="H7" s="662">
        <f t="shared" ref="H7:H12" si="0">F7+G7</f>
        <v>0</v>
      </c>
      <c r="I7" s="493" t="s">
        <v>1289</v>
      </c>
      <c r="J7" s="606"/>
      <c r="K7" s="649"/>
      <c r="L7" s="649"/>
      <c r="M7" s="649"/>
      <c r="N7" s="649"/>
      <c r="O7" s="649"/>
      <c r="P7" s="649"/>
      <c r="Q7" s="649"/>
      <c r="R7" s="649"/>
      <c r="S7" s="649"/>
      <c r="T7" s="649"/>
      <c r="U7" s="649"/>
      <c r="V7" s="649"/>
      <c r="W7" s="649"/>
      <c r="X7" s="649"/>
      <c r="Y7" s="649"/>
      <c r="Z7" s="649"/>
      <c r="AA7" s="649"/>
      <c r="AB7" s="649"/>
      <c r="AC7" s="649"/>
      <c r="AD7" s="649"/>
      <c r="AE7" s="649"/>
      <c r="AF7" s="649"/>
      <c r="AG7" s="649"/>
      <c r="AH7" s="649"/>
      <c r="AI7" s="649"/>
      <c r="AJ7" s="649"/>
      <c r="AK7" s="649"/>
      <c r="AL7" s="649"/>
      <c r="AM7" s="649"/>
      <c r="AN7" s="649"/>
      <c r="AO7" s="649"/>
      <c r="AP7" s="649"/>
      <c r="AQ7" s="649"/>
      <c r="AR7" s="649"/>
      <c r="AS7" s="649"/>
      <c r="AT7" s="649"/>
      <c r="AU7" s="649"/>
      <c r="AV7" s="649"/>
      <c r="AW7" s="649"/>
      <c r="AX7" s="649"/>
      <c r="AY7" s="649"/>
      <c r="AZ7" s="649"/>
      <c r="BA7" s="649"/>
      <c r="BB7" s="649"/>
      <c r="BC7" s="649"/>
      <c r="BD7" s="649"/>
      <c r="BE7" s="649"/>
      <c r="BF7" s="649"/>
      <c r="BG7" s="649"/>
      <c r="BH7" s="649"/>
      <c r="BI7" s="649"/>
      <c r="BJ7" s="649"/>
      <c r="BK7" s="649"/>
      <c r="BL7" s="649"/>
      <c r="BM7" s="649"/>
      <c r="BN7" s="649"/>
      <c r="BO7" s="649"/>
      <c r="BP7" s="649"/>
    </row>
    <row r="8" spans="1:68" s="558" customFormat="1" ht="24" customHeight="1">
      <c r="A8" s="3572"/>
      <c r="B8" s="968"/>
      <c r="C8" s="1131"/>
      <c r="D8" s="1131"/>
      <c r="E8" s="1131"/>
      <c r="F8" s="666">
        <f t="shared" ref="F8:F23" si="1">C8+D8-E8</f>
        <v>0</v>
      </c>
      <c r="G8" s="1131"/>
      <c r="H8" s="531">
        <f t="shared" si="0"/>
        <v>0</v>
      </c>
      <c r="I8" s="493" t="s">
        <v>643</v>
      </c>
      <c r="J8" s="606"/>
      <c r="K8" s="649"/>
      <c r="L8" s="649"/>
      <c r="M8" s="649"/>
      <c r="N8" s="649"/>
      <c r="O8" s="649"/>
      <c r="P8" s="649"/>
      <c r="Q8" s="649"/>
      <c r="R8" s="649"/>
      <c r="S8" s="649"/>
      <c r="T8" s="649"/>
      <c r="U8" s="649"/>
      <c r="V8" s="649"/>
      <c r="W8" s="649"/>
      <c r="X8" s="649"/>
      <c r="Y8" s="649"/>
      <c r="Z8" s="649"/>
      <c r="AA8" s="649"/>
      <c r="AB8" s="649"/>
      <c r="AC8" s="649"/>
      <c r="AD8" s="649"/>
      <c r="AE8" s="649"/>
      <c r="AF8" s="649"/>
      <c r="AG8" s="649"/>
      <c r="AH8" s="649"/>
      <c r="AI8" s="649"/>
      <c r="AJ8" s="649"/>
      <c r="AK8" s="649"/>
      <c r="AL8" s="649"/>
      <c r="AM8" s="649"/>
      <c r="AN8" s="649"/>
      <c r="AO8" s="649"/>
      <c r="AP8" s="649"/>
      <c r="AQ8" s="649"/>
      <c r="AR8" s="649"/>
      <c r="AS8" s="649"/>
      <c r="AT8" s="649"/>
      <c r="AU8" s="649"/>
      <c r="AV8" s="649"/>
      <c r="AW8" s="649"/>
      <c r="AX8" s="649"/>
      <c r="AY8" s="649"/>
      <c r="AZ8" s="649"/>
      <c r="BA8" s="649"/>
      <c r="BB8" s="649"/>
      <c r="BC8" s="649"/>
      <c r="BD8" s="649"/>
      <c r="BE8" s="649"/>
      <c r="BF8" s="649"/>
      <c r="BG8" s="649"/>
      <c r="BH8" s="649"/>
      <c r="BI8" s="649"/>
      <c r="BJ8" s="649"/>
      <c r="BK8" s="649"/>
      <c r="BL8" s="649"/>
      <c r="BM8" s="649"/>
      <c r="BN8" s="649"/>
      <c r="BO8" s="649"/>
      <c r="BP8" s="649"/>
    </row>
    <row r="9" spans="1:68" s="558" customFormat="1" ht="24" customHeight="1">
      <c r="A9" s="3572"/>
      <c r="B9" s="968"/>
      <c r="C9" s="1131"/>
      <c r="D9" s="1131"/>
      <c r="E9" s="1131"/>
      <c r="F9" s="666">
        <f t="shared" si="1"/>
        <v>0</v>
      </c>
      <c r="G9" s="1131"/>
      <c r="H9" s="531">
        <f t="shared" si="0"/>
        <v>0</v>
      </c>
      <c r="I9" s="232" t="s">
        <v>368</v>
      </c>
      <c r="J9" s="606"/>
      <c r="K9" s="649"/>
      <c r="L9" s="649"/>
      <c r="M9" s="649"/>
      <c r="N9" s="649"/>
      <c r="O9" s="649"/>
      <c r="P9" s="649"/>
      <c r="Q9" s="649"/>
      <c r="R9" s="649"/>
      <c r="S9" s="649"/>
      <c r="T9" s="649"/>
      <c r="U9" s="649"/>
      <c r="V9" s="649"/>
      <c r="W9" s="649"/>
      <c r="X9" s="649"/>
      <c r="Y9" s="649"/>
      <c r="Z9" s="649"/>
      <c r="AA9" s="649"/>
      <c r="AB9" s="649"/>
      <c r="AC9" s="649"/>
      <c r="AD9" s="649"/>
      <c r="AE9" s="649"/>
      <c r="AF9" s="649"/>
      <c r="AG9" s="649"/>
      <c r="AH9" s="649"/>
      <c r="AI9" s="649"/>
      <c r="AJ9" s="649"/>
      <c r="AK9" s="649"/>
      <c r="AL9" s="649"/>
      <c r="AM9" s="649"/>
      <c r="AN9" s="649"/>
      <c r="AO9" s="649"/>
      <c r="AP9" s="649"/>
      <c r="AQ9" s="649"/>
      <c r="AR9" s="649"/>
      <c r="AS9" s="649"/>
      <c r="AT9" s="649"/>
      <c r="AU9" s="649"/>
      <c r="AV9" s="649"/>
      <c r="AW9" s="649"/>
      <c r="AX9" s="649"/>
      <c r="AY9" s="649"/>
      <c r="AZ9" s="649"/>
      <c r="BA9" s="649"/>
      <c r="BB9" s="649"/>
      <c r="BC9" s="649"/>
      <c r="BD9" s="649"/>
      <c r="BE9" s="649"/>
      <c r="BF9" s="649"/>
      <c r="BG9" s="649"/>
      <c r="BH9" s="649"/>
      <c r="BI9" s="649"/>
      <c r="BJ9" s="649"/>
      <c r="BK9" s="649"/>
      <c r="BL9" s="649"/>
      <c r="BM9" s="649"/>
      <c r="BN9" s="649"/>
      <c r="BO9" s="649"/>
      <c r="BP9" s="649"/>
    </row>
    <row r="10" spans="1:68" s="558" customFormat="1" ht="24" customHeight="1">
      <c r="A10" s="3572"/>
      <c r="B10" s="968"/>
      <c r="C10" s="1131"/>
      <c r="D10" s="1131"/>
      <c r="E10" s="1131"/>
      <c r="F10" s="666">
        <f t="shared" si="1"/>
        <v>0</v>
      </c>
      <c r="G10" s="1131"/>
      <c r="H10" s="531">
        <f t="shared" si="0"/>
        <v>0</v>
      </c>
      <c r="I10" s="232" t="s">
        <v>328</v>
      </c>
      <c r="J10" s="557"/>
    </row>
    <row r="11" spans="1:68" s="558" customFormat="1" ht="24" customHeight="1">
      <c r="A11" s="3572"/>
      <c r="B11" s="968"/>
      <c r="C11" s="1131"/>
      <c r="D11" s="1131"/>
      <c r="E11" s="1131"/>
      <c r="F11" s="666">
        <f t="shared" si="1"/>
        <v>0</v>
      </c>
      <c r="G11" s="1131"/>
      <c r="H11" s="531">
        <f t="shared" si="0"/>
        <v>0</v>
      </c>
      <c r="I11" s="232" t="s">
        <v>324</v>
      </c>
      <c r="J11" s="557"/>
    </row>
    <row r="12" spans="1:68" s="558" customFormat="1" ht="24" customHeight="1">
      <c r="A12" s="3572"/>
      <c r="B12" s="2452"/>
      <c r="C12" s="1132"/>
      <c r="D12" s="1132"/>
      <c r="E12" s="1132"/>
      <c r="F12" s="666">
        <f t="shared" si="1"/>
        <v>0</v>
      </c>
      <c r="G12" s="1132"/>
      <c r="H12" s="2447">
        <f t="shared" si="0"/>
        <v>0</v>
      </c>
      <c r="I12" s="2448"/>
      <c r="J12" s="557"/>
    </row>
    <row r="13" spans="1:68" s="558" customFormat="1" ht="24" customHeight="1">
      <c r="A13" s="3572"/>
      <c r="B13" s="140" t="s">
        <v>1414</v>
      </c>
      <c r="C13" s="684">
        <f t="shared" ref="C13:E13" si="2">SUM(C7:C12)</f>
        <v>0</v>
      </c>
      <c r="D13" s="684">
        <f t="shared" si="2"/>
        <v>0</v>
      </c>
      <c r="E13" s="684">
        <f t="shared" si="2"/>
        <v>0</v>
      </c>
      <c r="F13" s="684">
        <f>SUM(F7:F12)</f>
        <v>0</v>
      </c>
      <c r="G13" s="684">
        <f t="shared" ref="G13:H13" si="3">SUM(G7:G12)</f>
        <v>0</v>
      </c>
      <c r="H13" s="1057">
        <f t="shared" si="3"/>
        <v>0</v>
      </c>
      <c r="I13" s="557"/>
      <c r="J13" s="557"/>
    </row>
    <row r="14" spans="1:68" s="558" customFormat="1" ht="24" customHeight="1">
      <c r="A14" s="3128" t="s">
        <v>844</v>
      </c>
      <c r="B14" s="1058" t="s">
        <v>845</v>
      </c>
      <c r="C14" s="1221"/>
      <c r="D14" s="1221"/>
      <c r="E14" s="1221"/>
      <c r="F14" s="653">
        <f t="shared" si="1"/>
        <v>0</v>
      </c>
      <c r="G14" s="1221"/>
      <c r="H14" s="655">
        <f>F14+G14</f>
        <v>0</v>
      </c>
      <c r="I14" s="3090" t="s">
        <v>846</v>
      </c>
      <c r="J14" s="3090"/>
    </row>
    <row r="15" spans="1:68" s="558" customFormat="1" ht="24" customHeight="1">
      <c r="A15" s="3128"/>
      <c r="B15" s="968" t="s">
        <v>847</v>
      </c>
      <c r="C15" s="1131"/>
      <c r="D15" s="1131"/>
      <c r="E15" s="1131"/>
      <c r="F15" s="666">
        <f t="shared" si="1"/>
        <v>0</v>
      </c>
      <c r="G15" s="1131"/>
      <c r="H15" s="531">
        <f t="shared" ref="H15:H23" si="4">F15+G15</f>
        <v>0</v>
      </c>
      <c r="I15" s="3090"/>
      <c r="J15" s="3090"/>
    </row>
    <row r="16" spans="1:68" s="558" customFormat="1" ht="24" customHeight="1">
      <c r="A16" s="3128"/>
      <c r="B16" s="968" t="s">
        <v>1132</v>
      </c>
      <c r="C16" s="1131"/>
      <c r="D16" s="1131"/>
      <c r="E16" s="1131"/>
      <c r="F16" s="666">
        <f t="shared" si="1"/>
        <v>0</v>
      </c>
      <c r="G16" s="1131"/>
      <c r="H16" s="531">
        <f t="shared" si="4"/>
        <v>0</v>
      </c>
      <c r="I16" s="3090"/>
      <c r="J16" s="3090"/>
    </row>
    <row r="17" spans="1:10" s="558" customFormat="1" ht="24" customHeight="1">
      <c r="A17" s="3128"/>
      <c r="B17" s="968"/>
      <c r="C17" s="1131"/>
      <c r="D17" s="1131"/>
      <c r="E17" s="1131"/>
      <c r="F17" s="666">
        <f t="shared" si="1"/>
        <v>0</v>
      </c>
      <c r="G17" s="1131"/>
      <c r="H17" s="531">
        <f t="shared" si="4"/>
        <v>0</v>
      </c>
      <c r="I17" s="3090"/>
      <c r="J17" s="3090"/>
    </row>
    <row r="18" spans="1:10" s="558" customFormat="1" ht="24.75" customHeight="1">
      <c r="A18" s="3128"/>
      <c r="B18" s="140" t="s">
        <v>1414</v>
      </c>
      <c r="C18" s="684">
        <f t="shared" ref="C18:H18" si="5">SUM(C14:C17)</f>
        <v>0</v>
      </c>
      <c r="D18" s="684">
        <f t="shared" si="5"/>
        <v>0</v>
      </c>
      <c r="E18" s="684">
        <f t="shared" si="5"/>
        <v>0</v>
      </c>
      <c r="F18" s="684">
        <f t="shared" si="5"/>
        <v>0</v>
      </c>
      <c r="G18" s="684">
        <f t="shared" si="5"/>
        <v>0</v>
      </c>
      <c r="H18" s="1057">
        <f t="shared" si="5"/>
        <v>0</v>
      </c>
      <c r="I18" s="3090"/>
      <c r="J18" s="3090"/>
    </row>
    <row r="19" spans="1:10" s="558" customFormat="1" ht="24.75" customHeight="1">
      <c r="A19" s="3572" t="s">
        <v>1133</v>
      </c>
      <c r="B19" s="1056"/>
      <c r="C19" s="1130"/>
      <c r="D19" s="1130"/>
      <c r="E19" s="1130"/>
      <c r="F19" s="659">
        <f t="shared" si="1"/>
        <v>0</v>
      </c>
      <c r="G19" s="1130"/>
      <c r="H19" s="662">
        <f t="shared" si="4"/>
        <v>0</v>
      </c>
      <c r="I19" s="523"/>
      <c r="J19" s="557"/>
    </row>
    <row r="20" spans="1:10" s="558" customFormat="1" ht="24.75" customHeight="1">
      <c r="A20" s="3572"/>
      <c r="B20" s="968"/>
      <c r="C20" s="1131"/>
      <c r="D20" s="1131"/>
      <c r="E20" s="1131"/>
      <c r="F20" s="666">
        <f t="shared" si="1"/>
        <v>0</v>
      </c>
      <c r="G20" s="1131"/>
      <c r="H20" s="531">
        <f t="shared" si="4"/>
        <v>0</v>
      </c>
      <c r="I20" s="523"/>
      <c r="J20" s="557"/>
    </row>
    <row r="21" spans="1:10" s="558" customFormat="1" ht="24.75" customHeight="1">
      <c r="A21" s="3572"/>
      <c r="B21" s="968"/>
      <c r="C21" s="1131"/>
      <c r="D21" s="1131"/>
      <c r="E21" s="1131"/>
      <c r="F21" s="666">
        <f t="shared" si="1"/>
        <v>0</v>
      </c>
      <c r="G21" s="1131"/>
      <c r="H21" s="531">
        <f t="shared" si="4"/>
        <v>0</v>
      </c>
      <c r="I21" s="543"/>
      <c r="J21" s="557"/>
    </row>
    <row r="22" spans="1:10" s="558" customFormat="1" ht="24.75" customHeight="1">
      <c r="A22" s="3572"/>
      <c r="B22" s="968"/>
      <c r="C22" s="1131"/>
      <c r="D22" s="1131"/>
      <c r="E22" s="1131"/>
      <c r="F22" s="666">
        <f t="shared" si="1"/>
        <v>0</v>
      </c>
      <c r="G22" s="1131"/>
      <c r="H22" s="531">
        <f t="shared" si="4"/>
        <v>0</v>
      </c>
      <c r="I22" s="543"/>
      <c r="J22" s="557"/>
    </row>
    <row r="23" spans="1:10" s="558" customFormat="1" ht="24.75" customHeight="1">
      <c r="A23" s="3572"/>
      <c r="B23" s="968"/>
      <c r="C23" s="1131"/>
      <c r="D23" s="1131"/>
      <c r="E23" s="1131"/>
      <c r="F23" s="666">
        <f t="shared" si="1"/>
        <v>0</v>
      </c>
      <c r="G23" s="1131"/>
      <c r="H23" s="531">
        <f t="shared" si="4"/>
        <v>0</v>
      </c>
      <c r="I23" s="543"/>
      <c r="J23" s="557"/>
    </row>
    <row r="24" spans="1:10" s="558" customFormat="1" ht="24.75" customHeight="1">
      <c r="A24" s="3572"/>
      <c r="B24" s="140" t="s">
        <v>1414</v>
      </c>
      <c r="C24" s="684">
        <f t="shared" ref="C24:H24" si="6">SUM(C19:C23)</f>
        <v>0</v>
      </c>
      <c r="D24" s="684">
        <f t="shared" si="6"/>
        <v>0</v>
      </c>
      <c r="E24" s="684">
        <f t="shared" si="6"/>
        <v>0</v>
      </c>
      <c r="F24" s="684">
        <f t="shared" si="6"/>
        <v>0</v>
      </c>
      <c r="G24" s="684">
        <f t="shared" si="6"/>
        <v>0</v>
      </c>
      <c r="H24" s="1057">
        <f t="shared" si="6"/>
        <v>0</v>
      </c>
      <c r="I24" s="543"/>
      <c r="J24" s="557"/>
    </row>
    <row r="25" spans="1:10" s="558" customFormat="1" ht="27.75" customHeight="1">
      <c r="A25" s="3141" t="s">
        <v>1134</v>
      </c>
      <c r="B25" s="3141"/>
      <c r="C25" s="1059" t="s">
        <v>1078</v>
      </c>
      <c r="D25" s="3686" t="s">
        <v>1135</v>
      </c>
      <c r="E25" s="3686"/>
      <c r="F25" s="1222"/>
      <c r="G25" s="956">
        <v>5.0000000000000001E-4</v>
      </c>
      <c r="H25" s="655">
        <f>ROUND(F25*G25,2)</f>
        <v>0</v>
      </c>
      <c r="I25" s="543"/>
      <c r="J25" s="557"/>
    </row>
    <row r="26" spans="1:10" s="558" customFormat="1" ht="19.5" customHeight="1">
      <c r="A26" s="2904" t="s">
        <v>642</v>
      </c>
      <c r="B26" s="2904"/>
      <c r="C26" s="3685" t="str">
        <f>IF(F13&lt;&gt;资产负债!H30,"实收资本账载数与报表数相差"&amp;DOLLAR(F13-资产负债!H30,2)&amp;"元！","实收资本账载数与报表数相符！")</f>
        <v>实收资本账载数与报表数相符！</v>
      </c>
      <c r="D26" s="3685"/>
      <c r="E26" s="3685"/>
      <c r="F26" s="3685"/>
      <c r="G26" s="3685"/>
      <c r="H26" s="3685"/>
      <c r="I26" s="543"/>
      <c r="J26" s="557"/>
    </row>
    <row r="27" spans="1:10" s="558" customFormat="1" ht="19.5" customHeight="1">
      <c r="A27" s="2904"/>
      <c r="B27" s="2904"/>
      <c r="C27" s="3685" t="str">
        <f>IF(F18&lt;&gt;资产负债!H31,"资本公积账载数与报表数相差"&amp;DOLLAR(F18-资产负债!H31,2)&amp;"元！","资本公积账载数与报表数相符！")</f>
        <v>资本公积账载数与报表数相符！</v>
      </c>
      <c r="D27" s="3685"/>
      <c r="E27" s="3685"/>
      <c r="F27" s="3685"/>
      <c r="G27" s="3685"/>
      <c r="H27" s="3685"/>
      <c r="I27" s="543"/>
      <c r="J27" s="557"/>
    </row>
    <row r="28" spans="1:10" s="558" customFormat="1" ht="19.5" customHeight="1">
      <c r="A28" s="2904"/>
      <c r="B28" s="2904"/>
      <c r="C28" s="3189" t="str">
        <f>IF(F24&lt;&gt;资产负债!H32,"盈余公积账载数与报表数相差"&amp;DOLLAR(F24-资产负债!H32,2)&amp;"元！","盈余公积账载数与报表数相符！")</f>
        <v>盈余公积账载数与报表数相符！</v>
      </c>
      <c r="D28" s="3189"/>
      <c r="E28" s="3189"/>
      <c r="F28" s="3189"/>
      <c r="G28" s="3189"/>
      <c r="H28" s="3189"/>
      <c r="I28" s="543"/>
      <c r="J28" s="557"/>
    </row>
    <row r="29" spans="1:10" s="558" customFormat="1" ht="15" customHeight="1">
      <c r="A29" s="3024" t="s">
        <v>1324</v>
      </c>
      <c r="B29" s="3024"/>
      <c r="C29" s="3177" t="s">
        <v>1408</v>
      </c>
      <c r="D29" s="3177"/>
      <c r="E29" s="3187" t="str">
        <f>IF(OR(F13&lt;&gt;资产负债!H30,F18&lt;&gt;资产负债!H31,F24&lt;&gt;资产负债!H32),"、E","")</f>
        <v/>
      </c>
      <c r="F29" s="3187"/>
      <c r="G29" s="3187"/>
      <c r="H29" s="3187"/>
      <c r="I29" s="543"/>
      <c r="J29" s="557"/>
    </row>
    <row r="30" spans="1:10" s="558" customFormat="1" ht="39" customHeight="1">
      <c r="A30" s="3024"/>
      <c r="B30" s="3024"/>
      <c r="C30" s="3683"/>
      <c r="D30" s="3684"/>
      <c r="E30" s="3684"/>
      <c r="F30" s="3684"/>
      <c r="G30" s="3684"/>
      <c r="H30" s="3684"/>
      <c r="I30" s="543"/>
      <c r="J30" s="557"/>
    </row>
    <row r="31" spans="1:10" s="558" customFormat="1" ht="27.75" customHeight="1">
      <c r="A31" s="3156" t="s">
        <v>575</v>
      </c>
      <c r="B31" s="3156"/>
      <c r="C31" s="3189" t="str">
        <f>IF(OR(G13&lt;&gt;0,G18&lt;&gt;0,G24&lt;&gt;0),"调整后认可！","不存在调整事项，认可！")</f>
        <v>不存在调整事项，认可！</v>
      </c>
      <c r="D31" s="3189"/>
      <c r="E31" s="3189"/>
      <c r="F31" s="3189"/>
      <c r="G31" s="3189"/>
      <c r="H31" s="3189"/>
      <c r="I31" s="543"/>
      <c r="J31" s="557"/>
    </row>
  </sheetData>
  <sheetProtection selectLockedCells="1" selectUnlockedCells="1"/>
  <mergeCells count="22">
    <mergeCell ref="A31:B31"/>
    <mergeCell ref="C31:H31"/>
    <mergeCell ref="B1:H1"/>
    <mergeCell ref="A2:D3"/>
    <mergeCell ref="H3:H4"/>
    <mergeCell ref="A4:D4"/>
    <mergeCell ref="A29:B30"/>
    <mergeCell ref="C29:D29"/>
    <mergeCell ref="E29:H29"/>
    <mergeCell ref="C30:H30"/>
    <mergeCell ref="A26:B28"/>
    <mergeCell ref="C26:H26"/>
    <mergeCell ref="A25:B25"/>
    <mergeCell ref="D25:E25"/>
    <mergeCell ref="C27:H27"/>
    <mergeCell ref="C28:H28"/>
    <mergeCell ref="I14:J18"/>
    <mergeCell ref="A19:A24"/>
    <mergeCell ref="A5:H5"/>
    <mergeCell ref="A6:B6"/>
    <mergeCell ref="A7:A13"/>
    <mergeCell ref="A14:A18"/>
  </mergeCells>
  <phoneticPr fontId="51" type="noConversion"/>
  <dataValidations count="3">
    <dataValidation allowBlank="1" showErrorMessage="1" sqref="F3">
      <formula1>0</formula1>
      <formula2>0</formula2>
    </dataValidation>
    <dataValidation allowBlank="1" showErrorMessage="1" promptTitle="存在调整事项时" prompt="_x000a_选择 “E”" sqref="E29:H29">
      <formula1>0</formula1>
      <formula2>0</formula2>
    </dataValidation>
    <dataValidation type="list" allowBlank="1" showErrorMessage="1" sqref="C25">
      <formula1>"是,否"</formula1>
      <formula2>0</formula2>
    </dataValidation>
  </dataValidations>
  <hyperlinks>
    <hyperlink ref="I7" location="资产负债!A1" display="资产负债表"/>
    <hyperlink ref="I8" location="利润!A1" display="利润及利润分配表"/>
    <hyperlink ref="I9" location="利息!A1" display="利息支出审核表"/>
    <hyperlink ref="I10" location="财务费用!A1" display="财务费用审核表"/>
    <hyperlink ref="I11" location="管理费用!A1" display="管理费用审核表"/>
  </hyperlinks>
  <pageMargins left="0.78740157480314998" right="0.35433070866141703" top="0.511811023622047" bottom="0.11811023622047198" header="0.511811023622047" footer="0.511811023622047"/>
  <pageSetup paperSize="9" firstPageNumber="0" orientation="portrait" blackAndWhite="1" r:id="rId1"/>
  <headerFooter alignWithMargins="0"/>
</worksheet>
</file>

<file path=xl/worksheets/sheet10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65"/>
  <dimension ref="A1:I74"/>
  <sheetViews>
    <sheetView workbookViewId="0">
      <selection sqref="A1:G1"/>
    </sheetView>
  </sheetViews>
  <sheetFormatPr defaultColWidth="9" defaultRowHeight="21.9" customHeight="1"/>
  <cols>
    <col min="1" max="1" width="6.69921875" style="649" customWidth="1"/>
    <col min="2" max="2" width="14.59765625" style="649" customWidth="1"/>
    <col min="3" max="5" width="14" style="649" customWidth="1"/>
    <col min="6" max="6" width="12.5" style="649" customWidth="1"/>
    <col min="7" max="7" width="6.3984375" style="649" customWidth="1"/>
    <col min="8" max="8" width="52.5" style="607" customWidth="1"/>
    <col min="9" max="16384" width="9" style="607"/>
  </cols>
  <sheetData>
    <row r="1" spans="1:9" ht="33.75" customHeight="1">
      <c r="A1" s="2707" t="s">
        <v>378</v>
      </c>
      <c r="B1" s="2707"/>
      <c r="C1" s="2707"/>
      <c r="D1" s="2707"/>
      <c r="E1" s="2707"/>
      <c r="F1" s="2707"/>
      <c r="G1" s="2707"/>
      <c r="H1" s="606"/>
    </row>
    <row r="2" spans="1:9" s="744" customFormat="1" ht="12.75" customHeight="1">
      <c r="A2" s="3688"/>
      <c r="B2" s="3688"/>
      <c r="C2" s="3688"/>
      <c r="D2" s="3688"/>
      <c r="E2" s="3688"/>
      <c r="F2" s="3688"/>
      <c r="G2" s="3688"/>
      <c r="H2" s="743"/>
    </row>
    <row r="3" spans="1:9" s="649" customFormat="1" ht="24.75" customHeight="1">
      <c r="A3" s="3080" t="str">
        <f>"委托单位："&amp;基本情况!B2</f>
        <v>委托单位：0</v>
      </c>
      <c r="B3" s="3080"/>
      <c r="C3" s="3080"/>
      <c r="D3" s="136"/>
      <c r="E3" s="136" t="s">
        <v>1283</v>
      </c>
      <c r="F3" s="136" t="s">
        <v>1054</v>
      </c>
      <c r="G3" s="485" t="s">
        <v>283</v>
      </c>
      <c r="H3" s="648"/>
    </row>
    <row r="4" spans="1:9" s="649" customFormat="1" ht="24.75" customHeight="1">
      <c r="A4" s="3080"/>
      <c r="B4" s="3080"/>
      <c r="C4" s="3080"/>
      <c r="D4" s="158" t="s">
        <v>451</v>
      </c>
      <c r="E4" s="510">
        <f>基本情况!B12</f>
        <v>0</v>
      </c>
      <c r="F4" s="559" t="str">
        <f>TEXT(基本情况!B21,"yyyy-mm-dd")</f>
        <v>2017-03-16</v>
      </c>
      <c r="G4" s="3081" t="str">
        <f>档案索引!D44</f>
        <v>4-11</v>
      </c>
      <c r="H4" s="648"/>
    </row>
    <row r="5" spans="1:9" s="649" customFormat="1" ht="24.75" customHeight="1">
      <c r="A5" s="3082" t="str">
        <f>"会计期间："&amp;基本情况!B7</f>
        <v>会计期间：2016年01月01日至2016年12月31日</v>
      </c>
      <c r="B5" s="3082"/>
      <c r="C5" s="3082"/>
      <c r="D5" s="140" t="s">
        <v>453</v>
      </c>
      <c r="E5" s="513">
        <f>基本情况!B11</f>
        <v>0</v>
      </c>
      <c r="F5" s="513" t="str">
        <f>TEXT(基本情况!B22,"yyyy-mm-dd")</f>
        <v>2017-05-04</v>
      </c>
      <c r="G5" s="3081"/>
      <c r="H5" s="648"/>
    </row>
    <row r="6" spans="1:9" s="649" customFormat="1" ht="7.5" customHeight="1">
      <c r="A6" s="2894"/>
      <c r="B6" s="2894"/>
      <c r="C6" s="2894"/>
      <c r="D6" s="2894"/>
      <c r="E6" s="2894"/>
      <c r="F6" s="2894"/>
      <c r="G6" s="2894"/>
      <c r="H6" s="648"/>
    </row>
    <row r="7" spans="1:9" s="649" customFormat="1" ht="24.75" customHeight="1">
      <c r="A7" s="3021" t="s">
        <v>1136</v>
      </c>
      <c r="B7" s="3021"/>
      <c r="C7" s="582" t="s">
        <v>1182</v>
      </c>
      <c r="D7" s="582" t="s">
        <v>981</v>
      </c>
      <c r="E7" s="582" t="s">
        <v>243</v>
      </c>
      <c r="F7" s="2945" t="s">
        <v>538</v>
      </c>
      <c r="G7" s="2945"/>
      <c r="H7" s="536" t="s">
        <v>396</v>
      </c>
      <c r="I7" s="607"/>
    </row>
    <row r="8" spans="1:9" s="649" customFormat="1" ht="24.75" customHeight="1">
      <c r="A8" s="3689" t="s">
        <v>1137</v>
      </c>
      <c r="B8" s="3689"/>
      <c r="C8" s="901">
        <f>利润!C39</f>
        <v>0</v>
      </c>
      <c r="D8" s="1118"/>
      <c r="E8" s="903">
        <f>C8+D8</f>
        <v>0</v>
      </c>
      <c r="F8" s="3558"/>
      <c r="G8" s="3558"/>
      <c r="H8" s="232" t="s">
        <v>1289</v>
      </c>
      <c r="I8" s="607"/>
    </row>
    <row r="9" spans="1:9" s="649" customFormat="1" ht="24.75" customHeight="1">
      <c r="A9" s="3541" t="s">
        <v>1138</v>
      </c>
      <c r="B9" s="3541"/>
      <c r="C9" s="518">
        <f>利润!G7</f>
        <v>0</v>
      </c>
      <c r="D9" s="1120"/>
      <c r="E9" s="525">
        <f t="shared" ref="E9:E24" si="0">C9+D9</f>
        <v>0</v>
      </c>
      <c r="F9" s="3687"/>
      <c r="G9" s="3687"/>
      <c r="H9" s="232" t="s">
        <v>643</v>
      </c>
      <c r="I9" s="607"/>
    </row>
    <row r="10" spans="1:9" s="649" customFormat="1" ht="24.75" customHeight="1">
      <c r="A10" s="3541" t="s">
        <v>1139</v>
      </c>
      <c r="B10" s="3541"/>
      <c r="C10" s="1120"/>
      <c r="D10" s="1120"/>
      <c r="E10" s="525">
        <f t="shared" si="0"/>
        <v>0</v>
      </c>
      <c r="F10" s="3687"/>
      <c r="G10" s="3687"/>
      <c r="H10" s="648"/>
      <c r="I10" s="607"/>
    </row>
    <row r="11" spans="1:9" s="649" customFormat="1" ht="24.75" customHeight="1">
      <c r="A11" s="3541" t="s">
        <v>1140</v>
      </c>
      <c r="B11" s="3541"/>
      <c r="C11" s="1120"/>
      <c r="D11" s="1120"/>
      <c r="E11" s="525">
        <f t="shared" si="0"/>
        <v>0</v>
      </c>
      <c r="F11" s="3687"/>
      <c r="G11" s="3687"/>
      <c r="H11" s="648"/>
    </row>
    <row r="12" spans="1:9" s="649" customFormat="1" ht="24.75" customHeight="1">
      <c r="A12" s="3541"/>
      <c r="B12" s="3541"/>
      <c r="C12" s="1120"/>
      <c r="D12" s="1120"/>
      <c r="E12" s="525">
        <f t="shared" si="0"/>
        <v>0</v>
      </c>
      <c r="F12" s="3687"/>
      <c r="G12" s="3687"/>
      <c r="H12" s="648"/>
    </row>
    <row r="13" spans="1:9" s="649" customFormat="1" ht="24.75" customHeight="1">
      <c r="A13" s="3541" t="s">
        <v>1141</v>
      </c>
      <c r="B13" s="3541"/>
      <c r="C13" s="525">
        <f>C8+SUM(C9:C12)</f>
        <v>0</v>
      </c>
      <c r="D13" s="525">
        <f>D8+SUM(D9:D12)</f>
        <v>0</v>
      </c>
      <c r="E13" s="525">
        <f t="shared" si="0"/>
        <v>0</v>
      </c>
      <c r="F13" s="3687"/>
      <c r="G13" s="3687"/>
      <c r="H13" s="648"/>
    </row>
    <row r="14" spans="1:9" s="649" customFormat="1" ht="24.75" customHeight="1">
      <c r="A14" s="3541" t="s">
        <v>1142</v>
      </c>
      <c r="B14" s="3541"/>
      <c r="C14" s="1120"/>
      <c r="D14" s="1120"/>
      <c r="E14" s="525">
        <f t="shared" si="0"/>
        <v>0</v>
      </c>
      <c r="F14" s="3687"/>
      <c r="G14" s="3687"/>
      <c r="H14" s="648"/>
    </row>
    <row r="15" spans="1:9" s="649" customFormat="1" ht="24.75" customHeight="1">
      <c r="A15" s="3541" t="s">
        <v>1143</v>
      </c>
      <c r="B15" s="3541"/>
      <c r="C15" s="1120"/>
      <c r="D15" s="1120"/>
      <c r="E15" s="525">
        <f t="shared" si="0"/>
        <v>0</v>
      </c>
      <c r="F15" s="3687"/>
      <c r="G15" s="3687"/>
      <c r="H15" s="648"/>
    </row>
    <row r="16" spans="1:9" s="649" customFormat="1" ht="24.75" customHeight="1">
      <c r="A16" s="3541"/>
      <c r="B16" s="3541"/>
      <c r="C16" s="1120"/>
      <c r="D16" s="1120"/>
      <c r="E16" s="525">
        <f t="shared" si="0"/>
        <v>0</v>
      </c>
      <c r="F16" s="3687"/>
      <c r="G16" s="3687"/>
      <c r="H16" s="648"/>
    </row>
    <row r="17" spans="1:8" s="649" customFormat="1" ht="24.75" customHeight="1">
      <c r="A17" s="3541"/>
      <c r="B17" s="3541"/>
      <c r="C17" s="1120"/>
      <c r="D17" s="1120"/>
      <c r="E17" s="525">
        <f t="shared" si="0"/>
        <v>0</v>
      </c>
      <c r="F17" s="3687"/>
      <c r="G17" s="3687"/>
      <c r="H17" s="648"/>
    </row>
    <row r="18" spans="1:8" s="649" customFormat="1" ht="24.75" customHeight="1">
      <c r="A18" s="3541"/>
      <c r="B18" s="3541"/>
      <c r="C18" s="1120"/>
      <c r="D18" s="1120"/>
      <c r="E18" s="525">
        <f t="shared" si="0"/>
        <v>0</v>
      </c>
      <c r="F18" s="3687"/>
      <c r="G18" s="3687"/>
      <c r="H18" s="648"/>
    </row>
    <row r="19" spans="1:8" s="649" customFormat="1" ht="24.75" customHeight="1">
      <c r="A19" s="3541" t="s">
        <v>1144</v>
      </c>
      <c r="B19" s="3541"/>
      <c r="C19" s="525">
        <f>C13-SUM(C14:C18)</f>
        <v>0</v>
      </c>
      <c r="D19" s="525">
        <f>D13-SUM(D14:D18)</f>
        <v>0</v>
      </c>
      <c r="E19" s="525">
        <f t="shared" si="0"/>
        <v>0</v>
      </c>
      <c r="F19" s="3687"/>
      <c r="G19" s="3687"/>
      <c r="H19" s="648"/>
    </row>
    <row r="20" spans="1:8" s="649" customFormat="1" ht="24.75" customHeight="1">
      <c r="A20" s="3541" t="s">
        <v>1145</v>
      </c>
      <c r="B20" s="3541"/>
      <c r="C20" s="1120"/>
      <c r="D20" s="1120"/>
      <c r="E20" s="525">
        <f t="shared" si="0"/>
        <v>0</v>
      </c>
      <c r="F20" s="3687"/>
      <c r="G20" s="3687"/>
      <c r="H20" s="648"/>
    </row>
    <row r="21" spans="1:8" s="649" customFormat="1" ht="24.75" customHeight="1">
      <c r="A21" s="3541" t="s">
        <v>1146</v>
      </c>
      <c r="B21" s="3541"/>
      <c r="C21" s="1120"/>
      <c r="D21" s="1120"/>
      <c r="E21" s="525">
        <f t="shared" si="0"/>
        <v>0</v>
      </c>
      <c r="F21" s="3687"/>
      <c r="G21" s="3687"/>
      <c r="H21" s="648"/>
    </row>
    <row r="22" spans="1:8" s="649" customFormat="1" ht="24.75" customHeight="1">
      <c r="A22" s="3541"/>
      <c r="B22" s="3541"/>
      <c r="C22" s="1120"/>
      <c r="D22" s="1120"/>
      <c r="E22" s="525">
        <f t="shared" si="0"/>
        <v>0</v>
      </c>
      <c r="F22" s="3687"/>
      <c r="G22" s="3687"/>
      <c r="H22" s="648"/>
    </row>
    <row r="23" spans="1:8" s="649" customFormat="1" ht="24.75" customHeight="1">
      <c r="A23" s="3541"/>
      <c r="B23" s="3541"/>
      <c r="C23" s="1120"/>
      <c r="D23" s="1120"/>
      <c r="E23" s="525">
        <f t="shared" si="0"/>
        <v>0</v>
      </c>
      <c r="F23" s="3687"/>
      <c r="G23" s="3687"/>
      <c r="H23" s="648"/>
    </row>
    <row r="24" spans="1:8" s="649" customFormat="1" ht="24.75" customHeight="1">
      <c r="A24" s="3541" t="s">
        <v>1147</v>
      </c>
      <c r="B24" s="3541"/>
      <c r="C24" s="823">
        <f>C19-SUM(C20:C23)</f>
        <v>0</v>
      </c>
      <c r="D24" s="823">
        <f>D19-SUM(D20:D23)</f>
        <v>0</v>
      </c>
      <c r="E24" s="823">
        <f t="shared" si="0"/>
        <v>0</v>
      </c>
      <c r="F24" s="3690"/>
      <c r="G24" s="3690"/>
      <c r="H24" s="648"/>
    </row>
    <row r="25" spans="1:8" s="744" customFormat="1" ht="24.75" customHeight="1">
      <c r="A25" s="3021" t="s">
        <v>642</v>
      </c>
      <c r="B25" s="3021"/>
      <c r="C25" s="3250" t="str">
        <f>IF(C24&lt;&gt;资产负债!H33,"期末未分配利润账载数与报表数相差"&amp;DOLLAR(C24-资产负债!H33,2)&amp;"元！","账载数与报表数相符！")</f>
        <v>账载数与报表数相符！</v>
      </c>
      <c r="D25" s="3250"/>
      <c r="E25" s="3250"/>
      <c r="F25" s="3250"/>
      <c r="G25" s="3250"/>
      <c r="H25" s="743"/>
    </row>
    <row r="26" spans="1:8" s="744" customFormat="1" ht="15" customHeight="1">
      <c r="A26" s="3024" t="s">
        <v>1324</v>
      </c>
      <c r="B26" s="3024"/>
      <c r="C26" s="3142" t="s">
        <v>1408</v>
      </c>
      <c r="D26" s="3142"/>
      <c r="E26" s="3109" t="str">
        <f>IF(OR(D13&lt;&gt;0,D19&lt;&gt;0,D24&lt;&gt;0),"、E","")</f>
        <v/>
      </c>
      <c r="F26" s="3109"/>
      <c r="G26" s="3109"/>
      <c r="H26" s="743"/>
    </row>
    <row r="27" spans="1:8" s="744" customFormat="1" ht="65.25" customHeight="1">
      <c r="A27" s="3024"/>
      <c r="B27" s="3024"/>
      <c r="C27" s="3636"/>
      <c r="D27" s="3636"/>
      <c r="E27" s="3636"/>
      <c r="F27" s="3636"/>
      <c r="G27" s="3636"/>
      <c r="H27" s="743"/>
    </row>
    <row r="28" spans="1:8" s="744" customFormat="1" ht="24.75" customHeight="1">
      <c r="A28" s="3156" t="s">
        <v>575</v>
      </c>
      <c r="B28" s="3156"/>
      <c r="C28" s="3135" t="str">
        <f>IF(OR(D13=0,D19=0,D24=0),"不存在调整事项，认可！","调整后认可！")</f>
        <v>不存在调整事项，认可！</v>
      </c>
      <c r="D28" s="3135"/>
      <c r="E28" s="3135"/>
      <c r="F28" s="3135"/>
      <c r="G28" s="3135"/>
      <c r="H28" s="743"/>
    </row>
    <row r="29" spans="1:8" s="744" customFormat="1" ht="20.100000000000001" customHeight="1"/>
    <row r="30" spans="1:8" s="744" customFormat="1" ht="20.100000000000001" customHeight="1"/>
    <row r="31" spans="1:8" s="744" customFormat="1" ht="20.100000000000001" customHeight="1"/>
    <row r="32" spans="1:8" s="744" customFormat="1" ht="20.100000000000001" customHeight="1"/>
    <row r="33" s="744" customFormat="1" ht="20.100000000000001" customHeight="1"/>
    <row r="34" s="744" customFormat="1" ht="20.100000000000001" customHeight="1"/>
    <row r="35" s="744" customFormat="1" ht="20.100000000000001" customHeight="1"/>
    <row r="36" s="744" customFormat="1" ht="20.100000000000001" customHeight="1"/>
    <row r="37" s="744" customFormat="1" ht="20.100000000000001" customHeight="1"/>
    <row r="38" s="744" customFormat="1" ht="20.100000000000001" customHeight="1"/>
    <row r="39" s="744" customFormat="1" ht="20.100000000000001" customHeight="1"/>
    <row r="40" s="744" customFormat="1" ht="20.100000000000001" customHeight="1"/>
    <row r="41" s="744" customFormat="1" ht="20.100000000000001" customHeight="1"/>
    <row r="42" s="744" customFormat="1" ht="20.100000000000001" customHeight="1"/>
    <row r="43" s="744" customFormat="1" ht="20.100000000000001" customHeight="1"/>
    <row r="44" s="744" customFormat="1" ht="20.100000000000001" customHeight="1"/>
    <row r="45" s="744" customFormat="1" ht="20.100000000000001" customHeight="1"/>
    <row r="46" s="744" customFormat="1" ht="20.100000000000001" customHeight="1"/>
    <row r="47" s="744" customFormat="1" ht="20.100000000000001" customHeight="1"/>
    <row r="48" s="744" customFormat="1" ht="20.100000000000001" customHeight="1"/>
    <row r="49" s="744" customFormat="1" ht="20.100000000000001" customHeight="1"/>
    <row r="50" s="744" customFormat="1" ht="20.100000000000001" customHeight="1"/>
    <row r="51" s="744" customFormat="1" ht="20.100000000000001" customHeight="1"/>
    <row r="52" s="744" customFormat="1" ht="20.100000000000001" customHeight="1"/>
    <row r="53" s="744" customFormat="1" ht="20.100000000000001" customHeight="1"/>
    <row r="54" s="744" customFormat="1" ht="20.100000000000001" customHeight="1"/>
    <row r="55" s="744" customFormat="1" ht="20.100000000000001" customHeight="1"/>
    <row r="56" s="744" customFormat="1" ht="20.100000000000001" customHeight="1"/>
    <row r="57" s="744" customFormat="1" ht="20.100000000000001" customHeight="1"/>
    <row r="58" s="744" customFormat="1" ht="20.100000000000001" customHeight="1"/>
    <row r="59" s="744" customFormat="1" ht="20.100000000000001" customHeight="1"/>
    <row r="60" s="744" customFormat="1" ht="20.100000000000001" customHeight="1"/>
    <row r="61" s="744" customFormat="1" ht="20.100000000000001" customHeight="1"/>
    <row r="62" s="744" customFormat="1" ht="20.100000000000001" customHeight="1"/>
    <row r="63" s="744" customFormat="1" ht="20.100000000000001" customHeight="1"/>
    <row r="64" s="744" customFormat="1" ht="20.100000000000001" customHeight="1"/>
    <row r="65" spans="1:4" s="744" customFormat="1" ht="20.100000000000001" customHeight="1"/>
    <row r="66" spans="1:4" s="744" customFormat="1" ht="20.100000000000001" customHeight="1"/>
    <row r="67" spans="1:4" s="744" customFormat="1" ht="20.100000000000001" customHeight="1"/>
    <row r="68" spans="1:4" s="744" customFormat="1" ht="20.100000000000001" customHeight="1"/>
    <row r="69" spans="1:4" s="744" customFormat="1" ht="20.100000000000001" customHeight="1"/>
    <row r="70" spans="1:4" s="744" customFormat="1" ht="20.100000000000001" customHeight="1"/>
    <row r="71" spans="1:4" s="744" customFormat="1" ht="20.100000000000001" customHeight="1"/>
    <row r="72" spans="1:4" s="744" customFormat="1" ht="20.100000000000001" customHeight="1"/>
    <row r="73" spans="1:4" s="744" customFormat="1" ht="20.100000000000001" customHeight="1"/>
    <row r="74" spans="1:4" ht="21.9" customHeight="1">
      <c r="A74" s="744"/>
      <c r="B74" s="744"/>
      <c r="C74" s="744"/>
      <c r="D74" s="744"/>
    </row>
  </sheetData>
  <sheetProtection selectLockedCells="1" selectUnlockedCells="1"/>
  <mergeCells count="50">
    <mergeCell ref="A28:B28"/>
    <mergeCell ref="C28:G28"/>
    <mergeCell ref="A25:B25"/>
    <mergeCell ref="C25:G25"/>
    <mergeCell ref="A26:B27"/>
    <mergeCell ref="C26:D26"/>
    <mergeCell ref="E26:G26"/>
    <mergeCell ref="C27:G27"/>
    <mergeCell ref="A24:B24"/>
    <mergeCell ref="F24:G24"/>
    <mergeCell ref="A17:B17"/>
    <mergeCell ref="F17:G17"/>
    <mergeCell ref="A18:B18"/>
    <mergeCell ref="F18:G18"/>
    <mergeCell ref="A19:B19"/>
    <mergeCell ref="F19:G19"/>
    <mergeCell ref="A22:B22"/>
    <mergeCell ref="F22:G22"/>
    <mergeCell ref="A23:B23"/>
    <mergeCell ref="F23:G23"/>
    <mergeCell ref="A20:B20"/>
    <mergeCell ref="F20:G20"/>
    <mergeCell ref="A21:B21"/>
    <mergeCell ref="F21:G21"/>
    <mergeCell ref="A16:B16"/>
    <mergeCell ref="F16:G16"/>
    <mergeCell ref="A15:B15"/>
    <mergeCell ref="F15:G15"/>
    <mergeCell ref="A13:B13"/>
    <mergeCell ref="F13:G13"/>
    <mergeCell ref="A14:B14"/>
    <mergeCell ref="F14:G14"/>
    <mergeCell ref="A7:B7"/>
    <mergeCell ref="F7:G7"/>
    <mergeCell ref="A9:B9"/>
    <mergeCell ref="F9:G9"/>
    <mergeCell ref="A8:B8"/>
    <mergeCell ref="F8:G8"/>
    <mergeCell ref="A6:G6"/>
    <mergeCell ref="A1:G1"/>
    <mergeCell ref="A2:G2"/>
    <mergeCell ref="A3:C4"/>
    <mergeCell ref="G4:G5"/>
    <mergeCell ref="A5:C5"/>
    <mergeCell ref="A12:B12"/>
    <mergeCell ref="F12:G12"/>
    <mergeCell ref="A10:B10"/>
    <mergeCell ref="F10:G10"/>
    <mergeCell ref="A11:B11"/>
    <mergeCell ref="F11:G11"/>
  </mergeCells>
  <phoneticPr fontId="51" type="noConversion"/>
  <dataValidations count="2">
    <dataValidation allowBlank="1" showErrorMessage="1" sqref="E4">
      <formula1>0</formula1>
      <formula2>0</formula2>
    </dataValidation>
    <dataValidation allowBlank="1" showErrorMessage="1" promptTitle="存在调整事项时" prompt="_x000a_选择 “E”" sqref="E26:G26">
      <formula1>0</formula1>
      <formula2>0</formula2>
    </dataValidation>
  </dataValidations>
  <hyperlinks>
    <hyperlink ref="H8" location="资产负债!H30" display="资产负债表"/>
    <hyperlink ref="H9" location="利润!F21" display="利润及利润分配表"/>
  </hyperlinks>
  <pageMargins left="0.78740157480314998" right="0.35433070866141703" top="0.511811023622047" bottom="0.11811023622047198" header="0.511811023622047" footer="0.511811023622047"/>
  <pageSetup paperSize="9" firstPageNumber="0" orientation="portrait" blackAndWhite="1" r:id="rId1"/>
  <headerFooter alignWithMargins="0"/>
</worksheet>
</file>

<file path=xl/worksheets/sheet10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66"/>
  <dimension ref="A1:N28"/>
  <sheetViews>
    <sheetView zoomScaleNormal="100" workbookViewId="0">
      <selection activeCell="M2" sqref="M2"/>
    </sheetView>
  </sheetViews>
  <sheetFormatPr defaultColWidth="9" defaultRowHeight="15.6"/>
  <cols>
    <col min="1" max="1" width="12.19921875" style="2320" customWidth="1"/>
    <col min="2" max="2" width="6.69921875" style="2320" customWidth="1"/>
    <col min="3" max="4" width="9" style="2320"/>
    <col min="5" max="5" width="4" style="2320" customWidth="1"/>
    <col min="6" max="6" width="10.19921875" style="2320" customWidth="1"/>
    <col min="7" max="7" width="9" style="2320"/>
    <col min="8" max="8" width="16.8984375" style="2320" customWidth="1"/>
    <col min="9" max="9" width="4.19921875" style="2320" customWidth="1"/>
    <col min="10" max="16384" width="9" style="2320"/>
  </cols>
  <sheetData>
    <row r="1" spans="1:14" ht="42.75" customHeight="1">
      <c r="A1" s="2319"/>
      <c r="B1" s="2319"/>
      <c r="C1" s="2319"/>
      <c r="D1" s="2319"/>
      <c r="E1" s="2319"/>
      <c r="F1" s="2319"/>
      <c r="G1" s="2319"/>
      <c r="H1" s="2319"/>
      <c r="I1" s="2319"/>
      <c r="J1" s="2319"/>
      <c r="K1" s="2319"/>
      <c r="L1" s="2319"/>
      <c r="M1" s="2319"/>
      <c r="N1" s="2319"/>
    </row>
    <row r="2" spans="1:14" ht="69.75" customHeight="1">
      <c r="A2" s="3693">
        <f>基本情况!B2</f>
        <v>0</v>
      </c>
      <c r="B2" s="3693"/>
      <c r="C2" s="3693"/>
      <c r="D2" s="3693"/>
      <c r="E2" s="3693"/>
      <c r="F2" s="3693"/>
      <c r="G2" s="3693"/>
      <c r="H2" s="3693"/>
      <c r="I2" s="3693"/>
      <c r="J2" s="2319"/>
      <c r="K2" s="2319"/>
      <c r="L2" s="2319"/>
      <c r="M2" s="2319"/>
      <c r="N2" s="2319"/>
    </row>
    <row r="3" spans="1:14" ht="20.399999999999999">
      <c r="A3" s="2321"/>
      <c r="B3" s="2321"/>
      <c r="C3" s="2321"/>
      <c r="D3" s="2321"/>
      <c r="E3" s="2321"/>
      <c r="F3" s="2321"/>
      <c r="G3" s="2321"/>
      <c r="H3" s="2321"/>
      <c r="I3" s="2321"/>
      <c r="J3" s="2319"/>
      <c r="K3" s="2319"/>
      <c r="L3" s="2319"/>
      <c r="M3" s="2319"/>
      <c r="N3" s="2319"/>
    </row>
    <row r="4" spans="1:14" ht="22.2">
      <c r="A4" s="2769" t="str">
        <f>基本情况!B4&amp;"年度 企业所得税汇算清缴 审核报告"</f>
        <v>2016年度 企业所得税汇算清缴 审核报告</v>
      </c>
      <c r="B4" s="2769"/>
      <c r="C4" s="2769"/>
      <c r="D4" s="2769"/>
      <c r="E4" s="2769"/>
      <c r="F4" s="2769"/>
      <c r="G4" s="2769"/>
      <c r="H4" s="2769"/>
      <c r="I4" s="2769"/>
      <c r="J4" s="2319"/>
      <c r="K4" s="2319"/>
      <c r="L4" s="2319"/>
      <c r="M4" s="2319"/>
      <c r="N4" s="2319"/>
    </row>
    <row r="5" spans="1:14" ht="22.2">
      <c r="A5" s="2322"/>
      <c r="B5" s="2322"/>
      <c r="C5" s="2322"/>
      <c r="D5" s="2322"/>
      <c r="E5" s="2322"/>
      <c r="F5" s="2322"/>
      <c r="G5" s="2322"/>
      <c r="H5" s="2322"/>
      <c r="I5" s="2322"/>
      <c r="J5" s="2319"/>
      <c r="K5" s="2319"/>
      <c r="L5" s="2319"/>
      <c r="M5" s="2319"/>
      <c r="N5" s="2319"/>
    </row>
    <row r="6" spans="1:14" ht="37.950000000000003" customHeight="1">
      <c r="A6" s="2323"/>
      <c r="B6" s="2323"/>
      <c r="C6" s="2319"/>
      <c r="D6" s="2319"/>
      <c r="E6" s="2319"/>
      <c r="F6" s="2319"/>
      <c r="G6" s="2319"/>
      <c r="H6" s="2319"/>
      <c r="I6" s="2319"/>
      <c r="J6" s="2319"/>
      <c r="K6" s="2319"/>
      <c r="L6" s="2319"/>
      <c r="M6" s="2319"/>
      <c r="N6" s="2319"/>
    </row>
    <row r="7" spans="1:14" ht="28.2">
      <c r="A7" s="2323"/>
      <c r="B7" s="2323"/>
      <c r="C7" s="3692" t="s">
        <v>10050</v>
      </c>
      <c r="D7" s="3692"/>
      <c r="E7" s="2622"/>
      <c r="F7" s="2319">
        <f>基本情况!B18</f>
        <v>0</v>
      </c>
      <c r="G7" s="2319"/>
      <c r="H7" s="2319"/>
      <c r="I7" s="2319"/>
      <c r="J7" s="2319"/>
      <c r="K7" s="2319"/>
      <c r="L7" s="2319"/>
      <c r="M7" s="2319"/>
      <c r="N7" s="2319"/>
    </row>
    <row r="8" spans="1:14">
      <c r="A8"/>
      <c r="B8"/>
      <c r="C8"/>
      <c r="D8"/>
      <c r="E8"/>
      <c r="F8"/>
      <c r="G8"/>
      <c r="H8"/>
      <c r="I8"/>
      <c r="J8" s="2319"/>
      <c r="K8" s="2319"/>
      <c r="L8" s="2319"/>
      <c r="M8" s="2319"/>
      <c r="N8" s="2319"/>
    </row>
    <row r="9" spans="1:14" ht="23.4" customHeight="1">
      <c r="A9"/>
      <c r="B9"/>
      <c r="C9"/>
      <c r="D9"/>
      <c r="E9"/>
      <c r="F9"/>
      <c r="G9"/>
      <c r="H9"/>
      <c r="I9"/>
      <c r="J9" s="2319"/>
      <c r="K9" s="2319"/>
      <c r="L9" s="2319"/>
      <c r="M9" s="2319"/>
      <c r="N9" s="2319"/>
    </row>
    <row r="10" spans="1:14" ht="30.6" customHeight="1">
      <c r="A10"/>
      <c r="B10"/>
      <c r="C10" s="3694" t="s">
        <v>10058</v>
      </c>
      <c r="D10" s="3694"/>
      <c r="E10" s="2623"/>
      <c r="F10" s="2615">
        <f>基本情况!B2</f>
        <v>0</v>
      </c>
      <c r="G10"/>
      <c r="H10"/>
      <c r="I10"/>
      <c r="J10" s="2319"/>
      <c r="K10" s="2319"/>
      <c r="L10" s="2319"/>
      <c r="M10" s="2319"/>
      <c r="N10" s="2319"/>
    </row>
    <row r="11" spans="1:14" ht="30.6" customHeight="1">
      <c r="A11"/>
      <c r="B11"/>
      <c r="C11" s="3694" t="s">
        <v>10051</v>
      </c>
      <c r="D11" s="3694"/>
      <c r="E11" s="2623"/>
      <c r="F11" s="2616" t="str">
        <f>基本情况!B48</f>
        <v>0</v>
      </c>
      <c r="G11"/>
      <c r="H11"/>
      <c r="I11"/>
      <c r="J11" s="2319"/>
      <c r="K11" s="2319"/>
      <c r="L11" s="2319"/>
      <c r="M11" s="2319"/>
      <c r="N11" s="2319"/>
    </row>
    <row r="12" spans="1:14" ht="30.6" customHeight="1">
      <c r="A12"/>
      <c r="B12"/>
      <c r="C12" s="3694" t="s">
        <v>10052</v>
      </c>
      <c r="D12" s="3694"/>
      <c r="E12" s="2623"/>
      <c r="F12" s="2617" t="str">
        <f>基本情况!B8</f>
        <v>中汇百邦（厦门）税务师事务所有限公司</v>
      </c>
      <c r="G12"/>
      <c r="H12"/>
      <c r="I12"/>
      <c r="J12" s="2319"/>
      <c r="K12" s="2319"/>
      <c r="L12" s="2319"/>
      <c r="M12" s="2319"/>
      <c r="N12" s="2319"/>
    </row>
    <row r="13" spans="1:14" ht="38.4" customHeight="1">
      <c r="A13"/>
      <c r="B13"/>
      <c r="C13"/>
      <c r="D13"/>
      <c r="E13"/>
      <c r="F13"/>
      <c r="G13"/>
      <c r="H13"/>
      <c r="I13"/>
      <c r="J13" s="2319"/>
      <c r="K13" s="2319"/>
      <c r="L13" s="2319"/>
      <c r="M13" s="2319"/>
      <c r="N13" s="2319"/>
    </row>
    <row r="14" spans="1:14" ht="30" customHeight="1">
      <c r="A14"/>
      <c r="B14"/>
      <c r="C14" s="3692" t="s">
        <v>10059</v>
      </c>
      <c r="D14" s="3692"/>
      <c r="E14" s="2622"/>
      <c r="F14" t="str">
        <f>INDEX(首页!$B:$B,MATCH($F$12,首页!$B:$B,0)+10)</f>
        <v>16023</v>
      </c>
      <c r="G14"/>
      <c r="H14"/>
      <c r="I14"/>
      <c r="J14" s="2319"/>
      <c r="K14" s="2319"/>
      <c r="L14" s="2319"/>
      <c r="M14" s="2319"/>
      <c r="N14" s="2319"/>
    </row>
    <row r="15" spans="1:14" ht="30" customHeight="1">
      <c r="A15"/>
      <c r="B15"/>
      <c r="C15" s="3692" t="s">
        <v>10060</v>
      </c>
      <c r="D15" s="3692"/>
      <c r="E15" s="2622"/>
      <c r="F15">
        <f>基本情况!B11</f>
        <v>0</v>
      </c>
      <c r="G15"/>
      <c r="H15"/>
      <c r="I15"/>
      <c r="J15" s="2319"/>
      <c r="K15" s="2319"/>
      <c r="L15" s="2319"/>
      <c r="M15" s="2319"/>
      <c r="N15" s="2319"/>
    </row>
    <row r="16" spans="1:14" ht="30" customHeight="1">
      <c r="A16"/>
      <c r="B16"/>
      <c r="C16" s="3692" t="s">
        <v>10053</v>
      </c>
      <c r="D16" s="3692"/>
      <c r="E16" s="2622"/>
      <c r="F16" s="1316" t="str">
        <f>基本情况!B20</f>
        <v>2017年5月4日</v>
      </c>
      <c r="G16"/>
      <c r="H16"/>
      <c r="I16"/>
      <c r="J16" s="2319"/>
      <c r="K16" s="2319"/>
      <c r="L16" s="2319"/>
      <c r="M16" s="2319"/>
      <c r="N16" s="2319"/>
    </row>
    <row r="17" spans="1:14" ht="34.950000000000003" customHeight="1">
      <c r="A17"/>
      <c r="B17"/>
      <c r="C17"/>
      <c r="D17"/>
      <c r="E17"/>
      <c r="F17"/>
      <c r="G17"/>
      <c r="H17"/>
      <c r="I17"/>
      <c r="J17" s="2319"/>
      <c r="K17" s="2319"/>
      <c r="L17" s="2319"/>
      <c r="M17" s="2319"/>
      <c r="N17" s="2319"/>
    </row>
    <row r="18" spans="1:14" ht="32.4" customHeight="1">
      <c r="A18" s="2324"/>
      <c r="B18" s="2324"/>
      <c r="C18" s="2325"/>
      <c r="D18" s="2325"/>
      <c r="E18" s="2325"/>
      <c r="F18" s="2325"/>
      <c r="G18" s="2325"/>
      <c r="H18" s="2325"/>
      <c r="I18" s="2325"/>
      <c r="J18" s="2319"/>
      <c r="K18" s="2319"/>
      <c r="L18" s="2319"/>
      <c r="M18" s="2319"/>
      <c r="N18" s="2319"/>
    </row>
    <row r="19" spans="1:14" ht="30.6" customHeight="1">
      <c r="A19" s="2324"/>
      <c r="B19" s="3691" t="s">
        <v>10054</v>
      </c>
      <c r="C19" s="3691"/>
      <c r="D19" s="2620" t="str">
        <f>INDEX(首页!$B:$B,MATCH($F$12,首页!$B:$B,0)+16)</f>
        <v>0592-5881050</v>
      </c>
      <c r="E19" s="2620"/>
      <c r="F19" s="2621"/>
      <c r="G19" s="2621" t="s">
        <v>10080</v>
      </c>
      <c r="H19" s="2621" t="str">
        <f>INDEX(首页!$B:$B,MATCH($F$12,首页!$B:$B,0)+15)</f>
        <v>0592-5881033</v>
      </c>
      <c r="I19" s="2325"/>
      <c r="J19" s="2319"/>
      <c r="K19" s="2319"/>
      <c r="L19" s="2319"/>
      <c r="M19" s="2319"/>
      <c r="N19" s="2319"/>
    </row>
    <row r="20" spans="1:14" ht="30.6" customHeight="1">
      <c r="A20" s="2324"/>
      <c r="B20" s="3691" t="s">
        <v>10055</v>
      </c>
      <c r="C20" s="3691"/>
      <c r="D20" s="2620" t="str">
        <f>INDEX(首页!$B:$B,MATCH($F$12,首页!$B:$B,0)+17)</f>
        <v>厦门市思明区湖滨南路388号国贸大厦41楼B、C单元</v>
      </c>
      <c r="E20" s="2620"/>
      <c r="F20" s="2621"/>
      <c r="G20" s="2621"/>
      <c r="H20" s="2621"/>
      <c r="I20" s="2325"/>
      <c r="J20" s="2319"/>
      <c r="K20" s="2319"/>
      <c r="L20" s="2319"/>
      <c r="M20" s="2319"/>
      <c r="N20" s="2319"/>
    </row>
    <row r="21" spans="1:14" ht="30.6" customHeight="1">
      <c r="A21" s="2324"/>
      <c r="B21" s="3691" t="s">
        <v>10056</v>
      </c>
      <c r="C21" s="3691"/>
      <c r="D21" s="2620" t="str">
        <f>INDEX(首页!$B:$B,MATCH($F$12,首页!$B:$B,0)+13)</f>
        <v>xm-baibang@163.com</v>
      </c>
      <c r="E21" s="2620"/>
      <c r="F21" s="2621"/>
      <c r="G21" s="2621"/>
      <c r="H21" s="2621"/>
      <c r="I21" s="2325"/>
      <c r="J21" s="2319"/>
      <c r="K21" s="2319"/>
      <c r="L21" s="2319"/>
      <c r="M21" s="2319"/>
      <c r="N21" s="2319"/>
    </row>
    <row r="22" spans="1:14" ht="30.6" customHeight="1">
      <c r="A22" s="2324"/>
      <c r="B22" s="3691" t="s">
        <v>10057</v>
      </c>
      <c r="C22" s="3691"/>
      <c r="D22" s="2620" t="str">
        <f>INDEX(首页!$B:$B,MATCH($F$12,首页!$B:$B,0)+14)</f>
        <v>www.baibangcpa.com</v>
      </c>
      <c r="E22" s="2620"/>
      <c r="F22" s="2621"/>
      <c r="G22" s="2621"/>
      <c r="H22" s="2621"/>
      <c r="I22" s="2325"/>
      <c r="J22" s="2319"/>
      <c r="K22" s="2319"/>
      <c r="L22" s="2319"/>
      <c r="M22" s="2319"/>
      <c r="N22" s="2319"/>
    </row>
    <row r="23" spans="1:14">
      <c r="A23"/>
      <c r="B23"/>
      <c r="C23"/>
      <c r="D23"/>
      <c r="E23"/>
      <c r="F23"/>
      <c r="G23"/>
      <c r="H23"/>
      <c r="I23"/>
      <c r="J23" s="2319"/>
      <c r="K23" s="2319"/>
      <c r="L23" s="2319"/>
      <c r="M23" s="2319"/>
      <c r="N23" s="2319"/>
    </row>
    <row r="24" spans="1:14" ht="18" customHeight="1">
      <c r="A24"/>
      <c r="B24"/>
      <c r="C24"/>
      <c r="D24"/>
      <c r="E24"/>
      <c r="F24"/>
      <c r="G24"/>
      <c r="H24"/>
      <c r="I24"/>
      <c r="J24" s="2319"/>
      <c r="K24" s="2319"/>
      <c r="L24" s="2319"/>
      <c r="M24" s="2319"/>
      <c r="N24" s="2319"/>
    </row>
    <row r="25" spans="1:14" ht="18" customHeight="1">
      <c r="A25"/>
      <c r="B25"/>
      <c r="C25"/>
      <c r="D25"/>
      <c r="E25"/>
      <c r="F25"/>
      <c r="G25"/>
      <c r="H25"/>
      <c r="I25"/>
      <c r="J25" s="2319"/>
      <c r="K25" s="2319"/>
      <c r="L25" s="2319"/>
      <c r="M25" s="2319"/>
      <c r="N25" s="2319"/>
    </row>
    <row r="26" spans="1:14" ht="18" customHeight="1">
      <c r="A26"/>
      <c r="B26"/>
      <c r="C26"/>
      <c r="D26"/>
      <c r="E26"/>
      <c r="F26"/>
      <c r="G26"/>
      <c r="H26"/>
      <c r="I26"/>
      <c r="J26" s="2319"/>
      <c r="K26" s="2319"/>
      <c r="L26" s="2319"/>
      <c r="M26" s="2319"/>
      <c r="N26" s="2319"/>
    </row>
    <row r="27" spans="1:14" ht="18" customHeight="1">
      <c r="A27"/>
      <c r="B27"/>
      <c r="C27"/>
      <c r="D27"/>
      <c r="E27"/>
      <c r="F27"/>
      <c r="G27"/>
      <c r="H27"/>
      <c r="I27"/>
      <c r="J27" s="2319"/>
      <c r="K27" s="2319"/>
      <c r="L27" s="2319"/>
      <c r="M27" s="2319"/>
      <c r="N27" s="2319"/>
    </row>
    <row r="28" spans="1:14">
      <c r="A28"/>
      <c r="B28"/>
      <c r="C28"/>
      <c r="D28"/>
      <c r="E28"/>
      <c r="F28"/>
      <c r="G28"/>
      <c r="H28"/>
      <c r="I28"/>
      <c r="J28" s="2319"/>
      <c r="K28" s="2319"/>
      <c r="L28" s="2319"/>
      <c r="M28" s="2319"/>
      <c r="N28" s="2319"/>
    </row>
  </sheetData>
  <sheetProtection selectLockedCells="1" selectUnlockedCells="1"/>
  <mergeCells count="13">
    <mergeCell ref="A2:I2"/>
    <mergeCell ref="A4:I4"/>
    <mergeCell ref="C10:D10"/>
    <mergeCell ref="C11:D11"/>
    <mergeCell ref="C12:D12"/>
    <mergeCell ref="C7:D7"/>
    <mergeCell ref="B21:C21"/>
    <mergeCell ref="B22:C22"/>
    <mergeCell ref="C14:D14"/>
    <mergeCell ref="C15:D15"/>
    <mergeCell ref="C16:D16"/>
    <mergeCell ref="B19:C19"/>
    <mergeCell ref="B20:C20"/>
  </mergeCells>
  <phoneticPr fontId="51" type="noConversion"/>
  <pageMargins left="0.78740157480314998" right="0.35433070866141703" top="0.511811023622047" bottom="0.11811023622047198" header="0.511811023622047" footer="0.511811023622047"/>
  <pageSetup paperSize="9" firstPageNumber="0" orientation="portrait" blackAndWhite="1" r:id="rId1"/>
  <headerFooter alignWithMargins="0"/>
</worksheet>
</file>

<file path=xl/worksheets/sheet10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67">
    <pageSetUpPr fitToPage="1"/>
  </sheetPr>
  <dimension ref="A1:K126"/>
  <sheetViews>
    <sheetView topLeftCell="A13" zoomScaleNormal="100" workbookViewId="0">
      <selection activeCell="M14" sqref="M14"/>
    </sheetView>
  </sheetViews>
  <sheetFormatPr defaultColWidth="9" defaultRowHeight="15.6"/>
  <cols>
    <col min="1" max="1" width="6.19921875" style="2327" customWidth="1"/>
    <col min="2" max="2" width="12.3984375" style="2327" customWidth="1"/>
    <col min="3" max="3" width="12.19921875" style="2327" customWidth="1"/>
    <col min="4" max="4" width="6.19921875" style="2327" customWidth="1"/>
    <col min="5" max="5" width="4.3984375" style="2327" customWidth="1"/>
    <col min="6" max="6" width="10.19921875" style="2327" customWidth="1"/>
    <col min="7" max="7" width="13" style="2327" customWidth="1"/>
    <col min="8" max="8" width="4.3984375" style="2327" customWidth="1"/>
    <col min="9" max="9" width="9.19921875" style="2327" customWidth="1"/>
    <col min="10" max="10" width="7.3984375" style="2327" customWidth="1"/>
    <col min="11" max="11" width="24" style="2327" customWidth="1"/>
    <col min="12" max="16384" width="9" style="2327"/>
  </cols>
  <sheetData>
    <row r="1" spans="1:11" ht="18" hidden="1" customHeight="1">
      <c r="A1" s="2326"/>
      <c r="B1" s="2326"/>
      <c r="C1" s="2326"/>
      <c r="D1" s="2326"/>
      <c r="E1" s="2326"/>
      <c r="F1" s="2326"/>
      <c r="G1" s="2326"/>
      <c r="H1" s="2326"/>
      <c r="I1" s="2326"/>
      <c r="J1" s="2326"/>
      <c r="K1" s="2326"/>
    </row>
    <row r="2" spans="1:11" hidden="1">
      <c r="A2" s="2326"/>
      <c r="B2" s="2326"/>
      <c r="C2" s="2326"/>
      <c r="D2" s="2326"/>
      <c r="E2" s="2326"/>
      <c r="F2" s="2579" t="str">
        <f>基本情况!B8</f>
        <v>中汇百邦（厦门）税务师事务所有限公司</v>
      </c>
      <c r="G2" s="2326"/>
      <c r="H2" s="2326"/>
      <c r="I2" s="2326"/>
      <c r="J2" s="2326"/>
      <c r="K2" s="2326"/>
    </row>
    <row r="3" spans="1:11" ht="12" hidden="1" customHeight="1">
      <c r="A3" s="2326"/>
      <c r="B3" s="2326"/>
      <c r="C3" s="2326"/>
      <c r="D3" s="2326"/>
      <c r="E3" s="2326"/>
      <c r="F3" s="2577" t="str">
        <f>INDEX(首页!$B:$B,MATCH(报告正文!$F$2,首页!$B:$B,0)+1)</f>
        <v>地址：廈門市湖滨南路388號国贸大廈41层</v>
      </c>
      <c r="G3" s="2326"/>
      <c r="H3" s="2326"/>
      <c r="I3" s="2326"/>
      <c r="J3" s="2326"/>
      <c r="K3" s="2326"/>
    </row>
    <row r="4" spans="1:11" ht="12" hidden="1" customHeight="1">
      <c r="A4" s="2326"/>
      <c r="B4" s="2326"/>
      <c r="C4" s="2326"/>
      <c r="D4" s="2326"/>
      <c r="E4" s="2326"/>
      <c r="F4" s="2577" t="str">
        <f>INDEX(首页!$B:$B,MATCH(报告正文!$F$2,首页!$B:$B,0)+2)</f>
        <v>邮编：361004</v>
      </c>
      <c r="G4" s="2326"/>
      <c r="H4" s="2326"/>
      <c r="I4" s="2326"/>
      <c r="J4" s="2326"/>
      <c r="K4" s="2326"/>
    </row>
    <row r="5" spans="1:11" ht="12" hidden="1" customHeight="1">
      <c r="A5" s="2326"/>
      <c r="B5" s="2326"/>
      <c r="C5" s="2326"/>
      <c r="D5" s="2326"/>
      <c r="E5" s="2326"/>
      <c r="F5" s="2577" t="str">
        <f>INDEX(首页!$B:$B,MATCH(报告正文!$F$2,首页!$B:$B,0)+3)</f>
        <v>電話：（0592）5881050 5166881</v>
      </c>
      <c r="G5" s="2326"/>
      <c r="H5" s="2326"/>
      <c r="I5" s="2326"/>
      <c r="J5" s="2326"/>
      <c r="K5" s="2326"/>
    </row>
    <row r="6" spans="1:11" ht="12" hidden="1" customHeight="1">
      <c r="A6" s="2326"/>
      <c r="B6" s="2326"/>
      <c r="C6" s="2326"/>
      <c r="D6" s="2326"/>
      <c r="E6" s="2326"/>
      <c r="F6" s="2577" t="str">
        <f>INDEX(首页!$B:$B,MATCH(报告正文!$F$2,首页!$B:$B,0)+4)</f>
        <v>傳真：（0592）5881033 5882033</v>
      </c>
      <c r="G6" s="2326"/>
      <c r="H6" s="2326"/>
      <c r="I6" s="2326"/>
      <c r="J6" s="2326"/>
      <c r="K6" s="2326"/>
    </row>
    <row r="7" spans="1:11" ht="18" hidden="1" customHeight="1">
      <c r="A7" s="2326"/>
      <c r="B7" s="2326"/>
      <c r="C7" s="2326"/>
      <c r="D7" s="2326"/>
      <c r="E7" s="2578" t="str">
        <f>INDEX(首页!$B:$B,MATCH(报告正文!$F$2,首页!$B:$B,0)+5)</f>
        <v>ZhongHui BaiBang （XiaMen）Certified Tax Agents Co.,LTD.</v>
      </c>
      <c r="F7" s="2326"/>
      <c r="G7" s="2326"/>
      <c r="H7" s="2326"/>
      <c r="I7" s="2326"/>
      <c r="J7" s="2326"/>
      <c r="K7" s="2326"/>
    </row>
    <row r="8" spans="1:11" ht="10.95" hidden="1" customHeight="1">
      <c r="A8" s="2326"/>
      <c r="B8" s="2326"/>
      <c r="C8" s="2326"/>
      <c r="D8" s="2326"/>
      <c r="E8" s="2578" t="str">
        <f>INDEX(首页!$B:$B,MATCH(报告正文!$F$2,首页!$B:$B,0)+6)</f>
        <v>Guomao Building 41floor, South Hubin Road No.388,Xiamen,</v>
      </c>
      <c r="F8" s="2326"/>
      <c r="G8" s="2326"/>
      <c r="H8" s="2326"/>
      <c r="I8" s="2326"/>
      <c r="J8" s="2326"/>
      <c r="K8" s="2326"/>
    </row>
    <row r="9" spans="1:11" ht="10.95" hidden="1" customHeight="1">
      <c r="A9" s="2326"/>
      <c r="B9" s="2326"/>
      <c r="C9" s="2326"/>
      <c r="D9" s="2326"/>
      <c r="E9" s="2578" t="str">
        <f>INDEX(首页!$B:$B,MATCH(报告正文!$F$2,首页!$B:$B,0)+7)</f>
        <v xml:space="preserve">P.C：361004  </v>
      </c>
      <c r="F9" s="2326"/>
      <c r="G9" s="2326"/>
      <c r="H9" s="2326"/>
      <c r="I9" s="2326"/>
      <c r="J9" s="2326"/>
      <c r="K9" s="2326"/>
    </row>
    <row r="10" spans="1:11" ht="11.4" hidden="1" customHeight="1">
      <c r="A10" s="2326"/>
      <c r="B10" s="2326"/>
      <c r="C10" s="2326"/>
      <c r="D10" s="2326"/>
      <c r="E10" s="2578" t="str">
        <f>INDEX(首页!$B:$B,MATCH(报告正文!$F$2,首页!$B:$B,0)+8)</f>
        <v>Tel：（0592）5881050 5166881</v>
      </c>
      <c r="F10" s="2326"/>
      <c r="G10" s="2326"/>
      <c r="H10" s="2326"/>
      <c r="I10" s="2326"/>
      <c r="J10" s="2326"/>
      <c r="K10" s="2326"/>
    </row>
    <row r="11" spans="1:11" ht="10.95" hidden="1" customHeight="1">
      <c r="A11" s="2326"/>
      <c r="B11" s="2326"/>
      <c r="C11" s="2326"/>
      <c r="D11" s="2326"/>
      <c r="E11" s="2578" t="str">
        <f>INDEX(首页!$B:$B,MATCH(报告正文!$F$2,首页!$B:$B,0)+9)</f>
        <v>Fax：（0592）5881033 5882033</v>
      </c>
      <c r="F11" s="2326"/>
      <c r="G11" s="2326"/>
      <c r="H11" s="2326"/>
      <c r="I11" s="2326"/>
      <c r="J11" s="2326"/>
      <c r="K11" s="2326"/>
    </row>
    <row r="12" spans="1:11" hidden="1">
      <c r="A12" s="2326"/>
      <c r="B12" s="2326"/>
      <c r="C12" s="2326"/>
      <c r="D12" s="2326"/>
      <c r="E12" s="2326"/>
      <c r="F12" s="2326"/>
      <c r="G12" s="2326"/>
      <c r="H12" s="2326"/>
      <c r="I12" s="2326"/>
      <c r="J12" s="2326"/>
      <c r="K12" s="2326"/>
    </row>
    <row r="13" spans="1:11" ht="85.2" customHeight="1">
      <c r="A13" s="3713" t="s">
        <v>10045</v>
      </c>
      <c r="B13" s="3713"/>
      <c r="C13" s="3713"/>
      <c r="D13" s="3713"/>
      <c r="E13" s="3713"/>
      <c r="F13" s="3713"/>
      <c r="G13" s="3713"/>
      <c r="H13" s="3713"/>
      <c r="I13" s="3713"/>
      <c r="J13" s="3713"/>
      <c r="K13" s="2326"/>
    </row>
    <row r="14" spans="1:11" ht="18" customHeight="1">
      <c r="A14" s="3714">
        <f>基本情况!B18</f>
        <v>0</v>
      </c>
      <c r="B14" s="3714"/>
      <c r="C14" s="3714"/>
      <c r="D14" s="3714"/>
      <c r="E14" s="3714"/>
      <c r="F14" s="3714"/>
      <c r="G14" s="3714"/>
      <c r="H14" s="3714"/>
      <c r="I14" s="3714"/>
      <c r="J14" s="3714"/>
      <c r="K14" s="1060" t="s">
        <v>396</v>
      </c>
    </row>
    <row r="15" spans="1:11" ht="7.5" customHeight="1">
      <c r="A15" s="2328"/>
      <c r="B15" s="2329"/>
      <c r="C15" s="2329"/>
      <c r="D15" s="2329"/>
      <c r="E15" s="2329"/>
      <c r="F15" s="2329"/>
      <c r="G15" s="2329"/>
      <c r="H15" s="2329"/>
      <c r="I15" s="2329"/>
      <c r="J15" s="2329"/>
      <c r="K15" s="2330"/>
    </row>
    <row r="16" spans="1:11" s="2332" customFormat="1" ht="29.25" customHeight="1">
      <c r="A16" s="3715" t="str">
        <f>基本情况!B2&amp;"："</f>
        <v>0：</v>
      </c>
      <c r="B16" s="3715"/>
      <c r="C16" s="3715"/>
      <c r="D16" s="3715"/>
      <c r="E16" s="3715"/>
      <c r="F16" s="3715"/>
      <c r="G16" s="3715"/>
      <c r="H16" s="3715"/>
      <c r="I16" s="3715"/>
      <c r="J16" s="3715"/>
      <c r="K16" s="2331"/>
    </row>
    <row r="17" spans="1:11" s="2611" customFormat="1" ht="106.2" customHeight="1">
      <c r="A17" s="3716" t="str">
        <f>"　　我们接受委托，对贵单位"&amp;基本情况!B4&amp;"年度的企业所得税汇算清缴纳税申报进行审核。贵单位的责任是，及时提供与企业所得税年度纳税申报事项有关的会计资料和纳税资料，并保证其真实、准确、完整和合法，确保贵单位填报的企业所得税纳税申报表符合《中华人民共和国企业所得税法》及其实施条例、《中华人民共和国税收征收管理法》及其实施细则以及其他税收法律、法规、规范的要求，并如实纳税申报。"</f>
        <v>　　我们接受委托，对贵单位2016年度的企业所得税汇算清缴纳税申报进行审核。贵单位的责任是，及时提供与企业所得税年度纳税申报事项有关的会计资料和纳税资料，并保证其真实、准确、完整和合法，确保贵单位填报的企业所得税纳税申报表符合《中华人民共和国企业所得税法》及其实施条例、《中华人民共和国税收征收管理法》及其实施细则以及其他税收法律、法规、规范的要求，并如实纳税申报。</v>
      </c>
      <c r="B17" s="3716"/>
      <c r="C17" s="3716"/>
      <c r="D17" s="3716"/>
      <c r="E17" s="3716"/>
      <c r="F17" s="3716"/>
      <c r="G17" s="3716"/>
      <c r="H17" s="3716"/>
      <c r="I17" s="3716"/>
      <c r="J17" s="3716"/>
      <c r="K17" s="2610"/>
    </row>
    <row r="18" spans="1:11" s="2611" customFormat="1" ht="4.5" customHeight="1">
      <c r="A18" s="2612"/>
      <c r="B18" s="2612"/>
      <c r="C18" s="2612"/>
      <c r="D18" s="2612"/>
      <c r="E18" s="2612"/>
      <c r="F18" s="2612"/>
      <c r="G18" s="2612"/>
      <c r="H18" s="2612"/>
      <c r="I18" s="2612"/>
      <c r="J18" s="2612"/>
      <c r="K18" s="2610"/>
    </row>
    <row r="19" spans="1:11" s="2332" customFormat="1" ht="110.4" customHeight="1">
      <c r="A19" s="3717" t="s">
        <v>10046</v>
      </c>
      <c r="B19" s="3717"/>
      <c r="C19" s="3717"/>
      <c r="D19" s="3717"/>
      <c r="E19" s="3717"/>
      <c r="F19" s="3717"/>
      <c r="G19" s="3717"/>
      <c r="H19" s="3717"/>
      <c r="I19" s="3717"/>
      <c r="J19" s="3717"/>
      <c r="K19" s="2331"/>
    </row>
    <row r="20" spans="1:11" s="2611" customFormat="1" ht="4.5" customHeight="1">
      <c r="A20" s="2612"/>
      <c r="B20" s="2612"/>
      <c r="C20" s="2612"/>
      <c r="D20" s="2612"/>
      <c r="E20" s="2612"/>
      <c r="F20" s="2612"/>
      <c r="G20" s="2612"/>
      <c r="H20" s="2612"/>
      <c r="I20" s="2612"/>
      <c r="J20" s="2612"/>
      <c r="K20" s="2610"/>
    </row>
    <row r="21" spans="1:11" s="2332" customFormat="1" ht="44.4" customHeight="1">
      <c r="A21" s="3717" t="s">
        <v>10001</v>
      </c>
      <c r="B21" s="3717"/>
      <c r="C21" s="3717"/>
      <c r="D21" s="3717"/>
      <c r="E21" s="3717"/>
      <c r="F21" s="3717"/>
      <c r="G21" s="3717"/>
      <c r="H21" s="3717"/>
      <c r="I21" s="3717"/>
      <c r="J21" s="3717"/>
      <c r="K21" s="2331"/>
    </row>
    <row r="22" spans="1:11" s="2332" customFormat="1" ht="33" customHeight="1">
      <c r="A22" s="3721" t="s">
        <v>10047</v>
      </c>
      <c r="B22" s="3721"/>
      <c r="C22" s="3722"/>
      <c r="D22" s="3722"/>
      <c r="E22" s="3722"/>
      <c r="F22" s="3722"/>
      <c r="G22" s="3722"/>
      <c r="H22" s="3721"/>
      <c r="I22" s="3721"/>
      <c r="J22" s="3722"/>
      <c r="K22" s="2331"/>
    </row>
    <row r="23" spans="1:11" s="2332" customFormat="1" ht="24.75" customHeight="1">
      <c r="A23" s="3721" t="s">
        <v>10002</v>
      </c>
      <c r="B23" s="3721"/>
      <c r="C23" s="3722"/>
      <c r="D23" s="3722"/>
      <c r="E23" s="3722"/>
      <c r="F23" s="3722"/>
      <c r="G23" s="3722"/>
      <c r="H23" s="3721"/>
      <c r="I23" s="3721"/>
      <c r="J23" s="3722"/>
      <c r="K23" s="2331"/>
    </row>
    <row r="24" spans="1:11" s="2332" customFormat="1" ht="115.2" customHeight="1">
      <c r="A24" s="3718" t="str">
        <f>"     贵单位已按《会计法》和《"&amp;基本情况!B38&amp;"》等法律法规及其补充规定的要求制定了适合公司的会计制度和财务管理制度，并制定了较为明确的会计凭证、会计账簿和会计报告的处理程序。现有内部控制制度基本能够适应贵单位管理的要求，能够对编制真实、公允的财务报表提供合理的保证，能够对贵单位各项业务活动的良好运行及国家有关法律法规和单位内部规章制度的贯彻执行提供合理保证。"</f>
        <v xml:space="preserve">     贵单位已按《会计法》和《小企业会计准则》等法律法规及其补充规定的要求制定了适合公司的会计制度和财务管理制度，并制定了较为明确的会计凭证、会计账簿和会计报告的处理程序。现有内部控制制度基本能够适应贵单位管理的要求，能够对编制真实、公允的财务报表提供合理的保证，能够对贵单位各项业务活动的良好运行及国家有关法律法规和单位内部规章制度的贯彻执行提供合理保证。</v>
      </c>
      <c r="B24" s="3718"/>
      <c r="C24" s="3718"/>
      <c r="D24" s="3718"/>
      <c r="E24" s="3718"/>
      <c r="F24" s="3718"/>
      <c r="G24" s="3718"/>
      <c r="H24" s="3718"/>
      <c r="I24" s="3718"/>
      <c r="J24" s="3718"/>
      <c r="K24" s="2331"/>
    </row>
    <row r="25" spans="1:11" s="2611" customFormat="1" ht="4.5" customHeight="1">
      <c r="A25" s="2612"/>
      <c r="B25" s="2612"/>
      <c r="C25" s="2612"/>
      <c r="D25" s="2612"/>
      <c r="E25" s="2612"/>
      <c r="F25" s="2612"/>
      <c r="G25" s="2612"/>
      <c r="H25" s="2612"/>
      <c r="I25" s="2612"/>
      <c r="J25" s="2612"/>
      <c r="K25" s="2610"/>
    </row>
    <row r="26" spans="1:11" s="2332" customFormat="1" ht="24.75" customHeight="1">
      <c r="A26" s="3719" t="s">
        <v>10003</v>
      </c>
      <c r="B26" s="3719"/>
      <c r="C26" s="3719"/>
      <c r="D26" s="3719"/>
      <c r="E26" s="3719"/>
      <c r="F26" s="3719"/>
      <c r="G26" s="3719"/>
      <c r="H26" s="3719"/>
      <c r="I26" s="3719"/>
      <c r="J26" s="3719"/>
      <c r="K26" s="2331"/>
    </row>
    <row r="27" spans="1:11" s="2332" customFormat="1" ht="68.400000000000006" customHeight="1">
      <c r="A27" s="3718" t="s">
        <v>10048</v>
      </c>
      <c r="B27" s="3718"/>
      <c r="C27" s="3718"/>
      <c r="D27" s="3718"/>
      <c r="E27" s="3718"/>
      <c r="F27" s="3718"/>
      <c r="G27" s="3718"/>
      <c r="H27" s="3718"/>
      <c r="I27" s="3718"/>
      <c r="J27" s="3718"/>
      <c r="K27" s="2331"/>
    </row>
    <row r="28" spans="1:11" s="2611" customFormat="1" ht="4.5" customHeight="1">
      <c r="A28" s="2612"/>
      <c r="B28" s="2612"/>
      <c r="C28" s="2612"/>
      <c r="D28" s="2612"/>
      <c r="E28" s="2612"/>
      <c r="F28" s="2612"/>
      <c r="G28" s="2612"/>
      <c r="H28" s="2612"/>
      <c r="I28" s="2612"/>
      <c r="J28" s="2612"/>
      <c r="K28" s="2610"/>
    </row>
    <row r="29" spans="1:11" s="2332" customFormat="1" ht="24.75" customHeight="1">
      <c r="A29" s="3720" t="s">
        <v>10004</v>
      </c>
      <c r="B29" s="3720"/>
      <c r="C29" s="3720"/>
      <c r="D29" s="3720"/>
      <c r="E29" s="3720"/>
      <c r="F29" s="3720"/>
      <c r="G29" s="3720"/>
      <c r="H29" s="3720"/>
      <c r="I29" s="3720"/>
      <c r="J29" s="3720"/>
      <c r="K29" s="2331"/>
    </row>
    <row r="30" spans="1:11" s="2332" customFormat="1" ht="66" customHeight="1">
      <c r="A30" s="3711" t="s">
        <v>10005</v>
      </c>
      <c r="B30" s="3711"/>
      <c r="C30" s="3711"/>
      <c r="D30" s="3711"/>
      <c r="E30" s="3711"/>
      <c r="F30" s="3711"/>
      <c r="G30" s="3711"/>
      <c r="H30" s="3711"/>
      <c r="I30" s="3711"/>
      <c r="J30" s="3711"/>
      <c r="K30" s="2331"/>
    </row>
    <row r="31" spans="1:11" s="2611" customFormat="1" ht="4.5" customHeight="1">
      <c r="A31" s="2612"/>
      <c r="B31" s="2612"/>
      <c r="C31" s="2612"/>
      <c r="D31" s="2612"/>
      <c r="E31" s="2612"/>
      <c r="F31" s="2612"/>
      <c r="G31" s="2612"/>
      <c r="H31" s="2612"/>
      <c r="I31" s="2612"/>
      <c r="J31" s="2612"/>
      <c r="K31" s="2610"/>
    </row>
    <row r="32" spans="1:11" s="2332" customFormat="1" ht="22.2" customHeight="1">
      <c r="A32" s="3712" t="str">
        <f>"    经对贵单位"&amp;基本情况!B4&amp;"年度企业所得税汇算清缴纳税申报进行审核，我们确认："</f>
        <v xml:space="preserve">    经对贵单位2016年度企业所得税汇算清缴纳税申报进行审核，我们确认：</v>
      </c>
      <c r="B32" s="3712"/>
      <c r="C32" s="3712"/>
      <c r="D32" s="3712"/>
      <c r="E32" s="3712"/>
      <c r="F32" s="3712"/>
      <c r="G32" s="3712"/>
      <c r="H32" s="3712"/>
      <c r="I32" s="3712"/>
      <c r="J32" s="3712"/>
      <c r="K32" s="2331"/>
    </row>
    <row r="33" spans="1:11" s="2334" customFormat="1" ht="16.95" hidden="1" customHeight="1">
      <c r="A33" s="2335"/>
      <c r="B33" s="2335"/>
      <c r="C33" s="2335"/>
      <c r="D33" s="2335"/>
      <c r="E33" s="2335"/>
      <c r="F33" s="2335"/>
      <c r="G33" s="2335"/>
      <c r="H33" s="2335"/>
      <c r="I33" s="2335"/>
      <c r="J33" s="2335"/>
      <c r="K33" s="2333"/>
    </row>
    <row r="34" spans="1:11" s="2334" customFormat="1" ht="11.4" customHeight="1">
      <c r="A34" s="2580"/>
      <c r="B34" s="3710"/>
      <c r="C34" s="3710"/>
      <c r="D34" s="3710"/>
      <c r="E34" s="3710"/>
      <c r="F34" s="3710"/>
      <c r="G34" s="3710"/>
      <c r="H34" s="3710"/>
      <c r="I34" s="3710"/>
      <c r="J34" s="3710"/>
      <c r="K34" s="2333"/>
    </row>
    <row r="35" spans="1:11" s="2334" customFormat="1" ht="18" customHeight="1">
      <c r="A35" s="2580"/>
      <c r="B35" s="3695" t="s">
        <v>10006</v>
      </c>
      <c r="C35" s="3695"/>
      <c r="D35" s="3695"/>
      <c r="E35" s="3695"/>
      <c r="F35" s="3695"/>
      <c r="G35" s="3696">
        <f>'A100000中华人民共和国企业所得税年度纳税申报表（A类）'!D16</f>
        <v>0</v>
      </c>
      <c r="H35" s="3696"/>
      <c r="I35" s="2584" t="s">
        <v>10032</v>
      </c>
      <c r="J35" s="2585"/>
      <c r="K35" s="2318" t="s">
        <v>649</v>
      </c>
    </row>
    <row r="36" spans="1:11" s="2334" customFormat="1" ht="18" customHeight="1">
      <c r="A36" s="2580"/>
      <c r="B36" s="3695" t="s">
        <v>10007</v>
      </c>
      <c r="C36" s="3695"/>
      <c r="D36" s="3695"/>
      <c r="E36" s="3695"/>
      <c r="F36" s="3695"/>
      <c r="G36" s="3696">
        <f>'A100000中华人民共和国企业所得税年度纳税申报表（A类）'!D17</f>
        <v>0</v>
      </c>
      <c r="H36" s="3696"/>
      <c r="I36" s="2584" t="s">
        <v>10032</v>
      </c>
      <c r="J36" s="2585"/>
      <c r="K36" s="2333"/>
    </row>
    <row r="37" spans="1:11" s="2334" customFormat="1" ht="18" customHeight="1">
      <c r="A37" s="2580"/>
      <c r="B37" s="3695" t="s">
        <v>10008</v>
      </c>
      <c r="C37" s="3695"/>
      <c r="D37" s="3695"/>
      <c r="E37" s="3695"/>
      <c r="F37" s="3695"/>
      <c r="G37" s="3696">
        <f ca="1">'A100000中华人民共和国企业所得税年度纳税申报表（A类）'!D18</f>
        <v>0</v>
      </c>
      <c r="H37" s="3696"/>
      <c r="I37" s="2584" t="s">
        <v>10032</v>
      </c>
      <c r="J37" s="2585"/>
      <c r="K37" s="2318" t="s">
        <v>643</v>
      </c>
    </row>
    <row r="38" spans="1:11" s="2334" customFormat="1" ht="18" customHeight="1">
      <c r="A38" s="2580"/>
      <c r="B38" s="3695" t="s">
        <v>10009</v>
      </c>
      <c r="C38" s="3695"/>
      <c r="D38" s="3695"/>
      <c r="E38" s="3695"/>
      <c r="F38" s="3695"/>
      <c r="G38" s="3696">
        <f ca="1">'A100000中华人民共和国企业所得税年度纳税申报表（A类）'!D19</f>
        <v>0</v>
      </c>
      <c r="H38" s="3696"/>
      <c r="I38" s="2584" t="s">
        <v>10032</v>
      </c>
      <c r="J38" s="2585"/>
      <c r="K38" s="2333"/>
    </row>
    <row r="39" spans="1:11" s="2334" customFormat="1" ht="18" customHeight="1">
      <c r="A39" s="2580"/>
      <c r="B39" s="3695" t="s">
        <v>10010</v>
      </c>
      <c r="C39" s="3695"/>
      <c r="D39" s="3695"/>
      <c r="E39" s="3695"/>
      <c r="F39" s="3695"/>
      <c r="G39" s="3696">
        <f>'A100000中华人民共和国企业所得税年度纳税申报表（A类）'!D20</f>
        <v>0</v>
      </c>
      <c r="H39" s="3696"/>
      <c r="I39" s="2584" t="s">
        <v>10032</v>
      </c>
      <c r="J39" s="2585"/>
      <c r="K39" s="493" t="s">
        <v>1292</v>
      </c>
    </row>
    <row r="40" spans="1:11" s="2334" customFormat="1" ht="18" customHeight="1">
      <c r="A40" s="2580"/>
      <c r="B40" s="3695" t="s">
        <v>10011</v>
      </c>
      <c r="C40" s="3695"/>
      <c r="D40" s="3695"/>
      <c r="E40" s="3695"/>
      <c r="F40" s="3695"/>
      <c r="G40" s="3696">
        <f ca="1">'A100000中华人民共和国企业所得税年度纳税申报表（A类）'!D21</f>
        <v>0</v>
      </c>
      <c r="H40" s="3696"/>
      <c r="I40" s="2584" t="s">
        <v>10032</v>
      </c>
      <c r="J40" s="2585"/>
      <c r="K40" s="2333"/>
    </row>
    <row r="41" spans="1:11" s="2334" customFormat="1" ht="18" customHeight="1">
      <c r="A41" s="2580"/>
      <c r="B41" s="3695" t="s">
        <v>10012</v>
      </c>
      <c r="C41" s="3695"/>
      <c r="D41" s="3695"/>
      <c r="E41" s="3695"/>
      <c r="F41" s="3695"/>
      <c r="G41" s="3696">
        <f ca="1">'A100000中华人民共和国企业所得税年度纳税申报表（A类）'!D22</f>
        <v>0</v>
      </c>
      <c r="H41" s="3696"/>
      <c r="I41" s="2584" t="s">
        <v>10032</v>
      </c>
      <c r="J41" s="2585"/>
      <c r="K41" s="2333"/>
    </row>
    <row r="42" spans="1:11" s="2334" customFormat="1" ht="18" customHeight="1">
      <c r="A42" s="2580"/>
      <c r="B42" s="3695" t="s">
        <v>10013</v>
      </c>
      <c r="C42" s="3695"/>
      <c r="D42" s="3695"/>
      <c r="E42" s="3695"/>
      <c r="F42" s="3695"/>
      <c r="G42" s="3696">
        <f ca="1">'A100000中华人民共和国企业所得税年度纳税申报表（A类）'!D23</f>
        <v>0</v>
      </c>
      <c r="H42" s="3696"/>
      <c r="I42" s="2584" t="s">
        <v>10032</v>
      </c>
      <c r="J42" s="2585"/>
      <c r="K42" s="2333"/>
    </row>
    <row r="43" spans="1:11" s="2334" customFormat="1" ht="18" customHeight="1">
      <c r="A43" s="2580"/>
      <c r="B43" s="3695" t="s">
        <v>10014</v>
      </c>
      <c r="C43" s="3695"/>
      <c r="D43" s="3695"/>
      <c r="E43" s="3695"/>
      <c r="F43" s="3695"/>
      <c r="G43" s="3696">
        <f ca="1">'A100000中华人民共和国企业所得税年度纳税申报表（A类）'!D24</f>
        <v>0</v>
      </c>
      <c r="H43" s="3696"/>
      <c r="I43" s="2584" t="s">
        <v>10032</v>
      </c>
      <c r="J43" s="2585"/>
      <c r="K43" s="2333"/>
    </row>
    <row r="44" spans="1:11" s="2334" customFormat="1" ht="18" customHeight="1">
      <c r="A44" s="2580"/>
      <c r="B44" s="3695" t="s">
        <v>10015</v>
      </c>
      <c r="C44" s="3695"/>
      <c r="D44" s="3695"/>
      <c r="E44" s="3695"/>
      <c r="F44" s="3695"/>
      <c r="G44" s="3696">
        <f ca="1">'A100000中华人民共和国企业所得税年度纳税申报表（A类）'!D25</f>
        <v>0</v>
      </c>
      <c r="H44" s="3696"/>
      <c r="I44" s="2584" t="s">
        <v>10032</v>
      </c>
      <c r="J44" s="2585"/>
      <c r="K44" s="2333"/>
    </row>
    <row r="45" spans="1:11" s="2334" customFormat="1" ht="18" customHeight="1">
      <c r="A45" s="2580"/>
      <c r="B45" s="3695" t="s">
        <v>10016</v>
      </c>
      <c r="C45" s="3695"/>
      <c r="D45" s="3695"/>
      <c r="E45" s="3695"/>
      <c r="F45" s="3695"/>
      <c r="G45" s="3696">
        <f ca="1">'A100000中华人民共和国企业所得税年度纳税申报表（A类）'!D26</f>
        <v>0</v>
      </c>
      <c r="H45" s="3696"/>
      <c r="I45" s="2584" t="s">
        <v>10032</v>
      </c>
      <c r="J45" s="2585"/>
      <c r="K45" s="2333"/>
    </row>
    <row r="46" spans="1:11" s="2334" customFormat="1" ht="18" customHeight="1">
      <c r="A46" s="2580"/>
      <c r="B46" s="3695" t="s">
        <v>10017</v>
      </c>
      <c r="C46" s="3695"/>
      <c r="D46" s="3695"/>
      <c r="E46" s="3695"/>
      <c r="F46" s="3695"/>
      <c r="G46" s="3697">
        <f>'A100000中华人民共和国企业所得税年度纳税申报表（A类）'!D27</f>
        <v>0.25</v>
      </c>
      <c r="H46" s="3697"/>
      <c r="I46" s="2584"/>
      <c r="J46" s="2586"/>
      <c r="K46" s="2333"/>
    </row>
    <row r="47" spans="1:11" s="2334" customFormat="1" ht="18" customHeight="1">
      <c r="A47" s="2580"/>
      <c r="B47" s="3695" t="s">
        <v>10018</v>
      </c>
      <c r="C47" s="3695"/>
      <c r="D47" s="3695"/>
      <c r="E47" s="3695"/>
      <c r="F47" s="3695"/>
      <c r="G47" s="3696">
        <f ca="1">'A100000中华人民共和国企业所得税年度纳税申报表（A类）'!D28</f>
        <v>0</v>
      </c>
      <c r="H47" s="3696"/>
      <c r="I47" s="2584" t="s">
        <v>10032</v>
      </c>
      <c r="J47" s="2585"/>
      <c r="K47" s="2333"/>
    </row>
    <row r="48" spans="1:11" s="2334" customFormat="1" ht="18" customHeight="1">
      <c r="A48" s="2580"/>
      <c r="B48" s="3695" t="s">
        <v>10019</v>
      </c>
      <c r="C48" s="3695"/>
      <c r="D48" s="3695"/>
      <c r="E48" s="3695"/>
      <c r="F48" s="3695"/>
      <c r="G48" s="3696">
        <f ca="1">'A100000中华人民共和国企业所得税年度纳税申报表（A类）'!D29</f>
        <v>0</v>
      </c>
      <c r="H48" s="3696"/>
      <c r="I48" s="2584" t="s">
        <v>10032</v>
      </c>
      <c r="J48" s="2585"/>
      <c r="K48" s="2336"/>
    </row>
    <row r="49" spans="1:10" s="2334" customFormat="1" ht="18" customHeight="1">
      <c r="A49" s="2580"/>
      <c r="B49" s="3695" t="s">
        <v>10020</v>
      </c>
      <c r="C49" s="3695"/>
      <c r="D49" s="3695"/>
      <c r="E49" s="3695"/>
      <c r="F49" s="3695"/>
      <c r="G49" s="3696">
        <f ca="1">'A100000中华人民共和国企业所得税年度纳税申报表（A类）'!D30</f>
        <v>0</v>
      </c>
      <c r="H49" s="3696"/>
      <c r="I49" s="2584" t="s">
        <v>10032</v>
      </c>
      <c r="J49" s="2585"/>
    </row>
    <row r="50" spans="1:10" s="2334" customFormat="1" ht="18" customHeight="1">
      <c r="A50" s="2580"/>
      <c r="B50" s="3695" t="s">
        <v>10021</v>
      </c>
      <c r="C50" s="3695"/>
      <c r="D50" s="3695"/>
      <c r="E50" s="3695"/>
      <c r="F50" s="3695"/>
      <c r="G50" s="3696">
        <f ca="1">'A100000中华人民共和国企业所得税年度纳税申报表（A类）'!D31</f>
        <v>0</v>
      </c>
      <c r="H50" s="3696"/>
      <c r="I50" s="2584" t="s">
        <v>10032</v>
      </c>
      <c r="J50" s="2585"/>
    </row>
    <row r="51" spans="1:10" s="2334" customFormat="1" ht="18" customHeight="1">
      <c r="A51" s="2580"/>
      <c r="B51" s="3695" t="s">
        <v>10022</v>
      </c>
      <c r="C51" s="3695"/>
      <c r="D51" s="3695"/>
      <c r="E51" s="3695"/>
      <c r="F51" s="3695"/>
      <c r="G51" s="3696">
        <f>'A100000中华人民共和国企业所得税年度纳税申报表（A类）'!D32</f>
        <v>0</v>
      </c>
      <c r="H51" s="3696"/>
      <c r="I51" s="2584" t="s">
        <v>10032</v>
      </c>
      <c r="J51" s="2585"/>
    </row>
    <row r="52" spans="1:10" s="2334" customFormat="1" ht="18" customHeight="1">
      <c r="A52" s="2580"/>
      <c r="B52" s="3695" t="s">
        <v>10023</v>
      </c>
      <c r="C52" s="3695"/>
      <c r="D52" s="3695"/>
      <c r="E52" s="3695"/>
      <c r="F52" s="3695"/>
      <c r="G52" s="3696">
        <f>'A100000中华人民共和国企业所得税年度纳税申报表（A类）'!D33</f>
        <v>0</v>
      </c>
      <c r="H52" s="3696"/>
      <c r="I52" s="2584" t="s">
        <v>10032</v>
      </c>
      <c r="J52" s="2585"/>
    </row>
    <row r="53" spans="1:10" s="2334" customFormat="1" ht="18" customHeight="1">
      <c r="A53" s="2580"/>
      <c r="B53" s="3695" t="s">
        <v>10024</v>
      </c>
      <c r="C53" s="3695"/>
      <c r="D53" s="3695"/>
      <c r="E53" s="3695"/>
      <c r="F53" s="3695"/>
      <c r="G53" s="3696">
        <f ca="1">'A100000中华人民共和国企业所得税年度纳税申报表（A类）'!D34</f>
        <v>0</v>
      </c>
      <c r="H53" s="3696"/>
      <c r="I53" s="2584" t="s">
        <v>10032</v>
      </c>
      <c r="J53" s="2585"/>
    </row>
    <row r="54" spans="1:10" s="2334" customFormat="1" ht="18" customHeight="1">
      <c r="A54" s="2580"/>
      <c r="B54" s="3695" t="s">
        <v>10025</v>
      </c>
      <c r="C54" s="3695"/>
      <c r="D54" s="3695"/>
      <c r="E54" s="3695"/>
      <c r="F54" s="3695"/>
      <c r="G54" s="3696">
        <f>'A100000中华人民共和国企业所得税年度纳税申报表（A类）'!D35</f>
        <v>0</v>
      </c>
      <c r="H54" s="3696"/>
      <c r="I54" s="2584" t="s">
        <v>10032</v>
      </c>
      <c r="J54" s="2585"/>
    </row>
    <row r="55" spans="1:10" s="2334" customFormat="1" ht="18" customHeight="1">
      <c r="A55" s="2580"/>
      <c r="B55" s="3695" t="s">
        <v>10026</v>
      </c>
      <c r="C55" s="3695"/>
      <c r="D55" s="3695"/>
      <c r="E55" s="3695"/>
      <c r="F55" s="3695"/>
      <c r="G55" s="3696">
        <f ca="1">'A100000中华人民共和国企业所得税年度纳税申报表（A类）'!D36</f>
        <v>0</v>
      </c>
      <c r="H55" s="3696"/>
      <c r="I55" s="2584" t="s">
        <v>10032</v>
      </c>
      <c r="J55" s="2585"/>
    </row>
    <row r="56" spans="1:10" s="2334" customFormat="1" ht="18" customHeight="1">
      <c r="A56" s="2580"/>
      <c r="B56" s="3695" t="s">
        <v>10027</v>
      </c>
      <c r="C56" s="3695"/>
      <c r="D56" s="3695"/>
      <c r="E56" s="3695"/>
      <c r="F56" s="3695"/>
      <c r="G56" s="3696">
        <f>'A100000中华人民共和国企业所得税年度纳税申报表（A类）'!D37</f>
        <v>0</v>
      </c>
      <c r="H56" s="3696"/>
      <c r="I56" s="2584" t="s">
        <v>10032</v>
      </c>
      <c r="J56" s="2587"/>
    </row>
    <row r="57" spans="1:10" s="2334" customFormat="1" ht="18" customHeight="1">
      <c r="A57" s="2580"/>
      <c r="B57" s="3695" t="s">
        <v>10028</v>
      </c>
      <c r="C57" s="3695"/>
      <c r="D57" s="3695"/>
      <c r="E57" s="3695"/>
      <c r="F57" s="3695"/>
      <c r="G57" s="3696">
        <f>'A100000中华人民共和国企业所得税年度纳税申报表（A类）'!D38</f>
        <v>0</v>
      </c>
      <c r="H57" s="3696"/>
      <c r="I57" s="2584" t="s">
        <v>10032</v>
      </c>
      <c r="J57" s="2587"/>
    </row>
    <row r="58" spans="1:10" s="2334" customFormat="1" ht="18" customHeight="1">
      <c r="A58" s="2580"/>
      <c r="B58" s="3695" t="s">
        <v>10029</v>
      </c>
      <c r="C58" s="3695"/>
      <c r="D58" s="3695"/>
      <c r="E58" s="3695"/>
      <c r="F58" s="3695"/>
      <c r="G58" s="3696">
        <f>'A100000中华人民共和国企业所得税年度纳税申报表（A类）'!D39</f>
        <v>0</v>
      </c>
      <c r="H58" s="3696"/>
      <c r="I58" s="2584" t="s">
        <v>10032</v>
      </c>
      <c r="J58" s="2587"/>
    </row>
    <row r="59" spans="1:10" s="2334" customFormat="1" ht="18" customHeight="1">
      <c r="A59" s="2580"/>
      <c r="B59" s="3695" t="s">
        <v>10030</v>
      </c>
      <c r="C59" s="3695"/>
      <c r="D59" s="3695"/>
      <c r="E59" s="3695"/>
      <c r="F59" s="3695"/>
      <c r="G59" s="3696">
        <f>'A100000中华人民共和国企业所得税年度纳税申报表（A类）'!D40</f>
        <v>0</v>
      </c>
      <c r="H59" s="3696"/>
      <c r="I59" s="2584" t="s">
        <v>10032</v>
      </c>
      <c r="J59" s="2587"/>
    </row>
    <row r="60" spans="1:10" s="2334" customFormat="1" ht="18" customHeight="1">
      <c r="A60" s="2580"/>
      <c r="B60" s="3695" t="s">
        <v>10031</v>
      </c>
      <c r="C60" s="3695"/>
      <c r="D60" s="3695"/>
      <c r="E60" s="3695"/>
      <c r="F60" s="3695"/>
      <c r="G60" s="3696">
        <f>'A100000中华人民共和国企业所得税年度纳税申报表（A类）'!D41</f>
        <v>0</v>
      </c>
      <c r="H60" s="3696"/>
      <c r="I60" s="2584" t="s">
        <v>10032</v>
      </c>
      <c r="J60" s="2587"/>
    </row>
    <row r="61" spans="1:10" s="2334" customFormat="1" ht="10.95" customHeight="1">
      <c r="A61" s="3701"/>
      <c r="B61" s="3701"/>
      <c r="C61" s="3701"/>
      <c r="D61" s="3701"/>
      <c r="E61" s="3701"/>
      <c r="F61" s="3701"/>
      <c r="G61" s="3701"/>
      <c r="H61" s="3701"/>
      <c r="I61" s="3701"/>
      <c r="J61" s="3701"/>
    </row>
    <row r="62" spans="1:10" s="2334" customFormat="1" ht="25.95" customHeight="1">
      <c r="A62" s="3707" t="s">
        <v>10033</v>
      </c>
      <c r="B62" s="3707"/>
      <c r="C62" s="3707"/>
      <c r="D62" s="3707"/>
      <c r="E62" s="3707"/>
      <c r="F62" s="3707"/>
      <c r="G62" s="3707"/>
      <c r="H62" s="3707"/>
      <c r="I62" s="3707"/>
      <c r="J62" s="3707"/>
    </row>
    <row r="63" spans="1:10" ht="10.95" customHeight="1">
      <c r="A63" s="3708"/>
      <c r="B63" s="3708"/>
      <c r="C63" s="3708"/>
      <c r="D63" s="3708"/>
      <c r="E63" s="3708"/>
      <c r="F63" s="3708"/>
      <c r="G63" s="3708"/>
      <c r="H63" s="3708"/>
      <c r="I63" s="3708"/>
      <c r="J63" s="3708"/>
    </row>
    <row r="64" spans="1:10" ht="29.4" customHeight="1">
      <c r="A64" s="2588"/>
      <c r="B64" s="3704" t="s">
        <v>10034</v>
      </c>
      <c r="C64" s="3705"/>
      <c r="D64" s="3705"/>
      <c r="E64" s="2589"/>
      <c r="F64" s="2614" t="str">
        <f>IF(基本情况!B8="中汇百邦（厦门）税务师事务所有限公司","陈元庆","陈金盾")</f>
        <v>陈元庆</v>
      </c>
      <c r="G64" s="2590"/>
      <c r="H64" s="2591"/>
      <c r="I64" s="2591"/>
      <c r="J64" s="2591"/>
    </row>
    <row r="65" spans="1:10" ht="20.399999999999999" customHeight="1">
      <c r="A65" s="2592"/>
      <c r="B65" s="2592"/>
      <c r="C65" s="2592"/>
      <c r="D65" s="2593"/>
      <c r="E65" s="2593"/>
      <c r="F65" s="2594"/>
      <c r="G65" s="2595"/>
      <c r="H65" s="2596"/>
      <c r="I65" s="2596"/>
      <c r="J65" s="2596"/>
    </row>
    <row r="66" spans="1:10" ht="17.399999999999999">
      <c r="A66" s="2594"/>
      <c r="B66" s="3706" t="s">
        <v>10044</v>
      </c>
      <c r="C66" s="3705"/>
      <c r="D66" s="3705"/>
      <c r="E66" s="2597"/>
      <c r="F66" s="2594">
        <f>基本情况!B11</f>
        <v>0</v>
      </c>
      <c r="G66" s="2598"/>
      <c r="H66" s="2599"/>
      <c r="I66" s="2599"/>
      <c r="J66" s="2599"/>
    </row>
    <row r="67" spans="1:10" ht="22.2" customHeight="1">
      <c r="A67" s="2600"/>
      <c r="B67" s="2600"/>
      <c r="C67" s="2600"/>
      <c r="D67" s="2593"/>
      <c r="E67" s="2593"/>
      <c r="F67" s="2593"/>
      <c r="G67" s="2601"/>
      <c r="H67" s="2602"/>
      <c r="I67" s="2602"/>
      <c r="J67" s="2602"/>
    </row>
    <row r="68" spans="1:10" ht="19.95" customHeight="1">
      <c r="A68" s="2600"/>
      <c r="B68" s="2597" t="s">
        <v>7744</v>
      </c>
      <c r="C68" s="2597"/>
      <c r="D68" s="2603"/>
      <c r="E68" s="3698" t="s">
        <v>10049</v>
      </c>
      <c r="F68" s="3698"/>
      <c r="G68" s="3698"/>
      <c r="H68" s="2602"/>
      <c r="I68" s="2602"/>
      <c r="J68" s="2602"/>
    </row>
    <row r="69" spans="1:10" ht="22.95" customHeight="1">
      <c r="A69" s="3699" t="s">
        <v>10035</v>
      </c>
      <c r="B69" s="3700"/>
      <c r="C69" s="3700"/>
      <c r="D69" s="2593"/>
      <c r="E69" s="3699" t="s">
        <v>10036</v>
      </c>
      <c r="F69" s="3700"/>
      <c r="G69" s="3700"/>
      <c r="H69" s="2602"/>
      <c r="I69" s="2602"/>
      <c r="J69" s="2602"/>
    </row>
    <row r="70" spans="1:10" ht="13.2" customHeight="1">
      <c r="A70" s="2600"/>
      <c r="B70" s="2600"/>
      <c r="C70" s="2600"/>
      <c r="D70" s="2593"/>
      <c r="E70" s="2593"/>
      <c r="G70" s="2601"/>
      <c r="H70" s="2604"/>
      <c r="I70" s="2604"/>
      <c r="J70" s="2604"/>
    </row>
    <row r="71" spans="1:10" ht="17.399999999999999">
      <c r="A71" s="2600"/>
      <c r="B71" s="2600"/>
      <c r="C71" s="2600"/>
      <c r="D71" s="2593"/>
      <c r="E71" s="2593"/>
      <c r="F71" s="2605"/>
      <c r="G71" s="2613" t="str">
        <f>基本情况!B20</f>
        <v>2017年5月4日</v>
      </c>
      <c r="H71" s="2604"/>
      <c r="I71" s="2604"/>
      <c r="J71" s="2604"/>
    </row>
    <row r="72" spans="1:10" ht="18.600000000000001" customHeight="1">
      <c r="A72" s="3709" t="s">
        <v>10037</v>
      </c>
      <c r="B72" s="3702"/>
      <c r="C72" s="3702"/>
      <c r="D72" s="3702"/>
      <c r="E72" s="3702"/>
      <c r="F72" s="3702"/>
      <c r="G72" s="3702"/>
      <c r="H72" s="2606"/>
      <c r="I72" s="2606"/>
      <c r="J72" s="2337"/>
    </row>
    <row r="73" spans="1:10" ht="18.600000000000001" customHeight="1">
      <c r="A73" s="3709" t="s">
        <v>10038</v>
      </c>
      <c r="B73" s="3702"/>
      <c r="C73" s="3702"/>
      <c r="D73" s="3702"/>
      <c r="E73" s="3702"/>
      <c r="F73" s="3702"/>
      <c r="G73" s="3702"/>
      <c r="H73" s="2606"/>
      <c r="I73" s="2606"/>
      <c r="J73" s="2337"/>
    </row>
    <row r="74" spans="1:10" ht="18.600000000000001" customHeight="1">
      <c r="A74" s="3709" t="s">
        <v>10039</v>
      </c>
      <c r="B74" s="3702"/>
      <c r="C74" s="3702"/>
      <c r="D74" s="3702"/>
      <c r="E74" s="3702"/>
      <c r="F74" s="3702"/>
      <c r="G74" s="3702"/>
      <c r="H74" s="2607"/>
      <c r="I74" s="2607"/>
      <c r="J74" s="2581"/>
    </row>
    <row r="75" spans="1:10" ht="18.600000000000001" customHeight="1">
      <c r="A75" s="3702" t="s">
        <v>10040</v>
      </c>
      <c r="B75" s="3703"/>
      <c r="C75" s="3702"/>
      <c r="D75" s="3702"/>
      <c r="E75" s="3702"/>
      <c r="F75" s="3702"/>
      <c r="G75" s="3702"/>
      <c r="H75" s="2607"/>
      <c r="I75" s="2607"/>
      <c r="J75" s="2581"/>
    </row>
    <row r="76" spans="1:10" ht="18.600000000000001" customHeight="1">
      <c r="A76" s="3702" t="s">
        <v>10041</v>
      </c>
      <c r="B76" s="3703"/>
      <c r="C76" s="3702"/>
      <c r="D76" s="3702"/>
      <c r="E76" s="3702"/>
      <c r="F76" s="3702"/>
      <c r="G76" s="3702"/>
      <c r="H76" s="2607"/>
      <c r="I76" s="2607"/>
      <c r="J76" s="2581"/>
    </row>
    <row r="77" spans="1:10" ht="18.600000000000001" customHeight="1">
      <c r="A77" s="3702" t="s">
        <v>10042</v>
      </c>
      <c r="B77" s="3703"/>
      <c r="C77" s="3702"/>
      <c r="D77" s="3702"/>
      <c r="E77" s="3702"/>
      <c r="F77" s="3702"/>
      <c r="G77" s="3702"/>
      <c r="H77" s="2608"/>
      <c r="I77" s="2608"/>
      <c r="J77" s="2582"/>
    </row>
    <row r="78" spans="1:10" ht="18.600000000000001" customHeight="1">
      <c r="A78" s="3702" t="s">
        <v>10043</v>
      </c>
      <c r="B78" s="3703"/>
      <c r="C78" s="3702"/>
      <c r="D78" s="3702"/>
      <c r="E78" s="3702"/>
      <c r="F78" s="3702"/>
      <c r="G78" s="3702"/>
      <c r="H78" s="2609"/>
      <c r="I78" s="2609"/>
      <c r="J78" s="2583"/>
    </row>
    <row r="79" spans="1:10">
      <c r="A79" s="2337"/>
      <c r="B79" s="2337"/>
      <c r="C79" s="2337"/>
      <c r="D79" s="2337"/>
      <c r="E79" s="2337"/>
      <c r="F79" s="2337"/>
      <c r="G79" s="2337"/>
      <c r="H79" s="2337"/>
      <c r="I79" s="2337"/>
      <c r="J79" s="2337"/>
    </row>
    <row r="80" spans="1:10">
      <c r="A80" s="2337"/>
      <c r="B80" s="2337"/>
      <c r="C80" s="2337"/>
      <c r="D80" s="2337"/>
      <c r="E80" s="2337"/>
      <c r="F80" s="2337"/>
      <c r="G80" s="2337"/>
      <c r="H80" s="2337"/>
      <c r="I80" s="2337"/>
      <c r="J80" s="2337"/>
    </row>
    <row r="81" spans="1:10">
      <c r="A81" s="2337"/>
      <c r="B81" s="2337"/>
      <c r="C81" s="2337"/>
      <c r="D81" s="2337"/>
      <c r="E81" s="2337"/>
      <c r="F81" s="2337"/>
      <c r="G81" s="2337"/>
      <c r="H81" s="2337"/>
      <c r="I81" s="2337"/>
      <c r="J81" s="2337"/>
    </row>
    <row r="82" spans="1:10">
      <c r="A82" s="2337"/>
      <c r="B82" s="2337"/>
      <c r="C82" s="2337"/>
      <c r="D82" s="2337"/>
      <c r="E82" s="2337"/>
      <c r="F82" s="2337"/>
      <c r="G82" s="2337"/>
      <c r="H82" s="2337"/>
      <c r="I82" s="2337"/>
      <c r="J82" s="2337"/>
    </row>
    <row r="83" spans="1:10">
      <c r="A83" s="2337"/>
      <c r="B83" s="2337"/>
      <c r="C83" s="2337"/>
      <c r="D83" s="2337"/>
      <c r="E83" s="2337"/>
      <c r="F83" s="2337"/>
      <c r="G83" s="2337"/>
      <c r="H83" s="2337"/>
      <c r="I83" s="2337"/>
      <c r="J83" s="2337"/>
    </row>
    <row r="84" spans="1:10">
      <c r="A84" s="2337"/>
      <c r="B84" s="2337"/>
      <c r="C84" s="2337"/>
      <c r="D84" s="2337"/>
      <c r="E84" s="2337"/>
      <c r="F84" s="2337"/>
      <c r="G84" s="2337"/>
      <c r="H84" s="2337"/>
      <c r="I84" s="2337"/>
      <c r="J84" s="2337"/>
    </row>
    <row r="85" spans="1:10">
      <c r="A85" s="2337"/>
      <c r="B85" s="2337"/>
      <c r="C85" s="2337"/>
      <c r="D85" s="2337"/>
      <c r="E85" s="2337"/>
      <c r="F85" s="2337"/>
      <c r="G85" s="2337"/>
      <c r="H85" s="2337"/>
      <c r="I85" s="2337"/>
      <c r="J85" s="2337"/>
    </row>
    <row r="86" spans="1:10">
      <c r="A86" s="2337"/>
      <c r="B86" s="2337"/>
      <c r="C86" s="2337"/>
      <c r="D86" s="2337"/>
      <c r="E86" s="2337"/>
      <c r="F86" s="2337"/>
      <c r="G86" s="2337"/>
      <c r="H86" s="2337"/>
      <c r="I86" s="2337"/>
      <c r="J86" s="2337"/>
    </row>
    <row r="87" spans="1:10">
      <c r="A87" s="2337"/>
      <c r="B87" s="2337"/>
      <c r="C87" s="2337"/>
      <c r="D87" s="2337"/>
      <c r="E87" s="2337"/>
      <c r="F87" s="2337"/>
      <c r="G87" s="2337"/>
      <c r="H87" s="2337"/>
      <c r="I87" s="2337"/>
      <c r="J87" s="2337"/>
    </row>
    <row r="88" spans="1:10">
      <c r="A88" s="2337"/>
      <c r="B88" s="2337"/>
      <c r="C88" s="2337"/>
      <c r="D88" s="2337"/>
      <c r="E88" s="2337"/>
      <c r="F88" s="2337"/>
      <c r="G88" s="2337"/>
      <c r="H88" s="2337"/>
      <c r="I88" s="2337"/>
      <c r="J88" s="2337"/>
    </row>
    <row r="89" spans="1:10">
      <c r="A89" s="2337"/>
      <c r="B89" s="2337"/>
      <c r="C89" s="2337"/>
      <c r="D89" s="2337"/>
      <c r="E89" s="2337"/>
      <c r="F89" s="2337"/>
      <c r="G89" s="2337"/>
      <c r="H89" s="2337"/>
      <c r="I89" s="2337"/>
      <c r="J89" s="2337"/>
    </row>
    <row r="90" spans="1:10">
      <c r="A90" s="2337"/>
      <c r="B90" s="2337"/>
      <c r="C90" s="2337"/>
      <c r="D90" s="2337"/>
      <c r="E90" s="2337"/>
      <c r="F90" s="2337"/>
      <c r="G90" s="2337"/>
      <c r="H90" s="2337"/>
      <c r="I90" s="2337"/>
      <c r="J90" s="2337"/>
    </row>
    <row r="91" spans="1:10">
      <c r="A91" s="2337"/>
      <c r="B91" s="2337"/>
      <c r="C91" s="2337"/>
      <c r="D91" s="2337"/>
      <c r="E91" s="2337"/>
      <c r="F91" s="2337"/>
      <c r="G91" s="2337"/>
      <c r="H91" s="2337"/>
      <c r="I91" s="2337"/>
      <c r="J91" s="2337"/>
    </row>
    <row r="92" spans="1:10">
      <c r="A92" s="2337"/>
      <c r="B92" s="2337"/>
      <c r="C92" s="2337"/>
      <c r="D92" s="2337"/>
      <c r="E92" s="2337"/>
      <c r="F92" s="2337"/>
      <c r="G92" s="2337"/>
      <c r="H92" s="2337"/>
      <c r="I92" s="2337"/>
      <c r="J92" s="2337"/>
    </row>
    <row r="93" spans="1:10">
      <c r="A93" s="2337"/>
      <c r="B93" s="2337"/>
      <c r="C93" s="2337"/>
      <c r="D93" s="2337"/>
      <c r="E93" s="2337"/>
      <c r="F93" s="2337"/>
      <c r="G93" s="2337"/>
      <c r="H93" s="2337"/>
      <c r="I93" s="2337"/>
      <c r="J93" s="2337"/>
    </row>
    <row r="94" spans="1:10">
      <c r="A94" s="2337"/>
      <c r="B94" s="2337"/>
      <c r="C94" s="2337"/>
      <c r="D94" s="2337"/>
      <c r="E94" s="2337"/>
      <c r="F94" s="2337"/>
      <c r="G94" s="2337"/>
      <c r="H94" s="2337"/>
      <c r="I94" s="2337"/>
      <c r="J94" s="2337"/>
    </row>
    <row r="95" spans="1:10">
      <c r="A95" s="2337"/>
      <c r="B95" s="2337"/>
      <c r="C95" s="2337"/>
      <c r="D95" s="2337"/>
      <c r="E95" s="2337"/>
      <c r="F95" s="2337"/>
      <c r="G95" s="2337"/>
      <c r="H95" s="2337"/>
      <c r="I95" s="2337"/>
      <c r="J95" s="2337"/>
    </row>
    <row r="96" spans="1:10">
      <c r="A96" s="2337"/>
      <c r="B96" s="2337"/>
      <c r="C96" s="2337"/>
      <c r="D96" s="2337"/>
      <c r="E96" s="2337"/>
      <c r="F96" s="2337"/>
      <c r="G96" s="2337"/>
      <c r="H96" s="2337"/>
      <c r="I96" s="2337"/>
      <c r="J96" s="2337"/>
    </row>
    <row r="97" spans="1:10">
      <c r="A97" s="2337"/>
      <c r="B97" s="2337"/>
      <c r="C97" s="2337"/>
      <c r="D97" s="2337"/>
      <c r="E97" s="2337"/>
      <c r="F97" s="2337"/>
      <c r="G97" s="2337"/>
      <c r="H97" s="2337"/>
      <c r="I97" s="2337"/>
      <c r="J97" s="2337"/>
    </row>
    <row r="98" spans="1:10">
      <c r="A98" s="2337"/>
      <c r="B98" s="2337"/>
      <c r="C98" s="2337"/>
      <c r="D98" s="2337"/>
      <c r="E98" s="2337"/>
      <c r="F98" s="2337"/>
      <c r="G98" s="2337"/>
      <c r="H98" s="2337"/>
      <c r="I98" s="2337"/>
      <c r="J98" s="2337"/>
    </row>
    <row r="99" spans="1:10">
      <c r="A99" s="2337"/>
      <c r="B99" s="2337"/>
      <c r="C99" s="2337"/>
      <c r="D99" s="2337"/>
      <c r="E99" s="2337"/>
      <c r="F99" s="2337"/>
      <c r="G99" s="2337"/>
      <c r="H99" s="2337"/>
      <c r="I99" s="2337"/>
      <c r="J99" s="2337"/>
    </row>
    <row r="100" spans="1:10">
      <c r="A100" s="2337"/>
      <c r="B100" s="2337"/>
      <c r="C100" s="2337"/>
      <c r="D100" s="2337"/>
      <c r="E100" s="2337"/>
      <c r="F100" s="2337"/>
      <c r="G100" s="2337"/>
      <c r="H100" s="2337"/>
      <c r="I100" s="2337"/>
      <c r="J100" s="2337"/>
    </row>
    <row r="101" spans="1:10">
      <c r="A101" s="2337"/>
      <c r="B101" s="2337"/>
      <c r="C101" s="2337"/>
      <c r="D101" s="2337"/>
      <c r="E101" s="2337"/>
      <c r="F101" s="2337"/>
      <c r="G101" s="2337"/>
      <c r="H101" s="2337"/>
      <c r="I101" s="2337"/>
      <c r="J101" s="2337"/>
    </row>
    <row r="102" spans="1:10">
      <c r="A102" s="2337"/>
      <c r="B102" s="2337"/>
      <c r="C102" s="2337"/>
      <c r="D102" s="2337"/>
      <c r="E102" s="2337"/>
      <c r="F102" s="2337"/>
      <c r="G102" s="2337"/>
      <c r="H102" s="2337"/>
      <c r="I102" s="2337"/>
      <c r="J102" s="2337"/>
    </row>
    <row r="103" spans="1:10">
      <c r="A103" s="2337"/>
      <c r="B103" s="2337"/>
      <c r="C103" s="2337"/>
      <c r="D103" s="2337"/>
      <c r="E103" s="2337"/>
      <c r="F103" s="2337"/>
      <c r="G103" s="2337"/>
      <c r="H103" s="2337"/>
      <c r="I103" s="2337"/>
      <c r="J103" s="2337"/>
    </row>
    <row r="104" spans="1:10">
      <c r="A104" s="2337"/>
      <c r="B104" s="2337"/>
      <c r="C104" s="2337"/>
      <c r="D104" s="2337"/>
      <c r="E104" s="2337"/>
      <c r="F104" s="2337"/>
      <c r="G104" s="2337"/>
      <c r="H104" s="2337"/>
      <c r="I104" s="2337"/>
      <c r="J104" s="2337"/>
    </row>
    <row r="105" spans="1:10">
      <c r="A105" s="2337"/>
      <c r="B105" s="2337"/>
      <c r="C105" s="2337"/>
      <c r="D105" s="2337"/>
      <c r="E105" s="2337"/>
      <c r="F105" s="2337"/>
      <c r="G105" s="2337"/>
      <c r="H105" s="2337"/>
      <c r="I105" s="2337"/>
      <c r="J105" s="2337"/>
    </row>
    <row r="106" spans="1:10">
      <c r="A106" s="2337"/>
      <c r="B106" s="2337"/>
      <c r="C106" s="2337"/>
      <c r="D106" s="2337"/>
      <c r="E106" s="2337"/>
      <c r="F106" s="2337"/>
      <c r="G106" s="2337"/>
      <c r="H106" s="2337"/>
      <c r="I106" s="2337"/>
      <c r="J106" s="2337"/>
    </row>
    <row r="107" spans="1:10">
      <c r="A107" s="2337"/>
      <c r="B107" s="2337"/>
      <c r="C107" s="2337"/>
      <c r="D107" s="2337"/>
      <c r="E107" s="2337"/>
      <c r="F107" s="2337"/>
      <c r="G107" s="2337"/>
      <c r="H107" s="2337"/>
      <c r="I107" s="2337"/>
      <c r="J107" s="2337"/>
    </row>
    <row r="108" spans="1:10">
      <c r="A108" s="2337"/>
      <c r="B108" s="2337"/>
      <c r="C108" s="2337"/>
      <c r="D108" s="2337"/>
      <c r="E108" s="2337"/>
      <c r="F108" s="2337"/>
      <c r="G108" s="2337"/>
      <c r="H108" s="2337"/>
      <c r="I108" s="2337"/>
      <c r="J108" s="2337"/>
    </row>
    <row r="109" spans="1:10">
      <c r="A109" s="2337"/>
      <c r="B109" s="2337"/>
      <c r="C109" s="2337"/>
      <c r="D109" s="2337"/>
      <c r="E109" s="2337"/>
      <c r="F109" s="2337"/>
      <c r="G109" s="2337"/>
      <c r="H109" s="2337"/>
      <c r="I109" s="2337"/>
      <c r="J109" s="2337"/>
    </row>
    <row r="110" spans="1:10">
      <c r="A110" s="2337"/>
      <c r="B110" s="2337"/>
      <c r="C110" s="2337"/>
      <c r="D110" s="2337"/>
      <c r="E110" s="2337"/>
      <c r="F110" s="2337"/>
      <c r="G110" s="2337"/>
      <c r="H110" s="2337"/>
      <c r="I110" s="2337"/>
      <c r="J110" s="2337"/>
    </row>
    <row r="111" spans="1:10">
      <c r="A111" s="2337"/>
      <c r="B111" s="2337"/>
      <c r="C111" s="2337"/>
      <c r="D111" s="2337"/>
      <c r="E111" s="2337"/>
      <c r="F111" s="2337"/>
      <c r="G111" s="2337"/>
      <c r="H111" s="2337"/>
      <c r="I111" s="2337"/>
      <c r="J111" s="2337"/>
    </row>
    <row r="112" spans="1:10">
      <c r="A112" s="2337"/>
      <c r="B112" s="2337"/>
      <c r="C112" s="2337"/>
      <c r="D112" s="2337"/>
      <c r="E112" s="2337"/>
      <c r="F112" s="2337"/>
      <c r="G112" s="2337"/>
      <c r="H112" s="2337"/>
      <c r="I112" s="2337"/>
      <c r="J112" s="2337"/>
    </row>
    <row r="113" spans="1:10">
      <c r="A113" s="2337"/>
      <c r="B113" s="2337"/>
      <c r="C113" s="2337"/>
      <c r="D113" s="2337"/>
      <c r="E113" s="2337"/>
      <c r="F113" s="2337"/>
      <c r="G113" s="2337"/>
      <c r="H113" s="2337"/>
      <c r="I113" s="2337"/>
      <c r="J113" s="2337"/>
    </row>
    <row r="114" spans="1:10">
      <c r="A114" s="2337"/>
      <c r="B114" s="2337"/>
      <c r="C114" s="2337"/>
      <c r="D114" s="2337"/>
      <c r="E114" s="2337"/>
      <c r="F114" s="2337"/>
      <c r="G114" s="2337"/>
      <c r="H114" s="2337"/>
      <c r="I114" s="2337"/>
      <c r="J114" s="2337"/>
    </row>
    <row r="115" spans="1:10">
      <c r="A115" s="2337"/>
      <c r="B115" s="2337"/>
      <c r="C115" s="2337"/>
      <c r="D115" s="2337"/>
      <c r="E115" s="2337"/>
      <c r="F115" s="2337"/>
      <c r="G115" s="2337"/>
      <c r="H115" s="2337"/>
      <c r="I115" s="2337"/>
      <c r="J115" s="2337"/>
    </row>
    <row r="116" spans="1:10">
      <c r="A116" s="2337"/>
      <c r="B116" s="2337"/>
      <c r="C116" s="2337"/>
      <c r="D116" s="2337"/>
      <c r="E116" s="2337"/>
      <c r="F116" s="2337"/>
      <c r="G116" s="2337"/>
      <c r="H116" s="2337"/>
      <c r="I116" s="2337"/>
      <c r="J116" s="2337"/>
    </row>
    <row r="117" spans="1:10">
      <c r="A117" s="2337"/>
      <c r="B117" s="2337"/>
      <c r="C117" s="2337"/>
      <c r="D117" s="2337"/>
      <c r="E117" s="2337"/>
      <c r="F117" s="2337"/>
      <c r="G117" s="2337"/>
      <c r="H117" s="2337"/>
      <c r="I117" s="2337"/>
      <c r="J117" s="2337"/>
    </row>
    <row r="118" spans="1:10">
      <c r="A118" s="2337"/>
      <c r="B118" s="2337"/>
      <c r="C118" s="2337"/>
      <c r="D118" s="2337"/>
      <c r="E118" s="2337"/>
      <c r="F118" s="2337"/>
      <c r="G118" s="2337"/>
      <c r="H118" s="2337"/>
      <c r="I118" s="2337"/>
      <c r="J118" s="2337"/>
    </row>
    <row r="119" spans="1:10">
      <c r="A119" s="2337"/>
      <c r="B119" s="2337"/>
      <c r="C119" s="2337"/>
      <c r="D119" s="2337"/>
      <c r="E119" s="2337"/>
      <c r="F119" s="2337"/>
      <c r="G119" s="2337"/>
      <c r="H119" s="2337"/>
      <c r="I119" s="2337"/>
      <c r="J119" s="2337"/>
    </row>
    <row r="120" spans="1:10">
      <c r="A120" s="2337"/>
      <c r="B120" s="2337"/>
      <c r="C120" s="2337"/>
      <c r="D120" s="2337"/>
      <c r="E120" s="2337"/>
      <c r="F120" s="2337"/>
      <c r="G120" s="2337"/>
      <c r="H120" s="2337"/>
      <c r="I120" s="2337"/>
      <c r="J120" s="2337"/>
    </row>
    <row r="121" spans="1:10">
      <c r="A121" s="2337"/>
      <c r="B121" s="2337"/>
      <c r="C121" s="2337"/>
      <c r="D121" s="2337"/>
      <c r="E121" s="2337"/>
      <c r="F121" s="2337"/>
      <c r="G121" s="2337"/>
      <c r="H121" s="2337"/>
      <c r="I121" s="2337"/>
      <c r="J121" s="2337"/>
    </row>
    <row r="122" spans="1:10">
      <c r="A122" s="2337"/>
      <c r="B122" s="2337"/>
      <c r="C122" s="2337"/>
      <c r="D122" s="2337"/>
      <c r="E122" s="2337"/>
      <c r="F122" s="2337"/>
      <c r="G122" s="2337"/>
      <c r="H122" s="2337"/>
      <c r="I122" s="2337"/>
      <c r="J122" s="2337"/>
    </row>
    <row r="123" spans="1:10">
      <c r="A123" s="2337"/>
      <c r="B123" s="2337"/>
      <c r="C123" s="2337"/>
      <c r="D123" s="2337"/>
      <c r="E123" s="2337"/>
      <c r="F123" s="2337"/>
      <c r="G123" s="2337"/>
      <c r="H123" s="2337"/>
      <c r="I123" s="2337"/>
      <c r="J123" s="2337"/>
    </row>
    <row r="124" spans="1:10">
      <c r="A124" s="2337"/>
      <c r="B124" s="2337"/>
      <c r="C124" s="2337"/>
      <c r="D124" s="2337"/>
      <c r="E124" s="2337"/>
      <c r="F124" s="2337"/>
      <c r="G124" s="2337"/>
      <c r="H124" s="2337"/>
      <c r="I124" s="2337"/>
      <c r="J124" s="2337"/>
    </row>
    <row r="125" spans="1:10">
      <c r="A125" s="2337"/>
      <c r="B125" s="2337"/>
      <c r="C125" s="2337"/>
      <c r="D125" s="2337"/>
      <c r="E125" s="2337"/>
      <c r="F125" s="2337"/>
      <c r="G125" s="2337"/>
      <c r="H125" s="2337"/>
      <c r="I125" s="2337"/>
      <c r="J125" s="2337"/>
    </row>
    <row r="126" spans="1:10">
      <c r="A126" s="2337"/>
      <c r="B126" s="2337"/>
      <c r="C126" s="2337"/>
      <c r="D126" s="2337"/>
      <c r="E126" s="2337"/>
      <c r="F126" s="2337"/>
      <c r="G126" s="2337"/>
      <c r="H126" s="2337"/>
      <c r="I126" s="2337"/>
      <c r="J126" s="2337"/>
    </row>
  </sheetData>
  <sheetProtection selectLockedCells="1" selectUnlockedCells="1"/>
  <mergeCells count="85">
    <mergeCell ref="A30:J30"/>
    <mergeCell ref="A32:J32"/>
    <mergeCell ref="A13:J13"/>
    <mergeCell ref="A14:J14"/>
    <mergeCell ref="A16:J16"/>
    <mergeCell ref="A17:J17"/>
    <mergeCell ref="A19:J19"/>
    <mergeCell ref="A21:J21"/>
    <mergeCell ref="A24:J24"/>
    <mergeCell ref="A26:J26"/>
    <mergeCell ref="A27:J27"/>
    <mergeCell ref="A29:J29"/>
    <mergeCell ref="A23:G23"/>
    <mergeCell ref="H23:J23"/>
    <mergeCell ref="A22:G22"/>
    <mergeCell ref="H22:J22"/>
    <mergeCell ref="B36:F36"/>
    <mergeCell ref="B37:F37"/>
    <mergeCell ref="B38:F38"/>
    <mergeCell ref="B34:F34"/>
    <mergeCell ref="G34:J34"/>
    <mergeCell ref="B35:F35"/>
    <mergeCell ref="G38:H38"/>
    <mergeCell ref="G35:H35"/>
    <mergeCell ref="G36:H36"/>
    <mergeCell ref="G37:H37"/>
    <mergeCell ref="B42:F42"/>
    <mergeCell ref="B43:F43"/>
    <mergeCell ref="B44:F44"/>
    <mergeCell ref="B39:F39"/>
    <mergeCell ref="B40:F40"/>
    <mergeCell ref="B41:F41"/>
    <mergeCell ref="B45:F45"/>
    <mergeCell ref="B46:F46"/>
    <mergeCell ref="B47:F47"/>
    <mergeCell ref="B48:F48"/>
    <mergeCell ref="B49:F49"/>
    <mergeCell ref="A77:G77"/>
    <mergeCell ref="A78:G78"/>
    <mergeCell ref="B64:D64"/>
    <mergeCell ref="B66:D66"/>
    <mergeCell ref="A62:J62"/>
    <mergeCell ref="A63:J63"/>
    <mergeCell ref="A72:G72"/>
    <mergeCell ref="A73:G73"/>
    <mergeCell ref="A74:G74"/>
    <mergeCell ref="A75:G75"/>
    <mergeCell ref="A76:G76"/>
    <mergeCell ref="G46:H46"/>
    <mergeCell ref="G47:H47"/>
    <mergeCell ref="E68:G68"/>
    <mergeCell ref="A69:C69"/>
    <mergeCell ref="E69:G69"/>
    <mergeCell ref="A61:J61"/>
    <mergeCell ref="B53:F53"/>
    <mergeCell ref="B54:F54"/>
    <mergeCell ref="B55:F55"/>
    <mergeCell ref="B50:F50"/>
    <mergeCell ref="B51:F51"/>
    <mergeCell ref="B52:F52"/>
    <mergeCell ref="G60:H60"/>
    <mergeCell ref="B56:F56"/>
    <mergeCell ref="B57:F57"/>
    <mergeCell ref="B58:F58"/>
    <mergeCell ref="G39:H39"/>
    <mergeCell ref="G40:H40"/>
    <mergeCell ref="G41:H41"/>
    <mergeCell ref="G42:H42"/>
    <mergeCell ref="G59:H59"/>
    <mergeCell ref="G53:H53"/>
    <mergeCell ref="G54:H54"/>
    <mergeCell ref="G55:H55"/>
    <mergeCell ref="G48:H48"/>
    <mergeCell ref="G49:H49"/>
    <mergeCell ref="G50:H50"/>
    <mergeCell ref="G51:H51"/>
    <mergeCell ref="G52:H52"/>
    <mergeCell ref="G43:H43"/>
    <mergeCell ref="G44:H44"/>
    <mergeCell ref="G45:H45"/>
    <mergeCell ref="B59:F59"/>
    <mergeCell ref="B60:F60"/>
    <mergeCell ref="G56:H56"/>
    <mergeCell ref="G57:H57"/>
    <mergeCell ref="G58:H58"/>
  </mergeCells>
  <phoneticPr fontId="51" type="noConversion"/>
  <hyperlinks>
    <hyperlink ref="K35" location="申报主表!A1" display="申报主表"/>
    <hyperlink ref="K37" location="利润!A1" display="利润及利润分配表"/>
    <hyperlink ref="K39" location="纳税调整明细表!A1" display="纳税调整明细表"/>
  </hyperlinks>
  <pageMargins left="0.72" right="0.35433070866141703" top="0.511811023622047" bottom="0.55000000000000004" header="0.511811023622047" footer="0.511811023622047"/>
  <pageSetup paperSize="9" firstPageNumber="0" fitToHeight="0" orientation="portrait" blackAndWhite="1" r:id="rId1"/>
  <headerFooter alignWithMargins="0"/>
  <drawing r:id="rId2"/>
  <legacyDrawing r:id="rId3"/>
</worksheet>
</file>

<file path=xl/worksheets/sheet10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68">
    <pageSetUpPr fitToPage="1"/>
  </sheetPr>
  <dimension ref="A1:L30"/>
  <sheetViews>
    <sheetView workbookViewId="0">
      <selection activeCell="C12" sqref="C12:K12"/>
    </sheetView>
  </sheetViews>
  <sheetFormatPr defaultColWidth="9" defaultRowHeight="15.6"/>
  <cols>
    <col min="1" max="1" width="6.8984375" style="48" customWidth="1"/>
    <col min="2" max="2" width="5.19921875" style="48" customWidth="1"/>
    <col min="3" max="3" width="9.09765625" style="48" customWidth="1"/>
    <col min="4" max="4" width="4.8984375" style="48" customWidth="1"/>
    <col min="5" max="5" width="13.59765625" style="48" customWidth="1"/>
    <col min="6" max="6" width="8.5" style="48" customWidth="1"/>
    <col min="7" max="7" width="2" style="48" customWidth="1"/>
    <col min="8" max="8" width="10.69921875" style="48" customWidth="1"/>
    <col min="9" max="9" width="3" style="48" customWidth="1"/>
    <col min="10" max="10" width="11.5" style="48" customWidth="1"/>
    <col min="11" max="11" width="11.19921875" style="48" customWidth="1"/>
    <col min="12" max="12" width="49.8984375" style="2340" customWidth="1"/>
    <col min="13" max="16384" width="9" style="2340"/>
  </cols>
  <sheetData>
    <row r="1" spans="1:12" ht="25.5" customHeight="1">
      <c r="A1" s="3738" t="s">
        <v>6979</v>
      </c>
      <c r="B1" s="3738"/>
      <c r="C1" s="2338"/>
      <c r="D1" s="2338"/>
      <c r="E1" s="2338"/>
      <c r="F1" s="2338"/>
      <c r="G1" s="2338"/>
      <c r="H1" s="2338"/>
      <c r="I1" s="2338"/>
      <c r="J1" s="2338"/>
      <c r="K1" s="2338"/>
      <c r="L1" s="2339"/>
    </row>
    <row r="2" spans="1:12" ht="41.25" customHeight="1">
      <c r="A2" s="2707" t="s">
        <v>6980</v>
      </c>
      <c r="B2" s="2707"/>
      <c r="C2" s="2707"/>
      <c r="D2" s="2707"/>
      <c r="E2" s="2707"/>
      <c r="F2" s="2707"/>
      <c r="G2" s="2707"/>
      <c r="H2" s="2707"/>
      <c r="I2" s="2707"/>
      <c r="J2" s="2707"/>
      <c r="K2" s="2707"/>
      <c r="L2" s="2339"/>
    </row>
    <row r="3" spans="1:12" ht="21" customHeight="1">
      <c r="A3" s="3055" t="str">
        <f>"报告文号："&amp;基本情况!B18</f>
        <v>报告文号：</v>
      </c>
      <c r="B3" s="3055"/>
      <c r="C3" s="3055"/>
      <c r="D3" s="3055"/>
      <c r="E3" s="3055"/>
      <c r="F3" s="3055"/>
      <c r="G3" s="3739" t="str">
        <f>"索引号："&amp;档案索引!A24</f>
        <v>索引号：2A-4</v>
      </c>
      <c r="H3" s="3739"/>
      <c r="I3" s="3739"/>
      <c r="J3" s="3740" t="s">
        <v>6981</v>
      </c>
      <c r="K3" s="3740"/>
      <c r="L3" s="2339"/>
    </row>
    <row r="4" spans="1:12" s="2342" customFormat="1" ht="24" customHeight="1">
      <c r="A4" s="3736" t="s">
        <v>6982</v>
      </c>
      <c r="B4" s="3736"/>
      <c r="C4" s="3737">
        <f>基本情况!B2</f>
        <v>0</v>
      </c>
      <c r="D4" s="3737"/>
      <c r="E4" s="3737"/>
      <c r="F4" s="3737"/>
      <c r="G4" s="2959" t="s">
        <v>428</v>
      </c>
      <c r="H4" s="2959"/>
      <c r="I4" s="2959"/>
      <c r="J4" s="3730">
        <f>基本情况!B41</f>
        <v>0</v>
      </c>
      <c r="K4" s="3730"/>
      <c r="L4" s="2341" t="s">
        <v>396</v>
      </c>
    </row>
    <row r="5" spans="1:12" s="2342" customFormat="1" ht="24" customHeight="1">
      <c r="A5" s="3736"/>
      <c r="B5" s="3736"/>
      <c r="C5" s="3737"/>
      <c r="D5" s="3737"/>
      <c r="E5" s="3737"/>
      <c r="F5" s="3737"/>
      <c r="G5" s="2959" t="s">
        <v>429</v>
      </c>
      <c r="H5" s="2959"/>
      <c r="I5" s="2959"/>
      <c r="J5" s="3730">
        <f>基本情况!B42</f>
        <v>0</v>
      </c>
      <c r="K5" s="3730"/>
      <c r="L5" s="2318" t="s">
        <v>62</v>
      </c>
    </row>
    <row r="6" spans="1:12" s="2342" customFormat="1" ht="24" customHeight="1">
      <c r="A6" s="3731" t="s">
        <v>6983</v>
      </c>
      <c r="B6" s="3731"/>
      <c r="C6" s="3735">
        <f>基本情况!B31</f>
        <v>0</v>
      </c>
      <c r="D6" s="3735"/>
      <c r="E6" s="3735"/>
      <c r="F6" s="3735"/>
      <c r="G6" s="2959" t="s">
        <v>409</v>
      </c>
      <c r="H6" s="2959"/>
      <c r="I6" s="2959"/>
      <c r="J6" s="3733">
        <f>IF(基本情况!B34="","",基本情况!B34)</f>
        <v>0</v>
      </c>
      <c r="K6" s="3733"/>
      <c r="L6" s="2343"/>
    </row>
    <row r="7" spans="1:12" s="2342" customFormat="1" ht="24" customHeight="1">
      <c r="A7" s="3731"/>
      <c r="B7" s="3731"/>
      <c r="C7" s="3735"/>
      <c r="D7" s="3735"/>
      <c r="E7" s="3735"/>
      <c r="F7" s="3735"/>
      <c r="G7" s="2959" t="s">
        <v>408</v>
      </c>
      <c r="H7" s="2959"/>
      <c r="I7" s="2959"/>
      <c r="J7" s="3733">
        <f>IF(基本情况!B33="","",基本情况!B33)</f>
        <v>0</v>
      </c>
      <c r="K7" s="3733"/>
      <c r="L7" s="2343"/>
    </row>
    <row r="8" spans="1:12" s="2342" customFormat="1" ht="24" customHeight="1">
      <c r="A8" s="2959" t="s">
        <v>425</v>
      </c>
      <c r="B8" s="2959"/>
      <c r="C8" s="3733" t="e">
        <f>IF(基本情况!B39="","",基本情况!B39)</f>
        <v>#N/A</v>
      </c>
      <c r="D8" s="3733"/>
      <c r="E8" s="3733"/>
      <c r="F8" s="3733"/>
      <c r="G8" s="2959" t="s">
        <v>433</v>
      </c>
      <c r="H8" s="2959"/>
      <c r="I8" s="2959"/>
      <c r="J8" s="3733">
        <f>基本情况!B47</f>
        <v>0</v>
      </c>
      <c r="K8" s="3733"/>
      <c r="L8" s="2343"/>
    </row>
    <row r="9" spans="1:12" s="2342" customFormat="1" ht="24" customHeight="1">
      <c r="A9" s="3734" t="s">
        <v>427</v>
      </c>
      <c r="B9" s="3734"/>
      <c r="C9" s="3733" t="e">
        <f>IF(基本情况!B40="","",基本情况!B40)</f>
        <v>#N/A</v>
      </c>
      <c r="D9" s="3733"/>
      <c r="E9" s="3733"/>
      <c r="F9" s="3733"/>
      <c r="G9" s="2959"/>
      <c r="H9" s="2959"/>
      <c r="I9" s="2959"/>
      <c r="J9" s="3733"/>
      <c r="K9" s="3733"/>
      <c r="L9" s="2343"/>
    </row>
    <row r="10" spans="1:12" s="2342" customFormat="1" ht="24" customHeight="1">
      <c r="A10" s="2959" t="s">
        <v>6984</v>
      </c>
      <c r="B10" s="2959"/>
      <c r="C10" s="3732" t="s">
        <v>6985</v>
      </c>
      <c r="D10" s="3732"/>
      <c r="E10" s="2344">
        <f>IF(基本情况!B45="","",基本情况!B45)</f>
        <v>0</v>
      </c>
      <c r="F10" s="2959" t="s">
        <v>1625</v>
      </c>
      <c r="G10" s="2959"/>
      <c r="H10" s="2959"/>
      <c r="I10" s="2959"/>
      <c r="J10" s="3733" t="str">
        <f>IF(基本情况!B48="","",基本情况!B48)</f>
        <v>0</v>
      </c>
      <c r="K10" s="3733"/>
      <c r="L10" s="2343"/>
    </row>
    <row r="11" spans="1:12" s="2342" customFormat="1" ht="24" customHeight="1">
      <c r="A11" s="2959"/>
      <c r="B11" s="2959"/>
      <c r="C11" s="3732" t="s">
        <v>6986</v>
      </c>
      <c r="D11" s="3732"/>
      <c r="E11" s="2345">
        <f>IF(基本情况!B44="","",基本情况!B44)</f>
        <v>0</v>
      </c>
      <c r="F11" s="2959" t="s">
        <v>6987</v>
      </c>
      <c r="G11" s="2959"/>
      <c r="H11" s="2959"/>
      <c r="I11" s="2959"/>
      <c r="J11" s="3733">
        <f>基本情况!B43</f>
        <v>0</v>
      </c>
      <c r="K11" s="3733"/>
      <c r="L11" s="2343"/>
    </row>
    <row r="12" spans="1:12" s="2342" customFormat="1" ht="75.75" customHeight="1">
      <c r="A12" s="2959" t="s">
        <v>432</v>
      </c>
      <c r="B12" s="2959"/>
      <c r="C12" s="3729">
        <f>基本情况!B46</f>
        <v>0</v>
      </c>
      <c r="D12" s="3729"/>
      <c r="E12" s="3729"/>
      <c r="F12" s="3729"/>
      <c r="G12" s="3729"/>
      <c r="H12" s="3729"/>
      <c r="I12" s="3729"/>
      <c r="J12" s="3729"/>
      <c r="K12" s="3729"/>
      <c r="L12" s="2343"/>
    </row>
    <row r="13" spans="1:12" s="2342" customFormat="1" ht="21" customHeight="1">
      <c r="A13" s="2959" t="s">
        <v>419</v>
      </c>
      <c r="B13" s="2959"/>
      <c r="C13" s="3730">
        <f>基本情况!B35</f>
        <v>0</v>
      </c>
      <c r="D13" s="3730"/>
      <c r="E13" s="3730"/>
      <c r="F13" s="3731" t="s">
        <v>420</v>
      </c>
      <c r="G13" s="3731"/>
      <c r="H13" s="3730">
        <f>基本情况!B36</f>
        <v>0</v>
      </c>
      <c r="I13" s="3730"/>
      <c r="J13" s="3730"/>
      <c r="K13" s="3730"/>
      <c r="L13" s="2343"/>
    </row>
    <row r="14" spans="1:12" s="2342" customFormat="1" ht="21" customHeight="1">
      <c r="A14" s="2959" t="s">
        <v>6988</v>
      </c>
      <c r="B14" s="2959"/>
      <c r="C14" s="2959"/>
      <c r="D14" s="2959"/>
      <c r="E14" s="2959" t="s">
        <v>6989</v>
      </c>
      <c r="F14" s="2959" t="s">
        <v>6990</v>
      </c>
      <c r="G14" s="2959"/>
      <c r="H14" s="2959" t="s">
        <v>6991</v>
      </c>
      <c r="I14" s="2959" t="s">
        <v>6992</v>
      </c>
      <c r="J14" s="2959"/>
      <c r="K14" s="2959" t="s">
        <v>6993</v>
      </c>
      <c r="L14" s="2343"/>
    </row>
    <row r="15" spans="1:12" s="2342" customFormat="1" ht="21" customHeight="1">
      <c r="A15" s="2959"/>
      <c r="B15" s="2959"/>
      <c r="C15" s="2959"/>
      <c r="D15" s="2959"/>
      <c r="E15" s="2959"/>
      <c r="F15" s="2959"/>
      <c r="G15" s="2959"/>
      <c r="H15" s="2959"/>
      <c r="I15" s="2959"/>
      <c r="J15" s="2959"/>
      <c r="K15" s="2959"/>
      <c r="L15" s="2343"/>
    </row>
    <row r="16" spans="1:12" s="2342" customFormat="1" ht="24" customHeight="1">
      <c r="A16" s="3726" t="str">
        <f>IF(基本情况!A52="","",基本情况!A52)</f>
        <v/>
      </c>
      <c r="B16" s="3726"/>
      <c r="C16" s="3726"/>
      <c r="D16" s="3726"/>
      <c r="E16" s="2346"/>
      <c r="F16" s="3726" t="str">
        <f>IF(基本情况!B52="","",基本情况!B52/10000)</f>
        <v/>
      </c>
      <c r="G16" s="3726"/>
      <c r="H16" s="2347" t="str">
        <f>IF(A16="","",基本情况!C52)</f>
        <v/>
      </c>
      <c r="I16" s="3726" t="str">
        <f>IF(基本情况!D52="","",基本情况!D52/10000)</f>
        <v/>
      </c>
      <c r="J16" s="3726"/>
      <c r="K16" s="2347" t="str">
        <f>IF(A16="","",基本情况!E52)</f>
        <v/>
      </c>
      <c r="L16" s="2343"/>
    </row>
    <row r="17" spans="1:12" s="2342" customFormat="1" ht="24" customHeight="1">
      <c r="A17" s="3726" t="str">
        <f>IF(基本情况!A53="","",基本情况!A53)</f>
        <v/>
      </c>
      <c r="B17" s="3726"/>
      <c r="C17" s="3726"/>
      <c r="D17" s="3726"/>
      <c r="E17" s="2346"/>
      <c r="F17" s="3726" t="str">
        <f>IF(基本情况!B53="","",基本情况!B53/10000)</f>
        <v/>
      </c>
      <c r="G17" s="3726"/>
      <c r="H17" s="2347" t="str">
        <f>IF(A17="","",基本情况!C53)</f>
        <v/>
      </c>
      <c r="I17" s="3726" t="str">
        <f>IF(基本情况!D53="","",基本情况!D53/10000)</f>
        <v/>
      </c>
      <c r="J17" s="3726"/>
      <c r="K17" s="2347" t="str">
        <f>IF(A17="","",基本情况!E53)</f>
        <v/>
      </c>
      <c r="L17" s="2343"/>
    </row>
    <row r="18" spans="1:12" s="2342" customFormat="1" ht="24" customHeight="1">
      <c r="A18" s="3726" t="str">
        <f>IF(基本情况!A54="","",基本情况!A54)</f>
        <v/>
      </c>
      <c r="B18" s="3726"/>
      <c r="C18" s="3726"/>
      <c r="D18" s="3726"/>
      <c r="E18" s="2346"/>
      <c r="F18" s="3726" t="str">
        <f>IF(基本情况!B54="","",基本情况!B54/10000)</f>
        <v/>
      </c>
      <c r="G18" s="3726"/>
      <c r="H18" s="2347" t="str">
        <f>IF(A18="","",基本情况!C54)</f>
        <v/>
      </c>
      <c r="I18" s="3726" t="str">
        <f>IF(基本情况!D54="","",基本情况!D54/10000)</f>
        <v/>
      </c>
      <c r="J18" s="3726"/>
      <c r="K18" s="2347" t="str">
        <f>IF(A18="","",基本情况!E54)</f>
        <v/>
      </c>
      <c r="L18" s="2343"/>
    </row>
    <row r="19" spans="1:12" s="2342" customFormat="1" ht="24" customHeight="1">
      <c r="A19" s="3726" t="str">
        <f>IF(基本情况!A55="","",基本情况!A55)</f>
        <v/>
      </c>
      <c r="B19" s="3726"/>
      <c r="C19" s="3726"/>
      <c r="D19" s="3726"/>
      <c r="E19" s="2346"/>
      <c r="F19" s="3726" t="str">
        <f>IF(基本情况!B55="","",基本情况!B55/10000)</f>
        <v/>
      </c>
      <c r="G19" s="3726"/>
      <c r="H19" s="2347" t="str">
        <f>IF(A19="","",基本情况!C55)</f>
        <v/>
      </c>
      <c r="I19" s="3726" t="str">
        <f>IF(基本情况!D55="","",基本情况!D55/10000)</f>
        <v/>
      </c>
      <c r="J19" s="3726"/>
      <c r="K19" s="2347" t="str">
        <f>IF(A19="","",基本情况!E55)</f>
        <v/>
      </c>
      <c r="L19" s="2343"/>
    </row>
    <row r="20" spans="1:12" s="2342" customFormat="1" ht="24" customHeight="1">
      <c r="A20" s="3726" t="str">
        <f>IF(基本情况!A56="","",基本情况!A56)</f>
        <v/>
      </c>
      <c r="B20" s="3726"/>
      <c r="C20" s="3726"/>
      <c r="D20" s="3726"/>
      <c r="E20" s="2346"/>
      <c r="F20" s="3726" t="str">
        <f>IF(基本情况!B56="","",基本情况!B56/10000)</f>
        <v/>
      </c>
      <c r="G20" s="3726"/>
      <c r="H20" s="2347" t="str">
        <f>IF(A20="","",基本情况!C56)</f>
        <v/>
      </c>
      <c r="I20" s="3726" t="str">
        <f>IF(基本情况!D56="","",基本情况!D56/10000)</f>
        <v/>
      </c>
      <c r="J20" s="3726"/>
      <c r="K20" s="2347" t="str">
        <f>IF(A20="","",基本情况!E56)</f>
        <v/>
      </c>
      <c r="L20" s="2343"/>
    </row>
    <row r="21" spans="1:12" s="2342" customFormat="1" ht="21" customHeight="1">
      <c r="A21" s="2959" t="s">
        <v>6994</v>
      </c>
      <c r="B21" s="2959"/>
      <c r="C21" s="2959"/>
      <c r="D21" s="2959"/>
      <c r="E21" s="2348">
        <f>SUM(E16:E20)</f>
        <v>0</v>
      </c>
      <c r="F21" s="3727">
        <f>SUM(F16:G20)</f>
        <v>0</v>
      </c>
      <c r="G21" s="3727">
        <f>SUM(G16:G18)</f>
        <v>0</v>
      </c>
      <c r="H21" s="2349">
        <f>SUM(H16:H20)</f>
        <v>0</v>
      </c>
      <c r="I21" s="3728">
        <f>SUM(I16:J20)</f>
        <v>0</v>
      </c>
      <c r="J21" s="3728"/>
      <c r="K21" s="2349">
        <f>SUM(K16:K20)</f>
        <v>0</v>
      </c>
      <c r="L21" s="2343"/>
    </row>
    <row r="22" spans="1:12" s="2342" customFormat="1" ht="21" customHeight="1">
      <c r="A22" s="3725" t="s">
        <v>6995</v>
      </c>
      <c r="B22" s="2959" t="s">
        <v>6996</v>
      </c>
      <c r="C22" s="2959"/>
      <c r="D22" s="2959"/>
      <c r="E22" s="2350" t="s">
        <v>1626</v>
      </c>
      <c r="F22" s="2959" t="s">
        <v>1627</v>
      </c>
      <c r="G22" s="2959"/>
      <c r="H22" s="2959" t="s">
        <v>6996</v>
      </c>
      <c r="I22" s="2959"/>
      <c r="J22" s="2350" t="s">
        <v>1626</v>
      </c>
      <c r="K22" s="2350" t="s">
        <v>1627</v>
      </c>
      <c r="L22" s="2343"/>
    </row>
    <row r="23" spans="1:12" s="2342" customFormat="1" ht="21" customHeight="1">
      <c r="A23" s="3725"/>
      <c r="B23" s="3724"/>
      <c r="C23" s="3724"/>
      <c r="D23" s="3724"/>
      <c r="E23" s="2351"/>
      <c r="F23" s="3724"/>
      <c r="G23" s="3724"/>
      <c r="H23" s="3724"/>
      <c r="I23" s="3724"/>
      <c r="J23" s="2351"/>
      <c r="K23" s="2351"/>
      <c r="L23" s="2343"/>
    </row>
    <row r="24" spans="1:12" s="2342" customFormat="1" ht="21" customHeight="1">
      <c r="A24" s="3725"/>
      <c r="B24" s="3724"/>
      <c r="C24" s="3724"/>
      <c r="D24" s="3724"/>
      <c r="E24" s="2351"/>
      <c r="F24" s="3724"/>
      <c r="G24" s="3724"/>
      <c r="H24" s="3724"/>
      <c r="I24" s="3724"/>
      <c r="J24" s="2351"/>
      <c r="K24" s="2351"/>
      <c r="L24" s="2343"/>
    </row>
    <row r="25" spans="1:12" s="2342" customFormat="1" ht="21" customHeight="1">
      <c r="A25" s="3725"/>
      <c r="B25" s="3724"/>
      <c r="C25" s="3724"/>
      <c r="D25" s="3724"/>
      <c r="E25" s="2351"/>
      <c r="F25" s="3724"/>
      <c r="G25" s="3724"/>
      <c r="H25" s="3724"/>
      <c r="I25" s="3724"/>
      <c r="J25" s="2351"/>
      <c r="K25" s="2351"/>
      <c r="L25" s="2343"/>
    </row>
    <row r="26" spans="1:12" s="2342" customFormat="1" ht="21" customHeight="1">
      <c r="A26" s="3725"/>
      <c r="B26" s="3724"/>
      <c r="C26" s="3724"/>
      <c r="D26" s="3724"/>
      <c r="E26" s="2351"/>
      <c r="F26" s="3724"/>
      <c r="G26" s="3724"/>
      <c r="H26" s="3724"/>
      <c r="I26" s="3724"/>
      <c r="J26" s="2351"/>
      <c r="K26" s="2351"/>
      <c r="L26" s="2343"/>
    </row>
    <row r="27" spans="1:12" s="2342" customFormat="1" ht="21" customHeight="1">
      <c r="A27" s="3725"/>
      <c r="B27" s="3724"/>
      <c r="C27" s="3724"/>
      <c r="D27" s="3724"/>
      <c r="E27" s="2351"/>
      <c r="F27" s="3724"/>
      <c r="G27" s="3724"/>
      <c r="H27" s="3724"/>
      <c r="I27" s="3724"/>
      <c r="J27" s="2351"/>
      <c r="K27" s="2351"/>
      <c r="L27" s="2343"/>
    </row>
    <row r="28" spans="1:12" s="2342" customFormat="1" ht="21" customHeight="1">
      <c r="A28" s="3725"/>
      <c r="B28" s="3724"/>
      <c r="C28" s="3724"/>
      <c r="D28" s="3724"/>
      <c r="E28" s="2351"/>
      <c r="F28" s="3724"/>
      <c r="G28" s="3724"/>
      <c r="H28" s="3724"/>
      <c r="I28" s="3724"/>
      <c r="J28" s="2351"/>
      <c r="K28" s="2351"/>
      <c r="L28" s="2343"/>
    </row>
    <row r="29" spans="1:12" s="2342" customFormat="1" ht="21" customHeight="1">
      <c r="A29" s="2959" t="s">
        <v>444</v>
      </c>
      <c r="B29" s="2959"/>
      <c r="C29" s="2959"/>
      <c r="D29" s="3723">
        <f>基本情况!B65</f>
        <v>0</v>
      </c>
      <c r="E29" s="3723"/>
      <c r="F29" s="2959" t="s">
        <v>6997</v>
      </c>
      <c r="G29" s="2959"/>
      <c r="H29" s="2959"/>
      <c r="I29" s="3723">
        <f>基本情况!B66</f>
        <v>0</v>
      </c>
      <c r="J29" s="3723"/>
      <c r="K29" s="3723"/>
      <c r="L29" s="2343"/>
    </row>
    <row r="30" spans="1:12" s="2342" customFormat="1" ht="26.25" customHeight="1">
      <c r="A30" s="2959"/>
      <c r="B30" s="2959"/>
      <c r="C30" s="2959"/>
      <c r="D30" s="3723"/>
      <c r="E30" s="3723"/>
      <c r="F30" s="2959"/>
      <c r="G30" s="2959"/>
      <c r="H30" s="2959"/>
      <c r="I30" s="3723"/>
      <c r="J30" s="3723"/>
      <c r="K30" s="3723"/>
      <c r="L30" s="2343"/>
    </row>
  </sheetData>
  <sheetProtection selectLockedCells="1" selectUnlockedCells="1"/>
  <mergeCells count="86">
    <mergeCell ref="A1:B1"/>
    <mergeCell ref="A2:K2"/>
    <mergeCell ref="A3:F3"/>
    <mergeCell ref="G3:I3"/>
    <mergeCell ref="J3:K3"/>
    <mergeCell ref="J5:K5"/>
    <mergeCell ref="A6:B7"/>
    <mergeCell ref="C6:F7"/>
    <mergeCell ref="G6:I6"/>
    <mergeCell ref="J6:K6"/>
    <mergeCell ref="G7:I7"/>
    <mergeCell ref="J7:K7"/>
    <mergeCell ref="A4:B5"/>
    <mergeCell ref="C4:F5"/>
    <mergeCell ref="G4:I4"/>
    <mergeCell ref="J4:K4"/>
    <mergeCell ref="G5:I5"/>
    <mergeCell ref="A8:B8"/>
    <mergeCell ref="C8:F8"/>
    <mergeCell ref="G8:I9"/>
    <mergeCell ref="J8:K9"/>
    <mergeCell ref="A9:B9"/>
    <mergeCell ref="C9:F9"/>
    <mergeCell ref="A10:B11"/>
    <mergeCell ref="C10:D10"/>
    <mergeCell ref="F10:I10"/>
    <mergeCell ref="J10:K10"/>
    <mergeCell ref="C11:D11"/>
    <mergeCell ref="F11:I11"/>
    <mergeCell ref="J11:K11"/>
    <mergeCell ref="K14:K15"/>
    <mergeCell ref="A12:B12"/>
    <mergeCell ref="C12:K12"/>
    <mergeCell ref="A13:B13"/>
    <mergeCell ref="C13:E13"/>
    <mergeCell ref="F13:G13"/>
    <mergeCell ref="H13:K13"/>
    <mergeCell ref="A14:D15"/>
    <mergeCell ref="E14:E15"/>
    <mergeCell ref="F14:G15"/>
    <mergeCell ref="H14:H15"/>
    <mergeCell ref="I14:J15"/>
    <mergeCell ref="A16:D16"/>
    <mergeCell ref="F16:G16"/>
    <mergeCell ref="I16:J16"/>
    <mergeCell ref="A17:D17"/>
    <mergeCell ref="F17:G17"/>
    <mergeCell ref="I17:J17"/>
    <mergeCell ref="A18:D18"/>
    <mergeCell ref="F18:G18"/>
    <mergeCell ref="I18:J18"/>
    <mergeCell ref="A19:D19"/>
    <mergeCell ref="F19:G19"/>
    <mergeCell ref="I19:J19"/>
    <mergeCell ref="H23:I23"/>
    <mergeCell ref="B24:D24"/>
    <mergeCell ref="F24:G24"/>
    <mergeCell ref="H24:I24"/>
    <mergeCell ref="A20:D20"/>
    <mergeCell ref="F20:G20"/>
    <mergeCell ref="I20:J20"/>
    <mergeCell ref="A21:D21"/>
    <mergeCell ref="F21:G21"/>
    <mergeCell ref="I21:J21"/>
    <mergeCell ref="B25:D25"/>
    <mergeCell ref="F25:G25"/>
    <mergeCell ref="H25:I25"/>
    <mergeCell ref="B26:D26"/>
    <mergeCell ref="F26:G26"/>
    <mergeCell ref="H26:I26"/>
    <mergeCell ref="A29:C30"/>
    <mergeCell ref="D29:E30"/>
    <mergeCell ref="F29:H30"/>
    <mergeCell ref="I29:K30"/>
    <mergeCell ref="B27:D27"/>
    <mergeCell ref="F27:G27"/>
    <mergeCell ref="H27:I27"/>
    <mergeCell ref="B28:D28"/>
    <mergeCell ref="F28:G28"/>
    <mergeCell ref="H28:I28"/>
    <mergeCell ref="A22:A28"/>
    <mergeCell ref="B22:D22"/>
    <mergeCell ref="F22:G22"/>
    <mergeCell ref="H22:I22"/>
    <mergeCell ref="B23:D23"/>
    <mergeCell ref="F23:G23"/>
  </mergeCells>
  <phoneticPr fontId="51" type="noConversion"/>
  <hyperlinks>
    <hyperlink ref="L5" location="基本情况!A1" display="基本情况表"/>
  </hyperlinks>
  <pageMargins left="0.78740157480314998" right="0.35433070866141703" top="0.511811023622047" bottom="0.11811023622047198" header="0.511811023622047" footer="0.511811023622047"/>
  <pageSetup paperSize="9" scale="98" firstPageNumber="0" orientation="portrait" blackAndWhite="1" r:id="rId1"/>
  <headerFooter alignWithMargins="0"/>
</worksheet>
</file>

<file path=xl/worksheets/sheet10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69"/>
  <dimension ref="A1:K216"/>
  <sheetViews>
    <sheetView workbookViewId="0">
      <selection activeCell="D27" sqref="D27:E27"/>
    </sheetView>
  </sheetViews>
  <sheetFormatPr defaultColWidth="9" defaultRowHeight="15.6"/>
  <cols>
    <col min="1" max="1" width="1.19921875" style="2422" customWidth="1"/>
    <col min="2" max="2" width="22.5" style="2422" customWidth="1"/>
    <col min="3" max="3" width="12.8984375" style="2422" customWidth="1"/>
    <col min="4" max="6" width="12.3984375" style="2422" customWidth="1"/>
    <col min="7" max="7" width="9.59765625" style="2422" customWidth="1"/>
    <col min="8" max="8" width="29.3984375" style="2422" customWidth="1"/>
    <col min="9" max="9" width="18.19921875" style="2422" customWidth="1"/>
    <col min="10" max="16384" width="9" style="2422"/>
  </cols>
  <sheetData>
    <row r="1" spans="1:11" s="2353" customFormat="1" ht="29.25" customHeight="1">
      <c r="A1" s="3783">
        <f>基本情况!B2</f>
        <v>0</v>
      </c>
      <c r="B1" s="3783"/>
      <c r="C1" s="3783"/>
      <c r="D1" s="3783"/>
      <c r="E1" s="3783"/>
      <c r="F1" s="3783"/>
      <c r="G1" s="3783"/>
      <c r="H1" s="2352"/>
      <c r="I1" s="2352"/>
      <c r="J1" s="2352"/>
      <c r="K1" s="2352"/>
    </row>
    <row r="2" spans="1:11" s="2353" customFormat="1" ht="22.5" customHeight="1">
      <c r="A2" s="3784" t="s">
        <v>10081</v>
      </c>
      <c r="B2" s="3784"/>
      <c r="C2" s="3784"/>
      <c r="D2" s="3784"/>
      <c r="E2" s="3784"/>
      <c r="F2" s="3784"/>
      <c r="G2" s="3784"/>
      <c r="H2" s="2352"/>
      <c r="I2" s="2352"/>
      <c r="J2" s="2352"/>
      <c r="K2" s="2352"/>
    </row>
    <row r="3" spans="1:11" s="2353" customFormat="1" ht="14.25" customHeight="1">
      <c r="A3" s="3784"/>
      <c r="B3" s="3784"/>
      <c r="C3" s="3784"/>
      <c r="D3" s="3784"/>
      <c r="E3" s="3784"/>
      <c r="F3" s="3784"/>
      <c r="G3" s="3784"/>
      <c r="H3" s="2352"/>
      <c r="I3" s="2352"/>
      <c r="J3" s="2352"/>
      <c r="K3" s="2352"/>
    </row>
    <row r="4" spans="1:11" s="2353" customFormat="1" ht="36" customHeight="1">
      <c r="A4" s="3785" t="str">
        <f>"    我们接受委托，对贵单位"&amp;IF(OR(基本情况!B6&lt;&gt;"12月31日",基本情况!F5&lt;&gt;"01",基本情况!G5&lt;&gt;"01"),基本情况!B7,基本情况!B4&amp;"年度")&amp;"的企业所得税年度纳税申报事项进行了审核，现将审核情况说明如下："</f>
        <v xml:space="preserve">    我们接受委托，对贵单位2016年度的企业所得税年度纳税申报事项进行了审核，现将审核情况说明如下：</v>
      </c>
      <c r="B4" s="3785"/>
      <c r="C4" s="3785"/>
      <c r="D4" s="3785"/>
      <c r="E4" s="3785"/>
      <c r="F4" s="3785"/>
      <c r="G4" s="3785"/>
      <c r="H4" s="2354"/>
      <c r="I4" s="2355"/>
      <c r="J4" s="2355"/>
      <c r="K4" s="2352"/>
    </row>
    <row r="5" spans="1:11" s="2353" customFormat="1" ht="17.25" customHeight="1">
      <c r="A5" s="3742" t="s">
        <v>6998</v>
      </c>
      <c r="B5" s="3742"/>
      <c r="C5" s="3742"/>
      <c r="D5" s="3742"/>
      <c r="E5" s="3742"/>
      <c r="F5" s="3742"/>
      <c r="G5" s="3742"/>
      <c r="H5" s="2352"/>
      <c r="I5" s="2352"/>
      <c r="J5" s="2352"/>
      <c r="K5" s="2352"/>
    </row>
    <row r="6" spans="1:11" s="2353" customFormat="1" ht="18" customHeight="1">
      <c r="A6" s="3781" t="str">
        <f>"      1、执行《"&amp;基本情况!B38&amp;"》及有关规定；"</f>
        <v xml:space="preserve">      1、执行《小企业会计准则》及有关规定；</v>
      </c>
      <c r="B6" s="3781"/>
      <c r="C6" s="3781"/>
      <c r="D6" s="3781"/>
      <c r="E6" s="3781"/>
      <c r="F6" s="3781"/>
      <c r="G6" s="3781"/>
      <c r="H6" s="1060" t="s">
        <v>396</v>
      </c>
      <c r="I6" s="2352"/>
      <c r="J6" s="2352"/>
      <c r="K6" s="2352"/>
    </row>
    <row r="7" spans="1:11" s="2353" customFormat="1" ht="18" customHeight="1">
      <c r="A7" s="3781" t="str">
        <f>"      2、会计年度自"&amp;基本情况!B7&amp;"；"</f>
        <v xml:space="preserve">      2、会计年度自2016年01月01日至2016年12月31日；</v>
      </c>
      <c r="B7" s="3781"/>
      <c r="C7" s="3781"/>
      <c r="D7" s="3781"/>
      <c r="E7" s="3781"/>
      <c r="F7" s="3781"/>
      <c r="G7" s="3781"/>
      <c r="H7" s="2352"/>
      <c r="I7" s="2352"/>
      <c r="J7" s="2352"/>
      <c r="K7" s="2352"/>
    </row>
    <row r="8" spans="1:11" s="2353" customFormat="1" ht="18" customHeight="1">
      <c r="A8" s="3782" t="s">
        <v>6999</v>
      </c>
      <c r="B8" s="3782"/>
      <c r="C8" s="3782"/>
      <c r="D8" s="3782"/>
      <c r="E8" s="3782"/>
      <c r="F8" s="3782"/>
      <c r="G8" s="3782"/>
      <c r="H8" s="2352"/>
      <c r="I8" s="2352"/>
      <c r="J8" s="2352"/>
      <c r="K8" s="2352"/>
    </row>
    <row r="9" spans="1:11" s="2353" customFormat="1" ht="18" customHeight="1">
      <c r="A9" s="3782" t="s">
        <v>7000</v>
      </c>
      <c r="B9" s="3782"/>
      <c r="C9" s="3782"/>
      <c r="D9" s="3782"/>
      <c r="E9" s="3782"/>
      <c r="F9" s="3782"/>
      <c r="G9" s="3782"/>
      <c r="H9" s="2352"/>
      <c r="I9" s="2352"/>
      <c r="J9" s="2352"/>
      <c r="K9" s="2352"/>
    </row>
    <row r="10" spans="1:11" s="2353" customFormat="1" ht="18" customHeight="1">
      <c r="A10" s="3782" t="s">
        <v>7001</v>
      </c>
      <c r="B10" s="3782"/>
      <c r="C10" s="3782"/>
      <c r="D10" s="3782"/>
      <c r="E10" s="3782"/>
      <c r="F10" s="3782"/>
      <c r="G10" s="3782"/>
      <c r="H10" s="2352"/>
      <c r="I10" s="2352"/>
      <c r="J10" s="2352"/>
      <c r="K10" s="2352"/>
    </row>
    <row r="11" spans="1:11" s="2353" customFormat="1" ht="18" customHeight="1">
      <c r="A11" s="3782" t="s">
        <v>7002</v>
      </c>
      <c r="B11" s="3782"/>
      <c r="C11" s="3782"/>
      <c r="D11" s="3782"/>
      <c r="E11" s="3782"/>
      <c r="F11" s="3782"/>
      <c r="G11" s="3782"/>
      <c r="H11" s="2352"/>
      <c r="I11" s="2352"/>
      <c r="J11" s="2352"/>
      <c r="K11" s="2352"/>
    </row>
    <row r="12" spans="1:11" s="2353" customFormat="1" ht="18" customHeight="1">
      <c r="A12" s="3782" t="s">
        <v>7003</v>
      </c>
      <c r="B12" s="3782"/>
      <c r="C12" s="3782"/>
      <c r="D12" s="3782"/>
      <c r="E12" s="3782"/>
      <c r="F12" s="3782"/>
      <c r="G12" s="3782"/>
      <c r="H12" s="2352"/>
      <c r="I12" s="2352"/>
      <c r="J12" s="2352"/>
      <c r="K12" s="2352"/>
    </row>
    <row r="13" spans="1:11" s="2353" customFormat="1" ht="18" customHeight="1">
      <c r="A13" s="3742" t="s">
        <v>7004</v>
      </c>
      <c r="B13" s="3742"/>
      <c r="C13" s="3742"/>
      <c r="D13" s="3742"/>
      <c r="E13" s="3742"/>
      <c r="F13" s="3742"/>
      <c r="G13" s="3742"/>
      <c r="H13" s="2352"/>
      <c r="I13" s="2352"/>
      <c r="J13" s="2352"/>
      <c r="K13" s="2352"/>
    </row>
    <row r="14" spans="1:11" s="2357" customFormat="1" ht="22.5" customHeight="1">
      <c r="A14" s="3742" t="s">
        <v>7005</v>
      </c>
      <c r="B14" s="3742"/>
      <c r="C14" s="3742"/>
      <c r="D14" s="3742"/>
      <c r="E14" s="3742"/>
      <c r="F14" s="3742"/>
      <c r="G14" s="3742"/>
      <c r="H14" s="2356"/>
      <c r="I14" s="2356"/>
      <c r="J14" s="2356"/>
      <c r="K14" s="2356"/>
    </row>
    <row r="15" spans="1:11" s="2353" customFormat="1" ht="36" customHeight="1">
      <c r="A15" s="3785" t="str">
        <f>"    贵单位" &amp; IF(OR(基本情况!B6&lt;&gt;"12月31日",基本情况!F5&lt;&gt;"01",基本情况!G5&lt;&gt;"01"),基本情况!B7,基本情况!B4&amp;"年度") &amp; "账面销售（营业）收入" &amp; DOLLAR(主营收支!H20+其他业务!C18+其他事项!E10,2) &amp; "元，利润总额" &amp; DOLLAR(利润!C37,2) &amp; "元，经审核调整如下："</f>
        <v xml:space="preserve">    贵单位2016年度账面销售（营业）收入¥0.00元，利润总额¥0.00元，经审核调整如下：</v>
      </c>
      <c r="B15" s="3785"/>
      <c r="C15" s="3785"/>
      <c r="D15" s="3785"/>
      <c r="E15" s="3785"/>
      <c r="F15" s="3785"/>
      <c r="G15" s="3785"/>
      <c r="H15" s="2318" t="s">
        <v>643</v>
      </c>
      <c r="I15" s="2358"/>
      <c r="J15" s="2352"/>
      <c r="K15" s="2352"/>
    </row>
    <row r="16" spans="1:11" s="2353" customFormat="1" ht="22.5" customHeight="1">
      <c r="A16" s="2359" t="s">
        <v>1404</v>
      </c>
      <c r="B16" s="2360" t="s">
        <v>7006</v>
      </c>
      <c r="C16" s="2361">
        <f>D21</f>
        <v>0</v>
      </c>
      <c r="D16" s="2360" t="s">
        <v>7007</v>
      </c>
      <c r="E16" s="2360"/>
      <c r="F16" s="2360"/>
      <c r="G16" s="2360"/>
      <c r="H16" s="2352"/>
      <c r="I16" s="2358"/>
      <c r="J16" s="2352"/>
      <c r="K16" s="2352"/>
    </row>
    <row r="17" spans="1:11" s="2353" customFormat="1" ht="21.9" hidden="1" customHeight="1">
      <c r="A17" s="2359"/>
      <c r="B17" s="3775" t="s">
        <v>7008</v>
      </c>
      <c r="C17" s="3776"/>
      <c r="D17" s="2362" t="s">
        <v>7009</v>
      </c>
      <c r="E17" s="3775" t="s">
        <v>7010</v>
      </c>
      <c r="F17" s="3776"/>
      <c r="G17" s="2363" t="s">
        <v>7011</v>
      </c>
      <c r="H17" s="2352"/>
      <c r="I17" s="2358"/>
      <c r="J17" s="2352"/>
      <c r="K17" s="2352"/>
    </row>
    <row r="18" spans="1:11" s="2353" customFormat="1" ht="21.9" hidden="1" customHeight="1">
      <c r="A18" s="2359"/>
      <c r="B18" s="3779" t="s">
        <v>7012</v>
      </c>
      <c r="C18" s="3780"/>
      <c r="D18" s="2364">
        <v>0</v>
      </c>
      <c r="E18" s="3773" t="s">
        <v>7013</v>
      </c>
      <c r="F18" s="3774"/>
      <c r="G18" s="2365"/>
      <c r="H18" s="493" t="s">
        <v>674</v>
      </c>
      <c r="I18" s="2352"/>
      <c r="J18" s="2358"/>
      <c r="K18" s="2352"/>
    </row>
    <row r="19" spans="1:11" s="2353" customFormat="1" ht="21.9" hidden="1" customHeight="1">
      <c r="A19" s="2359"/>
      <c r="B19" s="3770"/>
      <c r="C19" s="3771"/>
      <c r="D19" s="2366"/>
      <c r="E19" s="3769"/>
      <c r="F19" s="3772"/>
      <c r="G19" s="2367"/>
      <c r="H19" s="2352"/>
      <c r="I19" s="2352"/>
      <c r="J19" s="2352"/>
      <c r="K19" s="2352"/>
    </row>
    <row r="20" spans="1:11" s="2353" customFormat="1" ht="21.9" hidden="1" customHeight="1">
      <c r="A20" s="2359"/>
      <c r="B20" s="3770"/>
      <c r="C20" s="3771"/>
      <c r="D20" s="2366"/>
      <c r="E20" s="3773"/>
      <c r="F20" s="3774"/>
      <c r="G20" s="2365"/>
      <c r="H20" s="493" t="s">
        <v>7014</v>
      </c>
      <c r="I20" s="2352"/>
      <c r="J20" s="2352"/>
      <c r="K20" s="2352"/>
    </row>
    <row r="21" spans="1:11" s="2372" customFormat="1" ht="21.9" hidden="1" customHeight="1">
      <c r="A21" s="2368"/>
      <c r="B21" s="3775" t="s">
        <v>7015</v>
      </c>
      <c r="C21" s="3776"/>
      <c r="D21" s="2369">
        <f>SUM(D18:D20)</f>
        <v>0</v>
      </c>
      <c r="E21" s="3777"/>
      <c r="F21" s="3778"/>
      <c r="G21" s="2370"/>
      <c r="H21" s="2371"/>
      <c r="I21" s="2371"/>
      <c r="J21" s="2371"/>
      <c r="K21" s="2371"/>
    </row>
    <row r="22" spans="1:11" s="2353" customFormat="1" ht="22.5" customHeight="1">
      <c r="A22" s="2359" t="s">
        <v>1404</v>
      </c>
      <c r="B22" s="2360" t="s">
        <v>7016</v>
      </c>
      <c r="C22" s="2373">
        <f>D26</f>
        <v>0</v>
      </c>
      <c r="D22" s="2360" t="s">
        <v>7007</v>
      </c>
      <c r="E22" s="2360"/>
      <c r="F22" s="2360"/>
      <c r="G22" s="2360"/>
      <c r="H22" s="2352"/>
      <c r="I22" s="2352"/>
      <c r="J22" s="2352"/>
      <c r="K22" s="2352"/>
    </row>
    <row r="23" spans="1:11" s="2353" customFormat="1" ht="21.75" hidden="1" customHeight="1">
      <c r="A23" s="2359"/>
      <c r="B23" s="3762" t="s">
        <v>7008</v>
      </c>
      <c r="C23" s="3762"/>
      <c r="D23" s="2362" t="s">
        <v>7009</v>
      </c>
      <c r="E23" s="3762" t="s">
        <v>7010</v>
      </c>
      <c r="F23" s="3762"/>
      <c r="G23" s="2363" t="s">
        <v>7011</v>
      </c>
      <c r="H23" s="2352"/>
      <c r="I23" s="2352"/>
      <c r="J23" s="2352"/>
      <c r="K23" s="2352"/>
    </row>
    <row r="24" spans="1:11" s="2353" customFormat="1" ht="21.75" hidden="1" customHeight="1">
      <c r="A24" s="2359"/>
      <c r="B24" s="3766" t="s">
        <v>7017</v>
      </c>
      <c r="C24" s="3766"/>
      <c r="D24" s="2364">
        <v>0</v>
      </c>
      <c r="E24" s="3767" t="s">
        <v>7018</v>
      </c>
      <c r="F24" s="3767"/>
      <c r="G24" s="2374"/>
      <c r="H24" s="493" t="s">
        <v>674</v>
      </c>
      <c r="I24" s="2352"/>
      <c r="J24" s="2352"/>
      <c r="K24" s="2352"/>
    </row>
    <row r="25" spans="1:11" s="2353" customFormat="1" ht="21.75" hidden="1" customHeight="1">
      <c r="A25" s="2359"/>
      <c r="B25" s="3768"/>
      <c r="C25" s="3768"/>
      <c r="D25" s="2366"/>
      <c r="E25" s="3769"/>
      <c r="F25" s="3769"/>
      <c r="G25" s="2367"/>
      <c r="H25" s="493" t="s">
        <v>7014</v>
      </c>
      <c r="I25" s="2352"/>
      <c r="J25" s="2352"/>
      <c r="K25" s="2352"/>
    </row>
    <row r="26" spans="1:11" s="2372" customFormat="1" ht="21.75" hidden="1" customHeight="1">
      <c r="A26" s="2368"/>
      <c r="B26" s="3762" t="s">
        <v>7015</v>
      </c>
      <c r="C26" s="3762"/>
      <c r="D26" s="2375">
        <f>SUM(D24:D25)</f>
        <v>0</v>
      </c>
      <c r="E26" s="3763"/>
      <c r="F26" s="3764"/>
      <c r="G26" s="2376"/>
      <c r="H26" s="2371"/>
      <c r="I26" s="2371"/>
      <c r="J26" s="2371"/>
      <c r="K26" s="2371"/>
    </row>
    <row r="27" spans="1:11" s="2372" customFormat="1" ht="22.5" customHeight="1">
      <c r="A27" s="2368"/>
      <c r="B27" s="2377" t="s">
        <v>7019</v>
      </c>
      <c r="C27" s="2378"/>
      <c r="D27" s="3765">
        <f>利润!C37+C16-C22</f>
        <v>0</v>
      </c>
      <c r="E27" s="3765"/>
      <c r="F27" s="2379" t="s">
        <v>7007</v>
      </c>
      <c r="G27" s="2379"/>
      <c r="H27" s="2380" t="s">
        <v>649</v>
      </c>
      <c r="I27" s="2381">
        <f>'A100000中华人民共和国企业所得税年度纳税申报表（A类）'!D16</f>
        <v>0</v>
      </c>
      <c r="J27" s="2371"/>
      <c r="K27" s="2371"/>
    </row>
    <row r="28" spans="1:11" s="2372" customFormat="1" ht="22.5" customHeight="1">
      <c r="A28" s="3742" t="s">
        <v>7020</v>
      </c>
      <c r="B28" s="3742"/>
      <c r="C28" s="3742"/>
      <c r="D28" s="3742"/>
      <c r="E28" s="3742"/>
      <c r="F28" s="3742"/>
      <c r="G28" s="2382"/>
      <c r="H28" s="2318" t="s">
        <v>7021</v>
      </c>
      <c r="I28" s="2383"/>
      <c r="J28" s="2371"/>
      <c r="K28" s="2371"/>
    </row>
    <row r="29" spans="1:11" s="2352" customFormat="1" ht="22.5" customHeight="1">
      <c r="A29" s="2360" t="s">
        <v>1404</v>
      </c>
      <c r="B29" s="2384" t="s">
        <v>7022</v>
      </c>
      <c r="C29" s="2385">
        <f ca="1">F82</f>
        <v>0</v>
      </c>
      <c r="D29" s="2386" t="s">
        <v>7007</v>
      </c>
      <c r="E29" s="2384"/>
      <c r="F29" s="2384"/>
      <c r="G29" s="2377"/>
      <c r="H29" s="493" t="s">
        <v>1292</v>
      </c>
    </row>
    <row r="30" spans="1:11" s="2352" customFormat="1" ht="21.75" customHeight="1">
      <c r="A30" s="2359"/>
      <c r="B30" s="3762" t="s">
        <v>1628</v>
      </c>
      <c r="C30" s="3762"/>
      <c r="D30" s="2362" t="s">
        <v>1629</v>
      </c>
      <c r="E30" s="2362" t="s">
        <v>1301</v>
      </c>
      <c r="F30" s="2362" t="s">
        <v>1463</v>
      </c>
      <c r="G30" s="2387" t="s">
        <v>7011</v>
      </c>
      <c r="H30" s="2388" t="s">
        <v>7023</v>
      </c>
    </row>
    <row r="31" spans="1:11" s="2352" customFormat="1" ht="18" customHeight="1">
      <c r="A31" s="2359"/>
      <c r="B31" s="3760" t="str">
        <f>MID(A105000纳税调整项目明细表!B6,7,FIND("（",A105000纳税调整项目明细表!B6,5)-7)</f>
        <v>视同销售收入</v>
      </c>
      <c r="C31" s="3761"/>
      <c r="D31" s="2389">
        <f>N(A105000纳税调整项目明细表!C6)</f>
        <v>0</v>
      </c>
      <c r="E31" s="2389">
        <f>A105000纳税调整项目明细表!D6</f>
        <v>0</v>
      </c>
      <c r="F31" s="2389">
        <f>A105000纳税调整项目明细表!E6</f>
        <v>0</v>
      </c>
      <c r="G31" s="2390"/>
    </row>
    <row r="32" spans="1:11" s="2352" customFormat="1" ht="18" customHeight="1">
      <c r="A32" s="2359"/>
      <c r="B32" s="3760" t="str">
        <f>MID(A105000纳税调整项目明细表!B7,7,FIND("（",A105000纳税调整项目明细表!B7,5)-7)</f>
        <v>未按权责发生制原则确认的收入</v>
      </c>
      <c r="C32" s="3761"/>
      <c r="D32" s="2389">
        <f>N(A105000纳税调整项目明细表!C7)</f>
        <v>0</v>
      </c>
      <c r="E32" s="2389">
        <f>A105000纳税调整项目明细表!D7</f>
        <v>0</v>
      </c>
      <c r="F32" s="2389">
        <f>A105000纳税调整项目明细表!E7</f>
        <v>0</v>
      </c>
      <c r="G32" s="2390"/>
    </row>
    <row r="33" spans="1:9" s="2352" customFormat="1" ht="18" customHeight="1">
      <c r="A33" s="2359"/>
      <c r="B33" s="3760" t="str">
        <f>MID(A105000纳税调整项目明细表!B8,8,FIND("（",A105000纳税调整项目明细表!B8,5)-1)</f>
        <v>投资收益</v>
      </c>
      <c r="C33" s="3761"/>
      <c r="D33" s="2389">
        <f>N(A105000纳税调整项目明细表!C8)</f>
        <v>0</v>
      </c>
      <c r="E33" s="2389">
        <f>A105000纳税调整项目明细表!D8</f>
        <v>0</v>
      </c>
      <c r="F33" s="2389">
        <f>A105000纳税调整项目明细表!E8</f>
        <v>0</v>
      </c>
      <c r="G33" s="2390"/>
    </row>
    <row r="34" spans="1:9" s="2352" customFormat="1" ht="18" customHeight="1">
      <c r="A34" s="2359"/>
      <c r="B34" s="3757" t="str">
        <f>其他事项!B12</f>
        <v>交易性金融资产初始投资调整</v>
      </c>
      <c r="C34" s="3758"/>
      <c r="D34" s="2389">
        <f>N(其他事项!D12)</f>
        <v>0</v>
      </c>
      <c r="E34" s="2389">
        <f>N(其他事项!E12)</f>
        <v>0</v>
      </c>
      <c r="F34" s="2389">
        <f>N(其他事项!F12)</f>
        <v>0</v>
      </c>
      <c r="G34" s="2391"/>
    </row>
    <row r="35" spans="1:9" s="2352" customFormat="1" ht="18" customHeight="1">
      <c r="A35" s="2359"/>
      <c r="B35" s="3760" t="str">
        <f>MID(A105000纳税调整项目明细表!B11,7,LEN(A105000纳税调整项目明细表!B11))</f>
        <v>公允价值变动净损益</v>
      </c>
      <c r="C35" s="3761"/>
      <c r="D35" s="2392">
        <f>A105000纳税调整项目明细表!C11</f>
        <v>0</v>
      </c>
      <c r="E35" s="2392">
        <f>N(A105000纳税调整项目明细表!D11)</f>
        <v>0</v>
      </c>
      <c r="F35" s="2392">
        <f>A105000纳税调整项目明细表!E11</f>
        <v>0</v>
      </c>
      <c r="G35" s="2390"/>
    </row>
    <row r="36" spans="1:9" s="2352" customFormat="1" ht="18" customHeight="1">
      <c r="A36" s="2359"/>
      <c r="B36" s="3760" t="str">
        <f>LEFT(其他事项!B8,5)</f>
        <v>不征税收入</v>
      </c>
      <c r="C36" s="3761"/>
      <c r="D36" s="2393">
        <f>其他事项!D8+A105040专项用途财政性资金纳税调整表!F13</f>
        <v>0</v>
      </c>
      <c r="E36" s="2393">
        <f>其他事项!E8+A105040专项用途财政性资金纳税调整表!P13</f>
        <v>0</v>
      </c>
      <c r="F36" s="2394">
        <f>MAX(0,E36-D36)</f>
        <v>0</v>
      </c>
      <c r="G36" s="2390"/>
      <c r="H36" s="2318" t="s">
        <v>1630</v>
      </c>
    </row>
    <row r="37" spans="1:9" s="2352" customFormat="1" ht="18" customHeight="1">
      <c r="A37" s="2359"/>
      <c r="B37" s="3756" t="str">
        <f>MID(A105000纳税调整项目明细表!B14,8,LEN(A105000纳税调整项目明细表!B14))</f>
        <v>销售折扣、折让和退回</v>
      </c>
      <c r="C37" s="3756"/>
      <c r="D37" s="2393">
        <f>A105000纳税调整项目明细表!C14</f>
        <v>0</v>
      </c>
      <c r="E37" s="2393">
        <f>A105000纳税调整项目明细表!D14</f>
        <v>0</v>
      </c>
      <c r="F37" s="2393">
        <f>A105000纳税调整项目明细表!E14</f>
        <v>0</v>
      </c>
      <c r="G37" s="2390"/>
    </row>
    <row r="38" spans="1:9" s="2352" customFormat="1" ht="18" customHeight="1">
      <c r="A38" s="2360"/>
      <c r="B38" s="3759" t="str">
        <f>其他事项!B9</f>
        <v>账面计入非损益类科目的政府补贴收入</v>
      </c>
      <c r="C38" s="3759"/>
      <c r="D38" s="2395">
        <f>N(其他事项!D9)</f>
        <v>0</v>
      </c>
      <c r="E38" s="2395">
        <f>N(其他事项!E9)</f>
        <v>0</v>
      </c>
      <c r="F38" s="2395">
        <f>N(其他事项!F9)</f>
        <v>0</v>
      </c>
      <c r="G38" s="2391"/>
      <c r="H38" s="2396"/>
    </row>
    <row r="39" spans="1:9" s="2352" customFormat="1" ht="18" customHeight="1">
      <c r="A39" s="2359"/>
      <c r="B39" s="3756" t="str">
        <f>其他事项!A7&amp;"-"&amp;其他事项!B7</f>
        <v>收入类-其他</v>
      </c>
      <c r="C39" s="3756"/>
      <c r="D39" s="2393">
        <f>A105000纳税调整项目明细表!C15</f>
        <v>0</v>
      </c>
      <c r="E39" s="2393">
        <f>A105000纳税调整项目明细表!D15</f>
        <v>0</v>
      </c>
      <c r="F39" s="2393">
        <f>A105000纳税调整项目明细表!E15</f>
        <v>0</v>
      </c>
      <c r="G39" s="2390"/>
    </row>
    <row r="40" spans="1:9" s="2352" customFormat="1" ht="18" customHeight="1">
      <c r="A40" s="2359"/>
      <c r="B40" s="3756" t="str">
        <f>MID(A105000纳税调整项目明细表!B18,7,FIND("（",A105000纳税调整项目明细表!B18,5)-7)</f>
        <v>职工薪酬</v>
      </c>
      <c r="C40" s="3756"/>
      <c r="D40" s="2392">
        <f>A105000纳税调整项目明细表!C18</f>
        <v>0</v>
      </c>
      <c r="E40" s="2392">
        <f>A105000纳税调整项目明细表!D18</f>
        <v>0</v>
      </c>
      <c r="F40" s="2392">
        <f>A105000纳税调整项目明细表!E18</f>
        <v>0</v>
      </c>
      <c r="G40" s="2390"/>
    </row>
    <row r="41" spans="1:9" s="2352" customFormat="1" ht="18" customHeight="1">
      <c r="A41" s="2359"/>
      <c r="B41" s="3756" t="str">
        <f>MID(A105000纳税调整项目明细表!B19,7,LEN(A105000纳税调整项目明细表!B19))</f>
        <v>业务招待费支出</v>
      </c>
      <c r="C41" s="3756"/>
      <c r="D41" s="2392">
        <f>N(A105000纳税调整项目明细表!C19)</f>
        <v>0</v>
      </c>
      <c r="E41" s="2392">
        <f>N(A105000纳税调整项目明细表!D19)</f>
        <v>0</v>
      </c>
      <c r="F41" s="2392">
        <f>N(A105000纳税调整项目明细表!E19)</f>
        <v>0</v>
      </c>
      <c r="G41" s="2390"/>
    </row>
    <row r="42" spans="1:9" s="2352" customFormat="1" ht="18" customHeight="1">
      <c r="A42" s="2359"/>
      <c r="B42" s="3756" t="str">
        <f>MID(A105000纳税调整项目明细表!B20,7,FIND("（",A105000纳税调整项目明细表!B20,5)-7)</f>
        <v>广告费和业务宣传费支出</v>
      </c>
      <c r="C42" s="3756"/>
      <c r="D42" s="2392">
        <f>N(A105000纳税调整项目明细表!C20)</f>
        <v>0</v>
      </c>
      <c r="E42" s="2392">
        <f>N(A105000纳税调整项目明细表!D20)</f>
        <v>0</v>
      </c>
      <c r="F42" s="2392">
        <f>N(A105000纳税调整项目明细表!E20)</f>
        <v>0</v>
      </c>
      <c r="G42" s="2390"/>
      <c r="H42" s="2318" t="s">
        <v>7024</v>
      </c>
      <c r="I42" s="2397" t="s">
        <v>7025</v>
      </c>
    </row>
    <row r="43" spans="1:9" s="2352" customFormat="1" ht="18" customHeight="1">
      <c r="A43" s="2359"/>
      <c r="B43" s="3756" t="str">
        <f>MID(A105000纳税调整项目明细表!B21,7,FIND("（",A105000纳税调整项目明细表!B21,5)-7)</f>
        <v>捐赠支出</v>
      </c>
      <c r="C43" s="3756"/>
      <c r="D43" s="2392">
        <f>N(A105000纳税调整项目明细表!C21)</f>
        <v>0</v>
      </c>
      <c r="E43" s="2392">
        <f>N(A105000纳税调整项目明细表!D21)</f>
        <v>0</v>
      </c>
      <c r="F43" s="2392">
        <f>N(A105000纳税调整项目明细表!E21)</f>
        <v>0</v>
      </c>
      <c r="G43" s="2390"/>
    </row>
    <row r="44" spans="1:9" s="2352" customFormat="1" ht="18" customHeight="1">
      <c r="A44" s="2359"/>
      <c r="B44" s="3756" t="str">
        <f>MID(A105000纳税调整项目明细表!B22,7,LEN(A105000纳税调整项目明细表!B22))</f>
        <v>利息支出</v>
      </c>
      <c r="C44" s="3756"/>
      <c r="D44" s="2392">
        <f>N(A105000纳税调整项目明细表!C22)</f>
        <v>0</v>
      </c>
      <c r="E44" s="2392">
        <f>N(A105000纳税调整项目明细表!D22)</f>
        <v>0</v>
      </c>
      <c r="F44" s="2392">
        <f>N(A105000纳税调整项目明细表!E22)</f>
        <v>0</v>
      </c>
      <c r="G44" s="2390"/>
    </row>
    <row r="45" spans="1:9" s="2352" customFormat="1" ht="18" customHeight="1">
      <c r="A45" s="2359"/>
      <c r="B45" s="3756" t="str">
        <f>MID(A105000纳税调整项目明细表!B23,7,LEN(A105000纳税调整项目明细表!B23))</f>
        <v>罚金、罚款和被没收财物的损失</v>
      </c>
      <c r="C45" s="3756"/>
      <c r="D45" s="2392">
        <f>N(A105000纳税调整项目明细表!C23)</f>
        <v>0</v>
      </c>
      <c r="E45" s="2392">
        <f>N(A105000纳税调整项目明细表!D23)</f>
        <v>0</v>
      </c>
      <c r="F45" s="2392">
        <f>N(A105000纳税调整项目明细表!E23)</f>
        <v>0</v>
      </c>
      <c r="G45" s="2390"/>
    </row>
    <row r="46" spans="1:9" s="2352" customFormat="1" ht="18" customHeight="1">
      <c r="A46" s="2359"/>
      <c r="B46" s="3756" t="str">
        <f>MID(A105000纳税调整项目明细表!B24,7,LEN(A105000纳税调整项目明细表!B24))</f>
        <v>税收滞纳金、加收利息</v>
      </c>
      <c r="C46" s="3756"/>
      <c r="D46" s="2392">
        <f>N(A105000纳税调整项目明细表!C24)</f>
        <v>0</v>
      </c>
      <c r="E46" s="2392">
        <f>N(A105000纳税调整项目明细表!D24)</f>
        <v>0</v>
      </c>
      <c r="F46" s="2392">
        <f>N(A105000纳税调整项目明细表!E24)</f>
        <v>0</v>
      </c>
      <c r="G46" s="2390"/>
    </row>
    <row r="47" spans="1:9" s="2352" customFormat="1" ht="18" customHeight="1">
      <c r="A47" s="2359"/>
      <c r="B47" s="3756" t="str">
        <f>MID(A105000纳税调整项目明细表!B25,7,LEN(A105000纳税调整项目明细表!B25))</f>
        <v>赞助支出</v>
      </c>
      <c r="C47" s="3756"/>
      <c r="D47" s="2392">
        <f>N(A105000纳税调整项目明细表!C25)</f>
        <v>0</v>
      </c>
      <c r="E47" s="2392">
        <f>N(A105000纳税调整项目明细表!D25)</f>
        <v>0</v>
      </c>
      <c r="F47" s="2392">
        <f>N(A105000纳税调整项目明细表!E25)</f>
        <v>0</v>
      </c>
      <c r="G47" s="2390"/>
    </row>
    <row r="48" spans="1:9" s="2352" customFormat="1" ht="18" customHeight="1">
      <c r="A48" s="2359"/>
      <c r="B48" s="3756" t="str">
        <f>MID(A105000纳税调整项目明细表!B26,7,LEN(A105000纳税调整项目明细表!B26))</f>
        <v>与未实现融资收益相关在当期确认的财务费用</v>
      </c>
      <c r="C48" s="3756"/>
      <c r="D48" s="2392">
        <f>N(A105000纳税调整项目明细表!C26)</f>
        <v>0</v>
      </c>
      <c r="E48" s="2392">
        <f>N(A105000纳税调整项目明细表!D26)</f>
        <v>0</v>
      </c>
      <c r="F48" s="2392">
        <f>N(A105000纳税调整项目明细表!E26)</f>
        <v>0</v>
      </c>
      <c r="G48" s="2390"/>
    </row>
    <row r="49" spans="1:9" s="2352" customFormat="1" ht="18" customHeight="1">
      <c r="A49" s="2359"/>
      <c r="B49" s="3756" t="str">
        <f>MID(A105000纳税调整项目明细表!B27,9,LEN(A105000纳税调整项目明细表!B27))</f>
        <v>佣金和手续费支出</v>
      </c>
      <c r="C49" s="3756"/>
      <c r="D49" s="2392">
        <f>N(A105000纳税调整项目明细表!C27)</f>
        <v>0</v>
      </c>
      <c r="E49" s="2392">
        <f>N(A105000纳税调整项目明细表!D27)</f>
        <v>0</v>
      </c>
      <c r="F49" s="2392">
        <f>N(A105000纳税调整项目明细表!E27)</f>
        <v>0</v>
      </c>
      <c r="G49" s="2390"/>
    </row>
    <row r="50" spans="1:9" s="2352" customFormat="1" ht="18" customHeight="1">
      <c r="A50" s="2359"/>
      <c r="B50" s="3756" t="str">
        <f>LEFT(其他事项!B21,14)</f>
        <v>不征税收入用于支出形成的费用</v>
      </c>
      <c r="C50" s="3756"/>
      <c r="D50" s="2392">
        <f>其他事项!D21+A105040专项用途财政性资金纳税调整表!M13</f>
        <v>0</v>
      </c>
      <c r="E50" s="2392">
        <f>N(其他事项!E21)</f>
        <v>0</v>
      </c>
      <c r="F50" s="2392">
        <f>N(其他事项!F21)</f>
        <v>0</v>
      </c>
      <c r="G50" s="2390"/>
    </row>
    <row r="51" spans="1:9" s="2352" customFormat="1" ht="18" customHeight="1">
      <c r="A51" s="2359"/>
      <c r="B51" s="3756" t="str">
        <f>MID(A105000纳税调整项目明细表!B30,9,LEN(A105000纳税调整项目明细表!B30))</f>
        <v>跨期扣除项目</v>
      </c>
      <c r="C51" s="3756"/>
      <c r="D51" s="2392">
        <f>N(A105000纳税调整项目明细表!C30)</f>
        <v>0</v>
      </c>
      <c r="E51" s="2392">
        <f>N(A105000纳税调整项目明细表!D30)</f>
        <v>0</v>
      </c>
      <c r="F51" s="2392">
        <f>N(A105000纳税调整项目明细表!E30)</f>
        <v>0</v>
      </c>
      <c r="G51" s="2390"/>
    </row>
    <row r="52" spans="1:9" s="2352" customFormat="1" ht="18" customHeight="1">
      <c r="A52" s="2359"/>
      <c r="B52" s="3756" t="str">
        <f>MID(A105000纳税调整项目明细表!B31,8,LEN(A105000纳税调整项目明细表!B31))</f>
        <v>与取得收入无关的支出</v>
      </c>
      <c r="C52" s="3756"/>
      <c r="D52" s="2392">
        <f>N(A105000纳税调整项目明细表!C31)</f>
        <v>0</v>
      </c>
      <c r="E52" s="2392">
        <f>N(A105000纳税调整项目明细表!D31)</f>
        <v>0</v>
      </c>
      <c r="F52" s="2392">
        <f>N(A105000纳税调整项目明细表!E31)</f>
        <v>0</v>
      </c>
      <c r="G52" s="2390"/>
    </row>
    <row r="53" spans="1:9" s="2352" customFormat="1" ht="18" customHeight="1">
      <c r="A53" s="2359"/>
      <c r="B53" s="3756" t="str">
        <f>MID(A105000纳税调整项目明细表!B32,9,LEN(A105000纳税调整项目明细表!B32))</f>
        <v>境外所得分摊的共同支出</v>
      </c>
      <c r="C53" s="3756"/>
      <c r="D53" s="2392">
        <f>A108010境外所得纳税调整后所得明细表!Q15+A108010境外所得纳税调整后所得明细表!R15</f>
        <v>0</v>
      </c>
      <c r="E53" s="2392">
        <f>N(A105000纳税调整项目明细表!D32)</f>
        <v>0</v>
      </c>
      <c r="F53" s="2392">
        <f>N(A105000纳税调整项目明细表!E32)</f>
        <v>0</v>
      </c>
      <c r="G53" s="2390"/>
      <c r="H53" s="575" t="s">
        <v>7026</v>
      </c>
    </row>
    <row r="54" spans="1:9" s="2352" customFormat="1" ht="18" customHeight="1">
      <c r="A54" s="2359"/>
      <c r="B54" s="3756" t="str">
        <f>其他事项!B22</f>
        <v>未取得合法有效票据的支出</v>
      </c>
      <c r="C54" s="3756"/>
      <c r="D54" s="2392">
        <f>N(其他事项!D22)</f>
        <v>0</v>
      </c>
      <c r="E54" s="2392">
        <f>N(其他事项!E22)</f>
        <v>0</v>
      </c>
      <c r="F54" s="2392">
        <f>N(其他事项!F22)</f>
        <v>0</v>
      </c>
      <c r="G54" s="2390"/>
    </row>
    <row r="55" spans="1:9" s="2352" customFormat="1" ht="18" customHeight="1">
      <c r="A55" s="2360"/>
      <c r="B55" s="3756" t="str">
        <f>其他事项!B23</f>
        <v>非本公司费用</v>
      </c>
      <c r="C55" s="3756"/>
      <c r="D55" s="2392">
        <f>N(其他事项!D23)</f>
        <v>0</v>
      </c>
      <c r="E55" s="2392">
        <f>N(其他事项!E23)</f>
        <v>0</v>
      </c>
      <c r="F55" s="2392">
        <f>N(其他事项!F23)</f>
        <v>0</v>
      </c>
      <c r="G55" s="2390"/>
      <c r="H55" s="2396"/>
    </row>
    <row r="56" spans="1:9" s="2352" customFormat="1" ht="18" customHeight="1">
      <c r="A56" s="2360"/>
      <c r="B56" s="3756" t="str">
        <f>其他事项!B25</f>
        <v>跨期费用</v>
      </c>
      <c r="C56" s="3756"/>
      <c r="D56" s="2392">
        <f>N(其他事项!D25)</f>
        <v>0</v>
      </c>
      <c r="E56" s="2392">
        <f>N(其他事项!E25)</f>
        <v>0</v>
      </c>
      <c r="F56" s="2392">
        <f>N(其他事项!F25)</f>
        <v>0</v>
      </c>
      <c r="G56" s="2390"/>
      <c r="H56" s="2396"/>
    </row>
    <row r="57" spans="1:9" s="2352" customFormat="1" ht="18" customHeight="1">
      <c r="A57" s="2360"/>
      <c r="B57" s="3756" t="str">
        <f>其他事项!B26</f>
        <v>大额购物未附清单</v>
      </c>
      <c r="C57" s="3756"/>
      <c r="D57" s="2392">
        <f>N(其他事项!D26)</f>
        <v>0</v>
      </c>
      <c r="E57" s="2392">
        <f>N(其他事项!E26)</f>
        <v>0</v>
      </c>
      <c r="F57" s="2392">
        <f>N(其他事项!F26)</f>
        <v>0</v>
      </c>
      <c r="G57" s="2391"/>
      <c r="H57" s="2318" t="s">
        <v>1299</v>
      </c>
      <c r="I57" s="14"/>
    </row>
    <row r="58" spans="1:9" s="2352" customFormat="1" ht="18" customHeight="1">
      <c r="A58" s="2360"/>
      <c r="B58" s="3756" t="str">
        <f>其他事项!B28</f>
        <v>按权责发生制原则应在以后年度确认的支出</v>
      </c>
      <c r="C58" s="3756"/>
      <c r="D58" s="2392">
        <f>N(其他事项!D28)</f>
        <v>0</v>
      </c>
      <c r="E58" s="2392">
        <f>N(其他事项!E28)</f>
        <v>0</v>
      </c>
      <c r="F58" s="2392">
        <f>N(其他事项!F28)</f>
        <v>0</v>
      </c>
      <c r="G58" s="2390"/>
      <c r="H58" s="2396"/>
      <c r="I58" s="14"/>
    </row>
    <row r="59" spans="1:9" s="2352" customFormat="1" ht="18" customHeight="1">
      <c r="A59" s="2360"/>
      <c r="B59" s="3756" t="str">
        <f>其他事项!B31</f>
        <v>应并入业务招待费的费用</v>
      </c>
      <c r="C59" s="3756"/>
      <c r="D59" s="2392">
        <f>N(其他事项!D31)</f>
        <v>0</v>
      </c>
      <c r="E59" s="2392">
        <f>N(其他事项!E31)</f>
        <v>0</v>
      </c>
      <c r="F59" s="2392">
        <f>N(其他事项!F31)</f>
        <v>0</v>
      </c>
      <c r="G59" s="2390"/>
      <c r="H59" s="2396"/>
      <c r="I59" s="14"/>
    </row>
    <row r="60" spans="1:9" s="2352" customFormat="1" ht="18" customHeight="1">
      <c r="A60" s="2360"/>
      <c r="B60" s="3756" t="str">
        <f>其他事项!B32</f>
        <v>灾害事故损失获得赔偿部分</v>
      </c>
      <c r="C60" s="3756"/>
      <c r="D60" s="2392">
        <f>N(其他事项!D32)</f>
        <v>0</v>
      </c>
      <c r="E60" s="2392">
        <f>N(其他事项!E32)</f>
        <v>0</v>
      </c>
      <c r="F60" s="2392">
        <f>N(其他事项!F32)</f>
        <v>0</v>
      </c>
      <c r="G60" s="2390"/>
      <c r="H60" s="2396"/>
      <c r="I60" s="14"/>
    </row>
    <row r="61" spans="1:9" s="2352" customFormat="1" ht="18" customHeight="1">
      <c r="A61" s="2360"/>
      <c r="B61" s="3756" t="str">
        <f>其他事项!B34</f>
        <v>为其他企业贷款担保的支出项目</v>
      </c>
      <c r="C61" s="3756"/>
      <c r="D61" s="2392">
        <f>N(其他事项!D34)</f>
        <v>0</v>
      </c>
      <c r="E61" s="2392">
        <f>N(其他事项!E34)</f>
        <v>0</v>
      </c>
      <c r="F61" s="2392">
        <f>N(其他事项!F34)</f>
        <v>0</v>
      </c>
      <c r="G61" s="2390"/>
      <c r="H61" s="2396"/>
      <c r="I61" s="14"/>
    </row>
    <row r="62" spans="1:9" s="2352" customFormat="1" ht="18" customHeight="1">
      <c r="A62" s="2360"/>
      <c r="B62" s="3756" t="str">
        <f>其他事项!B35</f>
        <v>在福利费中列支的社会保障性缴款单位负担部分</v>
      </c>
      <c r="C62" s="3756"/>
      <c r="D62" s="2392">
        <f>N(其他事项!D35)</f>
        <v>0</v>
      </c>
      <c r="E62" s="2392">
        <f>N(其他事项!E35)</f>
        <v>0</v>
      </c>
      <c r="F62" s="2392">
        <f>N(其他事项!F35)</f>
        <v>0</v>
      </c>
      <c r="G62" s="2390"/>
      <c r="H62" s="2396"/>
      <c r="I62" s="14"/>
    </row>
    <row r="63" spans="1:9" s="2352" customFormat="1" ht="18" customHeight="1">
      <c r="A63" s="2360"/>
      <c r="B63" s="3756" t="str">
        <f>其他事项!B37</f>
        <v>不属于应付福利费开支范围的支出</v>
      </c>
      <c r="C63" s="3756"/>
      <c r="D63" s="2392">
        <f>N(其他事项!D37)</f>
        <v>0</v>
      </c>
      <c r="E63" s="2392">
        <f>N(其他事项!E37)</f>
        <v>0</v>
      </c>
      <c r="F63" s="2392">
        <f>N(其他事项!F37)</f>
        <v>0</v>
      </c>
      <c r="G63" s="2390"/>
      <c r="I63" s="14"/>
    </row>
    <row r="64" spans="1:9" s="2352" customFormat="1" ht="18" customHeight="1">
      <c r="A64" s="2360"/>
      <c r="B64" s="3756" t="str">
        <f>其他事项!B38</f>
        <v>产权不属于公司的汽车费用</v>
      </c>
      <c r="C64" s="3756"/>
      <c r="D64" s="2392">
        <f>N(其他事项!D38)</f>
        <v>0</v>
      </c>
      <c r="E64" s="2392">
        <f>N(其他事项!E38)</f>
        <v>0</v>
      </c>
      <c r="F64" s="2392">
        <f>N(其他事项!F38)</f>
        <v>0</v>
      </c>
      <c r="G64" s="2390"/>
      <c r="H64" s="2396"/>
      <c r="I64" s="2398"/>
    </row>
    <row r="65" spans="1:9" s="2352" customFormat="1" ht="18" customHeight="1">
      <c r="A65" s="2360"/>
      <c r="B65" s="3760">
        <f>其他事项!B41</f>
        <v>0</v>
      </c>
      <c r="C65" s="3761"/>
      <c r="D65" s="2392">
        <f>其他事项!D41</f>
        <v>0</v>
      </c>
      <c r="E65" s="2392">
        <f>其他事项!E41</f>
        <v>0</v>
      </c>
      <c r="F65" s="2392">
        <f>其他事项!F41</f>
        <v>0</v>
      </c>
      <c r="G65" s="2390"/>
      <c r="H65" s="2396"/>
      <c r="I65" s="2398"/>
    </row>
    <row r="66" spans="1:9" s="2352" customFormat="1" ht="18" customHeight="1">
      <c r="A66" s="2360"/>
      <c r="B66" s="3756" t="s">
        <v>7027</v>
      </c>
      <c r="C66" s="3756"/>
      <c r="D66" s="2392">
        <f>租金!D11+租金!D17</f>
        <v>0</v>
      </c>
      <c r="E66" s="2392">
        <f>租金!D13+租金!D17-租金!D18</f>
        <v>0</v>
      </c>
      <c r="F66" s="2392">
        <f>租金!D14+租金!D18</f>
        <v>0</v>
      </c>
      <c r="G66" s="2390"/>
      <c r="H66" s="2396"/>
      <c r="I66" s="2398"/>
    </row>
    <row r="67" spans="1:9" s="2352" customFormat="1" ht="18" customHeight="1">
      <c r="A67" s="2360"/>
      <c r="B67" s="3756" t="str">
        <f>MID(A105000纳税调整项目明细表!B35,8,FIND("（",A105000纳税调整项目明细表!B35,5)+2)</f>
        <v>资产折旧、摊销</v>
      </c>
      <c r="C67" s="3756"/>
      <c r="D67" s="2392">
        <f>A105000纳税调整项目明细表!C35</f>
        <v>0</v>
      </c>
      <c r="E67" s="2392">
        <f ca="1">A105000纳税调整项目明细表!D35</f>
        <v>0</v>
      </c>
      <c r="F67" s="2392">
        <f ca="1">A105000纳税调整项目明细表!E35</f>
        <v>0</v>
      </c>
      <c r="G67" s="2390"/>
      <c r="H67" s="2399"/>
      <c r="I67" s="2398"/>
    </row>
    <row r="68" spans="1:9" s="2352" customFormat="1" ht="18" customHeight="1">
      <c r="A68" s="2360"/>
      <c r="B68" s="3756" t="str">
        <f>MID(A105000纳税调整项目明细表!B36,8,FIND("（",A105000纳税调整项目明细表!B36,5)+2)</f>
        <v>资产减值准备金</v>
      </c>
      <c r="C68" s="3756"/>
      <c r="D68" s="2392">
        <f>A105000纳税调整项目明细表!C36</f>
        <v>0</v>
      </c>
      <c r="E68" s="2392">
        <f>N(A105000纳税调整项目明细表!D36)</f>
        <v>0</v>
      </c>
      <c r="F68" s="2392">
        <f>A105000纳税调整项目明细表!E36</f>
        <v>0</v>
      </c>
      <c r="G68" s="2400"/>
      <c r="H68" s="2396"/>
    </row>
    <row r="69" spans="1:9" s="2352" customFormat="1" ht="18" customHeight="1">
      <c r="A69" s="2360"/>
      <c r="B69" s="3756" t="str">
        <f>MID(A105000纳税调整项目明细表!B37,7,FIND("（",A105000纳税调整项目明细表!B37,5)-7)</f>
        <v>资产损失</v>
      </c>
      <c r="C69" s="3756"/>
      <c r="D69" s="2392">
        <f>A105000纳税调整项目明细表!C37</f>
        <v>0</v>
      </c>
      <c r="E69" s="2392">
        <f>N(A105000纳税调整项目明细表!D37)</f>
        <v>0</v>
      </c>
      <c r="F69" s="2392">
        <f>A105000纳税调整项目明细表!E37</f>
        <v>0</v>
      </c>
      <c r="G69" s="2391"/>
      <c r="H69" s="2396"/>
    </row>
    <row r="70" spans="1:9" s="2352" customFormat="1" ht="18" customHeight="1">
      <c r="A70" s="2360"/>
      <c r="B70" s="3759" t="str">
        <f>其他事项!B13</f>
        <v>应予资本化的固定资产支出</v>
      </c>
      <c r="C70" s="3759"/>
      <c r="D70" s="2392">
        <f>其他事项!D13</f>
        <v>0</v>
      </c>
      <c r="E70" s="2392">
        <f>其他事项!E13</f>
        <v>0</v>
      </c>
      <c r="F70" s="2392">
        <f>其他事项!F13</f>
        <v>0</v>
      </c>
      <c r="G70" s="2391"/>
      <c r="H70" s="2396"/>
    </row>
    <row r="71" spans="1:9" s="2352" customFormat="1" ht="18" customHeight="1">
      <c r="A71" s="2360"/>
      <c r="B71" s="3759" t="str">
        <f>其他事项!B14</f>
        <v>应予资本化的无形资产支出</v>
      </c>
      <c r="C71" s="3759"/>
      <c r="D71" s="2392">
        <f>其他事项!D14</f>
        <v>0</v>
      </c>
      <c r="E71" s="2392">
        <f>其他事项!E14</f>
        <v>0</v>
      </c>
      <c r="F71" s="2392">
        <f>其他事项!F14</f>
        <v>0</v>
      </c>
      <c r="G71" s="2391"/>
      <c r="H71" s="2396"/>
    </row>
    <row r="72" spans="1:9" s="2352" customFormat="1" ht="18" customHeight="1">
      <c r="A72" s="2360"/>
      <c r="B72" s="3759" t="str">
        <f>其他事项!A13&amp;"-"&amp;其他事项!B15</f>
        <v>资产类-其他</v>
      </c>
      <c r="C72" s="3759"/>
      <c r="D72" s="2392">
        <f>其他事项!D15</f>
        <v>0</v>
      </c>
      <c r="E72" s="2392">
        <f>其他事项!E15</f>
        <v>0</v>
      </c>
      <c r="F72" s="2392">
        <f>MAX(其他事项!F15,0)</f>
        <v>0</v>
      </c>
      <c r="G72" s="2391"/>
      <c r="H72" s="2396"/>
    </row>
    <row r="73" spans="1:9" s="2352" customFormat="1" ht="18" customHeight="1">
      <c r="A73" s="2360"/>
      <c r="B73" s="3759" t="str">
        <f>MID(A105000纳税调整项目明细表!B40,7,FIND("（",A105000纳税调整项目明细表!B40,5)-7)</f>
        <v>企业重组</v>
      </c>
      <c r="C73" s="3759"/>
      <c r="D73" s="2395">
        <f>A105000纳税调整项目明细表!C40</f>
        <v>0</v>
      </c>
      <c r="E73" s="2395">
        <f>A105000纳税调整项目明细表!D40</f>
        <v>0</v>
      </c>
      <c r="F73" s="2395">
        <f>A105000纳税调整项目明细表!E40</f>
        <v>0</v>
      </c>
      <c r="G73" s="2391"/>
      <c r="H73" s="2396"/>
    </row>
    <row r="74" spans="1:9" s="2352" customFormat="1" ht="18" customHeight="1">
      <c r="A74" s="2360"/>
      <c r="B74" s="3759" t="str">
        <f>MID(A105000纳税调整项目明细表!B41,8,FIND("（",A105000纳税调整项目明细表!B41,5))</f>
        <v>政策性搬迁</v>
      </c>
      <c r="C74" s="3759"/>
      <c r="D74" s="2395">
        <f>A105110政策性搬迁纳税调整明细表!C25+A105110政策性搬迁纳税调整明细表!C26</f>
        <v>0</v>
      </c>
      <c r="E74" s="2395">
        <f>A105110政策性搬迁纳税调整明细表!C21</f>
        <v>0</v>
      </c>
      <c r="F74" s="2395">
        <f>A105000纳税调整项目明细表!E41</f>
        <v>0</v>
      </c>
      <c r="G74" s="2391"/>
      <c r="H74" s="2396"/>
    </row>
    <row r="75" spans="1:9" s="2352" customFormat="1" ht="18" customHeight="1">
      <c r="A75" s="2360"/>
      <c r="B75" s="3759" t="str">
        <f>MID(A105000纳税调整项目明细表!B42,8,FIND("（",A105000纳税调整项目明细表!B42,5)+2)</f>
        <v>特殊行业准备金</v>
      </c>
      <c r="C75" s="3759"/>
      <c r="D75" s="2395">
        <f>N(A105000纳税调整项目明细表!C42)</f>
        <v>0</v>
      </c>
      <c r="E75" s="2395">
        <f>N(A105000纳税调整项目明细表!D42)</f>
        <v>0</v>
      </c>
      <c r="F75" s="2395">
        <f>N(A105000纳税调整项目明细表!E42)</f>
        <v>0</v>
      </c>
      <c r="G75" s="2391"/>
      <c r="H75" s="2396"/>
    </row>
    <row r="76" spans="1:9" s="2352" customFormat="1" ht="18" customHeight="1">
      <c r="A76" s="2360"/>
      <c r="B76" s="3759" t="str">
        <f>MID(A105000纳税调整项目明细表!B43,8,FIND("（",A105000纳税调整项目明细表!B43,5)+14)</f>
        <v>房地产开发企业特定业务计算的纳税调整额</v>
      </c>
      <c r="C76" s="3759"/>
      <c r="D76" s="2395">
        <f>N(A105000纳税调整项目明细表!C43)</f>
        <v>0</v>
      </c>
      <c r="E76" s="2395">
        <f>N(A105000纳税调整项目明细表!D43)</f>
        <v>0</v>
      </c>
      <c r="F76" s="2395">
        <f>N(A105000纳税调整项目明细表!E43)</f>
        <v>0</v>
      </c>
      <c r="G76" s="2391"/>
      <c r="H76" s="2396"/>
    </row>
    <row r="77" spans="1:9" s="2352" customFormat="1" ht="18" customHeight="1">
      <c r="A77" s="2360"/>
      <c r="B77" s="3759" t="str">
        <f>其他事项!A17&amp;"调整项目-"&amp;其他事项!B17</f>
        <v>特殊事项调整项目-其他</v>
      </c>
      <c r="C77" s="3759"/>
      <c r="D77" s="2395">
        <f>其他事项!D17</f>
        <v>0</v>
      </c>
      <c r="E77" s="2395">
        <f>其他事项!E17</f>
        <v>0</v>
      </c>
      <c r="F77" s="2395">
        <f>A105000纳税调整项目明细表!E44</f>
        <v>0</v>
      </c>
      <c r="G77" s="2391"/>
      <c r="H77" s="2396"/>
    </row>
    <row r="78" spans="1:9" s="2352" customFormat="1" ht="18" customHeight="1">
      <c r="A78" s="2360"/>
      <c r="B78" s="3759" t="str">
        <f>其他事项!A18&amp;"应税所得"</f>
        <v>特别纳税调整应税所得</v>
      </c>
      <c r="C78" s="3759"/>
      <c r="D78" s="2395">
        <f>其他事项!D18</f>
        <v>0</v>
      </c>
      <c r="E78" s="2395">
        <f>其他事项!E18</f>
        <v>0</v>
      </c>
      <c r="F78" s="2395">
        <f>A105000纳税调整项目明细表!E45</f>
        <v>0</v>
      </c>
      <c r="G78" s="2391"/>
      <c r="H78" s="2396"/>
    </row>
    <row r="79" spans="1:9" s="2352" customFormat="1" ht="18" customHeight="1">
      <c r="A79" s="2360"/>
      <c r="B79" s="3759" t="str">
        <f>"纳税调整项目-"&amp;其他事项!A19</f>
        <v>纳税调整项目-其他</v>
      </c>
      <c r="C79" s="3759"/>
      <c r="D79" s="2395">
        <f>其他事项!D19</f>
        <v>0</v>
      </c>
      <c r="E79" s="2395">
        <f>其他事项!E19</f>
        <v>0</v>
      </c>
      <c r="F79" s="2395">
        <f>A105000纳税调整项目明细表!E46</f>
        <v>0</v>
      </c>
      <c r="G79" s="2391"/>
      <c r="H79" s="2396"/>
    </row>
    <row r="80" spans="1:9" s="2352" customFormat="1" ht="18" customHeight="1">
      <c r="A80" s="2360"/>
      <c r="B80" s="3754"/>
      <c r="C80" s="3755"/>
      <c r="D80" s="2401"/>
      <c r="E80" s="2402"/>
      <c r="F80" s="2401"/>
      <c r="G80" s="2391"/>
      <c r="H80" s="2396"/>
    </row>
    <row r="81" spans="1:8" s="2352" customFormat="1" ht="18" customHeight="1">
      <c r="A81" s="2360"/>
      <c r="B81" s="3747"/>
      <c r="C81" s="3747"/>
      <c r="D81" s="2401"/>
      <c r="E81" s="2402"/>
      <c r="F81" s="2401"/>
      <c r="G81" s="2391"/>
      <c r="H81" s="2396"/>
    </row>
    <row r="82" spans="1:8" s="2352" customFormat="1" ht="18" customHeight="1">
      <c r="A82" s="2360"/>
      <c r="B82" s="3748" t="s">
        <v>7028</v>
      </c>
      <c r="C82" s="3748"/>
      <c r="D82" s="2403">
        <v>0</v>
      </c>
      <c r="E82" s="2403">
        <v>0</v>
      </c>
      <c r="F82" s="2404">
        <f ca="1">SUM(F31:F81)</f>
        <v>0</v>
      </c>
      <c r="G82" s="2405"/>
      <c r="H82" s="2406" t="str">
        <f ca="1">"与A105000纳税调整项目明细表相差"&amp;DOLLAR(F82-A105000纳税调整项目明细表!E47,2)</f>
        <v>与A105000纳税调整项目明细表相差¥0.00</v>
      </c>
    </row>
    <row r="83" spans="1:8" s="2352" customFormat="1" ht="22.5" customHeight="1">
      <c r="A83" s="2360"/>
      <c r="B83" s="2377" t="s">
        <v>7029</v>
      </c>
      <c r="C83" s="2407">
        <f ca="1">F118</f>
        <v>0</v>
      </c>
      <c r="D83" s="2408" t="s">
        <v>7007</v>
      </c>
      <c r="E83" s="2408"/>
      <c r="F83" s="2408"/>
      <c r="G83" s="2408"/>
      <c r="H83" s="2396"/>
    </row>
    <row r="84" spans="1:8" s="2352" customFormat="1" ht="21.75" customHeight="1">
      <c r="A84" s="2360"/>
      <c r="B84" s="3748" t="s">
        <v>1628</v>
      </c>
      <c r="C84" s="3748"/>
      <c r="D84" s="2409" t="s">
        <v>1629</v>
      </c>
      <c r="E84" s="2409" t="s">
        <v>1301</v>
      </c>
      <c r="F84" s="2409" t="s">
        <v>1464</v>
      </c>
      <c r="G84" s="2363" t="s">
        <v>7011</v>
      </c>
      <c r="H84" s="2410" t="s">
        <v>7030</v>
      </c>
    </row>
    <row r="85" spans="1:8" s="2352" customFormat="1" ht="18" customHeight="1">
      <c r="A85" s="2360"/>
      <c r="B85" s="3756" t="str">
        <f>MID(A105000纳税调整项目明细表!B7,7,FIND("（",A105000纳税调整项目明细表!B7,5)-7)</f>
        <v>未按权责发生制原则确认的收入</v>
      </c>
      <c r="C85" s="3756"/>
      <c r="D85" s="2392">
        <f>A105000纳税调整项目明细表!C7</f>
        <v>0</v>
      </c>
      <c r="E85" s="2392">
        <f>A105000纳税调整项目明细表!D7</f>
        <v>0</v>
      </c>
      <c r="F85" s="2392">
        <f>A105000纳税调整项目明细表!F7</f>
        <v>0</v>
      </c>
      <c r="G85" s="2390"/>
      <c r="H85" s="2396"/>
    </row>
    <row r="86" spans="1:8" s="2352" customFormat="1" ht="18" customHeight="1">
      <c r="A86" s="2360"/>
      <c r="B86" s="3756" t="str">
        <f>MID(A105000纳税调整项目明细表!B8,8,FIND("（",A105000纳税调整项目明细表!B8,5)-1)</f>
        <v>投资收益</v>
      </c>
      <c r="C86" s="3756"/>
      <c r="D86" s="2392">
        <f>A105000纳税调整项目明细表!C8</f>
        <v>0</v>
      </c>
      <c r="E86" s="2392">
        <f>A105000纳税调整项目明细表!D8</f>
        <v>0</v>
      </c>
      <c r="F86" s="2392">
        <f>A105000纳税调整项目明细表!F8</f>
        <v>0</v>
      </c>
      <c r="G86" s="2390"/>
      <c r="H86" s="2396"/>
    </row>
    <row r="87" spans="1:8" s="2352" customFormat="1" ht="33.75" customHeight="1">
      <c r="A87" s="2360"/>
      <c r="B87" s="3757" t="str">
        <f>其他事项!B11</f>
        <v>按权益法核算长期股权投资对初始投资成本调整确认收益</v>
      </c>
      <c r="C87" s="3758"/>
      <c r="D87" s="2392">
        <f>其他事项!D11</f>
        <v>0</v>
      </c>
      <c r="E87" s="2392">
        <f>N(其他事项!E11)</f>
        <v>0</v>
      </c>
      <c r="F87" s="2392">
        <f>-其他事项!F11</f>
        <v>0</v>
      </c>
      <c r="G87" s="2390"/>
      <c r="H87" s="2396"/>
    </row>
    <row r="88" spans="1:8" s="2352" customFormat="1" ht="18" customHeight="1">
      <c r="A88" s="2360"/>
      <c r="B88" s="3756" t="str">
        <f>MID(A105000纳税调整项目明细表!B11,7,LEN(A105000纳税调整项目明细表!B11))</f>
        <v>公允价值变动净损益</v>
      </c>
      <c r="C88" s="3756"/>
      <c r="D88" s="2392">
        <f>A105000纳税调整项目明细表!C11</f>
        <v>0</v>
      </c>
      <c r="E88" s="2392">
        <f>N(A105000纳税调整项目明细表!D11)</f>
        <v>0</v>
      </c>
      <c r="F88" s="2392">
        <f>A105000纳税调整项目明细表!F11</f>
        <v>0</v>
      </c>
      <c r="G88" s="2390"/>
      <c r="H88" s="2396"/>
    </row>
    <row r="89" spans="1:8" s="2352" customFormat="1" ht="18" customHeight="1">
      <c r="A89" s="2360"/>
      <c r="B89" s="3756" t="str">
        <f>LEFT(其他事项!B8,5)</f>
        <v>不征税收入</v>
      </c>
      <c r="C89" s="3756"/>
      <c r="D89" s="2392">
        <f>其他事项!D8+A105040专项用途财政性资金纳税调整表!F13</f>
        <v>0</v>
      </c>
      <c r="E89" s="2392">
        <f>其他事项!E8+A105040专项用途财政性资金纳税调整表!P13</f>
        <v>0</v>
      </c>
      <c r="F89" s="2392">
        <f>-MIN(0,E36-D36)</f>
        <v>0</v>
      </c>
      <c r="G89" s="2390"/>
      <c r="H89" s="2396"/>
    </row>
    <row r="90" spans="1:8" s="2352" customFormat="1" ht="18" customHeight="1">
      <c r="A90" s="2360"/>
      <c r="B90" s="3756" t="str">
        <f>MID(A105000纳税调整项目明细表!B14,8,LEN(A105000纳税调整项目明细表!B14))</f>
        <v>销售折扣、折让和退回</v>
      </c>
      <c r="C90" s="3756"/>
      <c r="D90" s="2392">
        <f>A105000纳税调整项目明细表!C14</f>
        <v>0</v>
      </c>
      <c r="E90" s="2392">
        <f>A105000纳税调整项目明细表!D14</f>
        <v>0</v>
      </c>
      <c r="F90" s="2392">
        <f>A105000纳税调整项目明细表!F14</f>
        <v>0</v>
      </c>
      <c r="G90" s="2390"/>
      <c r="H90" s="2396"/>
    </row>
    <row r="91" spans="1:8" s="2352" customFormat="1" ht="18" customHeight="1">
      <c r="A91" s="2360"/>
      <c r="B91" s="3756" t="str">
        <f>其他事项!A7&amp;"-"&amp;其他事项!B7</f>
        <v>收入类-其他</v>
      </c>
      <c r="C91" s="3756"/>
      <c r="D91" s="2392">
        <f>其他事项!D7</f>
        <v>0</v>
      </c>
      <c r="E91" s="2392">
        <f>其他事项!E7</f>
        <v>0</v>
      </c>
      <c r="F91" s="2392">
        <f>A105000纳税调整项目明细表!F15</f>
        <v>0</v>
      </c>
      <c r="G91" s="2390"/>
      <c r="H91" s="2396"/>
    </row>
    <row r="92" spans="1:8" s="2352" customFormat="1" ht="18" customHeight="1">
      <c r="A92" s="2360"/>
      <c r="B92" s="3756" t="str">
        <f>MID(A105000纳税调整项目明细表!B17,7,FIND("（",A105000纳税调整项目明细表!B17,5)-7)</f>
        <v>视同销售成本</v>
      </c>
      <c r="C92" s="3756"/>
      <c r="D92" s="2392">
        <f>N(A105000纳税调整项目明细表!C17)</f>
        <v>0</v>
      </c>
      <c r="E92" s="2392">
        <f>A105000纳税调整项目明细表!D17</f>
        <v>0</v>
      </c>
      <c r="F92" s="2392">
        <f>A105000纳税调整项目明细表!F17</f>
        <v>0</v>
      </c>
      <c r="G92" s="2390"/>
      <c r="H92" s="2396"/>
    </row>
    <row r="93" spans="1:8" s="2352" customFormat="1" ht="18" customHeight="1">
      <c r="A93" s="2360"/>
      <c r="B93" s="3756" t="str">
        <f>MID(A105000纳税调整项目明细表!B18,7,FIND("（",A105000纳税调整项目明细表!B18,5)-7)</f>
        <v>职工薪酬</v>
      </c>
      <c r="C93" s="3756"/>
      <c r="D93" s="2392">
        <f>A105000纳税调整项目明细表!C18</f>
        <v>0</v>
      </c>
      <c r="E93" s="2392">
        <f>A105000纳税调整项目明细表!D18</f>
        <v>0</v>
      </c>
      <c r="F93" s="2392">
        <f>A105000纳税调整项目明细表!F18</f>
        <v>0</v>
      </c>
      <c r="G93" s="2390"/>
      <c r="H93" s="2396"/>
    </row>
    <row r="94" spans="1:8" s="2352" customFormat="1" ht="18" customHeight="1">
      <c r="A94" s="2360"/>
      <c r="B94" s="3756" t="str">
        <f>MID(A105000纳税调整项目明细表!B20,7,FIND("（",A105000纳税调整项目明细表!B20,5)-7)</f>
        <v>广告费和业务宣传费支出</v>
      </c>
      <c r="C94" s="3756"/>
      <c r="D94" s="2392">
        <f>N(A105000纳税调整项目明细表!C20)</f>
        <v>0</v>
      </c>
      <c r="E94" s="2392">
        <f>N(A105000纳税调整项目明细表!D20)</f>
        <v>0</v>
      </c>
      <c r="F94" s="2392">
        <f>A105000纳税调整项目明细表!F20</f>
        <v>0</v>
      </c>
      <c r="G94" s="2390"/>
      <c r="H94" s="2396"/>
    </row>
    <row r="95" spans="1:8" s="2352" customFormat="1" ht="18" customHeight="1">
      <c r="A95" s="2360"/>
      <c r="B95" s="3752" t="str">
        <f>MID(A105000纳税调整项目明细表!B22,7,LEN(A105000纳税调整项目明细表!B22))</f>
        <v>利息支出</v>
      </c>
      <c r="C95" s="3753"/>
      <c r="D95" s="2392">
        <f>A105000纳税调整项目明细表!C22</f>
        <v>0</v>
      </c>
      <c r="E95" s="2392">
        <f>A105000纳税调整项目明细表!D22</f>
        <v>0</v>
      </c>
      <c r="F95" s="2392">
        <f>A105000纳税调整项目明细表!F22</f>
        <v>0</v>
      </c>
      <c r="G95" s="2391"/>
      <c r="H95" s="2396"/>
    </row>
    <row r="96" spans="1:8" s="2352" customFormat="1" ht="18" customHeight="1">
      <c r="A96" s="2360"/>
      <c r="B96" s="3752" t="str">
        <f>MID(A105000纳税调整项目明细表!B26,7,LEN(A105000纳税调整项目明细表!B26))</f>
        <v>与未实现融资收益相关在当期确认的财务费用</v>
      </c>
      <c r="C96" s="3753"/>
      <c r="D96" s="2392">
        <f>A105000纳税调整项目明细表!C26</f>
        <v>0</v>
      </c>
      <c r="E96" s="2392">
        <f>A105000纳税调整项目明细表!D26</f>
        <v>0</v>
      </c>
      <c r="F96" s="2392">
        <f>A105000纳税调整项目明细表!F26</f>
        <v>0</v>
      </c>
      <c r="G96" s="2391"/>
      <c r="H96" s="2396"/>
    </row>
    <row r="97" spans="1:8" s="2352" customFormat="1" ht="18" customHeight="1">
      <c r="A97" s="2360"/>
      <c r="B97" s="3752" t="str">
        <f>MID(A105000纳税调整项目明细表!B30,9,LEN(A105000纳税调整项目明细表!B30))</f>
        <v>跨期扣除项目</v>
      </c>
      <c r="C97" s="3753"/>
      <c r="D97" s="2392">
        <f>A105000纳税调整项目明细表!C30</f>
        <v>0</v>
      </c>
      <c r="E97" s="2392">
        <f>A105000纳税调整项目明细表!D30</f>
        <v>0</v>
      </c>
      <c r="F97" s="2392">
        <f>A105000纳税调整项目明细表!F30</f>
        <v>0</v>
      </c>
      <c r="G97" s="2391"/>
      <c r="H97" s="2396"/>
    </row>
    <row r="98" spans="1:8" s="2352" customFormat="1" ht="18" customHeight="1">
      <c r="A98" s="2360"/>
      <c r="B98" s="3752" t="str">
        <f>其他事项!B27</f>
        <v>以前年度应计未计费用</v>
      </c>
      <c r="C98" s="3753"/>
      <c r="D98" s="2392">
        <f>N(其他事项!D27)</f>
        <v>0</v>
      </c>
      <c r="E98" s="2392">
        <f>其他事项!E27</f>
        <v>0</v>
      </c>
      <c r="F98" s="2392">
        <f>-其他事项!F27</f>
        <v>0</v>
      </c>
      <c r="G98" s="2391"/>
      <c r="H98" s="2396"/>
    </row>
    <row r="99" spans="1:8" s="2352" customFormat="1" ht="18" customHeight="1">
      <c r="A99" s="2360"/>
      <c r="B99" s="3752" t="str">
        <f>其他事项!B33</f>
        <v>房地产企业因预收款产生的招待费、广宣费调整差异</v>
      </c>
      <c r="C99" s="3753"/>
      <c r="D99" s="2392">
        <f>N(其他事项!D33)</f>
        <v>0</v>
      </c>
      <c r="E99" s="2392">
        <f>N(其他事项!E33)</f>
        <v>0</v>
      </c>
      <c r="F99" s="2392">
        <f>-其他事项!F33</f>
        <v>0</v>
      </c>
      <c r="G99" s="2391"/>
      <c r="H99" s="2396"/>
    </row>
    <row r="100" spans="1:8" s="2352" customFormat="1" ht="18" customHeight="1">
      <c r="A100" s="2360"/>
      <c r="B100" s="3752" t="str">
        <f>其他事项!B35</f>
        <v>在福利费中列支的社会保障性缴款单位负担部分</v>
      </c>
      <c r="C100" s="3753"/>
      <c r="D100" s="2392">
        <f>其他事项!D35</f>
        <v>0</v>
      </c>
      <c r="E100" s="2392">
        <f>其他事项!E35</f>
        <v>0</v>
      </c>
      <c r="F100" s="2392">
        <f>-其他事项!F35</f>
        <v>0</v>
      </c>
      <c r="G100" s="2391"/>
      <c r="H100" s="2396"/>
    </row>
    <row r="101" spans="1:8" s="2352" customFormat="1" ht="18" customHeight="1">
      <c r="A101" s="2360"/>
      <c r="B101" s="3752" t="str">
        <f>其他事项!B36</f>
        <v>以前年度调增长期待摊费用本年可摊销部分</v>
      </c>
      <c r="C101" s="3753"/>
      <c r="D101" s="2392">
        <f>N(其他事项!D36)</f>
        <v>0</v>
      </c>
      <c r="E101" s="2392">
        <f>其他事项!E36</f>
        <v>0</v>
      </c>
      <c r="F101" s="2392">
        <f>-其他事项!F36</f>
        <v>0</v>
      </c>
      <c r="G101" s="2391"/>
      <c r="H101" s="2396"/>
    </row>
    <row r="102" spans="1:8" s="2352" customFormat="1" ht="18" customHeight="1">
      <c r="A102" s="2360"/>
      <c r="B102" s="3752" t="str">
        <f>MID(A105000纳税调整项目明细表!B35,8,FIND("（",A105000纳税调整项目明细表!B35,5)+2)</f>
        <v>资产折旧、摊销</v>
      </c>
      <c r="C102" s="3753"/>
      <c r="D102" s="2392">
        <f>A105000纳税调整项目明细表!C35</f>
        <v>0</v>
      </c>
      <c r="E102" s="2392">
        <f ca="1">A105000纳税调整项目明细表!D35</f>
        <v>0</v>
      </c>
      <c r="F102" s="2392">
        <f ca="1">A105000纳税调整项目明细表!F35</f>
        <v>0</v>
      </c>
      <c r="G102" s="2391"/>
      <c r="H102" s="2396"/>
    </row>
    <row r="103" spans="1:8" s="2352" customFormat="1" ht="18" customHeight="1">
      <c r="A103" s="2360"/>
      <c r="B103" s="3752" t="str">
        <f>MID(A105000纳税调整项目明细表!B36,8,FIND("（",A105000纳税调整项目明细表!B36,5)+2)</f>
        <v>资产减值准备金</v>
      </c>
      <c r="C103" s="3753"/>
      <c r="D103" s="2392">
        <f>A105000纳税调整项目明细表!C36</f>
        <v>0</v>
      </c>
      <c r="E103" s="2392">
        <f>N(A105000纳税调整项目明细表!D36)</f>
        <v>0</v>
      </c>
      <c r="F103" s="2392">
        <f>A105000纳税调整项目明细表!F36</f>
        <v>0</v>
      </c>
      <c r="G103" s="2391"/>
      <c r="H103" s="2396"/>
    </row>
    <row r="104" spans="1:8" s="2352" customFormat="1" ht="18" customHeight="1">
      <c r="A104" s="2360"/>
      <c r="B104" s="3752" t="str">
        <f>MID(A105000纳税调整项目明细表!B37,7,FIND("（",A105000纳税调整项目明细表!B37,5)-7)</f>
        <v>资产损失</v>
      </c>
      <c r="C104" s="3753"/>
      <c r="D104" s="2392">
        <f>A105000纳税调整项目明细表!C37</f>
        <v>0</v>
      </c>
      <c r="E104" s="2392">
        <f>N(A105000纳税调整项目明细表!D37)</f>
        <v>0</v>
      </c>
      <c r="F104" s="2392">
        <f>A105000纳税调整项目明细表!F37</f>
        <v>0</v>
      </c>
      <c r="G104" s="2391"/>
      <c r="H104" s="2396"/>
    </row>
    <row r="105" spans="1:8" s="2352" customFormat="1" ht="18" customHeight="1">
      <c r="A105" s="2360"/>
      <c r="B105" s="3752" t="str">
        <f>其他事项!A13&amp;"-"&amp;其他事项!B15</f>
        <v>资产类-其他</v>
      </c>
      <c r="C105" s="3753"/>
      <c r="D105" s="2392">
        <f>其他事项!D15</f>
        <v>0</v>
      </c>
      <c r="E105" s="2392">
        <f>其他事项!E15</f>
        <v>0</v>
      </c>
      <c r="F105" s="2392">
        <f>-MIN(其他事项!F15,0)</f>
        <v>0</v>
      </c>
      <c r="G105" s="2391"/>
      <c r="H105" s="2396"/>
    </row>
    <row r="106" spans="1:8" s="2352" customFormat="1" ht="18" customHeight="1">
      <c r="A106" s="2360"/>
      <c r="B106" s="3752" t="str">
        <f>MID(A105000纳税调整项目明细表!B40,7,FIND("（",A105000纳税调整项目明细表!B40,5)-7)</f>
        <v>企业重组</v>
      </c>
      <c r="C106" s="3753"/>
      <c r="D106" s="2392">
        <f>A105000纳税调整项目明细表!C40</f>
        <v>0</v>
      </c>
      <c r="E106" s="2392">
        <f>A105000纳税调整项目明细表!D40</f>
        <v>0</v>
      </c>
      <c r="F106" s="2392">
        <f>A105000纳税调整项目明细表!F40</f>
        <v>0</v>
      </c>
      <c r="G106" s="2391"/>
      <c r="H106" s="2396"/>
    </row>
    <row r="107" spans="1:8" s="2352" customFormat="1" ht="18" customHeight="1">
      <c r="A107" s="2360"/>
      <c r="B107" s="3752" t="str">
        <f>MID(A105000纳税调整项目明细表!B41,8,FIND("（",A105000纳税调整项目明细表!B41,5))</f>
        <v>政策性搬迁</v>
      </c>
      <c r="C107" s="3753"/>
      <c r="D107" s="2392">
        <f>A105110政策性搬迁纳税调整明细表!C25+A105110政策性搬迁纳税调整明细表!C26</f>
        <v>0</v>
      </c>
      <c r="E107" s="2392">
        <f>A105110政策性搬迁纳税调整明细表!C21</f>
        <v>0</v>
      </c>
      <c r="F107" s="2392">
        <f>A105000纳税调整项目明细表!F41</f>
        <v>0</v>
      </c>
      <c r="G107" s="2391"/>
      <c r="H107" s="2396"/>
    </row>
    <row r="108" spans="1:8" s="2352" customFormat="1" ht="18" customHeight="1">
      <c r="A108" s="2360"/>
      <c r="B108" s="3752" t="str">
        <f>MID(A105000纳税调整项目明细表!B42,8,FIND("（",A105000纳税调整项目明细表!B42,5)+2)</f>
        <v>特殊行业准备金</v>
      </c>
      <c r="C108" s="3753"/>
      <c r="D108" s="2392">
        <f>A105000纳税调整项目明细表!C42</f>
        <v>0</v>
      </c>
      <c r="E108" s="2392">
        <f>A105000纳税调整项目明细表!D42</f>
        <v>0</v>
      </c>
      <c r="F108" s="2392">
        <f>A105000纳税调整项目明细表!F42</f>
        <v>0</v>
      </c>
      <c r="G108" s="2391"/>
      <c r="H108" s="2396"/>
    </row>
    <row r="109" spans="1:8" s="2352" customFormat="1" ht="18" customHeight="1">
      <c r="A109" s="2360"/>
      <c r="B109" s="3752" t="str">
        <f>MID(A105000纳税调整项目明细表!B43,8,FIND("（",A105000纳税调整项目明细表!B43,5)+14)</f>
        <v>房地产开发企业特定业务计算的纳税调整额</v>
      </c>
      <c r="C109" s="3753"/>
      <c r="D109" s="2392">
        <f>N(A105000纳税调整项目明细表!C43)</f>
        <v>0</v>
      </c>
      <c r="E109" s="2392">
        <f>N(A105000纳税调整项目明细表!D43)</f>
        <v>0</v>
      </c>
      <c r="F109" s="2392">
        <f>N(A105000纳税调整项目明细表!F43)</f>
        <v>0</v>
      </c>
      <c r="G109" s="2391"/>
      <c r="H109" s="2396"/>
    </row>
    <row r="110" spans="1:8" s="2352" customFormat="1" ht="18" customHeight="1">
      <c r="A110" s="2360"/>
      <c r="B110" s="3752" t="str">
        <f>其他事项!A17&amp;"调整项目-"&amp;其他事项!B17</f>
        <v>特殊事项调整项目-其他</v>
      </c>
      <c r="C110" s="3753"/>
      <c r="D110" s="2392">
        <f>其他事项!D17</f>
        <v>0</v>
      </c>
      <c r="E110" s="2392">
        <f>其他事项!E17</f>
        <v>0</v>
      </c>
      <c r="F110" s="2392">
        <f>N(A105000纳税调整项目明细表!F44)</f>
        <v>0</v>
      </c>
      <c r="G110" s="2391"/>
      <c r="H110" s="2396"/>
    </row>
    <row r="111" spans="1:8" s="2352" customFormat="1" ht="18" customHeight="1">
      <c r="A111" s="2360"/>
      <c r="B111" s="3752" t="str">
        <f>其他事项!A18&amp;"应税所得"</f>
        <v>特别纳税调整应税所得</v>
      </c>
      <c r="C111" s="3753"/>
      <c r="D111" s="2392">
        <f>其他事项!D18</f>
        <v>0</v>
      </c>
      <c r="E111" s="2392">
        <f>其他事项!E18</f>
        <v>0</v>
      </c>
      <c r="F111" s="2392">
        <f>N(A105000纳税调整项目明细表!F45)</f>
        <v>0</v>
      </c>
      <c r="G111" s="2391"/>
      <c r="H111" s="2396"/>
    </row>
    <row r="112" spans="1:8" s="2352" customFormat="1" ht="18" customHeight="1">
      <c r="A112" s="2360"/>
      <c r="B112" s="3752" t="str">
        <f>"纳税调整项目-"&amp;其他事项!A19</f>
        <v>纳税调整项目-其他</v>
      </c>
      <c r="C112" s="3753"/>
      <c r="D112" s="2392">
        <f>其他事项!D19</f>
        <v>0</v>
      </c>
      <c r="E112" s="2392">
        <f>其他事项!E19</f>
        <v>0</v>
      </c>
      <c r="F112" s="2392">
        <f>N(A105000纳税调整项目明细表!F46)</f>
        <v>0</v>
      </c>
      <c r="G112" s="2391"/>
      <c r="H112" s="2396"/>
    </row>
    <row r="113" spans="1:11" s="2352" customFormat="1" ht="18" customHeight="1">
      <c r="A113" s="2360"/>
      <c r="B113" s="3754"/>
      <c r="C113" s="3755"/>
      <c r="D113" s="2411"/>
      <c r="E113" s="2411"/>
      <c r="F113" s="2412"/>
      <c r="G113" s="2391"/>
      <c r="H113" s="2396"/>
    </row>
    <row r="114" spans="1:11" s="2352" customFormat="1" ht="18" customHeight="1">
      <c r="A114" s="2360"/>
      <c r="B114" s="3754"/>
      <c r="C114" s="3755"/>
      <c r="D114" s="2411"/>
      <c r="E114" s="2411"/>
      <c r="F114" s="2412"/>
      <c r="G114" s="2391"/>
      <c r="H114" s="2396"/>
    </row>
    <row r="115" spans="1:11" s="2352" customFormat="1" ht="18" customHeight="1">
      <c r="A115" s="2360"/>
      <c r="B115" s="3754"/>
      <c r="C115" s="3755"/>
      <c r="D115" s="2411"/>
      <c r="E115" s="2411"/>
      <c r="F115" s="2412"/>
      <c r="G115" s="2391"/>
      <c r="H115" s="2396"/>
    </row>
    <row r="116" spans="1:11" s="2352" customFormat="1" ht="18" customHeight="1">
      <c r="A116" s="2360"/>
      <c r="B116" s="3747"/>
      <c r="C116" s="3747"/>
      <c r="D116" s="2413"/>
      <c r="E116" s="2413"/>
      <c r="F116" s="2414"/>
      <c r="G116" s="2391"/>
      <c r="H116" s="2396"/>
    </row>
    <row r="117" spans="1:11" s="2352" customFormat="1" ht="18" customHeight="1">
      <c r="A117" s="2360"/>
      <c r="B117" s="3747"/>
      <c r="C117" s="3747"/>
      <c r="D117" s="2413"/>
      <c r="E117" s="2413"/>
      <c r="F117" s="2414"/>
      <c r="G117" s="2391"/>
      <c r="H117" s="2396"/>
    </row>
    <row r="118" spans="1:11" s="2353" customFormat="1" ht="18" customHeight="1">
      <c r="A118" s="2360"/>
      <c r="B118" s="3748" t="s">
        <v>7028</v>
      </c>
      <c r="C118" s="3748"/>
      <c r="D118" s="2403">
        <v>0</v>
      </c>
      <c r="E118" s="2403">
        <v>0</v>
      </c>
      <c r="F118" s="2415">
        <f ca="1">SUM(F85:F117)</f>
        <v>0</v>
      </c>
      <c r="G118" s="2405"/>
      <c r="H118" s="2352"/>
      <c r="I118" s="2352"/>
      <c r="J118" s="2352"/>
      <c r="K118" s="2352"/>
    </row>
    <row r="119" spans="1:11" s="2353" customFormat="1" ht="22.5" customHeight="1">
      <c r="A119" s="2360"/>
      <c r="B119" s="3749" t="s">
        <v>7031</v>
      </c>
      <c r="C119" s="3749"/>
      <c r="D119" s="3750">
        <f ca="1">D27+C29-C83</f>
        <v>0</v>
      </c>
      <c r="E119" s="3750"/>
      <c r="F119" s="2408" t="s">
        <v>7007</v>
      </c>
      <c r="G119" s="2408"/>
      <c r="H119" s="2352"/>
      <c r="I119" s="2352"/>
      <c r="J119" s="2352"/>
      <c r="K119" s="2352"/>
    </row>
    <row r="120" spans="1:11" s="2353" customFormat="1">
      <c r="A120" s="2360"/>
      <c r="B120" s="2416"/>
      <c r="C120" s="2417"/>
      <c r="D120" s="2418"/>
      <c r="E120" s="2418"/>
      <c r="F120" s="2418"/>
      <c r="G120" s="2418"/>
      <c r="H120" s="2352"/>
      <c r="I120" s="2352"/>
      <c r="J120" s="2352"/>
      <c r="K120" s="2352"/>
    </row>
    <row r="121" spans="1:11" s="2372" customFormat="1" ht="23.25" customHeight="1">
      <c r="A121" s="2382"/>
      <c r="B121" s="3742" t="s">
        <v>7032</v>
      </c>
      <c r="C121" s="3742"/>
      <c r="D121" s="3742"/>
      <c r="E121" s="3742"/>
      <c r="F121" s="3742"/>
      <c r="G121" s="3742"/>
      <c r="H121" s="2371"/>
      <c r="I121" s="2383"/>
      <c r="J121" s="2371"/>
      <c r="K121" s="2371"/>
    </row>
    <row r="122" spans="1:11" s="2352" customFormat="1" ht="27" customHeight="1">
      <c r="A122" s="2359" t="s">
        <v>1404</v>
      </c>
      <c r="B122" s="3751" t="str">
        <f>"    （1）我们在贵单位确认的收入基础上对贵单位"&amp;IF(OR(基本情况!B6&lt;&gt;"12月31日",基本情况!F5&lt;&gt;"01",基本情况!G5&lt;&gt;"01"),基本情况!B7,基本情况!B4&amp;"年度")&amp;"企业所得税年度纳税申报事项进行审核。"</f>
        <v xml:space="preserve">    （1）我们在贵单位确认的收入基础上对贵单位2016年度企业所得税年度纳税申报事项进行审核。</v>
      </c>
      <c r="C122" s="3751"/>
      <c r="D122" s="3751"/>
      <c r="E122" s="3751"/>
      <c r="F122" s="3751"/>
      <c r="G122" s="3751"/>
    </row>
    <row r="123" spans="1:11" s="2353" customFormat="1" ht="18" hidden="1" customHeight="1">
      <c r="A123" s="2360"/>
      <c r="B123" s="3741" t="s">
        <v>7033</v>
      </c>
      <c r="C123" s="3741"/>
      <c r="D123" s="3741"/>
      <c r="E123" s="3741"/>
      <c r="F123" s="3741"/>
      <c r="G123" s="3741"/>
      <c r="H123" s="2352"/>
      <c r="I123" s="2352"/>
      <c r="J123" s="2352"/>
      <c r="K123" s="2352"/>
    </row>
    <row r="124" spans="1:11" s="2353" customFormat="1" ht="18" hidden="1" customHeight="1">
      <c r="A124" s="2360"/>
      <c r="B124" s="3741" t="s">
        <v>7034</v>
      </c>
      <c r="C124" s="3741"/>
      <c r="D124" s="3741"/>
      <c r="E124" s="3741"/>
      <c r="F124" s="3741"/>
      <c r="G124" s="3741"/>
      <c r="H124" s="2352"/>
      <c r="I124" s="2352"/>
      <c r="J124" s="2352"/>
      <c r="K124" s="2352"/>
    </row>
    <row r="125" spans="1:11" s="2353" customFormat="1" ht="18" hidden="1" customHeight="1">
      <c r="A125" s="2360"/>
      <c r="B125" s="3741" t="s">
        <v>7035</v>
      </c>
      <c r="C125" s="3741"/>
      <c r="D125" s="3741"/>
      <c r="E125" s="3741"/>
      <c r="F125" s="3741"/>
      <c r="G125" s="3741"/>
      <c r="H125" s="2352"/>
      <c r="I125" s="2352"/>
      <c r="J125" s="2352"/>
      <c r="K125" s="2352"/>
    </row>
    <row r="126" spans="1:11" s="2353" customFormat="1" ht="18" hidden="1" customHeight="1">
      <c r="A126" s="2360"/>
      <c r="B126" s="3741" t="s">
        <v>7036</v>
      </c>
      <c r="C126" s="3741"/>
      <c r="D126" s="3741"/>
      <c r="E126" s="3741"/>
      <c r="F126" s="3741"/>
      <c r="G126" s="3741"/>
      <c r="H126" s="2352"/>
      <c r="I126" s="2352"/>
      <c r="J126" s="2352"/>
      <c r="K126" s="2352"/>
    </row>
    <row r="127" spans="1:11" s="2353" customFormat="1" ht="18" hidden="1" customHeight="1">
      <c r="A127" s="2360"/>
      <c r="B127" s="3741" t="s">
        <v>7037</v>
      </c>
      <c r="C127" s="3741"/>
      <c r="D127" s="3741"/>
      <c r="E127" s="3741"/>
      <c r="F127" s="3741"/>
      <c r="G127" s="3741"/>
      <c r="H127" s="2352"/>
      <c r="I127" s="2352"/>
      <c r="J127" s="2352"/>
      <c r="K127" s="2352"/>
    </row>
    <row r="128" spans="1:11" s="2353" customFormat="1" ht="18" hidden="1" customHeight="1">
      <c r="A128" s="2360"/>
      <c r="B128" s="3741" t="s">
        <v>7038</v>
      </c>
      <c r="C128" s="3741"/>
      <c r="D128" s="3741"/>
      <c r="E128" s="3741"/>
      <c r="F128" s="3741"/>
      <c r="G128" s="3741"/>
      <c r="H128" s="2352"/>
      <c r="I128" s="2352"/>
      <c r="J128" s="2352"/>
      <c r="K128" s="2352"/>
    </row>
    <row r="129" spans="1:11" s="2353" customFormat="1" ht="18" hidden="1" customHeight="1">
      <c r="A129" s="2360"/>
      <c r="B129" s="3741" t="s">
        <v>7039</v>
      </c>
      <c r="C129" s="3741"/>
      <c r="D129" s="3741"/>
      <c r="E129" s="3741"/>
      <c r="F129" s="3741"/>
      <c r="G129" s="3741"/>
      <c r="H129" s="2352"/>
      <c r="I129" s="2352"/>
      <c r="J129" s="2352"/>
      <c r="K129" s="2352"/>
    </row>
    <row r="130" spans="1:11" s="2353" customFormat="1" ht="22.5" customHeight="1">
      <c r="A130" s="2382"/>
      <c r="B130" s="3742" t="s">
        <v>7040</v>
      </c>
      <c r="C130" s="3742"/>
      <c r="D130" s="3742"/>
      <c r="E130" s="3742"/>
      <c r="F130" s="3742"/>
      <c r="G130" s="3742"/>
      <c r="H130" s="2352"/>
      <c r="I130" s="2352"/>
      <c r="J130" s="2352"/>
      <c r="K130" s="2352"/>
    </row>
    <row r="131" spans="1:11" s="2353" customFormat="1" ht="21" customHeight="1">
      <c r="A131" s="2360"/>
      <c r="B131" s="3743" t="s">
        <v>7041</v>
      </c>
      <c r="C131" s="3743"/>
      <c r="D131" s="3743"/>
      <c r="E131" s="3743"/>
      <c r="F131" s="3743"/>
      <c r="G131" s="3743"/>
      <c r="H131" s="2352"/>
      <c r="I131" s="2352"/>
      <c r="J131" s="2352"/>
      <c r="K131" s="2352"/>
    </row>
    <row r="132" spans="1:11" s="2353" customFormat="1" ht="30" customHeight="1">
      <c r="A132" s="2360"/>
      <c r="B132" s="2360"/>
      <c r="C132" s="2360"/>
      <c r="D132" s="2360"/>
      <c r="E132" s="2360"/>
      <c r="F132" s="2360"/>
      <c r="G132" s="2360"/>
      <c r="H132" s="2352"/>
      <c r="I132" s="2352"/>
      <c r="J132" s="2352"/>
      <c r="K132" s="2352"/>
    </row>
    <row r="133" spans="1:11" s="2353" customFormat="1" ht="17.399999999999999">
      <c r="A133" s="2360"/>
      <c r="B133" s="2360"/>
      <c r="C133" s="2360"/>
      <c r="D133" s="3744" t="s">
        <v>7042</v>
      </c>
      <c r="E133" s="3744"/>
      <c r="F133" s="3744"/>
      <c r="G133" s="3744"/>
      <c r="H133" s="2352"/>
      <c r="I133" s="2352"/>
      <c r="J133" s="2352"/>
      <c r="K133" s="2352"/>
    </row>
    <row r="134" spans="1:11" s="2353" customFormat="1" ht="10.5" customHeight="1">
      <c r="A134" s="2360"/>
      <c r="B134" s="2360"/>
      <c r="C134" s="2360"/>
      <c r="D134" s="2419"/>
      <c r="E134" s="2420" t="s">
        <v>7043</v>
      </c>
      <c r="F134" s="2419"/>
      <c r="G134" s="2419"/>
      <c r="H134" s="2352"/>
      <c r="I134" s="2352"/>
      <c r="J134" s="2352"/>
      <c r="K134" s="2352"/>
    </row>
    <row r="135" spans="1:11" s="2353" customFormat="1" ht="17.399999999999999">
      <c r="A135" s="2360"/>
      <c r="B135" s="2360"/>
      <c r="C135" s="2360"/>
      <c r="D135" s="3745" t="str">
        <f>基本情况!B20</f>
        <v>2017年5月4日</v>
      </c>
      <c r="E135" s="3746"/>
      <c r="F135" s="3746"/>
      <c r="G135" s="3746"/>
      <c r="H135" s="2352"/>
      <c r="I135" s="2352"/>
      <c r="J135" s="2352"/>
      <c r="K135" s="2352"/>
    </row>
    <row r="136" spans="1:11" s="2353" customFormat="1">
      <c r="A136" s="2421"/>
      <c r="B136" s="2421"/>
      <c r="C136" s="2421"/>
      <c r="D136" s="2421"/>
      <c r="E136" s="2421"/>
      <c r="F136" s="2421"/>
      <c r="G136" s="2421"/>
    </row>
    <row r="137" spans="1:11" s="2353" customFormat="1">
      <c r="A137" s="2421"/>
      <c r="B137" s="2421"/>
      <c r="C137" s="2421"/>
      <c r="D137" s="2421"/>
      <c r="E137" s="2421"/>
      <c r="F137" s="2421"/>
      <c r="G137" s="2421"/>
    </row>
    <row r="138" spans="1:11" s="2353" customFormat="1">
      <c r="A138" s="2421"/>
      <c r="B138" s="2421"/>
      <c r="C138" s="2421"/>
      <c r="D138" s="2421"/>
      <c r="E138" s="2421"/>
      <c r="F138" s="2421"/>
      <c r="G138" s="2421"/>
    </row>
    <row r="139" spans="1:11" s="2353" customFormat="1">
      <c r="A139" s="2421"/>
      <c r="B139" s="2421"/>
      <c r="C139" s="2421"/>
      <c r="D139" s="2421"/>
      <c r="E139" s="2421"/>
      <c r="F139" s="2421"/>
      <c r="G139" s="2421"/>
    </row>
    <row r="140" spans="1:11" s="2353" customFormat="1">
      <c r="A140" s="2421"/>
      <c r="B140" s="2421"/>
      <c r="C140" s="2421"/>
      <c r="D140" s="2421"/>
      <c r="E140" s="2421"/>
      <c r="F140" s="2421"/>
      <c r="G140" s="2421"/>
    </row>
    <row r="141" spans="1:11" s="2353" customFormat="1">
      <c r="A141" s="2421"/>
      <c r="B141" s="2421"/>
      <c r="C141" s="2421"/>
      <c r="D141" s="2421"/>
      <c r="E141" s="2421"/>
      <c r="F141" s="2421"/>
      <c r="G141" s="2421"/>
    </row>
    <row r="142" spans="1:11" s="2353" customFormat="1">
      <c r="A142" s="2421"/>
      <c r="B142" s="2421"/>
      <c r="C142" s="2421"/>
      <c r="D142" s="2421"/>
      <c r="E142" s="2421"/>
      <c r="F142" s="2421"/>
      <c r="G142" s="2421"/>
    </row>
    <row r="143" spans="1:11" s="2353" customFormat="1">
      <c r="A143" s="2421"/>
      <c r="B143" s="2421"/>
      <c r="C143" s="2421"/>
      <c r="D143" s="2421"/>
      <c r="E143" s="2421"/>
      <c r="F143" s="2421"/>
      <c r="G143" s="2421"/>
    </row>
    <row r="144" spans="1:11" s="2353" customFormat="1">
      <c r="A144" s="2421"/>
      <c r="B144" s="2421"/>
      <c r="C144" s="2421"/>
      <c r="D144" s="2421"/>
      <c r="E144" s="2421"/>
      <c r="F144" s="2421"/>
      <c r="G144" s="2421"/>
    </row>
    <row r="145" spans="1:7" s="2353" customFormat="1">
      <c r="A145" s="2421"/>
      <c r="B145" s="2421"/>
      <c r="C145" s="2421"/>
      <c r="D145" s="2421"/>
      <c r="E145" s="2421"/>
      <c r="F145" s="2421"/>
      <c r="G145" s="2421"/>
    </row>
    <row r="146" spans="1:7" s="2353" customFormat="1">
      <c r="A146" s="2421"/>
      <c r="B146" s="2421"/>
      <c r="C146" s="2421"/>
      <c r="D146" s="2421"/>
      <c r="E146" s="2421"/>
      <c r="F146" s="2421"/>
      <c r="G146" s="2421"/>
    </row>
    <row r="147" spans="1:7" s="2353" customFormat="1">
      <c r="A147" s="2421"/>
      <c r="B147" s="2421"/>
      <c r="C147" s="2421"/>
      <c r="D147" s="2421"/>
      <c r="E147" s="2421"/>
      <c r="F147" s="2421"/>
      <c r="G147" s="2421"/>
    </row>
    <row r="148" spans="1:7" s="2353" customFormat="1">
      <c r="A148" s="2421"/>
      <c r="B148" s="2421"/>
      <c r="C148" s="2421"/>
      <c r="D148" s="2421"/>
      <c r="E148" s="2421"/>
      <c r="F148" s="2421"/>
      <c r="G148" s="2421"/>
    </row>
    <row r="149" spans="1:7" s="2353" customFormat="1">
      <c r="A149" s="2421"/>
      <c r="B149" s="2421"/>
      <c r="C149" s="2421"/>
      <c r="D149" s="2421"/>
      <c r="E149" s="2421"/>
      <c r="F149" s="2421"/>
      <c r="G149" s="2421"/>
    </row>
    <row r="150" spans="1:7" s="2353" customFormat="1">
      <c r="A150" s="2421"/>
      <c r="B150" s="2421"/>
      <c r="C150" s="2421"/>
      <c r="D150" s="2421"/>
      <c r="E150" s="2421"/>
      <c r="F150" s="2421"/>
      <c r="G150" s="2421"/>
    </row>
    <row r="151" spans="1:7" s="2353" customFormat="1">
      <c r="A151" s="2421"/>
      <c r="B151" s="2421"/>
      <c r="C151" s="2421"/>
      <c r="D151" s="2421"/>
      <c r="E151" s="2421"/>
      <c r="F151" s="2421"/>
      <c r="G151" s="2421"/>
    </row>
    <row r="152" spans="1:7" s="2353" customFormat="1">
      <c r="A152" s="2421"/>
      <c r="B152" s="2421"/>
      <c r="C152" s="2421"/>
      <c r="D152" s="2421"/>
      <c r="E152" s="2421"/>
      <c r="F152" s="2421"/>
      <c r="G152" s="2421"/>
    </row>
    <row r="153" spans="1:7" s="2353" customFormat="1">
      <c r="A153" s="2421"/>
      <c r="B153" s="2421"/>
      <c r="C153" s="2421"/>
      <c r="D153" s="2421"/>
      <c r="E153" s="2421"/>
      <c r="F153" s="2421"/>
      <c r="G153" s="2421"/>
    </row>
    <row r="154" spans="1:7" s="2353" customFormat="1">
      <c r="A154" s="2421"/>
      <c r="B154" s="2421"/>
      <c r="C154" s="2421"/>
      <c r="D154" s="2421"/>
      <c r="E154" s="2421"/>
      <c r="F154" s="2421"/>
      <c r="G154" s="2421"/>
    </row>
    <row r="155" spans="1:7" s="2353" customFormat="1">
      <c r="A155" s="2421"/>
      <c r="B155" s="2421"/>
      <c r="C155" s="2421"/>
      <c r="D155" s="2421"/>
      <c r="E155" s="2421"/>
      <c r="F155" s="2421"/>
      <c r="G155" s="2421"/>
    </row>
    <row r="156" spans="1:7" s="2353" customFormat="1">
      <c r="A156" s="2421"/>
      <c r="B156" s="2421"/>
      <c r="C156" s="2421"/>
      <c r="D156" s="2421"/>
      <c r="E156" s="2421"/>
      <c r="F156" s="2421"/>
      <c r="G156" s="2421"/>
    </row>
    <row r="157" spans="1:7" s="2353" customFormat="1">
      <c r="A157" s="2421"/>
      <c r="B157" s="2421"/>
      <c r="C157" s="2421"/>
      <c r="D157" s="2421"/>
      <c r="E157" s="2421"/>
      <c r="F157" s="2421"/>
      <c r="G157" s="2421"/>
    </row>
    <row r="158" spans="1:7" s="2353" customFormat="1">
      <c r="A158" s="2421"/>
      <c r="B158" s="2421"/>
      <c r="C158" s="2421"/>
      <c r="D158" s="2421"/>
      <c r="E158" s="2421"/>
      <c r="F158" s="2421"/>
      <c r="G158" s="2421"/>
    </row>
    <row r="159" spans="1:7" s="2353" customFormat="1">
      <c r="A159" s="2421"/>
      <c r="B159" s="2421"/>
      <c r="C159" s="2421"/>
      <c r="D159" s="2421"/>
      <c r="E159" s="2421"/>
      <c r="F159" s="2421"/>
      <c r="G159" s="2421"/>
    </row>
    <row r="160" spans="1:7" s="2353" customFormat="1">
      <c r="A160" s="2421"/>
      <c r="B160" s="2421"/>
      <c r="C160" s="2421"/>
      <c r="D160" s="2421"/>
      <c r="E160" s="2421"/>
      <c r="F160" s="2421"/>
      <c r="G160" s="2421"/>
    </row>
    <row r="161" spans="1:7" s="2353" customFormat="1">
      <c r="A161" s="2421"/>
      <c r="B161" s="2421"/>
      <c r="C161" s="2421"/>
      <c r="D161" s="2421"/>
      <c r="E161" s="2421"/>
      <c r="F161" s="2421"/>
      <c r="G161" s="2421"/>
    </row>
    <row r="162" spans="1:7" s="2353" customFormat="1">
      <c r="A162" s="2421"/>
      <c r="B162" s="2421"/>
      <c r="C162" s="2421"/>
      <c r="D162" s="2421"/>
      <c r="E162" s="2421"/>
      <c r="F162" s="2421"/>
      <c r="G162" s="2421"/>
    </row>
    <row r="163" spans="1:7" s="2353" customFormat="1">
      <c r="A163" s="2421"/>
      <c r="B163" s="2421"/>
      <c r="C163" s="2421"/>
      <c r="D163" s="2421"/>
      <c r="E163" s="2421"/>
      <c r="F163" s="2421"/>
      <c r="G163" s="2421"/>
    </row>
    <row r="164" spans="1:7" s="2353" customFormat="1">
      <c r="A164" s="2421"/>
      <c r="B164" s="2421"/>
      <c r="C164" s="2421"/>
      <c r="D164" s="2421"/>
      <c r="E164" s="2421"/>
      <c r="F164" s="2421"/>
      <c r="G164" s="2421"/>
    </row>
    <row r="165" spans="1:7" s="2353" customFormat="1">
      <c r="A165" s="2421"/>
      <c r="B165" s="2421"/>
      <c r="C165" s="2421"/>
      <c r="D165" s="2421"/>
      <c r="E165" s="2421"/>
      <c r="F165" s="2421"/>
      <c r="G165" s="2421"/>
    </row>
    <row r="166" spans="1:7" s="2353" customFormat="1">
      <c r="A166" s="2421"/>
      <c r="B166" s="2421"/>
      <c r="C166" s="2421"/>
      <c r="D166" s="2421"/>
      <c r="E166" s="2421"/>
      <c r="F166" s="2421"/>
      <c r="G166" s="2421"/>
    </row>
    <row r="167" spans="1:7" s="2353" customFormat="1">
      <c r="A167" s="2421"/>
      <c r="B167" s="2421"/>
      <c r="C167" s="2421"/>
      <c r="D167" s="2421"/>
      <c r="E167" s="2421"/>
      <c r="F167" s="2421"/>
      <c r="G167" s="2421"/>
    </row>
    <row r="168" spans="1:7" s="2353" customFormat="1">
      <c r="A168" s="2421"/>
      <c r="B168" s="2421"/>
      <c r="C168" s="2421"/>
      <c r="D168" s="2421"/>
      <c r="E168" s="2421"/>
      <c r="F168" s="2421"/>
      <c r="G168" s="2421"/>
    </row>
    <row r="169" spans="1:7" s="2353" customFormat="1">
      <c r="A169" s="2421"/>
      <c r="B169" s="2421"/>
      <c r="C169" s="2421"/>
      <c r="D169" s="2421"/>
      <c r="E169" s="2421"/>
      <c r="F169" s="2421"/>
      <c r="G169" s="2421"/>
    </row>
    <row r="170" spans="1:7" s="2353" customFormat="1">
      <c r="A170" s="2421"/>
      <c r="B170" s="2421"/>
      <c r="C170" s="2421"/>
      <c r="D170" s="2421"/>
      <c r="E170" s="2421"/>
      <c r="F170" s="2421"/>
      <c r="G170" s="2421"/>
    </row>
    <row r="171" spans="1:7" s="2353" customFormat="1">
      <c r="A171" s="2421"/>
      <c r="B171" s="2421"/>
      <c r="C171" s="2421"/>
      <c r="D171" s="2421"/>
      <c r="E171" s="2421"/>
      <c r="F171" s="2421"/>
      <c r="G171" s="2421"/>
    </row>
    <row r="172" spans="1:7" s="2353" customFormat="1">
      <c r="A172" s="2421"/>
      <c r="B172" s="2421"/>
      <c r="C172" s="2421"/>
      <c r="D172" s="2421"/>
      <c r="E172" s="2421"/>
      <c r="F172" s="2421"/>
      <c r="G172" s="2421"/>
    </row>
    <row r="173" spans="1:7" s="2353" customFormat="1">
      <c r="A173" s="2421"/>
      <c r="B173" s="2421"/>
      <c r="C173" s="2421"/>
      <c r="D173" s="2421"/>
      <c r="E173" s="2421"/>
      <c r="F173" s="2421"/>
      <c r="G173" s="2421"/>
    </row>
    <row r="174" spans="1:7" s="2353" customFormat="1">
      <c r="A174" s="2421"/>
      <c r="B174" s="2421"/>
      <c r="C174" s="2421"/>
      <c r="D174" s="2421"/>
      <c r="E174" s="2421"/>
      <c r="F174" s="2421"/>
      <c r="G174" s="2421"/>
    </row>
    <row r="175" spans="1:7" s="2353" customFormat="1">
      <c r="A175" s="2421"/>
      <c r="B175" s="2421"/>
      <c r="C175" s="2421"/>
      <c r="D175" s="2421"/>
      <c r="E175" s="2421"/>
      <c r="F175" s="2421"/>
      <c r="G175" s="2421"/>
    </row>
    <row r="176" spans="1:7" s="2353" customFormat="1">
      <c r="A176" s="2421"/>
      <c r="B176" s="2421"/>
      <c r="C176" s="2421"/>
      <c r="D176" s="2421"/>
      <c r="E176" s="2421"/>
      <c r="F176" s="2421"/>
      <c r="G176" s="2421"/>
    </row>
    <row r="177" spans="1:7" s="2353" customFormat="1">
      <c r="A177" s="2421"/>
      <c r="B177" s="2421"/>
      <c r="C177" s="2421"/>
      <c r="D177" s="2421"/>
      <c r="E177" s="2421"/>
      <c r="F177" s="2421"/>
      <c r="G177" s="2421"/>
    </row>
    <row r="178" spans="1:7" s="2353" customFormat="1">
      <c r="A178" s="2421"/>
      <c r="B178" s="2421"/>
      <c r="C178" s="2421"/>
      <c r="D178" s="2421"/>
      <c r="E178" s="2421"/>
      <c r="F178" s="2421"/>
      <c r="G178" s="2421"/>
    </row>
    <row r="179" spans="1:7" s="2353" customFormat="1">
      <c r="A179" s="2421"/>
      <c r="B179" s="2421"/>
      <c r="C179" s="2421"/>
      <c r="D179" s="2421"/>
      <c r="E179" s="2421"/>
      <c r="F179" s="2421"/>
      <c r="G179" s="2421"/>
    </row>
    <row r="180" spans="1:7" s="2353" customFormat="1">
      <c r="A180" s="2421"/>
      <c r="B180" s="2421"/>
      <c r="C180" s="2421"/>
      <c r="D180" s="2421"/>
      <c r="E180" s="2421"/>
      <c r="F180" s="2421"/>
      <c r="G180" s="2421"/>
    </row>
    <row r="181" spans="1:7" s="2353" customFormat="1">
      <c r="A181" s="2421"/>
      <c r="B181" s="2421"/>
      <c r="C181" s="2421"/>
      <c r="D181" s="2421"/>
      <c r="E181" s="2421"/>
      <c r="F181" s="2421"/>
      <c r="G181" s="2421"/>
    </row>
    <row r="182" spans="1:7" s="2353" customFormat="1"/>
    <row r="183" spans="1:7" s="2353" customFormat="1"/>
    <row r="184" spans="1:7" s="2353" customFormat="1"/>
    <row r="185" spans="1:7" s="2353" customFormat="1"/>
    <row r="186" spans="1:7" s="2353" customFormat="1"/>
    <row r="187" spans="1:7" s="2353" customFormat="1"/>
    <row r="188" spans="1:7" s="2353" customFormat="1"/>
    <row r="189" spans="1:7" s="2353" customFormat="1"/>
    <row r="190" spans="1:7" s="2353" customFormat="1"/>
    <row r="191" spans="1:7" s="2353" customFormat="1"/>
    <row r="192" spans="1:7" s="2353" customFormat="1"/>
    <row r="193" s="2353" customFormat="1"/>
    <row r="194" s="2353" customFormat="1"/>
    <row r="195" s="2353" customFormat="1"/>
    <row r="196" s="2353" customFormat="1"/>
    <row r="197" s="2353" customFormat="1"/>
    <row r="198" s="2353" customFormat="1"/>
    <row r="199" s="2353" customFormat="1"/>
    <row r="200" s="2353" customFormat="1"/>
    <row r="201" s="2353" customFormat="1"/>
    <row r="202" s="2353" customFormat="1"/>
    <row r="203" s="2353" customFormat="1"/>
    <row r="204" s="2353" customFormat="1"/>
    <row r="205" s="2353" customFormat="1"/>
    <row r="206" s="2353" customFormat="1"/>
    <row r="207" s="2353" customFormat="1"/>
    <row r="208" s="2353" customFormat="1"/>
    <row r="209" s="2353" customFormat="1"/>
    <row r="210" s="2353" customFormat="1"/>
    <row r="211" s="2353" customFormat="1"/>
    <row r="212" s="2353" customFormat="1"/>
    <row r="213" s="2353" customFormat="1"/>
    <row r="214" s="2353" customFormat="1"/>
    <row r="215" s="2353" customFormat="1"/>
    <row r="216" s="2353" customFormat="1"/>
  </sheetData>
  <sheetProtection selectLockedCells="1" selectUnlockedCells="1"/>
  <mergeCells count="138">
    <mergeCell ref="A1:G1"/>
    <mergeCell ref="A2:G2"/>
    <mergeCell ref="A3:G3"/>
    <mergeCell ref="A4:G4"/>
    <mergeCell ref="A5:G5"/>
    <mergeCell ref="A6:G6"/>
    <mergeCell ref="A13:G13"/>
    <mergeCell ref="A14:G14"/>
    <mergeCell ref="A15:G15"/>
    <mergeCell ref="B17:C17"/>
    <mergeCell ref="E17:F17"/>
    <mergeCell ref="B18:C18"/>
    <mergeCell ref="E18:F18"/>
    <mergeCell ref="A7:G7"/>
    <mergeCell ref="A8:G8"/>
    <mergeCell ref="A9:G9"/>
    <mergeCell ref="A10:G10"/>
    <mergeCell ref="A11:G11"/>
    <mergeCell ref="A12:G12"/>
    <mergeCell ref="B23:C23"/>
    <mergeCell ref="E23:F23"/>
    <mergeCell ref="B24:C24"/>
    <mergeCell ref="E24:F24"/>
    <mergeCell ref="B25:C25"/>
    <mergeCell ref="E25:F25"/>
    <mergeCell ref="B19:C19"/>
    <mergeCell ref="E19:F19"/>
    <mergeCell ref="B20:C20"/>
    <mergeCell ref="E20:F20"/>
    <mergeCell ref="B21:C21"/>
    <mergeCell ref="E21:F21"/>
    <mergeCell ref="B32:C32"/>
    <mergeCell ref="B33:C33"/>
    <mergeCell ref="B34:C34"/>
    <mergeCell ref="B35:C35"/>
    <mergeCell ref="B36:C36"/>
    <mergeCell ref="B37:C37"/>
    <mergeCell ref="B26:C26"/>
    <mergeCell ref="E26:F26"/>
    <mergeCell ref="D27:E27"/>
    <mergeCell ref="A28:F28"/>
    <mergeCell ref="B30:C30"/>
    <mergeCell ref="B31:C31"/>
    <mergeCell ref="B44:C44"/>
    <mergeCell ref="B45:C45"/>
    <mergeCell ref="B46:C46"/>
    <mergeCell ref="B47:C47"/>
    <mergeCell ref="B48:C48"/>
    <mergeCell ref="B49:C49"/>
    <mergeCell ref="B38:C38"/>
    <mergeCell ref="B39:C39"/>
    <mergeCell ref="B40:C40"/>
    <mergeCell ref="B41:C41"/>
    <mergeCell ref="B42:C42"/>
    <mergeCell ref="B43:C43"/>
    <mergeCell ref="B56:C56"/>
    <mergeCell ref="B57:C57"/>
    <mergeCell ref="B58:C58"/>
    <mergeCell ref="B59:C59"/>
    <mergeCell ref="B60:C60"/>
    <mergeCell ref="B61:C61"/>
    <mergeCell ref="B50:C50"/>
    <mergeCell ref="B51:C51"/>
    <mergeCell ref="B52:C52"/>
    <mergeCell ref="B53:C53"/>
    <mergeCell ref="B54:C54"/>
    <mergeCell ref="B55:C55"/>
    <mergeCell ref="B68:C68"/>
    <mergeCell ref="B69:C69"/>
    <mergeCell ref="B70:C70"/>
    <mergeCell ref="B71:C71"/>
    <mergeCell ref="B72:C72"/>
    <mergeCell ref="B73:C73"/>
    <mergeCell ref="B62:C62"/>
    <mergeCell ref="B63:C63"/>
    <mergeCell ref="B64:C64"/>
    <mergeCell ref="B65:C65"/>
    <mergeCell ref="B66:C66"/>
    <mergeCell ref="B67:C67"/>
    <mergeCell ref="B80:C80"/>
    <mergeCell ref="B81:C81"/>
    <mergeCell ref="B82:C82"/>
    <mergeCell ref="B84:C84"/>
    <mergeCell ref="B85:C85"/>
    <mergeCell ref="B86:C86"/>
    <mergeCell ref="B74:C74"/>
    <mergeCell ref="B75:C75"/>
    <mergeCell ref="B76:C76"/>
    <mergeCell ref="B77:C77"/>
    <mergeCell ref="B78:C78"/>
    <mergeCell ref="B79:C79"/>
    <mergeCell ref="B93:C93"/>
    <mergeCell ref="B94:C94"/>
    <mergeCell ref="B95:C95"/>
    <mergeCell ref="B96:C96"/>
    <mergeCell ref="B97:C97"/>
    <mergeCell ref="B98:C98"/>
    <mergeCell ref="B87:C87"/>
    <mergeCell ref="B88:C88"/>
    <mergeCell ref="B89:C89"/>
    <mergeCell ref="B90:C90"/>
    <mergeCell ref="B91:C91"/>
    <mergeCell ref="B92:C92"/>
    <mergeCell ref="B105:C105"/>
    <mergeCell ref="B106:C106"/>
    <mergeCell ref="B107:C107"/>
    <mergeCell ref="B108:C108"/>
    <mergeCell ref="B109:C109"/>
    <mergeCell ref="B110:C110"/>
    <mergeCell ref="B99:C99"/>
    <mergeCell ref="B100:C100"/>
    <mergeCell ref="B101:C101"/>
    <mergeCell ref="B102:C102"/>
    <mergeCell ref="B103:C103"/>
    <mergeCell ref="B104:C104"/>
    <mergeCell ref="B117:C117"/>
    <mergeCell ref="B118:C118"/>
    <mergeCell ref="B119:C119"/>
    <mergeCell ref="D119:E119"/>
    <mergeCell ref="B121:G121"/>
    <mergeCell ref="B122:G122"/>
    <mergeCell ref="B111:C111"/>
    <mergeCell ref="B112:C112"/>
    <mergeCell ref="B113:C113"/>
    <mergeCell ref="B114:C114"/>
    <mergeCell ref="B115:C115"/>
    <mergeCell ref="B116:C116"/>
    <mergeCell ref="B129:G129"/>
    <mergeCell ref="B130:G130"/>
    <mergeCell ref="B131:G131"/>
    <mergeCell ref="D133:G133"/>
    <mergeCell ref="D135:G135"/>
    <mergeCell ref="B123:G123"/>
    <mergeCell ref="B124:G124"/>
    <mergeCell ref="B125:G125"/>
    <mergeCell ref="B126:G126"/>
    <mergeCell ref="B127:G127"/>
    <mergeCell ref="B128:G128"/>
  </mergeCells>
  <phoneticPr fontId="51" type="noConversion"/>
  <hyperlinks>
    <hyperlink ref="H15" location="利润!A1" display="利润及利润分配表"/>
    <hyperlink ref="H18" location="主营税金!A1" display="主营税金审核表"/>
    <hyperlink ref="H20" location="税费!A1" display="各税费审核表"/>
    <hyperlink ref="H24" location="主营税金!A1" display="主营税金审核表"/>
    <hyperlink ref="H25" location="税费!A1" display="各税费审核表"/>
    <hyperlink ref="H27" location="申报主表!A1" display="申报主表"/>
    <hyperlink ref="H28" location="交换意见!A10" display="交换意见!A10"/>
    <hyperlink ref="H29" location="纳税调整明细表!A1" display="纳税调整明细表"/>
    <hyperlink ref="H36" location="固资折旧!A1" display="固资折旧"/>
    <hyperlink ref="H42" location="减值准备纳税调整表!A1" display="数据来源为减值准备纳税调整表。"/>
    <hyperlink ref="H53" location="其他事项!A17" display="其他事项!A17"/>
    <hyperlink ref="H57" location="凭证检查!A1" display="凭证检查!A1"/>
  </hyperlinks>
  <pageMargins left="0.78740157480314998" right="0.35433070866141703" top="0.511811023622047" bottom="0.11811023622047198" header="0.511811023622047" footer="0.511811023622047"/>
  <pageSetup paperSize="9" firstPageNumber="0" orientation="portrait" blackAndWhite="1" r:id="rId1"/>
  <headerFooter alignWithMargins="0"/>
</worksheet>
</file>

<file path=xl/worksheets/sheet10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81"/>
  <dimension ref="A1:H103"/>
  <sheetViews>
    <sheetView workbookViewId="0">
      <selection activeCell="G26" sqref="G26"/>
    </sheetView>
  </sheetViews>
  <sheetFormatPr defaultColWidth="9" defaultRowHeight="15.6"/>
  <cols>
    <col min="1" max="1" width="12.8984375" style="1063" customWidth="1"/>
    <col min="2" max="2" width="18.8984375" style="1063" customWidth="1"/>
    <col min="3" max="3" width="6.09765625" style="1063" customWidth="1"/>
    <col min="4" max="6" width="14.09765625" style="1063" customWidth="1"/>
    <col min="7" max="7" width="66" style="1063" customWidth="1"/>
    <col min="8" max="8" width="11.19921875" style="1063" customWidth="1"/>
    <col min="9" max="16384" width="9" style="1063"/>
  </cols>
  <sheetData>
    <row r="1" spans="1:7" ht="17.25" customHeight="1">
      <c r="A1" s="1064" t="s">
        <v>704</v>
      </c>
      <c r="B1" s="1065"/>
      <c r="C1" s="1065"/>
      <c r="D1" s="1065"/>
      <c r="E1" s="1065"/>
      <c r="F1" s="1065"/>
      <c r="G1" s="1066"/>
    </row>
    <row r="2" spans="1:7" ht="22.5" customHeight="1">
      <c r="A2" s="2707" t="s">
        <v>677</v>
      </c>
      <c r="B2" s="2707"/>
      <c r="C2" s="2707"/>
      <c r="D2" s="2707"/>
      <c r="E2" s="2707"/>
      <c r="F2" s="2707"/>
      <c r="G2" s="1066"/>
    </row>
    <row r="3" spans="1:7" s="1068" customFormat="1" ht="17.25" customHeight="1">
      <c r="A3" s="3786" t="str">
        <f>"税款所属期间："&amp;基本情况!B7</f>
        <v>税款所属期间：2016年01月01日至2016年12月31日</v>
      </c>
      <c r="B3" s="3786"/>
      <c r="C3" s="3786"/>
      <c r="D3" s="3786"/>
      <c r="E3" s="3786"/>
      <c r="F3" s="3786"/>
      <c r="G3" s="1067"/>
    </row>
    <row r="4" spans="1:7" s="1074" customFormat="1" ht="17.25" customHeight="1">
      <c r="A4" s="1069" t="str">
        <f>"纳税人名称："&amp;基本情况!B2</f>
        <v>纳税人名称：0</v>
      </c>
      <c r="B4" s="1070"/>
      <c r="C4" s="1071"/>
      <c r="D4" s="1071"/>
      <c r="E4" s="1071"/>
      <c r="F4" s="1072" t="s">
        <v>705</v>
      </c>
      <c r="G4" s="1073"/>
    </row>
    <row r="5" spans="1:7" s="1068" customFormat="1" ht="16.5" customHeight="1">
      <c r="A5" s="2959" t="s">
        <v>706</v>
      </c>
      <c r="B5" s="2959"/>
      <c r="C5" s="1075" t="s">
        <v>707</v>
      </c>
      <c r="D5" s="1075" t="s">
        <v>1629</v>
      </c>
      <c r="E5" s="1075" t="s">
        <v>1492</v>
      </c>
      <c r="F5" s="1075" t="s">
        <v>1493</v>
      </c>
      <c r="G5" s="1067"/>
    </row>
    <row r="6" spans="1:7" s="1068" customFormat="1" ht="15.75" customHeight="1">
      <c r="A6" s="2942" t="s">
        <v>12</v>
      </c>
      <c r="B6" s="1076" t="s">
        <v>708</v>
      </c>
      <c r="C6" s="1075">
        <v>1</v>
      </c>
      <c r="D6" s="1077"/>
      <c r="E6" s="1077"/>
      <c r="F6" s="1077"/>
      <c r="G6" s="1060"/>
    </row>
    <row r="7" spans="1:7" s="1068" customFormat="1" ht="15.75" customHeight="1">
      <c r="A7" s="2942"/>
      <c r="B7" s="1076" t="s">
        <v>665</v>
      </c>
      <c r="C7" s="1075">
        <v>2</v>
      </c>
      <c r="D7" s="1078">
        <f>税费缴纳测算!C7</f>
        <v>0</v>
      </c>
      <c r="E7" s="1078">
        <f>税费缴纳测算!F7</f>
        <v>0</v>
      </c>
      <c r="F7" s="1079">
        <f>D7+E7</f>
        <v>0</v>
      </c>
      <c r="G7" s="1080"/>
    </row>
    <row r="8" spans="1:7" s="1068" customFormat="1" ht="15.75" customHeight="1">
      <c r="A8" s="2942"/>
      <c r="B8" s="1076" t="s">
        <v>709</v>
      </c>
      <c r="C8" s="1075">
        <v>3</v>
      </c>
      <c r="D8" s="1078">
        <f>税费缴纳测算!E7</f>
        <v>0</v>
      </c>
      <c r="E8" s="1077"/>
      <c r="F8" s="1079">
        <f>D8+E8</f>
        <v>0</v>
      </c>
      <c r="G8" s="1081"/>
    </row>
    <row r="9" spans="1:7" s="1068" customFormat="1" ht="15.75" customHeight="1">
      <c r="A9" s="2942"/>
      <c r="B9" s="1076" t="s">
        <v>710</v>
      </c>
      <c r="C9" s="1075">
        <v>4</v>
      </c>
      <c r="D9" s="1079">
        <f>D7-D8</f>
        <v>0</v>
      </c>
      <c r="E9" s="1079">
        <f>E7-E8</f>
        <v>0</v>
      </c>
      <c r="F9" s="1079">
        <f>D9+E9</f>
        <v>0</v>
      </c>
      <c r="G9" s="1067"/>
    </row>
    <row r="10" spans="1:7" s="1068" customFormat="1" ht="15.75" customHeight="1">
      <c r="A10" s="2942" t="s">
        <v>224</v>
      </c>
      <c r="B10" s="1076" t="s">
        <v>708</v>
      </c>
      <c r="C10" s="1075"/>
      <c r="D10" s="1077"/>
      <c r="E10" s="1077"/>
      <c r="F10" s="1077"/>
      <c r="G10" s="1067"/>
    </row>
    <row r="11" spans="1:7" s="1068" customFormat="1" ht="15.75" customHeight="1">
      <c r="A11" s="2942"/>
      <c r="B11" s="1076" t="s">
        <v>665</v>
      </c>
      <c r="C11" s="1075"/>
      <c r="D11" s="1078">
        <f>税费缴纳测算!C8</f>
        <v>0</v>
      </c>
      <c r="E11" s="1078">
        <f>税费缴纳测算!F8</f>
        <v>0</v>
      </c>
      <c r="F11" s="1079">
        <f>D11+E11</f>
        <v>0</v>
      </c>
      <c r="G11" s="1067"/>
    </row>
    <row r="12" spans="1:7" s="1068" customFormat="1" ht="15.75" customHeight="1">
      <c r="A12" s="2942"/>
      <c r="B12" s="1076" t="s">
        <v>709</v>
      </c>
      <c r="C12" s="1075"/>
      <c r="D12" s="1078">
        <f>税费缴纳测算!E8</f>
        <v>0</v>
      </c>
      <c r="E12" s="1077"/>
      <c r="F12" s="1079">
        <f>D12+E12</f>
        <v>0</v>
      </c>
      <c r="G12" s="1067"/>
    </row>
    <row r="13" spans="1:7" s="1068" customFormat="1" ht="15.75" customHeight="1">
      <c r="A13" s="2942"/>
      <c r="B13" s="1076" t="s">
        <v>710</v>
      </c>
      <c r="C13" s="1075"/>
      <c r="D13" s="1079">
        <f>D11-D12</f>
        <v>0</v>
      </c>
      <c r="E13" s="1079">
        <f>E11-E12</f>
        <v>0</v>
      </c>
      <c r="F13" s="1079">
        <f>D13+E13</f>
        <v>0</v>
      </c>
      <c r="G13" s="1067"/>
    </row>
    <row r="14" spans="1:7" s="1068" customFormat="1" ht="15.75" customHeight="1">
      <c r="A14" s="2942" t="s">
        <v>1271</v>
      </c>
      <c r="B14" s="1076" t="s">
        <v>708</v>
      </c>
      <c r="C14" s="1075">
        <v>5</v>
      </c>
      <c r="D14" s="1226"/>
      <c r="E14" s="1226"/>
      <c r="F14" s="1226"/>
      <c r="G14" s="1060" t="s">
        <v>396</v>
      </c>
    </row>
    <row r="15" spans="1:7" s="1068" customFormat="1" ht="15.75" customHeight="1">
      <c r="A15" s="2942"/>
      <c r="B15" s="1076" t="s">
        <v>665</v>
      </c>
      <c r="C15" s="1075">
        <v>6</v>
      </c>
      <c r="D15" s="1078">
        <f>税费缴纳测算!C9</f>
        <v>0</v>
      </c>
      <c r="E15" s="1078">
        <f>SUM(主营税金!F8:F13)</f>
        <v>0</v>
      </c>
      <c r="F15" s="1079">
        <f>D15+E15</f>
        <v>0</v>
      </c>
      <c r="G15" s="1080"/>
    </row>
    <row r="16" spans="1:7" s="1068" customFormat="1" ht="15.75" customHeight="1">
      <c r="A16" s="2942"/>
      <c r="B16" s="1076" t="s">
        <v>709</v>
      </c>
      <c r="C16" s="1075">
        <v>7</v>
      </c>
      <c r="D16" s="1078">
        <f>税费缴纳测算!E9</f>
        <v>0</v>
      </c>
      <c r="E16" s="1226"/>
      <c r="F16" s="1079">
        <f>D16+E16</f>
        <v>0</v>
      </c>
      <c r="G16" s="1084" t="s">
        <v>713</v>
      </c>
    </row>
    <row r="17" spans="1:7" s="1068" customFormat="1" ht="15.75" customHeight="1">
      <c r="A17" s="2942"/>
      <c r="B17" s="1076" t="s">
        <v>710</v>
      </c>
      <c r="C17" s="1075">
        <v>8</v>
      </c>
      <c r="D17" s="1079">
        <f>D15-D16</f>
        <v>0</v>
      </c>
      <c r="E17" s="1079">
        <f>E15-E16</f>
        <v>0</v>
      </c>
      <c r="F17" s="1079">
        <f>D17+E17</f>
        <v>0</v>
      </c>
      <c r="G17" s="1067"/>
    </row>
    <row r="18" spans="1:7" s="1068" customFormat="1" ht="15.75" customHeight="1">
      <c r="A18" s="2942" t="s">
        <v>711</v>
      </c>
      <c r="B18" s="1076" t="s">
        <v>708</v>
      </c>
      <c r="C18" s="1075">
        <v>9</v>
      </c>
      <c r="D18" s="1226"/>
      <c r="E18" s="1226"/>
      <c r="F18" s="1226"/>
      <c r="G18" s="1085" t="s">
        <v>714</v>
      </c>
    </row>
    <row r="19" spans="1:7" s="1068" customFormat="1" ht="15.75" customHeight="1">
      <c r="A19" s="2942"/>
      <c r="B19" s="1076" t="s">
        <v>665</v>
      </c>
      <c r="C19" s="1075">
        <v>10</v>
      </c>
      <c r="D19" s="1078">
        <f>税费缴纳测算!C10</f>
        <v>0</v>
      </c>
      <c r="E19" s="1078">
        <f>SUM(主营税金!F14:F19)+主营税金!F35+主营税金!F38</f>
        <v>0</v>
      </c>
      <c r="F19" s="1079">
        <f>D19+E19</f>
        <v>0</v>
      </c>
      <c r="G19" s="1080"/>
    </row>
    <row r="20" spans="1:7" s="1068" customFormat="1" ht="15.75" customHeight="1">
      <c r="A20" s="2942"/>
      <c r="B20" s="1076" t="s">
        <v>709</v>
      </c>
      <c r="C20" s="1075">
        <v>11</v>
      </c>
      <c r="D20" s="1078">
        <f>税费缴纳测算!E10</f>
        <v>0</v>
      </c>
      <c r="E20" s="1226"/>
      <c r="F20" s="1079">
        <f>D20+E20</f>
        <v>0</v>
      </c>
      <c r="G20" s="1067"/>
    </row>
    <row r="21" spans="1:7" s="1068" customFormat="1" ht="15.75" customHeight="1">
      <c r="A21" s="2942"/>
      <c r="B21" s="1076" t="s">
        <v>710</v>
      </c>
      <c r="C21" s="1075">
        <v>12</v>
      </c>
      <c r="D21" s="1079">
        <f>D19-D20</f>
        <v>0</v>
      </c>
      <c r="E21" s="1079">
        <f>E19-E20</f>
        <v>0</v>
      </c>
      <c r="F21" s="1079">
        <f>D21+E21</f>
        <v>0</v>
      </c>
      <c r="G21" s="1067"/>
    </row>
    <row r="22" spans="1:7" s="1068" customFormat="1" ht="15.75" customHeight="1">
      <c r="A22" s="2942" t="s">
        <v>1273</v>
      </c>
      <c r="B22" s="1076" t="s">
        <v>708</v>
      </c>
      <c r="C22" s="1075">
        <v>13</v>
      </c>
      <c r="D22" s="1226"/>
      <c r="E22" s="1226"/>
      <c r="F22" s="1226"/>
      <c r="G22" s="1067"/>
    </row>
    <row r="23" spans="1:7" s="1068" customFormat="1" ht="15.75" customHeight="1">
      <c r="A23" s="2942"/>
      <c r="B23" s="1076" t="s">
        <v>665</v>
      </c>
      <c r="C23" s="1075">
        <v>14</v>
      </c>
      <c r="D23" s="1078">
        <f>税费缴纳测算!C11</f>
        <v>0</v>
      </c>
      <c r="E23" s="1078">
        <f>SUM(主营税金!F20:F25)+主营税金!F36+主营税金!F39</f>
        <v>0</v>
      </c>
      <c r="F23" s="1079">
        <f>D23+E23</f>
        <v>0</v>
      </c>
      <c r="G23" s="1067"/>
    </row>
    <row r="24" spans="1:7" s="1068" customFormat="1" ht="15.75" customHeight="1">
      <c r="A24" s="2942"/>
      <c r="B24" s="1076" t="s">
        <v>709</v>
      </c>
      <c r="C24" s="1075">
        <v>15</v>
      </c>
      <c r="D24" s="1078">
        <f>税费缴纳测算!E11</f>
        <v>0</v>
      </c>
      <c r="E24" s="1226"/>
      <c r="F24" s="1079">
        <f>D24+E24</f>
        <v>0</v>
      </c>
      <c r="G24" s="1067"/>
    </row>
    <row r="25" spans="1:7" s="1068" customFormat="1" ht="15.75" customHeight="1">
      <c r="A25" s="2942"/>
      <c r="B25" s="1076" t="s">
        <v>710</v>
      </c>
      <c r="C25" s="1075">
        <v>16</v>
      </c>
      <c r="D25" s="1079">
        <f>D23-D24</f>
        <v>0</v>
      </c>
      <c r="E25" s="1079">
        <f>E23-E24</f>
        <v>0</v>
      </c>
      <c r="F25" s="1079">
        <f>D25+E25</f>
        <v>0</v>
      </c>
      <c r="G25" s="1067"/>
    </row>
    <row r="26" spans="1:7" s="1068" customFormat="1" ht="15.75" customHeight="1">
      <c r="A26" s="2942" t="s">
        <v>1274</v>
      </c>
      <c r="B26" s="1076" t="s">
        <v>708</v>
      </c>
      <c r="C26" s="1075">
        <v>17</v>
      </c>
      <c r="D26" s="1226"/>
      <c r="E26" s="1226"/>
      <c r="F26" s="1226"/>
      <c r="G26" s="1067"/>
    </row>
    <row r="27" spans="1:7" s="1068" customFormat="1" ht="15.75" customHeight="1">
      <c r="A27" s="2942"/>
      <c r="B27" s="1076" t="s">
        <v>665</v>
      </c>
      <c r="C27" s="1075">
        <v>18</v>
      </c>
      <c r="D27" s="1078">
        <f>税费缴纳测算!C12</f>
        <v>0</v>
      </c>
      <c r="E27" s="1078">
        <f>SUM(主营税金!F26:F31)+主营税金!F37+主营税金!F40</f>
        <v>0</v>
      </c>
      <c r="F27" s="1079">
        <f>D27+E27</f>
        <v>0</v>
      </c>
      <c r="G27" s="1067"/>
    </row>
    <row r="28" spans="1:7" s="1068" customFormat="1" ht="15.75" customHeight="1">
      <c r="A28" s="2942"/>
      <c r="B28" s="1076" t="s">
        <v>709</v>
      </c>
      <c r="C28" s="1075">
        <v>19</v>
      </c>
      <c r="D28" s="1078">
        <f>税费缴纳测算!E12</f>
        <v>0</v>
      </c>
      <c r="E28" s="1226"/>
      <c r="F28" s="1079">
        <f>D28+E28</f>
        <v>0</v>
      </c>
      <c r="G28" s="1067"/>
    </row>
    <row r="29" spans="1:7" s="1068" customFormat="1" ht="15.75" customHeight="1">
      <c r="A29" s="2942"/>
      <c r="B29" s="1076" t="s">
        <v>712</v>
      </c>
      <c r="C29" s="1075">
        <v>20</v>
      </c>
      <c r="D29" s="1079">
        <f>D27-D28</f>
        <v>0</v>
      </c>
      <c r="E29" s="1079">
        <f>E27-E28</f>
        <v>0</v>
      </c>
      <c r="F29" s="1079">
        <f>D29+E29</f>
        <v>0</v>
      </c>
      <c r="G29" s="1067"/>
    </row>
    <row r="30" spans="1:7" s="1068" customFormat="1" ht="15.75" customHeight="1">
      <c r="A30" s="2942" t="s">
        <v>226</v>
      </c>
      <c r="B30" s="1076" t="s">
        <v>708</v>
      </c>
      <c r="C30" s="1075">
        <v>21</v>
      </c>
      <c r="D30" s="1226"/>
      <c r="E30" s="1226"/>
      <c r="F30" s="1226"/>
      <c r="G30" s="1067"/>
    </row>
    <row r="31" spans="1:7" s="1068" customFormat="1" ht="15.75" customHeight="1">
      <c r="A31" s="2942"/>
      <c r="B31" s="1076" t="s">
        <v>665</v>
      </c>
      <c r="C31" s="1075">
        <v>22</v>
      </c>
      <c r="D31" s="1078">
        <f>税费缴纳测算!C13</f>
        <v>0</v>
      </c>
      <c r="E31" s="1078">
        <f>税费缴纳测算!F13</f>
        <v>0</v>
      </c>
      <c r="F31" s="1079">
        <f>D31+E31</f>
        <v>0</v>
      </c>
      <c r="G31" s="1067"/>
    </row>
    <row r="32" spans="1:7" s="1068" customFormat="1" ht="15.75" customHeight="1">
      <c r="A32" s="2942"/>
      <c r="B32" s="1076" t="s">
        <v>709</v>
      </c>
      <c r="C32" s="1075">
        <v>23</v>
      </c>
      <c r="D32" s="1078">
        <f>税费缴纳测算!E13</f>
        <v>0</v>
      </c>
      <c r="E32" s="1226"/>
      <c r="F32" s="1079">
        <f>D32+E32</f>
        <v>0</v>
      </c>
      <c r="G32" s="1067"/>
    </row>
    <row r="33" spans="1:7" s="1068" customFormat="1" ht="15.75" customHeight="1">
      <c r="A33" s="2942"/>
      <c r="B33" s="1076" t="s">
        <v>710</v>
      </c>
      <c r="C33" s="1075">
        <v>24</v>
      </c>
      <c r="D33" s="1079">
        <f>D31-D32</f>
        <v>0</v>
      </c>
      <c r="E33" s="1079">
        <f>E31-E32</f>
        <v>0</v>
      </c>
      <c r="F33" s="1079">
        <f>D33+E33</f>
        <v>0</v>
      </c>
      <c r="G33" s="1067"/>
    </row>
    <row r="34" spans="1:7" s="1068" customFormat="1" ht="15.75" customHeight="1">
      <c r="A34" s="2942" t="s">
        <v>230</v>
      </c>
      <c r="B34" s="1076" t="s">
        <v>708</v>
      </c>
      <c r="C34" s="1075"/>
      <c r="D34" s="1226"/>
      <c r="E34" s="1226"/>
      <c r="F34" s="1226"/>
      <c r="G34" s="1067"/>
    </row>
    <row r="35" spans="1:7" s="1068" customFormat="1" ht="15.75" customHeight="1">
      <c r="A35" s="2942"/>
      <c r="B35" s="1076" t="s">
        <v>665</v>
      </c>
      <c r="C35" s="1075"/>
      <c r="D35" s="1078">
        <f>税费缴纳测算!C14</f>
        <v>0</v>
      </c>
      <c r="E35" s="1078">
        <f>税费缴纳测算!F14</f>
        <v>0</v>
      </c>
      <c r="F35" s="1079">
        <f>D35+E35</f>
        <v>0</v>
      </c>
      <c r="G35" s="1067"/>
    </row>
    <row r="36" spans="1:7" s="1068" customFormat="1" ht="15.75" customHeight="1">
      <c r="A36" s="2942"/>
      <c r="B36" s="1076" t="s">
        <v>709</v>
      </c>
      <c r="C36" s="1075"/>
      <c r="D36" s="1078">
        <f>税费缴纳测算!E14</f>
        <v>0</v>
      </c>
      <c r="E36" s="1226"/>
      <c r="F36" s="1079">
        <f>D36+E36</f>
        <v>0</v>
      </c>
      <c r="G36" s="1067"/>
    </row>
    <row r="37" spans="1:7" s="1068" customFormat="1" ht="15.75" customHeight="1">
      <c r="A37" s="2942"/>
      <c r="B37" s="1076" t="s">
        <v>710</v>
      </c>
      <c r="C37" s="1075"/>
      <c r="D37" s="1079">
        <f>D35-D36</f>
        <v>0</v>
      </c>
      <c r="E37" s="1079">
        <f>E35-E36</f>
        <v>0</v>
      </c>
      <c r="F37" s="1079">
        <f>D37+E37</f>
        <v>0</v>
      </c>
      <c r="G37" s="1067"/>
    </row>
    <row r="38" spans="1:7" s="1068" customFormat="1" ht="15.75" customHeight="1">
      <c r="A38" s="2942" t="s">
        <v>1278</v>
      </c>
      <c r="B38" s="1076" t="s">
        <v>708</v>
      </c>
      <c r="C38" s="1075">
        <v>25</v>
      </c>
      <c r="D38" s="1226"/>
      <c r="E38" s="1226"/>
      <c r="F38" s="1226"/>
      <c r="G38" s="1067"/>
    </row>
    <row r="39" spans="1:7" s="1068" customFormat="1" ht="15.75" customHeight="1">
      <c r="A39" s="2942"/>
      <c r="B39" s="1076" t="s">
        <v>665</v>
      </c>
      <c r="C39" s="1075">
        <v>26</v>
      </c>
      <c r="D39" s="1078">
        <f>税费缴纳测算!C16</f>
        <v>0</v>
      </c>
      <c r="E39" s="1078">
        <f>税费缴纳测算!F50</f>
        <v>0</v>
      </c>
      <c r="F39" s="1079">
        <f>D39+E39</f>
        <v>0</v>
      </c>
      <c r="G39" s="1067"/>
    </row>
    <row r="40" spans="1:7" s="1068" customFormat="1" ht="15.75" customHeight="1">
      <c r="A40" s="2942"/>
      <c r="B40" s="1076" t="s">
        <v>709</v>
      </c>
      <c r="C40" s="1075">
        <v>27</v>
      </c>
      <c r="D40" s="1078">
        <f>税费缴纳测算!E16</f>
        <v>0</v>
      </c>
      <c r="E40" s="1226"/>
      <c r="F40" s="1079">
        <f>D40+E40</f>
        <v>0</v>
      </c>
      <c r="G40" s="1067"/>
    </row>
    <row r="41" spans="1:7" s="1068" customFormat="1" ht="15.75" customHeight="1">
      <c r="A41" s="2942"/>
      <c r="B41" s="1076" t="s">
        <v>710</v>
      </c>
      <c r="C41" s="1075">
        <v>28</v>
      </c>
      <c r="D41" s="1079">
        <f>D39-D40</f>
        <v>0</v>
      </c>
      <c r="E41" s="1079">
        <f>E39-E40</f>
        <v>0</v>
      </c>
      <c r="F41" s="1079">
        <f>D41+E41</f>
        <v>0</v>
      </c>
      <c r="G41" s="1067"/>
    </row>
    <row r="42" spans="1:7" s="1068" customFormat="1" ht="15.75" customHeight="1">
      <c r="A42" s="2942" t="s">
        <v>232</v>
      </c>
      <c r="B42" s="1076" t="s">
        <v>708</v>
      </c>
      <c r="C42" s="1075">
        <v>29</v>
      </c>
      <c r="D42" s="1226"/>
      <c r="E42" s="1226"/>
      <c r="F42" s="1226"/>
      <c r="G42" s="1067"/>
    </row>
    <row r="43" spans="1:7" s="1068" customFormat="1" ht="15.75" customHeight="1">
      <c r="A43" s="2942"/>
      <c r="B43" s="1076" t="s">
        <v>665</v>
      </c>
      <c r="C43" s="1075">
        <v>30</v>
      </c>
      <c r="D43" s="1078">
        <f>税费缴纳测算!C19</f>
        <v>0</v>
      </c>
      <c r="E43" s="1078">
        <f>税费缴纳测算!F53</f>
        <v>0</v>
      </c>
      <c r="F43" s="1079">
        <f>D43+E43</f>
        <v>0</v>
      </c>
      <c r="G43" s="1067"/>
    </row>
    <row r="44" spans="1:7" s="1068" customFormat="1" ht="15.75" customHeight="1">
      <c r="A44" s="2942"/>
      <c r="B44" s="1076" t="s">
        <v>709</v>
      </c>
      <c r="C44" s="1075">
        <v>31</v>
      </c>
      <c r="D44" s="1078">
        <f>税费缴纳测算!E19</f>
        <v>0</v>
      </c>
      <c r="E44" s="1226"/>
      <c r="F44" s="1079">
        <f>D44+E44</f>
        <v>0</v>
      </c>
      <c r="G44" s="1067"/>
    </row>
    <row r="45" spans="1:7" s="1068" customFormat="1" ht="15.75" customHeight="1">
      <c r="A45" s="2942"/>
      <c r="B45" s="1076" t="s">
        <v>710</v>
      </c>
      <c r="C45" s="1075">
        <v>32</v>
      </c>
      <c r="D45" s="1079">
        <f>D43-D44</f>
        <v>0</v>
      </c>
      <c r="E45" s="1079">
        <f>E43-E44</f>
        <v>0</v>
      </c>
      <c r="F45" s="1079">
        <f>D45+E45</f>
        <v>0</v>
      </c>
      <c r="G45" s="1067"/>
    </row>
    <row r="46" spans="1:7" s="1068" customFormat="1" ht="15.75" customHeight="1">
      <c r="A46" s="2942" t="s">
        <v>184</v>
      </c>
      <c r="B46" s="1076" t="s">
        <v>708</v>
      </c>
      <c r="C46" s="1075"/>
      <c r="D46" s="1226"/>
      <c r="E46" s="1226"/>
      <c r="F46" s="1226"/>
      <c r="G46" s="1067"/>
    </row>
    <row r="47" spans="1:7" s="1068" customFormat="1" ht="15.75" customHeight="1">
      <c r="A47" s="2942"/>
      <c r="B47" s="1076" t="s">
        <v>665</v>
      </c>
      <c r="C47" s="1075"/>
      <c r="D47" s="1078">
        <f>税费缴纳测算!C18</f>
        <v>0</v>
      </c>
      <c r="E47" s="1078">
        <f>税费缴纳测算!F18</f>
        <v>0</v>
      </c>
      <c r="F47" s="1079">
        <f>D47+E47</f>
        <v>0</v>
      </c>
      <c r="G47" s="1067"/>
    </row>
    <row r="48" spans="1:7" s="1068" customFormat="1" ht="15.75" customHeight="1">
      <c r="A48" s="2942"/>
      <c r="B48" s="1076" t="s">
        <v>709</v>
      </c>
      <c r="C48" s="1075"/>
      <c r="D48" s="1078">
        <f>税费缴纳测算!E18</f>
        <v>0</v>
      </c>
      <c r="E48" s="1226"/>
      <c r="F48" s="1079">
        <f>D48+E48</f>
        <v>0</v>
      </c>
      <c r="G48" s="1067"/>
    </row>
    <row r="49" spans="1:8" s="1068" customFormat="1" ht="15.75" customHeight="1">
      <c r="A49" s="2942"/>
      <c r="B49" s="1076" t="s">
        <v>710</v>
      </c>
      <c r="C49" s="1075"/>
      <c r="D49" s="1079">
        <f>D47-D48</f>
        <v>0</v>
      </c>
      <c r="E49" s="1079">
        <f>E47-E48</f>
        <v>0</v>
      </c>
      <c r="F49" s="1079">
        <f>D49+E49</f>
        <v>0</v>
      </c>
      <c r="G49" s="1067"/>
    </row>
    <row r="50" spans="1:8" s="1068" customFormat="1" ht="15.75" customHeight="1">
      <c r="A50" s="2942" t="s">
        <v>1280</v>
      </c>
      <c r="B50" s="1076" t="s">
        <v>708</v>
      </c>
      <c r="C50" s="1075">
        <v>33</v>
      </c>
      <c r="D50" s="1226"/>
      <c r="E50" s="1226"/>
      <c r="F50" s="1226"/>
      <c r="G50" s="1067"/>
    </row>
    <row r="51" spans="1:8" s="1068" customFormat="1" ht="15.75" customHeight="1">
      <c r="A51" s="2942"/>
      <c r="B51" s="1076" t="s">
        <v>665</v>
      </c>
      <c r="C51" s="1075">
        <v>34</v>
      </c>
      <c r="D51" s="1078">
        <f>税费缴纳测算!C17</f>
        <v>0</v>
      </c>
      <c r="E51" s="1078">
        <f>税费缴纳测算!F36</f>
        <v>0</v>
      </c>
      <c r="F51" s="1079">
        <f>D51+E51</f>
        <v>0</v>
      </c>
      <c r="G51" s="1067"/>
    </row>
    <row r="52" spans="1:8" s="1068" customFormat="1" ht="15.75" customHeight="1">
      <c r="A52" s="2942"/>
      <c r="B52" s="1076" t="s">
        <v>709</v>
      </c>
      <c r="C52" s="1075">
        <v>35</v>
      </c>
      <c r="D52" s="1078">
        <f>税费缴纳测算!E17</f>
        <v>0</v>
      </c>
      <c r="E52" s="1226"/>
      <c r="F52" s="1079">
        <f>D52+E52</f>
        <v>0</v>
      </c>
      <c r="G52" s="1067"/>
    </row>
    <row r="53" spans="1:8" s="1068" customFormat="1" ht="15.75" customHeight="1">
      <c r="A53" s="2942"/>
      <c r="B53" s="1076" t="s">
        <v>710</v>
      </c>
      <c r="C53" s="1075">
        <v>36</v>
      </c>
      <c r="D53" s="1079">
        <f>D51-D52</f>
        <v>0</v>
      </c>
      <c r="E53" s="1079">
        <f>E51-E52</f>
        <v>0</v>
      </c>
      <c r="F53" s="1079">
        <f>D53+E53</f>
        <v>0</v>
      </c>
      <c r="G53" s="1067"/>
    </row>
    <row r="54" spans="1:8" s="1068" customFormat="1" ht="15.75" customHeight="1">
      <c r="A54" s="3787" t="s">
        <v>228</v>
      </c>
      <c r="B54" s="1076" t="s">
        <v>708</v>
      </c>
      <c r="C54" s="1075"/>
      <c r="D54" s="1226"/>
      <c r="E54" s="1226"/>
      <c r="F54" s="1226"/>
      <c r="G54" s="1067"/>
    </row>
    <row r="55" spans="1:8" s="1068" customFormat="1" ht="15.75" customHeight="1">
      <c r="A55" s="3787"/>
      <c r="B55" s="1076" t="s">
        <v>665</v>
      </c>
      <c r="C55" s="1075"/>
      <c r="D55" s="1078">
        <f>税费缴纳测算!C20</f>
        <v>0</v>
      </c>
      <c r="E55" s="1078">
        <f>税费缴纳测算!F20</f>
        <v>0</v>
      </c>
      <c r="F55" s="1079">
        <f>D55+E55</f>
        <v>0</v>
      </c>
      <c r="G55" s="1067"/>
    </row>
    <row r="56" spans="1:8" s="1068" customFormat="1" ht="15.75" customHeight="1">
      <c r="A56" s="3787"/>
      <c r="B56" s="1076" t="s">
        <v>709</v>
      </c>
      <c r="C56" s="1075"/>
      <c r="D56" s="1078">
        <f>税费缴纳测算!E20</f>
        <v>0</v>
      </c>
      <c r="E56" s="1226"/>
      <c r="F56" s="1079">
        <f>D56+E56</f>
        <v>0</v>
      </c>
      <c r="G56" s="1067"/>
    </row>
    <row r="57" spans="1:8" s="1068" customFormat="1" ht="15.75" customHeight="1">
      <c r="A57" s="3787"/>
      <c r="B57" s="1076" t="s">
        <v>712</v>
      </c>
      <c r="C57" s="1075"/>
      <c r="D57" s="1079">
        <f>D55-D56</f>
        <v>0</v>
      </c>
      <c r="E57" s="1079">
        <f>E55-E56</f>
        <v>0</v>
      </c>
      <c r="F57" s="1079">
        <f>D57+E57</f>
        <v>0</v>
      </c>
      <c r="G57" s="1067"/>
    </row>
    <row r="58" spans="1:8" s="1068" customFormat="1" ht="15.75" customHeight="1">
      <c r="A58" s="3787" t="s">
        <v>1277</v>
      </c>
      <c r="B58" s="1076" t="s">
        <v>708</v>
      </c>
      <c r="C58" s="1075">
        <v>37</v>
      </c>
      <c r="D58" s="1226"/>
      <c r="E58" s="1226"/>
      <c r="F58" s="1226"/>
      <c r="G58" s="1067"/>
    </row>
    <row r="59" spans="1:8" s="1068" customFormat="1" ht="15.75" customHeight="1">
      <c r="A59" s="3787"/>
      <c r="B59" s="1076" t="s">
        <v>665</v>
      </c>
      <c r="C59" s="1075">
        <v>38</v>
      </c>
      <c r="D59" s="1078">
        <f>税费缴纳测算!C23</f>
        <v>0</v>
      </c>
      <c r="E59" s="1078">
        <f>税费缴纳测算!F23</f>
        <v>0</v>
      </c>
      <c r="F59" s="1079">
        <f>D59+E59</f>
        <v>0</v>
      </c>
      <c r="G59" s="1067"/>
      <c r="H59" s="1082"/>
    </row>
    <row r="60" spans="1:8" s="1068" customFormat="1" ht="15.75" customHeight="1">
      <c r="A60" s="3787"/>
      <c r="B60" s="1076" t="s">
        <v>709</v>
      </c>
      <c r="C60" s="1075">
        <v>39</v>
      </c>
      <c r="D60" s="1078">
        <f>税费缴纳测算!E23</f>
        <v>0</v>
      </c>
      <c r="E60" s="1226"/>
      <c r="F60" s="1079">
        <f>D60+E60</f>
        <v>0</v>
      </c>
      <c r="G60" s="1067"/>
    </row>
    <row r="61" spans="1:8" s="1068" customFormat="1" ht="15.75" customHeight="1">
      <c r="A61" s="3787"/>
      <c r="B61" s="1076" t="s">
        <v>712</v>
      </c>
      <c r="C61" s="1075">
        <v>40</v>
      </c>
      <c r="D61" s="1083">
        <f>D59-D60</f>
        <v>0</v>
      </c>
      <c r="E61" s="1079">
        <f>E59-E60</f>
        <v>0</v>
      </c>
      <c r="F61" s="1079">
        <f>D61+E61</f>
        <v>0</v>
      </c>
      <c r="G61" s="1080"/>
    </row>
    <row r="62" spans="1:8" s="1068" customFormat="1" ht="15.75" customHeight="1">
      <c r="A62" s="3787" t="s">
        <v>233</v>
      </c>
      <c r="B62" s="1076" t="s">
        <v>708</v>
      </c>
      <c r="C62" s="1075">
        <v>37</v>
      </c>
      <c r="D62" s="1226"/>
      <c r="E62" s="1226"/>
      <c r="F62" s="1226"/>
      <c r="G62" s="1067"/>
    </row>
    <row r="63" spans="1:8" s="1068" customFormat="1" ht="15.75" customHeight="1">
      <c r="A63" s="3787"/>
      <c r="B63" s="1076" t="s">
        <v>665</v>
      </c>
      <c r="C63" s="1075">
        <v>38</v>
      </c>
      <c r="D63" s="1275"/>
      <c r="E63" s="1275"/>
      <c r="F63" s="1079">
        <f>D63+E63</f>
        <v>0</v>
      </c>
      <c r="G63" s="1067"/>
      <c r="H63" s="1082"/>
    </row>
    <row r="64" spans="1:8" s="1068" customFormat="1" ht="15.75" customHeight="1">
      <c r="A64" s="3787"/>
      <c r="B64" s="1076" t="s">
        <v>709</v>
      </c>
      <c r="C64" s="1075">
        <v>39</v>
      </c>
      <c r="D64" s="1275"/>
      <c r="E64" s="1275"/>
      <c r="F64" s="1079">
        <f>D64+E64</f>
        <v>0</v>
      </c>
      <c r="G64" s="1067"/>
    </row>
    <row r="65" spans="1:7" s="1068" customFormat="1" ht="15.75" customHeight="1">
      <c r="A65" s="3787"/>
      <c r="B65" s="1076" t="s">
        <v>712</v>
      </c>
      <c r="C65" s="1075">
        <v>40</v>
      </c>
      <c r="D65" s="1083">
        <f>D63-D64</f>
        <v>0</v>
      </c>
      <c r="E65" s="1079">
        <f>E63-E64</f>
        <v>0</v>
      </c>
      <c r="F65" s="1079">
        <f>D65+E65</f>
        <v>0</v>
      </c>
      <c r="G65" s="1080"/>
    </row>
    <row r="66" spans="1:7" s="1068" customFormat="1" ht="15" customHeight="1">
      <c r="A66" s="1067" t="s">
        <v>6895</v>
      </c>
      <c r="D66" s="1082"/>
    </row>
    <row r="67" spans="1:7" s="1068" customFormat="1" ht="15" customHeight="1">
      <c r="D67" s="1082"/>
    </row>
    <row r="68" spans="1:7" s="1068" customFormat="1" ht="15" customHeight="1"/>
    <row r="69" spans="1:7" s="1068" customFormat="1" ht="15" customHeight="1"/>
    <row r="70" spans="1:7" s="1068" customFormat="1" ht="15" customHeight="1"/>
    <row r="71" spans="1:7" s="1068" customFormat="1" ht="15" customHeight="1"/>
    <row r="72" spans="1:7" s="1068" customFormat="1" ht="15" customHeight="1"/>
    <row r="73" spans="1:7" s="1068" customFormat="1" ht="15" customHeight="1"/>
    <row r="74" spans="1:7" s="1068" customFormat="1" ht="15" customHeight="1"/>
    <row r="75" spans="1:7" s="1068" customFormat="1" ht="15" customHeight="1"/>
    <row r="76" spans="1:7" s="1068" customFormat="1" ht="15" customHeight="1"/>
    <row r="77" spans="1:7" s="1068" customFormat="1" ht="15" customHeight="1"/>
    <row r="78" spans="1:7" s="1068" customFormat="1" ht="15" customHeight="1"/>
    <row r="79" spans="1:7" s="1068" customFormat="1" ht="15" customHeight="1"/>
    <row r="80" spans="1:7" s="1068" customFormat="1" ht="15" customHeight="1"/>
    <row r="81" s="1068" customFormat="1" ht="15" customHeight="1"/>
    <row r="82" s="1068" customFormat="1" ht="15" customHeight="1"/>
    <row r="83" s="1068" customFormat="1" ht="15" customHeight="1"/>
    <row r="84" s="1068" customFormat="1" ht="15" customHeight="1"/>
    <row r="85" s="1068" customFormat="1" ht="15" customHeight="1"/>
    <row r="86" s="1068" customFormat="1" ht="15" customHeight="1"/>
    <row r="87" ht="15" customHeight="1"/>
    <row r="88" ht="15" customHeight="1"/>
    <row r="89" ht="15" customHeight="1"/>
    <row r="90" ht="15" customHeight="1"/>
    <row r="91" ht="15" customHeight="1"/>
    <row r="92" ht="15" customHeight="1"/>
    <row r="93" ht="15" customHeight="1"/>
    <row r="94" ht="15" customHeight="1"/>
    <row r="95" ht="15" customHeight="1"/>
    <row r="96" ht="15" customHeight="1"/>
    <row r="97" ht="15" customHeight="1"/>
    <row r="98" ht="15" customHeight="1"/>
    <row r="99" ht="15" customHeight="1"/>
    <row r="100" ht="15" customHeight="1"/>
    <row r="101" ht="15" customHeight="1"/>
    <row r="102" ht="15" customHeight="1"/>
    <row r="103" ht="15" customHeight="1"/>
  </sheetData>
  <sheetProtection selectLockedCells="1" selectUnlockedCells="1"/>
  <mergeCells count="18">
    <mergeCell ref="A54:A57"/>
    <mergeCell ref="A58:A61"/>
    <mergeCell ref="A62:A65"/>
    <mergeCell ref="A22:A25"/>
    <mergeCell ref="A26:A29"/>
    <mergeCell ref="A30:A33"/>
    <mergeCell ref="A38:A41"/>
    <mergeCell ref="A42:A45"/>
    <mergeCell ref="A50:A53"/>
    <mergeCell ref="A34:A37"/>
    <mergeCell ref="A46:A49"/>
    <mergeCell ref="A14:A17"/>
    <mergeCell ref="A18:A21"/>
    <mergeCell ref="A2:F2"/>
    <mergeCell ref="A3:F3"/>
    <mergeCell ref="A5:B5"/>
    <mergeCell ref="A6:A9"/>
    <mergeCell ref="A10:A13"/>
  </mergeCells>
  <phoneticPr fontId="51" type="noConversion"/>
  <hyperlinks>
    <hyperlink ref="G16" location="税费缴纳测算!A1" display="税费缴纳测试审核表"/>
    <hyperlink ref="G18" location="主营税金!A1" display="主营税金及附加审核表"/>
  </hyperlinks>
  <pageMargins left="0.78740157480314998" right="0.35433070866141703" top="0.511811023622047" bottom="0.11811023622047198" header="0.511811023622047" footer="0.511811023622047"/>
  <pageSetup paperSize="9" firstPageNumber="0" orientation="portrait" blackAndWhite="1" r:id="rId1"/>
  <headerFooter alignWithMargins="0"/>
</worksheet>
</file>

<file path=xl/worksheets/sheet10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13"/>
  <dimension ref="A1:H79"/>
  <sheetViews>
    <sheetView topLeftCell="A58" workbookViewId="0">
      <selection activeCell="C73" sqref="C73"/>
    </sheetView>
  </sheetViews>
  <sheetFormatPr defaultRowHeight="15.6"/>
  <cols>
    <col min="1" max="1" width="50.09765625" customWidth="1"/>
    <col min="2" max="2" width="5.5" bestFit="1" customWidth="1"/>
    <col min="3" max="3" width="17.19921875" style="1452" bestFit="1" customWidth="1"/>
    <col min="4" max="4" width="13.69921875" customWidth="1"/>
    <col min="5" max="5" width="14.59765625" customWidth="1"/>
    <col min="6" max="6" width="12.59765625" customWidth="1"/>
    <col min="7" max="7" width="33.8984375" bestFit="1" customWidth="1"/>
    <col min="8" max="10" width="9" customWidth="1"/>
  </cols>
  <sheetData>
    <row r="1" spans="1:8" ht="58.5" customHeight="1">
      <c r="A1" s="1470" t="s">
        <v>2377</v>
      </c>
      <c r="B1" s="1471"/>
      <c r="C1" s="1472" t="s">
        <v>2378</v>
      </c>
      <c r="D1" s="1300"/>
      <c r="F1" s="1322" t="s">
        <v>2381</v>
      </c>
      <c r="G1" s="1328" t="s">
        <v>5916</v>
      </c>
      <c r="H1" s="1326"/>
    </row>
    <row r="2" spans="1:8">
      <c r="A2" s="2113" t="s">
        <v>1485</v>
      </c>
      <c r="B2" s="1300" t="s">
        <v>2379</v>
      </c>
      <c r="C2" s="1473" t="s">
        <v>2382</v>
      </c>
      <c r="D2" s="1300" t="s">
        <v>2380</v>
      </c>
    </row>
    <row r="3" spans="1:8">
      <c r="A3" s="2113" t="s">
        <v>1658</v>
      </c>
      <c r="B3" s="1300" t="s">
        <v>2379</v>
      </c>
      <c r="C3" s="1473" t="s">
        <v>2382</v>
      </c>
      <c r="D3" s="1300" t="s">
        <v>2380</v>
      </c>
      <c r="E3" s="1451"/>
    </row>
    <row r="4" spans="1:8">
      <c r="A4" s="2113" t="s">
        <v>6649</v>
      </c>
      <c r="B4" s="1300" t="s">
        <v>2379</v>
      </c>
      <c r="C4" s="1473" t="s">
        <v>2382</v>
      </c>
      <c r="D4" s="1300" t="s">
        <v>2380</v>
      </c>
    </row>
    <row r="5" spans="1:8">
      <c r="A5" s="2113" t="s">
        <v>5927</v>
      </c>
      <c r="B5" s="1300" t="s">
        <v>2379</v>
      </c>
      <c r="C5" s="1473" t="s">
        <v>2382</v>
      </c>
      <c r="D5" s="1300" t="s">
        <v>2380</v>
      </c>
    </row>
    <row r="6" spans="1:8">
      <c r="A6" s="2113" t="s">
        <v>5929</v>
      </c>
      <c r="B6" s="1300" t="s">
        <v>2379</v>
      </c>
      <c r="C6" s="1473" t="s">
        <v>2382</v>
      </c>
      <c r="D6" s="1300" t="s">
        <v>2380</v>
      </c>
    </row>
    <row r="7" spans="1:8">
      <c r="A7" s="2113" t="s">
        <v>5930</v>
      </c>
      <c r="B7" s="1300" t="s">
        <v>2379</v>
      </c>
      <c r="C7" s="1473" t="s">
        <v>2382</v>
      </c>
      <c r="D7" s="1300" t="s">
        <v>2380</v>
      </c>
    </row>
    <row r="8" spans="1:8">
      <c r="A8" s="4119" t="s">
        <v>10289</v>
      </c>
      <c r="B8" s="1300" t="s">
        <v>2379</v>
      </c>
      <c r="C8" s="1473" t="s">
        <v>2382</v>
      </c>
      <c r="D8" s="1300" t="s">
        <v>2380</v>
      </c>
    </row>
    <row r="9" spans="1:8">
      <c r="A9" s="2113" t="s">
        <v>5942</v>
      </c>
      <c r="B9" s="1300" t="s">
        <v>2379</v>
      </c>
      <c r="C9" s="1473" t="s">
        <v>2382</v>
      </c>
      <c r="D9" s="1300" t="s">
        <v>2380</v>
      </c>
    </row>
    <row r="10" spans="1:8">
      <c r="A10" s="2113" t="s">
        <v>6700</v>
      </c>
      <c r="B10" s="1300" t="s">
        <v>2379</v>
      </c>
      <c r="C10" s="1473" t="s">
        <v>2382</v>
      </c>
      <c r="D10" s="1300" t="s">
        <v>2380</v>
      </c>
    </row>
    <row r="11" spans="1:8">
      <c r="A11" s="2113" t="s">
        <v>6701</v>
      </c>
      <c r="B11" s="1300" t="s">
        <v>2379</v>
      </c>
      <c r="C11" s="1473" t="s">
        <v>2382</v>
      </c>
      <c r="D11" s="1300" t="s">
        <v>2380</v>
      </c>
    </row>
    <row r="12" spans="1:8">
      <c r="A12" s="2113" t="s">
        <v>6702</v>
      </c>
      <c r="B12" s="1300" t="s">
        <v>2379</v>
      </c>
      <c r="C12" s="1473" t="s">
        <v>2382</v>
      </c>
      <c r="D12" s="1300" t="s">
        <v>2380</v>
      </c>
    </row>
    <row r="13" spans="1:8" hidden="1">
      <c r="A13" s="2113" t="s">
        <v>1630</v>
      </c>
      <c r="B13" s="1300" t="s">
        <v>2379</v>
      </c>
      <c r="C13" s="1474">
        <f>IF(OR(固资折旧!$F$13&lt;&gt;资产负债!D23,固资折旧!$F$23&lt;&gt;资产负债!D24,固资折旧!$G$29&lt;&gt;固资折旧!$D$23),"不符",0)</f>
        <v>0</v>
      </c>
      <c r="D13" s="1300" t="s">
        <v>2380</v>
      </c>
    </row>
    <row r="14" spans="1:8" hidden="1">
      <c r="A14" s="2113" t="s">
        <v>1659</v>
      </c>
      <c r="B14" s="1300" t="s">
        <v>2379</v>
      </c>
      <c r="C14" s="1474">
        <f>C13</f>
        <v>0</v>
      </c>
      <c r="D14" s="1300" t="s">
        <v>2380</v>
      </c>
    </row>
    <row r="15" spans="1:8" hidden="1">
      <c r="A15" s="2113" t="s">
        <v>1660</v>
      </c>
      <c r="B15" s="1300" t="s">
        <v>2379</v>
      </c>
      <c r="C15" s="1474">
        <f>IF(OR(无形长摊!$K$7&lt;&gt;资产负债!D32,无形长摊!$K$17&lt;&gt;资产负债!$D$30),"不符",0)</f>
        <v>0</v>
      </c>
      <c r="D15" s="1300" t="s">
        <v>2380</v>
      </c>
    </row>
    <row r="16" spans="1:8" hidden="1">
      <c r="A16" s="2113" t="s">
        <v>1480</v>
      </c>
      <c r="B16" s="1300" t="s">
        <v>2379</v>
      </c>
      <c r="C16" s="1474">
        <f>IF(OR(社保!$G$24&lt;&gt;社保!$D$8,社保!$G$27&lt;&gt;社保!$D$17),"不符",0)</f>
        <v>0</v>
      </c>
      <c r="D16" s="1300" t="s">
        <v>2380</v>
      </c>
    </row>
    <row r="17" spans="1:4" hidden="1">
      <c r="A17" s="2113" t="s">
        <v>262</v>
      </c>
      <c r="B17" s="1300" t="s">
        <v>2379</v>
      </c>
      <c r="C17" s="1474">
        <f>C16</f>
        <v>0</v>
      </c>
      <c r="D17" s="1300" t="s">
        <v>2380</v>
      </c>
    </row>
    <row r="18" spans="1:4" hidden="1">
      <c r="A18" s="2113" t="s">
        <v>1661</v>
      </c>
      <c r="B18" s="1300" t="s">
        <v>2379</v>
      </c>
      <c r="C18" s="1474">
        <f>IF(广宣!$J$27&lt;&gt;广宣!$E$22,"不符",0)</f>
        <v>0</v>
      </c>
      <c r="D18" s="1300" t="s">
        <v>2380</v>
      </c>
    </row>
    <row r="19" spans="1:4" hidden="1">
      <c r="A19" s="2113" t="s">
        <v>1361</v>
      </c>
      <c r="B19" s="1300" t="s">
        <v>2379</v>
      </c>
      <c r="C19" s="1474">
        <f>IF(捐赠!$J$17&lt;&gt;捐赠!$C$15+捐赠!$D$15+捐赠!$I$15,"不符",0)</f>
        <v>0</v>
      </c>
      <c r="D19" s="1300" t="s">
        <v>2380</v>
      </c>
    </row>
    <row r="20" spans="1:4" hidden="1">
      <c r="A20" s="2113" t="s">
        <v>1662</v>
      </c>
      <c r="B20" s="1300" t="s">
        <v>2379</v>
      </c>
      <c r="C20" s="1474">
        <f>IF(利息!$H$18&lt;&gt;利息!$J$21,"不符",0)</f>
        <v>0</v>
      </c>
      <c r="D20" s="1300" t="s">
        <v>2380</v>
      </c>
    </row>
    <row r="21" spans="1:4" hidden="1">
      <c r="A21" s="2113" t="s">
        <v>473</v>
      </c>
      <c r="B21" s="1300" t="s">
        <v>2379</v>
      </c>
      <c r="C21" s="1474">
        <f>IF(租金!$I$21&lt;&gt;租金!$D$8+租金!$D$17,"不符",0)</f>
        <v>0</v>
      </c>
      <c r="D21" s="1300" t="s">
        <v>2380</v>
      </c>
    </row>
    <row r="22" spans="1:4">
      <c r="A22" s="2113" t="s">
        <v>6703</v>
      </c>
      <c r="B22" s="1300" t="s">
        <v>2379</v>
      </c>
      <c r="C22" s="1473" t="s">
        <v>2398</v>
      </c>
      <c r="D22" s="1300" t="s">
        <v>2380</v>
      </c>
    </row>
    <row r="23" spans="1:4">
      <c r="A23" s="2113" t="s">
        <v>6601</v>
      </c>
      <c r="B23" s="1300" t="s">
        <v>2379</v>
      </c>
      <c r="C23" s="1473" t="s">
        <v>2398</v>
      </c>
      <c r="D23" s="1300" t="s">
        <v>2380</v>
      </c>
    </row>
    <row r="24" spans="1:4">
      <c r="A24" s="2113" t="s">
        <v>83</v>
      </c>
      <c r="B24" s="1300" t="s">
        <v>2379</v>
      </c>
      <c r="C24" s="1473" t="s">
        <v>2398</v>
      </c>
      <c r="D24" s="1300" t="s">
        <v>2380</v>
      </c>
    </row>
    <row r="25" spans="1:4" hidden="1">
      <c r="A25" s="2113" t="s">
        <v>1663</v>
      </c>
      <c r="B25" s="1300" t="s">
        <v>2379</v>
      </c>
      <c r="C25" s="1474">
        <f>IF(OR(主营收支!$H$20+其他业务!$C$18&lt;&gt;利润!$C$5,主营收支!$H$37+其他业务!$H$18&lt;&gt;利润!$C$6),"不符",0)</f>
        <v>0</v>
      </c>
      <c r="D25" s="1300" t="s">
        <v>2380</v>
      </c>
    </row>
    <row r="26" spans="1:4" hidden="1">
      <c r="A26" s="2113" t="s">
        <v>2405</v>
      </c>
      <c r="B26" s="1300" t="s">
        <v>2379</v>
      </c>
      <c r="C26" s="1474">
        <f>IF(OR(AND(收入与申报核对表!D13&lt;&gt;0,收入与申报核对表!D25&lt;&gt;主营收支!H20),AND(收入与申报核对表!E13&lt;&gt;0,收入与申报核对表!E25&lt;&gt;其他业务!C18),AND(收入与申报核对表!D24&lt;&gt;0,收入与申报核对表!D25&lt;&gt;主营收支!H20),AND(收入与申报核对表!E24&lt;&gt;0,收入与申报核对表!E25&lt;&gt;其他业务!C18)),"不符",0)</f>
        <v>0</v>
      </c>
      <c r="D26" s="1300" t="s">
        <v>2380</v>
      </c>
    </row>
    <row r="27" spans="1:4" hidden="1">
      <c r="A27" s="2113" t="s">
        <v>1664</v>
      </c>
      <c r="B27" s="1300" t="s">
        <v>2379</v>
      </c>
      <c r="C27" s="1474">
        <f>C25</f>
        <v>0</v>
      </c>
      <c r="D27" s="1300" t="s">
        <v>2380</v>
      </c>
    </row>
    <row r="28" spans="1:4" hidden="1">
      <c r="A28" s="2113" t="s">
        <v>1665</v>
      </c>
      <c r="B28" s="1300" t="s">
        <v>2379</v>
      </c>
      <c r="C28" s="1474">
        <f>IF(制造费用、生产成本!$D$21&lt;&gt;制造费用、生产成本!$C$12+制造费用、生产成本!$C$16,"不符",0)</f>
        <v>0</v>
      </c>
      <c r="D28" s="1300" t="s">
        <v>2380</v>
      </c>
    </row>
    <row r="29" spans="1:4" hidden="1">
      <c r="A29" s="2113" t="s">
        <v>1666</v>
      </c>
      <c r="B29" s="1300" t="s">
        <v>2379</v>
      </c>
      <c r="C29" s="1474">
        <f>IF(成本倒轧!E40&lt;&gt;主营收支!C37,"不符",0)</f>
        <v>0</v>
      </c>
      <c r="D29" s="1300" t="s">
        <v>2380</v>
      </c>
    </row>
    <row r="30" spans="1:4">
      <c r="A30" s="2113" t="s">
        <v>1667</v>
      </c>
      <c r="B30" s="1300" t="s">
        <v>2379</v>
      </c>
      <c r="C30" s="1473" t="s">
        <v>2398</v>
      </c>
      <c r="D30" s="1300" t="s">
        <v>2380</v>
      </c>
    </row>
    <row r="31" spans="1:4">
      <c r="A31" s="2113" t="s">
        <v>2406</v>
      </c>
      <c r="B31" s="1300" t="s">
        <v>2379</v>
      </c>
      <c r="C31" s="1473">
        <f>IF(OR(主营税金!F42&lt;&gt;0,主营税金!E42&lt;&gt;利润!C7),"不符",0)</f>
        <v>0</v>
      </c>
      <c r="D31" s="1300" t="s">
        <v>2380</v>
      </c>
    </row>
    <row r="32" spans="1:4">
      <c r="A32" s="2113" t="s">
        <v>2407</v>
      </c>
      <c r="B32" s="1300" t="s">
        <v>2379</v>
      </c>
      <c r="C32" s="1473">
        <f ca="1">IF(AND(税费缴纳测算!F56=0,税费缴纳测算!F25=0),0,"不符")</f>
        <v>0</v>
      </c>
      <c r="D32" s="1300" t="s">
        <v>2380</v>
      </c>
    </row>
    <row r="33" spans="1:5">
      <c r="A33" s="2461" t="s">
        <v>1668</v>
      </c>
      <c r="B33" s="2462" t="s">
        <v>2379</v>
      </c>
      <c r="C33" s="2463">
        <f>IF(OR(主营收支!$H$20+其他业务!$E$18&lt;&gt;利润!$C$5,主营收支!$H$37+其他业务!$J$18&lt;&gt;利润!$C$6),"不符",0)</f>
        <v>0</v>
      </c>
      <c r="D33" s="2462" t="s">
        <v>2380</v>
      </c>
    </row>
    <row r="34" spans="1:5">
      <c r="A34" s="2113" t="s">
        <v>856</v>
      </c>
      <c r="B34" s="1300" t="s">
        <v>2379</v>
      </c>
      <c r="C34" s="1474">
        <f>IF(营业费用!D44&lt;&gt;利润!C15,"不符",0)</f>
        <v>0</v>
      </c>
      <c r="D34" s="1300" t="s">
        <v>2380</v>
      </c>
    </row>
    <row r="35" spans="1:5">
      <c r="A35" s="2113" t="s">
        <v>1293</v>
      </c>
      <c r="B35" s="1300" t="s">
        <v>2379</v>
      </c>
      <c r="C35" s="1474">
        <f>IF(管理费用!D44&lt;&gt;利润!C18,"不符",0)</f>
        <v>0</v>
      </c>
      <c r="D35" s="1300" t="s">
        <v>2380</v>
      </c>
    </row>
    <row r="36" spans="1:5">
      <c r="A36" s="2113" t="s">
        <v>967</v>
      </c>
      <c r="B36" s="1300" t="s">
        <v>2379</v>
      </c>
      <c r="C36" s="1474">
        <f>IF(财务费用!D27&lt;&gt;利润!C22,"不符",0)</f>
        <v>0</v>
      </c>
      <c r="D36" s="1300" t="s">
        <v>2380</v>
      </c>
    </row>
    <row r="37" spans="1:5">
      <c r="A37" s="2113" t="s">
        <v>1669</v>
      </c>
      <c r="B37" s="1300" t="s">
        <v>2379</v>
      </c>
      <c r="C37" s="1474">
        <f>IF(OR(营外收支!C36&lt;&gt;利润!C30,营外收支!C21&lt;&gt;利润!C28),"不符",0)</f>
        <v>0</v>
      </c>
      <c r="D37" s="1300" t="s">
        <v>2380</v>
      </c>
    </row>
    <row r="38" spans="1:5">
      <c r="A38" s="2113" t="s">
        <v>1670</v>
      </c>
      <c r="B38" s="1300" t="s">
        <v>2379</v>
      </c>
      <c r="C38" s="1474">
        <f>IF(货币资金!D24&lt;&gt;资产负债!D5,"不符",0)</f>
        <v>0</v>
      </c>
      <c r="D38" s="1300" t="s">
        <v>2380</v>
      </c>
    </row>
    <row r="39" spans="1:5">
      <c r="A39" s="2113" t="s">
        <v>1671</v>
      </c>
      <c r="B39" s="1300" t="s">
        <v>2379</v>
      </c>
      <c r="C39" s="1474">
        <f>IF(基本情况!B29="否",IF(应收!B14-应收!C14-应收!F11&lt;&gt;资产负债!D8,应收!B14-应收!C14-应收!F11-资产负债!D8,0),IF(应收!B13-应收!F11&lt;&gt;资产负债!D8,应收!B13-应收!F11-资产负债!D8,0))</f>
        <v>0</v>
      </c>
      <c r="D39" s="1300" t="s">
        <v>2380</v>
      </c>
    </row>
    <row r="40" spans="1:5">
      <c r="A40" s="2113" t="s">
        <v>1672</v>
      </c>
      <c r="B40" s="1300" t="s">
        <v>2379</v>
      </c>
      <c r="C40" s="1474">
        <f>IF(基本情况!B29="否",IF(预付!B14-预付!C14-预付!F11&lt;&gt;资产负债!D9,预付!B14-预付!C14-预付!F11-资产负债!D9,0),IF(预付!B13-预付!F11&lt;&gt;资产负债!D9,预付!B13-预付!F11-资产负债!D9,0))</f>
        <v>0</v>
      </c>
      <c r="D40" s="1300" t="s">
        <v>2380</v>
      </c>
    </row>
    <row r="41" spans="1:5">
      <c r="A41" s="2113" t="s">
        <v>1673</v>
      </c>
      <c r="B41" s="1300" t="s">
        <v>2379</v>
      </c>
      <c r="C41" s="1474">
        <f>IF(基本情况!B29="否",IF(其他应收!B14-其他应收!C14-其他应收!F11&lt;&gt;资产负债!D12,其他应收!B14-其他应收!C14-其他应收!F11-资产负债!D12,0),IF(其他应收!B13-其他应收!F11&lt;&gt;资产负债!D12,其他应收!B13-其他应收!F11-资产负债!D12,0))</f>
        <v>0</v>
      </c>
      <c r="D41" s="1300" t="s">
        <v>2380</v>
      </c>
    </row>
    <row r="42" spans="1:5">
      <c r="A42" s="2113" t="s">
        <v>1674</v>
      </c>
      <c r="B42" s="1300" t="s">
        <v>2379</v>
      </c>
      <c r="C42" s="1474">
        <f>IF(存货!C27&lt;&gt;资产负债!D13,存货!C27-资产负债!D13,0)</f>
        <v>0</v>
      </c>
      <c r="D42" s="1300" t="s">
        <v>2380</v>
      </c>
    </row>
    <row r="43" spans="1:5">
      <c r="A43" s="2314" t="s">
        <v>1675</v>
      </c>
      <c r="B43" s="2315" t="s">
        <v>2379</v>
      </c>
      <c r="C43" s="2316">
        <f>IF(OR(待摊预提!$H$12&lt;&gt;资产负债!$D$18,待摊预提!$H$19&lt;&gt;资产负债!$H$14),"不符",0)</f>
        <v>0</v>
      </c>
      <c r="D43" s="2315" t="s">
        <v>2380</v>
      </c>
      <c r="E43" s="1326" t="s">
        <v>6978</v>
      </c>
    </row>
    <row r="44" spans="1:5">
      <c r="A44" s="2314" t="s">
        <v>1264</v>
      </c>
      <c r="B44" s="2315" t="s">
        <v>2379</v>
      </c>
      <c r="C44" s="2316">
        <f>在建工程审核表!$F$15-资产负债!$D$26</f>
        <v>0</v>
      </c>
      <c r="D44" s="2315" t="s">
        <v>2380</v>
      </c>
      <c r="E44" s="1326" t="s">
        <v>6978</v>
      </c>
    </row>
    <row r="45" spans="1:5">
      <c r="A45" s="2113" t="s">
        <v>1676</v>
      </c>
      <c r="B45" s="1300" t="s">
        <v>2379</v>
      </c>
      <c r="C45" s="1474">
        <f>IF(基本情况!B29="否",IF(应付!C12-应付!B12&lt;&gt;资产负债!H7,应付!C12-应付!B12-资产负债!H7,0),IF(应付!C11&lt;&gt;资产负债!H7,应付!C11-资产负债!H7,0))</f>
        <v>0</v>
      </c>
      <c r="D45" s="1300" t="s">
        <v>2380</v>
      </c>
    </row>
    <row r="46" spans="1:5">
      <c r="A46" s="2113" t="s">
        <v>1677</v>
      </c>
      <c r="B46" s="1300" t="s">
        <v>2379</v>
      </c>
      <c r="C46" s="1474">
        <f>IF(基本情况!B29="否",IF(预收!C12-预收!B12&lt;&gt;资产负债!H8,预收!C12-预收!B12-资产负债!H8,0),IF(预收!C11&lt;&gt;资产负债!H8,预收!C11-资产负债!H8,0))</f>
        <v>0</v>
      </c>
      <c r="D46" s="1300" t="s">
        <v>2380</v>
      </c>
    </row>
    <row r="47" spans="1:5">
      <c r="A47" s="2113" t="s">
        <v>1678</v>
      </c>
      <c r="B47" s="1300" t="s">
        <v>2379</v>
      </c>
      <c r="C47" s="1474">
        <f>IF(基本情况!B29="否",IF(其他应付!C12-其他应付!B12&lt;&gt;资产负债!H13,其他应付!C12-其他应付!B12-资产负债!H13,0),IF(其他应付!C11&lt;&gt;资产负债!H13,其他应付!C11-资产负债!H13,0))</f>
        <v>0</v>
      </c>
      <c r="D47" s="1300" t="s">
        <v>2380</v>
      </c>
    </row>
    <row r="48" spans="1:5">
      <c r="A48" s="2113" t="s">
        <v>1679</v>
      </c>
      <c r="B48" s="1300" t="s">
        <v>2379</v>
      </c>
      <c r="C48" s="1474">
        <f>IF(OR(实收公积!$F$13&lt;&gt;资产负债!$H$30,实收公积!$F$18&lt;&gt;资产负债!$H$31,实收公积!$F$24&lt;&gt;资产负债!$H$32),"不符",0)</f>
        <v>0</v>
      </c>
      <c r="D48" s="1300" t="s">
        <v>2380</v>
      </c>
    </row>
    <row r="49" spans="1:4">
      <c r="A49" s="2113" t="s">
        <v>1680</v>
      </c>
      <c r="B49" s="1300" t="s">
        <v>2379</v>
      </c>
      <c r="C49" s="1474">
        <f>IF(未分利润!C24&lt;&gt;资产负债!H33,未分利润!C24-资产负债!H33,0)</f>
        <v>0</v>
      </c>
      <c r="D49" s="1300" t="s">
        <v>2380</v>
      </c>
    </row>
    <row r="50" spans="1:4">
      <c r="A50" s="2113" t="s">
        <v>5926</v>
      </c>
      <c r="B50" s="1300" t="s">
        <v>2379</v>
      </c>
      <c r="C50" s="1473" t="s">
        <v>2382</v>
      </c>
      <c r="D50" s="1300" t="s">
        <v>2380</v>
      </c>
    </row>
    <row r="51" spans="1:4">
      <c r="A51" s="2113" t="s">
        <v>5928</v>
      </c>
      <c r="B51" s="1300" t="s">
        <v>2379</v>
      </c>
      <c r="C51" s="1473" t="s">
        <v>2382</v>
      </c>
      <c r="D51" s="1300" t="s">
        <v>2380</v>
      </c>
    </row>
    <row r="52" spans="1:4">
      <c r="A52" s="2113" t="s">
        <v>5952</v>
      </c>
      <c r="B52" s="1300" t="s">
        <v>2379</v>
      </c>
      <c r="C52" s="1473" t="s">
        <v>2382</v>
      </c>
      <c r="D52" s="1300" t="s">
        <v>2380</v>
      </c>
    </row>
    <row r="53" spans="1:4">
      <c r="A53" s="2113" t="s">
        <v>5931</v>
      </c>
      <c r="B53" s="1300" t="s">
        <v>2379</v>
      </c>
      <c r="C53" s="1473" t="s">
        <v>2382</v>
      </c>
      <c r="D53" s="1300" t="s">
        <v>2380</v>
      </c>
    </row>
    <row r="54" spans="1:4">
      <c r="A54" s="2113" t="s">
        <v>5932</v>
      </c>
      <c r="B54" s="1300" t="s">
        <v>2379</v>
      </c>
      <c r="C54" s="1473" t="s">
        <v>2382</v>
      </c>
      <c r="D54" s="1300" t="s">
        <v>2380</v>
      </c>
    </row>
    <row r="55" spans="1:4">
      <c r="A55" s="2113" t="s">
        <v>5933</v>
      </c>
      <c r="B55" s="1300" t="s">
        <v>2379</v>
      </c>
      <c r="C55" s="1473" t="s">
        <v>2382</v>
      </c>
      <c r="D55" s="1300" t="s">
        <v>2380</v>
      </c>
    </row>
    <row r="56" spans="1:4">
      <c r="A56" s="2113" t="s">
        <v>6704</v>
      </c>
      <c r="B56" s="1300" t="s">
        <v>2379</v>
      </c>
      <c r="C56" s="1473" t="s">
        <v>2382</v>
      </c>
      <c r="D56" s="1300" t="s">
        <v>2380</v>
      </c>
    </row>
    <row r="57" spans="1:4">
      <c r="A57" s="2113" t="s">
        <v>5961</v>
      </c>
      <c r="B57" s="1300" t="s">
        <v>2379</v>
      </c>
      <c r="C57" s="1473" t="s">
        <v>2382</v>
      </c>
      <c r="D57" s="1300" t="s">
        <v>2380</v>
      </c>
    </row>
    <row r="58" spans="1:4">
      <c r="A58" s="2113" t="s">
        <v>6705</v>
      </c>
      <c r="B58" s="1300" t="s">
        <v>2379</v>
      </c>
      <c r="C58" s="1473" t="s">
        <v>2382</v>
      </c>
      <c r="D58" s="1300" t="s">
        <v>2380</v>
      </c>
    </row>
    <row r="59" spans="1:4">
      <c r="A59" s="2113" t="s">
        <v>6706</v>
      </c>
      <c r="B59" s="1300" t="s">
        <v>2379</v>
      </c>
      <c r="C59" s="1473" t="s">
        <v>2382</v>
      </c>
      <c r="D59" s="1300" t="s">
        <v>2380</v>
      </c>
    </row>
    <row r="60" spans="1:4">
      <c r="A60" s="2113" t="s">
        <v>6707</v>
      </c>
      <c r="B60" s="1300" t="s">
        <v>2379</v>
      </c>
      <c r="C60" s="1473" t="s">
        <v>2382</v>
      </c>
      <c r="D60" s="1300" t="s">
        <v>2380</v>
      </c>
    </row>
    <row r="61" spans="1:4">
      <c r="A61" s="2113" t="s">
        <v>6708</v>
      </c>
      <c r="B61" s="1300" t="s">
        <v>2379</v>
      </c>
      <c r="C61" s="1473" t="s">
        <v>2382</v>
      </c>
      <c r="D61" s="1300" t="s">
        <v>2380</v>
      </c>
    </row>
    <row r="62" spans="1:4">
      <c r="A62" s="2113" t="s">
        <v>6709</v>
      </c>
      <c r="B62" s="1300" t="s">
        <v>2379</v>
      </c>
      <c r="C62" s="1473" t="s">
        <v>2382</v>
      </c>
      <c r="D62" s="1300" t="s">
        <v>2380</v>
      </c>
    </row>
    <row r="63" spans="1:4">
      <c r="A63" s="2113" t="s">
        <v>6710</v>
      </c>
      <c r="B63" s="1300" t="s">
        <v>2379</v>
      </c>
      <c r="C63" s="1473" t="s">
        <v>2382</v>
      </c>
      <c r="D63" s="1300" t="s">
        <v>2380</v>
      </c>
    </row>
    <row r="64" spans="1:4">
      <c r="A64" s="2113" t="s">
        <v>6711</v>
      </c>
      <c r="B64" s="1300" t="s">
        <v>2379</v>
      </c>
      <c r="C64" s="1473" t="s">
        <v>2382</v>
      </c>
      <c r="D64" s="1300" t="s">
        <v>2380</v>
      </c>
    </row>
    <row r="65" spans="1:7">
      <c r="A65" s="2113" t="s">
        <v>6712</v>
      </c>
      <c r="B65" s="1300" t="s">
        <v>2379</v>
      </c>
      <c r="C65" s="1473" t="s">
        <v>2382</v>
      </c>
      <c r="D65" s="1300" t="s">
        <v>2380</v>
      </c>
    </row>
    <row r="66" spans="1:7">
      <c r="A66" s="2113" t="s">
        <v>6713</v>
      </c>
      <c r="B66" s="1300" t="s">
        <v>2379</v>
      </c>
      <c r="C66" s="1473" t="s">
        <v>2382</v>
      </c>
      <c r="D66" s="1300" t="s">
        <v>2380</v>
      </c>
    </row>
    <row r="67" spans="1:7">
      <c r="A67" s="2113" t="s">
        <v>6714</v>
      </c>
      <c r="B67" s="1300" t="s">
        <v>2379</v>
      </c>
      <c r="C67" s="1473" t="s">
        <v>2382</v>
      </c>
      <c r="D67" s="1300" t="s">
        <v>2380</v>
      </c>
    </row>
    <row r="68" spans="1:7">
      <c r="A68" s="2113" t="s">
        <v>6715</v>
      </c>
      <c r="B68" s="1300" t="s">
        <v>2379</v>
      </c>
      <c r="C68" s="1473" t="s">
        <v>2382</v>
      </c>
      <c r="D68" s="1300" t="s">
        <v>2380</v>
      </c>
    </row>
    <row r="69" spans="1:7">
      <c r="A69" s="2113" t="s">
        <v>6102</v>
      </c>
      <c r="B69" s="1300" t="s">
        <v>2379</v>
      </c>
      <c r="C69" s="1473" t="s">
        <v>2382</v>
      </c>
      <c r="D69" s="1300" t="s">
        <v>2380</v>
      </c>
    </row>
    <row r="70" spans="1:7">
      <c r="A70" s="2113" t="s">
        <v>10119</v>
      </c>
      <c r="B70" s="1300" t="s">
        <v>2379</v>
      </c>
      <c r="C70" s="1473">
        <f>对外投资!H15-资产负债!$D$62</f>
        <v>0</v>
      </c>
      <c r="D70" s="1300" t="s">
        <v>2380</v>
      </c>
    </row>
    <row r="71" spans="1:7" ht="14.25" customHeight="1">
      <c r="A71" s="2113" t="s">
        <v>10136</v>
      </c>
      <c r="B71" s="1300" t="s">
        <v>2379</v>
      </c>
      <c r="C71" s="1473">
        <f>对外投资!$H$25-资产负债!$D$21-资产负债!$D$22</f>
        <v>0</v>
      </c>
      <c r="D71" s="1300" t="s">
        <v>2380</v>
      </c>
      <c r="E71" s="1461"/>
      <c r="F71" s="1327"/>
      <c r="G71" s="1462"/>
    </row>
    <row r="72" spans="1:7" ht="14.25" customHeight="1">
      <c r="A72" s="2113" t="s">
        <v>6150</v>
      </c>
      <c r="B72" s="1300" t="s">
        <v>2379</v>
      </c>
      <c r="C72" s="1473">
        <f>借款!$D$15-资产负债!$H$5</f>
        <v>0</v>
      </c>
      <c r="D72" s="1300" t="s">
        <v>2380</v>
      </c>
      <c r="E72" s="1461"/>
      <c r="F72" s="1327"/>
      <c r="G72" s="1462"/>
    </row>
    <row r="73" spans="1:7" ht="14.25" customHeight="1">
      <c r="A73" s="2113" t="s">
        <v>6160</v>
      </c>
      <c r="B73" s="1300" t="s">
        <v>2379</v>
      </c>
      <c r="C73" s="1473">
        <f>借款!$D$25-资产负债!$H$21</f>
        <v>0</v>
      </c>
      <c r="D73" s="1300" t="s">
        <v>2380</v>
      </c>
      <c r="E73" s="1461"/>
      <c r="F73" s="1327"/>
      <c r="G73" s="1462"/>
    </row>
    <row r="74" spans="1:7" ht="14.25" customHeight="1">
      <c r="E74" s="1461"/>
      <c r="F74" s="1327"/>
      <c r="G74" s="1462"/>
    </row>
    <row r="75" spans="1:7" ht="14.25" customHeight="1">
      <c r="E75" s="1461"/>
      <c r="F75" s="1327"/>
      <c r="G75" s="1462"/>
    </row>
    <row r="76" spans="1:7" ht="14.25" customHeight="1">
      <c r="E76" s="1461"/>
      <c r="F76" s="1327"/>
      <c r="G76" s="1462"/>
    </row>
    <row r="77" spans="1:7" ht="14.25" customHeight="1">
      <c r="E77" s="1461"/>
      <c r="F77" s="1327"/>
      <c r="G77" s="1462"/>
    </row>
    <row r="78" spans="1:7" ht="14.25" customHeight="1">
      <c r="E78" s="1461"/>
      <c r="F78" s="1327"/>
      <c r="G78" s="1462"/>
    </row>
    <row r="79" spans="1:7" ht="14.25" customHeight="1">
      <c r="E79" s="1461"/>
      <c r="F79" s="1327"/>
      <c r="G79" s="1462"/>
    </row>
  </sheetData>
  <phoneticPr fontId="51" type="noConversion"/>
  <dataValidations count="1">
    <dataValidation type="list" allowBlank="1" showInputMessage="1" showErrorMessage="1" sqref="G1">
      <formula1>"停留本页面（方面打开多个页面）,跳转超链接所选页面"</formula1>
    </dataValidation>
  </dataValidations>
  <hyperlinks>
    <hyperlink ref="A2" location="工资福利!A1" display="工资福利"/>
    <hyperlink ref="A3" location="招待!A1" display="招待"/>
    <hyperlink ref="A13" location="固资折旧!A1" display="固资折旧"/>
    <hyperlink ref="A14" location="折旧测算!A1" display="折旧测算"/>
    <hyperlink ref="A15" location="无形长摊!A1" display="无形长摊"/>
    <hyperlink ref="A16" location="社保!A1" display="社保"/>
    <hyperlink ref="A17" location="社保明细工资人数!A1" display="社保明细工资人数"/>
    <hyperlink ref="A18" location="广宣!A1" display="广宣"/>
    <hyperlink ref="A19" location="捐赠!A1" display="捐赠"/>
    <hyperlink ref="A20" location="利息!A1" display="利息"/>
    <hyperlink ref="A21" location="租金!A1" display="租金"/>
    <hyperlink ref="A22" location="无限期结转扣除项目审核表!A1" display="无限期结转扣除项目审核表"/>
    <hyperlink ref="A23" location="跨年度确认所得情况表!A1" display="跨年度确认所得情况表"/>
    <hyperlink ref="A24" location="其他事项!A1" display="其他事项"/>
    <hyperlink ref="A25" location="主营收支!A1" display="主营收支"/>
    <hyperlink ref="A27" location="毛利分析!A1" display="毛利分析"/>
    <hyperlink ref="A28" location="制造费用、生产成本!A1" display="制造费用、生产成本"/>
    <hyperlink ref="A29" location="成本倒轧!A1" display="成本倒轧"/>
    <hyperlink ref="A30" location="存货计价测试!A1" display="存货计价测试"/>
    <hyperlink ref="A33" location="其他业务!A1" display="其他业务"/>
    <hyperlink ref="A34" location="营业费用!A1" display="营业费用"/>
    <hyperlink ref="A35" location="管理费用!A1" display="管理费用"/>
    <hyperlink ref="A36" location="财务费用!A1" display="财务费用"/>
    <hyperlink ref="A37" location="营外收支!A1" display="营外收支"/>
    <hyperlink ref="A38" location="货币资金!A1" display="货币资金"/>
    <hyperlink ref="A39" location="应收!A1" display="应收"/>
    <hyperlink ref="A40" location="预付!A1" display="预付"/>
    <hyperlink ref="A41" location="其他应收!A1" display="其他应收"/>
    <hyperlink ref="A42" location="存货!A1" display="存货"/>
    <hyperlink ref="A43" location="待摊预提!A1" display="待摊预提"/>
    <hyperlink ref="A44" location="在建工程审核表!A1" display="在建工程审核表"/>
    <hyperlink ref="A45" location="应付!A1" display="应付"/>
    <hyperlink ref="A46" location="预收!A1" display="预收"/>
    <hyperlink ref="A47" location="其他应付!A1" display="其他应付"/>
    <hyperlink ref="A48" location="实收公积!A1" display="实收公积"/>
    <hyperlink ref="A49" location="未分利润!A1" display="未分利润"/>
    <hyperlink ref="A26" location="收入与申报核对表!A1" display="收入与申报核对表"/>
    <hyperlink ref="A31" location="主营税金!A1" display="主营税金"/>
    <hyperlink ref="A32" location="税费缴纳测算!A1" display="税费缴纳测算"/>
    <hyperlink ref="A4" location="视同销售和房地产开发企业特定业务审核表!A1" display="视同销售和房地产开发企业特定业务审核表"/>
    <hyperlink ref="A50" location="未按权责发生制确认收入审核表!A1" display="未按权责发生制确认收入审核表"/>
    <hyperlink ref="A5" location="投资收益审核表!A1" display="投资收益审核表"/>
    <hyperlink ref="A51" location="专项用途财政性资金审核表!A1" display="专项用途财政性资金审核表"/>
    <hyperlink ref="A52" location="固定资产加速折旧审核表!A1" display="固定资产加速折旧审核表"/>
    <hyperlink ref="A6" location="资产损失税前扣除审核表!A1" display="资产损失税前扣除审核表"/>
    <hyperlink ref="A7" location="'资产损失（专项申报）税前扣除审核表'!A1" display="资产损失（专项申报）税前扣除审核表"/>
    <hyperlink ref="A53" location="企业重组审核表!A1" display="企业重组审核表"/>
    <hyperlink ref="A54" location="政策性搬迁审核表!A1" display="政策性搬迁审核表"/>
    <hyperlink ref="A55" location="特殊行业准备金审核表!A1" display="特殊行业准备金审核表"/>
    <hyperlink ref="A56" location="免税、减计收入及加计扣除优惠审核表!A1" display="免税、减计收入及加计扣除优惠审核表"/>
    <hyperlink ref="A57" location="股息红利优惠审核表!A1" display="股息红利优惠审核表"/>
    <hyperlink ref="A58" location="综合利用资源生产产品取得的收入优惠审核表!A1" display="综合利用资源生产产品取得的收入优惠审核表"/>
    <hyperlink ref="A59" location="金融保险等机构取得涉农利息保费收入优惠审核表!A1" display="金融保险等机构取得涉农利息保费收入优惠审核表"/>
    <hyperlink ref="A8" location="研发加计扣除归集审核表!A1" tooltip="#研发加计扣除归集审核表!A1" display="研发加计扣除归集审核表"/>
    <hyperlink ref="A60" location="所得减免优惠审核表!A1" display="所得减免优惠审核表"/>
    <hyperlink ref="A61" location="抵扣应纳税所得额审核表!A1" display="抵扣应纳税所得额审核表"/>
    <hyperlink ref="A62" location="减免所得税优惠审核表!A1" display="减免所得税优惠审核表"/>
    <hyperlink ref="A9" location="高新技术企业优惠情况审核表!A1" display="高新技术企业优惠情况审核表"/>
    <hyperlink ref="A10" location="软件、集成电路企业优惠情况审核表!A1" display="软件、集成电路企业优惠情况审核表"/>
    <hyperlink ref="A63" location="税额抵免优惠审核表!A1" display="税额抵免优惠审核表"/>
    <hyperlink ref="A64" location="境外所得税收抵免审核表!A1" display="境外所得税收抵免审核表"/>
    <hyperlink ref="A65" location="境外所得纳税调整后所得审核表!A1" display="境外所得纳税调整后所得审核表"/>
    <hyperlink ref="A66" location="境外分支机构弥补亏损审核表!A1" display="境外分支机构弥补亏损审核表"/>
    <hyperlink ref="A67" location="跨年度结转抵免境外所得税审核表!A1" display="跨年度结转抵免境外所得税审核表"/>
    <hyperlink ref="A11" location="跨地区经营汇总纳税企业年度分摊企业所得税审核表!A1" display="跨地区经营汇总纳税企业年度分摊企业所得税审核表"/>
    <hyperlink ref="A12" location="企业所得税汇总纳税分支机构所得税分配表!A1" display="企业所得税汇总纳税分支机构所得税分配表"/>
    <hyperlink ref="A68" location="减值准备审核表!A1" display="减值准备审核表"/>
    <hyperlink ref="A69" location="公允价值变动审定表!A1" display="公允价值变动审定表"/>
    <hyperlink ref="A70" location="对外投资!C26" display="短期投资"/>
    <hyperlink ref="A71" location="对外投资!G26" display="长期投资"/>
    <hyperlink ref="A72" location="借款!C26" display="短期借款"/>
    <hyperlink ref="A73" location="借款!H26" display="长期借款"/>
  </hyperlinks>
  <pageMargins left="0.78740157480314998" right="0.35433070866141703" top="0.511811023622047" bottom="0.11811023622047198" header="0.511811023622047" footer="0.511811023622047"/>
  <pageSetup paperSize="9" orientation="portrait" r:id="rId1"/>
</worksheet>
</file>

<file path=xl/worksheets/sheet10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82">
    <tabColor rgb="FFFF0000"/>
  </sheetPr>
  <dimension ref="A1:BA594"/>
  <sheetViews>
    <sheetView workbookViewId="0">
      <selection activeCell="E8" sqref="E8"/>
    </sheetView>
  </sheetViews>
  <sheetFormatPr defaultColWidth="8.5" defaultRowHeight="15.6"/>
  <cols>
    <col min="1" max="1" width="8.5" style="502" customWidth="1"/>
    <col min="2" max="2" width="8.3984375" style="502" customWidth="1"/>
    <col min="3" max="3" width="15.09765625" style="1320" bestFit="1" customWidth="1"/>
    <col min="4" max="4" width="12.19921875" style="1320" bestFit="1" customWidth="1"/>
    <col min="5" max="6" width="15.3984375" style="1320" bestFit="1" customWidth="1"/>
    <col min="7" max="7" width="14.09765625" style="1320" bestFit="1" customWidth="1"/>
    <col min="8" max="8" width="12.19921875" style="1320" bestFit="1" customWidth="1"/>
    <col min="9" max="9" width="13.69921875" style="1321" hidden="1" customWidth="1"/>
    <col min="10" max="10" width="13.69921875" hidden="1" customWidth="1"/>
    <col min="11" max="11" width="2.5" style="1321" customWidth="1"/>
    <col min="12" max="12" width="6.8984375" style="1321" customWidth="1"/>
    <col min="13" max="13" width="33.3984375" style="1321" customWidth="1"/>
    <col min="14" max="14" width="15.09765625" style="1321" hidden="1" customWidth="1"/>
    <col min="15" max="15" width="15.5" style="1321" hidden="1" customWidth="1"/>
    <col min="16" max="16" width="8.5" style="1321" hidden="1" customWidth="1"/>
    <col min="17" max="22" width="8.5" hidden="1" customWidth="1"/>
    <col min="23" max="23" width="31.59765625" hidden="1" customWidth="1"/>
    <col min="24" max="47" width="8.5" hidden="1" customWidth="1"/>
    <col min="50" max="51" width="8.5" hidden="1" customWidth="1"/>
    <col min="52" max="52" width="16.59765625" hidden="1" customWidth="1"/>
    <col min="53" max="53" width="8.5" hidden="1" customWidth="1"/>
  </cols>
  <sheetData>
    <row r="1" spans="1:53" ht="20.25" customHeight="1">
      <c r="A1" s="502" t="s">
        <v>1685</v>
      </c>
      <c r="B1" s="502" t="s">
        <v>1681</v>
      </c>
      <c r="C1" s="1320" t="s">
        <v>1686</v>
      </c>
      <c r="D1" s="1320" t="s">
        <v>1687</v>
      </c>
      <c r="E1" s="1320" t="s">
        <v>1688</v>
      </c>
      <c r="F1" s="1320" t="s">
        <v>1689</v>
      </c>
      <c r="G1" s="1320" t="s">
        <v>1690</v>
      </c>
      <c r="H1" s="1320" t="s">
        <v>1691</v>
      </c>
      <c r="I1" s="1703"/>
      <c r="K1" s="1455"/>
      <c r="L1" s="3788" t="s">
        <v>6409</v>
      </c>
      <c r="M1" s="1476"/>
      <c r="N1" s="1453" t="s">
        <v>1692</v>
      </c>
      <c r="O1" s="1453" t="s">
        <v>2394</v>
      </c>
      <c r="P1" s="1453" t="s">
        <v>2395</v>
      </c>
      <c r="Q1" s="1463" t="s">
        <v>2396</v>
      </c>
      <c r="U1" t="s">
        <v>6114</v>
      </c>
      <c r="V1" s="1316" t="s">
        <v>6121</v>
      </c>
      <c r="W1" t="s">
        <v>6115</v>
      </c>
      <c r="AF1" s="1675" t="str">
        <f>A104000期间费用明细表!A1</f>
        <v xml:space="preserve">A104000 </v>
      </c>
      <c r="AJ1" t="s">
        <v>6114</v>
      </c>
      <c r="AK1" s="1316" t="s">
        <v>6121</v>
      </c>
      <c r="AX1" t="s">
        <v>556</v>
      </c>
      <c r="AY1" t="s">
        <v>6793</v>
      </c>
      <c r="AZ1" t="s">
        <v>6794</v>
      </c>
      <c r="BA1" t="s">
        <v>6795</v>
      </c>
    </row>
    <row r="2" spans="1:53" ht="14.25" customHeight="1">
      <c r="I2" s="1703"/>
      <c r="K2" s="1455"/>
      <c r="L2" s="3788"/>
      <c r="M2" s="3789"/>
      <c r="N2" s="1330" t="str">
        <f>IFERROR(IFERROR(MATCH("现金",B:B,0),MATCH("库存现金",B:B,0)),"")</f>
        <v/>
      </c>
      <c r="O2" s="1478" t="e">
        <f>LEN(INDEX(A:A,N3))</f>
        <v>#VALUE!</v>
      </c>
      <c r="P2" s="1330">
        <v>2</v>
      </c>
      <c r="Q2" s="1464">
        <v>2</v>
      </c>
      <c r="T2" s="1326" t="s">
        <v>6402</v>
      </c>
      <c r="V2" t="s">
        <v>6230</v>
      </c>
      <c r="W2" t="s">
        <v>5052</v>
      </c>
      <c r="X2" t="s">
        <v>5052</v>
      </c>
      <c r="AE2" t="s">
        <v>5052</v>
      </c>
      <c r="AG2" t="s">
        <v>1293</v>
      </c>
      <c r="AI2" t="s">
        <v>967</v>
      </c>
      <c r="AK2" s="1316" t="s">
        <v>6172</v>
      </c>
      <c r="AL2" t="s">
        <v>6116</v>
      </c>
      <c r="AX2">
        <f>$A$341</f>
        <v>0</v>
      </c>
      <c r="AY2">
        <f>$B$341</f>
        <v>0</v>
      </c>
      <c r="AZ2" t="str">
        <f>TEXT($E$341,"#,##0.00")</f>
        <v>0.00</v>
      </c>
      <c r="BA2" t="str">
        <f>$J$341&amp;""</f>
        <v/>
      </c>
    </row>
    <row r="3" spans="1:53" ht="14.25" customHeight="1">
      <c r="I3" s="1703"/>
      <c r="K3" s="1455"/>
      <c r="L3" s="3788"/>
      <c r="M3" s="3789"/>
      <c r="N3" s="1330" t="str">
        <f>IFERROR(MATCH("银行存款",B:B,0),"")</f>
        <v/>
      </c>
      <c r="P3" s="1330">
        <v>4</v>
      </c>
      <c r="Q3" s="1464">
        <v>16</v>
      </c>
      <c r="V3" t="s">
        <v>6279</v>
      </c>
      <c r="W3" t="s">
        <v>908</v>
      </c>
      <c r="X3" t="str">
        <f>$X$2&amp;"-"&amp;W3</f>
        <v>销售费用-工资薪金支出</v>
      </c>
      <c r="AJ3">
        <v>1</v>
      </c>
      <c r="AK3" s="1316" t="s">
        <v>6173</v>
      </c>
      <c r="AL3" t="s">
        <v>6122</v>
      </c>
      <c r="AM3" t="s">
        <v>6122</v>
      </c>
      <c r="AX3">
        <f>$A$342</f>
        <v>0</v>
      </c>
      <c r="AY3">
        <f>$B$342</f>
        <v>0</v>
      </c>
      <c r="AZ3" t="str">
        <f>TEXT($E$342,"#,##0.00")</f>
        <v>0.00</v>
      </c>
      <c r="BA3" t="str">
        <f>$J$342&amp;""</f>
        <v/>
      </c>
    </row>
    <row r="4" spans="1:53" ht="14.25" customHeight="1">
      <c r="I4" s="1704"/>
      <c r="K4" s="1455"/>
      <c r="L4" s="3788"/>
      <c r="M4" s="2043" t="s">
        <v>6607</v>
      </c>
      <c r="N4" s="1330" t="str">
        <f>IFERROR(IFERROR(MATCH("应收账款",B:B,0),MATCH("应收帐款",B:B,0)),"")</f>
        <v/>
      </c>
      <c r="P4" s="1330" t="s">
        <v>1693</v>
      </c>
      <c r="Q4" s="1464"/>
      <c r="V4" t="s">
        <v>6280</v>
      </c>
      <c r="W4" t="s">
        <v>909</v>
      </c>
      <c r="X4" t="str">
        <f t="shared" ref="X4:X39" si="0">$X$2&amp;"-"&amp;W4</f>
        <v>销售费用-职工福利费支出</v>
      </c>
      <c r="AJ4">
        <v>2</v>
      </c>
      <c r="AK4" s="1316" t="s">
        <v>6174</v>
      </c>
      <c r="AL4" t="s">
        <v>1378</v>
      </c>
      <c r="AM4" s="1326" t="s">
        <v>1378</v>
      </c>
      <c r="AX4">
        <f>$A$343</f>
        <v>0</v>
      </c>
      <c r="AY4">
        <f>$B$343</f>
        <v>0</v>
      </c>
      <c r="AZ4" t="str">
        <f>TEXT($E$343,"#,##0.00")</f>
        <v>0.00</v>
      </c>
      <c r="BA4" t="str">
        <f>$J$343&amp;""</f>
        <v/>
      </c>
    </row>
    <row r="5" spans="1:53" ht="14.25" customHeight="1">
      <c r="I5" s="1704"/>
      <c r="K5" s="1455"/>
      <c r="L5" s="3788"/>
      <c r="M5" s="2043" t="s">
        <v>6608</v>
      </c>
      <c r="N5" s="1330" t="str">
        <f>IFERROR(IFERROR(MATCH("预付账款",B:B,0),MATCH("预付帐款",B:B,0)),"")</f>
        <v/>
      </c>
      <c r="P5" s="1330" t="s">
        <v>1693</v>
      </c>
      <c r="Q5" s="1464"/>
      <c r="V5" t="s">
        <v>6281</v>
      </c>
      <c r="W5" t="s">
        <v>910</v>
      </c>
      <c r="X5" t="str">
        <f t="shared" si="0"/>
        <v>销售费用-职工教育经费支出</v>
      </c>
      <c r="AC5" t="s">
        <v>5911</v>
      </c>
      <c r="AI5" t="s">
        <v>1860</v>
      </c>
      <c r="AJ5">
        <v>3</v>
      </c>
      <c r="AK5" s="1316" t="s">
        <v>2770</v>
      </c>
      <c r="AL5" t="s">
        <v>6123</v>
      </c>
      <c r="AM5" t="s">
        <v>6123</v>
      </c>
      <c r="AX5">
        <f>$A$344</f>
        <v>0</v>
      </c>
      <c r="AY5">
        <f>$B$344</f>
        <v>0</v>
      </c>
      <c r="AZ5" t="str">
        <f>TEXT($E$344,"#,##0.00")</f>
        <v>0.00</v>
      </c>
      <c r="BA5" t="str">
        <f>$J$344&amp;""</f>
        <v/>
      </c>
    </row>
    <row r="6" spans="1:53" ht="14.25" customHeight="1">
      <c r="I6" s="1704"/>
      <c r="K6" s="1455"/>
      <c r="L6" s="3788"/>
      <c r="M6" s="1324"/>
      <c r="N6" s="1330" t="str">
        <f>IFERROR(MATCH("其他应收款",B:B,0),"")</f>
        <v/>
      </c>
      <c r="P6" s="1330" t="s">
        <v>1693</v>
      </c>
      <c r="Q6" s="1464"/>
      <c r="V6" t="s">
        <v>6282</v>
      </c>
      <c r="W6" t="s">
        <v>911</v>
      </c>
      <c r="X6" t="str">
        <f t="shared" si="0"/>
        <v>销售费用-工会经费支出</v>
      </c>
      <c r="AC6" t="s">
        <v>6235</v>
      </c>
      <c r="AI6" t="s">
        <v>1860</v>
      </c>
      <c r="AJ6">
        <v>4</v>
      </c>
      <c r="AK6" s="1316" t="s">
        <v>6175</v>
      </c>
      <c r="AL6" t="s">
        <v>6124</v>
      </c>
      <c r="AM6" t="s">
        <v>6124</v>
      </c>
      <c r="AX6">
        <f>$A$345</f>
        <v>0</v>
      </c>
      <c r="AY6">
        <f>$B$345</f>
        <v>0</v>
      </c>
      <c r="AZ6" t="str">
        <f>TEXT($E$345,"#,##0.00")</f>
        <v>0.00</v>
      </c>
      <c r="BA6" t="str">
        <f>$J$345&amp;""</f>
        <v/>
      </c>
    </row>
    <row r="7" spans="1:53" ht="14.25" customHeight="1">
      <c r="I7" s="1704"/>
      <c r="K7" s="1455"/>
      <c r="L7" s="3788"/>
      <c r="M7" s="1477"/>
      <c r="N7" s="1330" t="str">
        <f>IFERROR(IFERROR(MATCH("应付账款",B:B,0),MATCH("应付帐款",B:B,0)),"")</f>
        <v/>
      </c>
      <c r="P7" s="1330" t="s">
        <v>1693</v>
      </c>
      <c r="Q7" s="1464"/>
      <c r="V7" t="s">
        <v>6283</v>
      </c>
      <c r="W7" t="s">
        <v>912</v>
      </c>
      <c r="X7" t="str">
        <f t="shared" si="0"/>
        <v>销售费用-业务招待费支出</v>
      </c>
      <c r="AC7" t="s">
        <v>6236</v>
      </c>
      <c r="AI7" t="s">
        <v>1860</v>
      </c>
      <c r="AJ7">
        <v>5</v>
      </c>
      <c r="AK7" s="1316" t="s">
        <v>6176</v>
      </c>
      <c r="AL7" t="s">
        <v>6125</v>
      </c>
      <c r="AM7" t="s">
        <v>6125</v>
      </c>
      <c r="AX7">
        <f>$A$346</f>
        <v>0</v>
      </c>
      <c r="AY7">
        <f>$B$346</f>
        <v>0</v>
      </c>
      <c r="AZ7" t="str">
        <f>TEXT($E$346,"#,##0.00")</f>
        <v>0.00</v>
      </c>
      <c r="BA7" t="str">
        <f>$J$346&amp;""</f>
        <v/>
      </c>
    </row>
    <row r="8" spans="1:53" ht="14.25" customHeight="1">
      <c r="I8" s="1704"/>
      <c r="K8" s="1455"/>
      <c r="L8" s="3788"/>
      <c r="M8" s="1476"/>
      <c r="N8" s="1330" t="str">
        <f>IFERROR(IFERROR(MATCH("预收账款",B:B,0),MATCH("预收帐款",B:B,0)),"")</f>
        <v/>
      </c>
      <c r="P8" s="1330" t="s">
        <v>1693</v>
      </c>
      <c r="Q8" s="1464"/>
      <c r="V8" t="s">
        <v>6284</v>
      </c>
      <c r="W8" t="s">
        <v>913</v>
      </c>
      <c r="X8" t="str">
        <f t="shared" si="0"/>
        <v>销售费用-广告费和业务宣传费支出</v>
      </c>
      <c r="AC8" t="s">
        <v>6237</v>
      </c>
      <c r="AI8" t="s">
        <v>1860</v>
      </c>
      <c r="AJ8">
        <v>6</v>
      </c>
      <c r="AK8" s="1316" t="s">
        <v>6177</v>
      </c>
      <c r="AL8" t="s">
        <v>6126</v>
      </c>
      <c r="AM8" t="s">
        <v>6126</v>
      </c>
      <c r="AX8">
        <f>$A$347</f>
        <v>0</v>
      </c>
      <c r="AY8">
        <f>$B$347</f>
        <v>0</v>
      </c>
      <c r="AZ8" t="str">
        <f>TEXT($E$347,"#,##0.00")</f>
        <v>0.00</v>
      </c>
      <c r="BA8" t="str">
        <f>$J$347&amp;""</f>
        <v/>
      </c>
    </row>
    <row r="9" spans="1:53" ht="14.25" customHeight="1">
      <c r="I9" s="1704"/>
      <c r="K9" s="1455"/>
      <c r="L9" s="3788"/>
      <c r="M9" s="2044"/>
      <c r="N9" s="1330" t="str">
        <f>IFERROR(MATCH("其他应付款",B:B,0),"")</f>
        <v/>
      </c>
      <c r="P9" s="1330" t="s">
        <v>1693</v>
      </c>
      <c r="Q9" s="1464"/>
      <c r="V9" t="s">
        <v>6285</v>
      </c>
      <c r="W9" t="s">
        <v>914</v>
      </c>
      <c r="X9" t="str">
        <f t="shared" si="0"/>
        <v>销售费用-捐赠支出</v>
      </c>
      <c r="AC9" t="s">
        <v>6238</v>
      </c>
      <c r="AD9" t="s">
        <v>6242</v>
      </c>
      <c r="AI9" t="s">
        <v>1860</v>
      </c>
      <c r="AJ9">
        <v>7</v>
      </c>
      <c r="AK9" s="1316" t="s">
        <v>6178</v>
      </c>
      <c r="AL9" t="s">
        <v>6127</v>
      </c>
      <c r="AM9" t="s">
        <v>6127</v>
      </c>
      <c r="AX9">
        <f>$A$348</f>
        <v>0</v>
      </c>
      <c r="AY9">
        <f>$B$348</f>
        <v>0</v>
      </c>
      <c r="AZ9" t="str">
        <f>TEXT($E$348,"#,##0.00")</f>
        <v>0.00</v>
      </c>
      <c r="BA9" t="str">
        <f>$J$348&amp;""</f>
        <v/>
      </c>
    </row>
    <row r="10" spans="1:53" ht="14.25" customHeight="1">
      <c r="I10" s="1704"/>
      <c r="K10" s="1455"/>
      <c r="L10" s="3788"/>
      <c r="M10" s="3794" t="s">
        <v>2409</v>
      </c>
      <c r="N10" s="1330" t="str">
        <f>IFERROR(MATCH("管理费用",B:B,0),"")</f>
        <v/>
      </c>
      <c r="P10" s="1330" t="s">
        <v>1693</v>
      </c>
      <c r="Q10" s="1464"/>
      <c r="V10" t="s">
        <v>6286</v>
      </c>
      <c r="W10" t="s">
        <v>1481</v>
      </c>
      <c r="X10" t="str">
        <f t="shared" si="0"/>
        <v>销售费用-住房公积金</v>
      </c>
      <c r="AC10" t="s">
        <v>6239</v>
      </c>
      <c r="AJ10">
        <v>8</v>
      </c>
      <c r="AK10" s="1316" t="s">
        <v>6179</v>
      </c>
      <c r="AL10" t="s">
        <v>6128</v>
      </c>
      <c r="AM10" t="s">
        <v>6128</v>
      </c>
      <c r="AX10">
        <f>$A$349</f>
        <v>0</v>
      </c>
      <c r="AY10">
        <f>$B$349</f>
        <v>0</v>
      </c>
      <c r="AZ10" t="str">
        <f>TEXT($E$349,"#,##0.00")</f>
        <v>0.00</v>
      </c>
      <c r="BA10" t="str">
        <f>$J$349&amp;""</f>
        <v/>
      </c>
    </row>
    <row r="11" spans="1:53" ht="14.25" customHeight="1">
      <c r="I11" s="1704"/>
      <c r="K11" s="1455"/>
      <c r="L11" s="3788"/>
      <c r="M11" s="3794"/>
      <c r="N11" s="1330" t="str">
        <f>IFERROR(IFERROR(IFERROR(MATCH("营业费用",B:B,0),MATCH("销售费用",B:B,0)),MATCH("经营费用",B:B,0)),"")</f>
        <v/>
      </c>
      <c r="P11" s="1330" t="s">
        <v>1693</v>
      </c>
      <c r="Q11" s="1464"/>
      <c r="V11" t="s">
        <v>6287</v>
      </c>
      <c r="W11" t="s">
        <v>915</v>
      </c>
      <c r="X11" t="str">
        <f t="shared" si="0"/>
        <v>销售费用-罚金、罚款和被没收财物的损失</v>
      </c>
      <c r="AC11" t="s">
        <v>6240</v>
      </c>
      <c r="AI11" t="s">
        <v>1860</v>
      </c>
      <c r="AJ11">
        <v>9</v>
      </c>
      <c r="AK11" s="1316" t="s">
        <v>6180</v>
      </c>
      <c r="AL11" t="s">
        <v>6129</v>
      </c>
      <c r="AM11" t="s">
        <v>6129</v>
      </c>
      <c r="AX11">
        <f>$A$350</f>
        <v>0</v>
      </c>
      <c r="AY11">
        <f>$B$350</f>
        <v>0</v>
      </c>
      <c r="AZ11" t="str">
        <f>TEXT($E$350,"#,##0.00")</f>
        <v>0.00</v>
      </c>
      <c r="BA11" t="str">
        <f>$J$350&amp;""</f>
        <v/>
      </c>
    </row>
    <row r="12" spans="1:53" ht="14.25" customHeight="1">
      <c r="I12" s="1704"/>
      <c r="K12" s="1455"/>
      <c r="L12" s="3788"/>
      <c r="M12" s="3794"/>
      <c r="N12" s="1331" t="str">
        <f>IFERROR(IFERROR(MATCH("实收资本",B:B,0),MATCH("实收资本（或股本）",B:B,0)),"")</f>
        <v/>
      </c>
      <c r="P12" s="1330" t="s">
        <v>1693</v>
      </c>
      <c r="Q12" s="1464"/>
      <c r="V12" t="s">
        <v>6288</v>
      </c>
      <c r="W12" t="s">
        <v>572</v>
      </c>
      <c r="X12" t="str">
        <f t="shared" si="0"/>
        <v>销售费用-税收滞纳金</v>
      </c>
      <c r="AC12" t="s">
        <v>6241</v>
      </c>
      <c r="AI12" t="s">
        <v>1860</v>
      </c>
      <c r="AJ12">
        <v>10</v>
      </c>
      <c r="AK12" s="1316" t="s">
        <v>6181</v>
      </c>
      <c r="AL12" t="s">
        <v>6130</v>
      </c>
      <c r="AM12" t="s">
        <v>6130</v>
      </c>
      <c r="AX12">
        <f>$A$351</f>
        <v>0</v>
      </c>
      <c r="AY12">
        <f>$B$351</f>
        <v>0</v>
      </c>
      <c r="AZ12" t="str">
        <f>TEXT($E$351,"#,##0.00")</f>
        <v>0.00</v>
      </c>
      <c r="BA12" t="str">
        <f>$J$351&amp;""</f>
        <v/>
      </c>
    </row>
    <row r="13" spans="1:53" ht="14.25" customHeight="1">
      <c r="I13" s="1704"/>
      <c r="K13" s="1455"/>
      <c r="L13" s="3788"/>
      <c r="M13" s="3791" t="s">
        <v>2399</v>
      </c>
      <c r="N13" s="1330" t="str">
        <f>IFERROR(MATCH("财务费用",B:B,0),"")</f>
        <v/>
      </c>
      <c r="O13" s="1466" t="s">
        <v>2400</v>
      </c>
      <c r="V13" t="s">
        <v>6289</v>
      </c>
      <c r="W13" t="s">
        <v>918</v>
      </c>
      <c r="X13" t="str">
        <f t="shared" si="0"/>
        <v>销售费用-赞助支出</v>
      </c>
      <c r="AC13" t="s">
        <v>6243</v>
      </c>
      <c r="AI13" t="s">
        <v>1860</v>
      </c>
      <c r="AJ13">
        <v>11</v>
      </c>
      <c r="AK13" s="1316" t="s">
        <v>6182</v>
      </c>
      <c r="AL13" t="s">
        <v>6131</v>
      </c>
      <c r="AM13" t="s">
        <v>6131</v>
      </c>
      <c r="AX13">
        <f>$A$352</f>
        <v>0</v>
      </c>
      <c r="AY13">
        <f>$B$352</f>
        <v>0</v>
      </c>
      <c r="AZ13" t="str">
        <f>TEXT($E$352,"#,##0.00")</f>
        <v>0.00</v>
      </c>
      <c r="BA13" t="str">
        <f>$J$352&amp;""</f>
        <v/>
      </c>
    </row>
    <row r="14" spans="1:53" ht="14.25" customHeight="1">
      <c r="I14" s="1456"/>
      <c r="K14" s="1455"/>
      <c r="L14" s="3788"/>
      <c r="M14" s="3791"/>
      <c r="N14" s="1330" t="str">
        <f>IFERROR(MATCH("盈余公积",B:B,0),"")</f>
        <v/>
      </c>
      <c r="O14" s="1465"/>
      <c r="V14" t="s">
        <v>6290</v>
      </c>
      <c r="W14" t="s">
        <v>920</v>
      </c>
      <c r="X14" t="str">
        <f t="shared" si="0"/>
        <v>销售费用-各类基本社会保障性缴款</v>
      </c>
      <c r="AC14" t="s">
        <v>6244</v>
      </c>
      <c r="AI14" t="s">
        <v>1860</v>
      </c>
      <c r="AJ14">
        <v>12</v>
      </c>
      <c r="AK14" s="1316" t="s">
        <v>6183</v>
      </c>
      <c r="AL14" t="s">
        <v>6132</v>
      </c>
      <c r="AM14" t="s">
        <v>6132</v>
      </c>
      <c r="AX14">
        <f>$A$353</f>
        <v>0</v>
      </c>
      <c r="AY14">
        <f>$B$353</f>
        <v>0</v>
      </c>
      <c r="AZ14" t="str">
        <f>TEXT($E$353,"#,##0.00")</f>
        <v>0.00</v>
      </c>
      <c r="BA14" t="str">
        <f>$J$353&amp;""</f>
        <v/>
      </c>
    </row>
    <row r="15" spans="1:53" ht="14.25" customHeight="1">
      <c r="I15" s="1456"/>
      <c r="K15" s="1455"/>
      <c r="L15" s="3788"/>
      <c r="M15" s="3791"/>
      <c r="O15" s="1465"/>
      <c r="V15" t="s">
        <v>6291</v>
      </c>
      <c r="W15" t="s">
        <v>921</v>
      </c>
      <c r="X15" t="str">
        <f t="shared" si="0"/>
        <v>销售费用-补充养老险、补充医疗保险</v>
      </c>
      <c r="AC15" t="s">
        <v>6245</v>
      </c>
      <c r="AI15" t="s">
        <v>1860</v>
      </c>
      <c r="AJ15">
        <v>13</v>
      </c>
      <c r="AK15" s="1316" t="s">
        <v>6184</v>
      </c>
      <c r="AL15" t="s">
        <v>6133</v>
      </c>
      <c r="AM15" t="s">
        <v>6133</v>
      </c>
      <c r="AX15">
        <f>$A$354</f>
        <v>0</v>
      </c>
      <c r="AY15">
        <f>$B$354</f>
        <v>0</v>
      </c>
      <c r="AZ15" t="str">
        <f>TEXT($E$354,"#,##0.00")</f>
        <v>0.00</v>
      </c>
      <c r="BA15" t="str">
        <f>$J$354&amp;""</f>
        <v/>
      </c>
    </row>
    <row r="16" spans="1:53" ht="14.25" customHeight="1">
      <c r="I16" s="1456"/>
      <c r="K16" s="1455"/>
      <c r="L16" s="3788"/>
      <c r="M16" s="3791"/>
      <c r="O16" s="1465"/>
      <c r="V16" t="s">
        <v>6292</v>
      </c>
      <c r="W16" t="s">
        <v>36</v>
      </c>
      <c r="X16" t="str">
        <f t="shared" si="0"/>
        <v>销售费用-财产损失</v>
      </c>
      <c r="AC16" t="s">
        <v>6246</v>
      </c>
      <c r="AD16" t="s">
        <v>6250</v>
      </c>
      <c r="AI16" t="s">
        <v>1861</v>
      </c>
      <c r="AJ16">
        <v>14</v>
      </c>
      <c r="AK16" s="1316" t="s">
        <v>6185</v>
      </c>
      <c r="AL16" t="s">
        <v>6134</v>
      </c>
      <c r="AM16" t="s">
        <v>6134</v>
      </c>
      <c r="AX16">
        <f>$A$355</f>
        <v>0</v>
      </c>
      <c r="AY16">
        <f>$B$355</f>
        <v>0</v>
      </c>
      <c r="AZ16" t="str">
        <f>TEXT($E$355,"#,##0.00")</f>
        <v>0.00</v>
      </c>
      <c r="BA16" t="str">
        <f>$J$355&amp;""</f>
        <v/>
      </c>
    </row>
    <row r="17" spans="9:53" ht="14.25" customHeight="1">
      <c r="I17" s="1456"/>
      <c r="K17" s="1455"/>
      <c r="L17" s="3788"/>
      <c r="M17" s="3792" t="s">
        <v>2397</v>
      </c>
      <c r="P17" s="1324"/>
      <c r="V17" t="s">
        <v>6293</v>
      </c>
      <c r="W17" t="s">
        <v>472</v>
      </c>
      <c r="X17" t="str">
        <f t="shared" si="0"/>
        <v>销售费用-折旧</v>
      </c>
      <c r="AC17" t="s">
        <v>6247</v>
      </c>
      <c r="AI17" t="s">
        <v>1860</v>
      </c>
      <c r="AJ17">
        <v>15</v>
      </c>
      <c r="AK17" s="1316" t="s">
        <v>6186</v>
      </c>
      <c r="AL17" t="s">
        <v>997</v>
      </c>
      <c r="AM17" t="s">
        <v>997</v>
      </c>
      <c r="AX17">
        <f>$A$356</f>
        <v>0</v>
      </c>
      <c r="AY17">
        <f>$B$356</f>
        <v>0</v>
      </c>
      <c r="AZ17" t="str">
        <f>TEXT($E$356,"#,##0.00")</f>
        <v>0.00</v>
      </c>
      <c r="BA17" t="str">
        <f>$J$356&amp;""</f>
        <v/>
      </c>
    </row>
    <row r="18" spans="9:53" ht="14.25" customHeight="1">
      <c r="I18" s="1456"/>
      <c r="K18" s="1455"/>
      <c r="L18" s="3788"/>
      <c r="M18" s="3793"/>
      <c r="V18" t="s">
        <v>6294</v>
      </c>
      <c r="W18" t="s">
        <v>473</v>
      </c>
      <c r="X18" t="str">
        <f t="shared" si="0"/>
        <v>销售费用-租金</v>
      </c>
      <c r="AC18" t="s">
        <v>6248</v>
      </c>
      <c r="AI18" t="s">
        <v>1860</v>
      </c>
      <c r="AJ18">
        <v>16</v>
      </c>
      <c r="AK18" s="1316" t="s">
        <v>6187</v>
      </c>
      <c r="AL18" t="s">
        <v>1000</v>
      </c>
      <c r="AM18" t="s">
        <v>1000</v>
      </c>
      <c r="AX18">
        <f>$A$357</f>
        <v>0</v>
      </c>
      <c r="AY18">
        <f>$B$357</f>
        <v>0</v>
      </c>
      <c r="AZ18" t="str">
        <f>TEXT($E$357,"#,##0.00")</f>
        <v>0.00</v>
      </c>
      <c r="BA18" t="str">
        <f>$J$357&amp;""</f>
        <v/>
      </c>
    </row>
    <row r="19" spans="9:53" ht="14.25" customHeight="1">
      <c r="I19" s="1456"/>
      <c r="K19" s="1457"/>
      <c r="L19" s="3788"/>
      <c r="M19" s="3793"/>
      <c r="V19" t="s">
        <v>6295</v>
      </c>
      <c r="W19" t="s">
        <v>6515</v>
      </c>
      <c r="X19" t="str">
        <f t="shared" si="0"/>
        <v>销售费用-辞退福利</v>
      </c>
      <c r="AC19" t="s">
        <v>6249</v>
      </c>
      <c r="AI19" t="s">
        <v>1860</v>
      </c>
      <c r="AJ19">
        <v>17</v>
      </c>
      <c r="AK19" s="1316" t="s">
        <v>6188</v>
      </c>
      <c r="AL19" t="s">
        <v>6135</v>
      </c>
      <c r="AM19" t="s">
        <v>6135</v>
      </c>
      <c r="AX19">
        <f>$A$358</f>
        <v>0</v>
      </c>
      <c r="AY19">
        <f>$B$358</f>
        <v>0</v>
      </c>
      <c r="AZ19" t="str">
        <f>TEXT($E$358,"#,##0.00")</f>
        <v>0.00</v>
      </c>
      <c r="BA19" t="str">
        <f>$J$358&amp;""</f>
        <v/>
      </c>
    </row>
    <row r="20" spans="9:53" ht="14.25" customHeight="1">
      <c r="I20" s="1456"/>
      <c r="K20" s="1457"/>
      <c r="L20" s="3788"/>
      <c r="M20" s="3790" t="s">
        <v>2404</v>
      </c>
      <c r="V20" t="s">
        <v>6296</v>
      </c>
      <c r="W20" t="s">
        <v>1631</v>
      </c>
      <c r="X20" t="str">
        <f t="shared" si="0"/>
        <v>销售费用-无形资产摊销</v>
      </c>
      <c r="AC20" t="s">
        <v>6251</v>
      </c>
      <c r="AI20" t="s">
        <v>1860</v>
      </c>
      <c r="AJ20">
        <v>18</v>
      </c>
      <c r="AK20" s="1316" t="s">
        <v>2834</v>
      </c>
      <c r="AL20" t="s">
        <v>6136</v>
      </c>
      <c r="AM20" t="s">
        <v>6136</v>
      </c>
      <c r="AX20">
        <f>$A$359</f>
        <v>0</v>
      </c>
      <c r="AY20">
        <f>$B$359</f>
        <v>0</v>
      </c>
      <c r="AZ20" t="str">
        <f>TEXT($E$359,"#,##0.00")</f>
        <v>0.00</v>
      </c>
      <c r="BA20" t="str">
        <f>$J$359&amp;""</f>
        <v/>
      </c>
    </row>
    <row r="21" spans="9:53" ht="14.25" customHeight="1">
      <c r="I21" s="1456"/>
      <c r="K21" s="1457"/>
      <c r="L21" s="3788"/>
      <c r="M21" s="3790"/>
      <c r="V21" t="s">
        <v>6297</v>
      </c>
      <c r="W21" t="s">
        <v>6516</v>
      </c>
      <c r="X21" t="str">
        <f t="shared" si="0"/>
        <v>销售费用-长期待摊费用摊销</v>
      </c>
      <c r="AC21" t="s">
        <v>6252</v>
      </c>
      <c r="AI21" t="s">
        <v>1860</v>
      </c>
      <c r="AJ21">
        <v>19</v>
      </c>
      <c r="AK21" s="1316" t="s">
        <v>2838</v>
      </c>
      <c r="AL21" t="s">
        <v>6137</v>
      </c>
      <c r="AM21" t="s">
        <v>6137</v>
      </c>
      <c r="AX21">
        <f>$A$360</f>
        <v>0</v>
      </c>
      <c r="AY21">
        <f>$B$360</f>
        <v>0</v>
      </c>
      <c r="AZ21" t="str">
        <f>TEXT($E$360,"#,##0.00")</f>
        <v>0.00</v>
      </c>
      <c r="BA21" t="str">
        <f>$J$360&amp;""</f>
        <v/>
      </c>
    </row>
    <row r="22" spans="9:53" ht="14.25" customHeight="1">
      <c r="I22" s="1456"/>
      <c r="K22" s="1457"/>
      <c r="L22" s="3788"/>
      <c r="M22" s="3790"/>
      <c r="V22" t="s">
        <v>6298</v>
      </c>
      <c r="W22" t="s">
        <v>1280</v>
      </c>
      <c r="X22" t="str">
        <f t="shared" si="0"/>
        <v>销售费用-印花税</v>
      </c>
      <c r="AC22" t="s">
        <v>6253</v>
      </c>
      <c r="AI22" t="s">
        <v>1860</v>
      </c>
      <c r="AJ22">
        <v>20</v>
      </c>
      <c r="AK22" s="1316" t="s">
        <v>6189</v>
      </c>
      <c r="AL22" t="s">
        <v>6138</v>
      </c>
      <c r="AM22" t="s">
        <v>6138</v>
      </c>
      <c r="AX22">
        <f>$A$361</f>
        <v>0</v>
      </c>
      <c r="AY22">
        <f>$B$361</f>
        <v>0</v>
      </c>
      <c r="AZ22" t="str">
        <f>TEXT($E$361,"#,##0.00")</f>
        <v>0.00</v>
      </c>
      <c r="BA22" t="str">
        <f>$J$361&amp;""</f>
        <v/>
      </c>
    </row>
    <row r="23" spans="9:53" ht="14.25" customHeight="1">
      <c r="I23" s="1456"/>
      <c r="K23" s="1457"/>
      <c r="N23" s="1475"/>
      <c r="O23" s="1475"/>
      <c r="P23" s="1475"/>
      <c r="Q23" s="1327"/>
      <c r="R23" s="1327"/>
      <c r="S23" s="1327"/>
      <c r="T23" s="1327"/>
      <c r="U23" s="1327"/>
      <c r="V23" t="s">
        <v>6299</v>
      </c>
      <c r="W23" t="s">
        <v>1278</v>
      </c>
      <c r="X23" t="str">
        <f t="shared" si="0"/>
        <v>销售费用-房产税</v>
      </c>
      <c r="AC23" t="s">
        <v>6254</v>
      </c>
      <c r="AI23" t="s">
        <v>1860</v>
      </c>
      <c r="AJ23" s="1327">
        <v>21</v>
      </c>
      <c r="AK23" s="1316" t="s">
        <v>2876</v>
      </c>
      <c r="AL23" t="s">
        <v>6139</v>
      </c>
      <c r="AM23" t="s">
        <v>6139</v>
      </c>
      <c r="AX23">
        <f>$A$362</f>
        <v>0</v>
      </c>
      <c r="AY23">
        <f>$B$362</f>
        <v>0</v>
      </c>
      <c r="AZ23" t="str">
        <f>TEXT($E$362,"#,##0.00")</f>
        <v>0.00</v>
      </c>
      <c r="BA23" t="str">
        <f>$J$362&amp;""</f>
        <v/>
      </c>
    </row>
    <row r="24" spans="9:53" ht="14.25" customHeight="1">
      <c r="I24" s="1456"/>
      <c r="K24" s="1457"/>
      <c r="N24" s="1475"/>
      <c r="O24" s="1475"/>
      <c r="P24" s="1475"/>
      <c r="Q24" s="1327"/>
      <c r="R24" s="1327"/>
      <c r="V24" t="s">
        <v>6519</v>
      </c>
      <c r="W24" t="s">
        <v>1279</v>
      </c>
      <c r="X24" t="str">
        <f>$X$2&amp;"-"&amp;W24</f>
        <v>销售费用-土地使用税</v>
      </c>
      <c r="AC24" t="s">
        <v>6255</v>
      </c>
      <c r="AI24" t="s">
        <v>1860</v>
      </c>
      <c r="AJ24" s="1327">
        <v>22</v>
      </c>
      <c r="AK24" s="1316" t="s">
        <v>6190</v>
      </c>
      <c r="AL24" t="s">
        <v>6140</v>
      </c>
      <c r="AM24" t="s">
        <v>6140</v>
      </c>
      <c r="AX24">
        <f>$A$363</f>
        <v>0</v>
      </c>
      <c r="AY24">
        <f>$B$363</f>
        <v>0</v>
      </c>
      <c r="AZ24" t="str">
        <f>TEXT($E$363,"#,##0.00")</f>
        <v>0.00</v>
      </c>
      <c r="BA24" t="str">
        <f>$J$363&amp;""</f>
        <v/>
      </c>
    </row>
    <row r="25" spans="9:53" ht="14.25" customHeight="1">
      <c r="I25" s="1456"/>
      <c r="K25" s="1457"/>
      <c r="N25" s="1475"/>
      <c r="O25" s="1475"/>
      <c r="P25" s="1475"/>
      <c r="Q25" s="1327"/>
      <c r="R25" s="1327"/>
      <c r="V25" t="s">
        <v>6520</v>
      </c>
      <c r="W25" t="s">
        <v>6517</v>
      </c>
      <c r="X25" t="str">
        <f t="shared" si="0"/>
        <v>销售费用-车船使用税</v>
      </c>
      <c r="AC25" t="s">
        <v>6256</v>
      </c>
      <c r="AE25" t="s">
        <v>1860</v>
      </c>
      <c r="AG25" t="s">
        <v>1860</v>
      </c>
      <c r="AJ25" s="1327">
        <v>23</v>
      </c>
      <c r="AK25" s="1316" t="s">
        <v>6191</v>
      </c>
      <c r="AL25" t="s">
        <v>6141</v>
      </c>
      <c r="AM25" t="s">
        <v>6141</v>
      </c>
      <c r="AX25">
        <f>$A$364</f>
        <v>0</v>
      </c>
      <c r="AY25">
        <f>$B$364</f>
        <v>0</v>
      </c>
      <c r="AZ25" t="str">
        <f>TEXT($E$364,"#,##0.00")</f>
        <v>0.00</v>
      </c>
      <c r="BA25" t="str">
        <f>$J$364&amp;""</f>
        <v/>
      </c>
    </row>
    <row r="26" spans="9:53" ht="14.25" customHeight="1">
      <c r="I26" s="1456"/>
      <c r="K26" s="1457"/>
      <c r="N26" s="1475"/>
      <c r="O26" s="1475"/>
      <c r="P26" s="1475"/>
      <c r="Q26" s="1327"/>
      <c r="R26" s="1327"/>
      <c r="V26" t="s">
        <v>6521</v>
      </c>
      <c r="W26" t="s">
        <v>6235</v>
      </c>
      <c r="X26" t="str">
        <f t="shared" si="0"/>
        <v>销售费用-劳务费</v>
      </c>
      <c r="AC26" t="s">
        <v>6257</v>
      </c>
      <c r="AE26" t="s">
        <v>1860</v>
      </c>
      <c r="AG26" t="s">
        <v>1860</v>
      </c>
      <c r="AJ26" s="1327">
        <v>24</v>
      </c>
      <c r="AK26" s="1316" t="s">
        <v>6192</v>
      </c>
      <c r="AL26" t="s">
        <v>1294</v>
      </c>
      <c r="AM26" t="s">
        <v>1294</v>
      </c>
      <c r="AX26">
        <f>$A$365</f>
        <v>0</v>
      </c>
      <c r="AY26">
        <f>$B$365</f>
        <v>0</v>
      </c>
      <c r="AZ26" t="str">
        <f>TEXT($E$365,"#,##0.00")</f>
        <v>0.00</v>
      </c>
      <c r="BA26" t="str">
        <f>$J$365&amp;""</f>
        <v/>
      </c>
    </row>
    <row r="27" spans="9:53" ht="14.25" customHeight="1">
      <c r="I27" s="1456"/>
      <c r="K27" s="1457"/>
      <c r="N27" s="1475"/>
      <c r="O27" s="1475"/>
      <c r="P27" s="1475"/>
      <c r="Q27" s="1327"/>
      <c r="R27" s="1327"/>
      <c r="V27" t="s">
        <v>6522</v>
      </c>
      <c r="W27" t="s">
        <v>6236</v>
      </c>
      <c r="X27" t="str">
        <f t="shared" si="0"/>
        <v>销售费用-咨询顾问费</v>
      </c>
      <c r="AC27" t="s">
        <v>6258</v>
      </c>
      <c r="AE27" t="s">
        <v>1860</v>
      </c>
      <c r="AG27" t="s">
        <v>1860</v>
      </c>
      <c r="AJ27" s="1327">
        <v>25</v>
      </c>
      <c r="AK27" s="1316" t="s">
        <v>6193</v>
      </c>
      <c r="AL27" t="s">
        <v>6142</v>
      </c>
      <c r="AM27" t="s">
        <v>6142</v>
      </c>
      <c r="AX27">
        <f>$A$335</f>
        <v>0</v>
      </c>
      <c r="AY27">
        <f>$B$335</f>
        <v>0</v>
      </c>
      <c r="AZ27" t="str">
        <f>TEXT($E$335,"#,##0.00")</f>
        <v>0.00</v>
      </c>
      <c r="BA27" t="str">
        <f>$J$335&amp;""</f>
        <v/>
      </c>
    </row>
    <row r="28" spans="9:53" ht="14.25" customHeight="1">
      <c r="I28" s="1456"/>
      <c r="K28" s="1457"/>
      <c r="M28" s="1475"/>
      <c r="N28" s="1475"/>
      <c r="O28" s="1475"/>
      <c r="P28" s="1475"/>
      <c r="Q28" s="1327"/>
      <c r="R28" s="1327"/>
      <c r="V28" t="s">
        <v>6523</v>
      </c>
      <c r="W28" t="s">
        <v>6239</v>
      </c>
      <c r="X28" t="str">
        <f t="shared" si="0"/>
        <v>销售费用-佣金和手续费</v>
      </c>
      <c r="AC28" t="s">
        <v>1296</v>
      </c>
      <c r="AJ28" s="1327">
        <v>26</v>
      </c>
      <c r="AK28" s="1316" t="s">
        <v>6194</v>
      </c>
      <c r="AL28" t="s">
        <v>6143</v>
      </c>
      <c r="AM28" t="s">
        <v>6143</v>
      </c>
      <c r="AX28">
        <f>$A$336</f>
        <v>0</v>
      </c>
      <c r="AY28">
        <f>$B$336</f>
        <v>0</v>
      </c>
      <c r="AZ28" t="str">
        <f>TEXT($E$336,"#,##0.00")</f>
        <v>0.00</v>
      </c>
      <c r="BA28" t="str">
        <f>$J$336&amp;""</f>
        <v/>
      </c>
    </row>
    <row r="29" spans="9:53" ht="14.25" customHeight="1">
      <c r="M29" s="1475"/>
      <c r="N29" s="1475"/>
      <c r="O29" s="1475"/>
      <c r="P29" s="1475"/>
      <c r="Q29" s="1327"/>
      <c r="R29" s="1327"/>
      <c r="V29" t="s">
        <v>6524</v>
      </c>
      <c r="W29" t="s">
        <v>6243</v>
      </c>
      <c r="X29" t="str">
        <f t="shared" si="0"/>
        <v>销售费用-办公费</v>
      </c>
      <c r="AJ29" s="1327">
        <v>27</v>
      </c>
      <c r="AK29" s="1316" t="s">
        <v>6195</v>
      </c>
      <c r="AL29" t="s">
        <v>6144</v>
      </c>
      <c r="AM29" t="s">
        <v>6144</v>
      </c>
      <c r="AX29">
        <f>$A$337</f>
        <v>0</v>
      </c>
      <c r="AY29">
        <f>$B$337</f>
        <v>0</v>
      </c>
      <c r="AZ29" t="str">
        <f>TEXT($E$337,"#,##0.00")</f>
        <v>0.00</v>
      </c>
      <c r="BA29" t="str">
        <f>$J$337&amp;""</f>
        <v/>
      </c>
    </row>
    <row r="30" spans="9:53" ht="14.25" customHeight="1">
      <c r="M30" s="1475"/>
      <c r="N30" s="1475"/>
      <c r="O30" s="1475"/>
      <c r="P30" s="1475"/>
      <c r="Q30" s="1327"/>
      <c r="R30" s="1327"/>
      <c r="V30" t="s">
        <v>6525</v>
      </c>
      <c r="W30" t="s">
        <v>6244</v>
      </c>
      <c r="X30" t="str">
        <f t="shared" si="0"/>
        <v>销售费用-董事会费</v>
      </c>
      <c r="AJ30" s="1327">
        <v>28</v>
      </c>
      <c r="AK30" s="1316" t="s">
        <v>6196</v>
      </c>
      <c r="AL30" t="s">
        <v>6145</v>
      </c>
      <c r="AM30" t="s">
        <v>6145</v>
      </c>
      <c r="AX30">
        <f>$A$338</f>
        <v>0</v>
      </c>
      <c r="AY30">
        <f>$B$338</f>
        <v>0</v>
      </c>
      <c r="AZ30" t="str">
        <f>TEXT($E$338,"#,##0.00")</f>
        <v>0.00</v>
      </c>
      <c r="BA30" t="str">
        <f>$J$338&amp;""</f>
        <v/>
      </c>
    </row>
    <row r="31" spans="9:53" ht="14.25" customHeight="1">
      <c r="M31" s="1475"/>
      <c r="N31" s="1475"/>
      <c r="O31" s="1475"/>
      <c r="P31" s="1475"/>
      <c r="Q31" s="1327"/>
      <c r="R31" s="1327"/>
      <c r="V31" t="s">
        <v>6526</v>
      </c>
      <c r="W31" t="s">
        <v>6246</v>
      </c>
      <c r="X31" t="str">
        <f t="shared" si="0"/>
        <v>销售费用-诉讼费</v>
      </c>
      <c r="AJ31" s="1327">
        <v>29</v>
      </c>
      <c r="AK31" s="1316" t="s">
        <v>6197</v>
      </c>
      <c r="AL31" t="s">
        <v>6146</v>
      </c>
      <c r="AM31" t="s">
        <v>6146</v>
      </c>
      <c r="AX31">
        <f>$A$339</f>
        <v>0</v>
      </c>
      <c r="AY31">
        <f>$B$339</f>
        <v>0</v>
      </c>
      <c r="AZ31" t="str">
        <f>TEXT($E$339,"#,##0.00")</f>
        <v>0.00</v>
      </c>
      <c r="BA31" t="str">
        <f>$J$339&amp;""</f>
        <v/>
      </c>
    </row>
    <row r="32" spans="9:53" ht="14.25" customHeight="1">
      <c r="M32" s="1475"/>
      <c r="N32" s="1475"/>
      <c r="O32" s="1475"/>
      <c r="P32" s="1475"/>
      <c r="Q32" s="1327"/>
      <c r="R32" s="1327"/>
      <c r="V32" t="s">
        <v>6527</v>
      </c>
      <c r="W32" t="s">
        <v>6247</v>
      </c>
      <c r="X32" t="str">
        <f t="shared" si="0"/>
        <v>销售费用-差旅费</v>
      </c>
      <c r="AJ32" s="1327">
        <v>30</v>
      </c>
      <c r="AK32" s="1316" t="s">
        <v>6198</v>
      </c>
      <c r="AL32" t="s">
        <v>6147</v>
      </c>
      <c r="AM32" t="s">
        <v>6147</v>
      </c>
      <c r="AX32">
        <f>$A$340</f>
        <v>0</v>
      </c>
      <c r="AY32">
        <f>$B$340</f>
        <v>0</v>
      </c>
      <c r="AZ32" t="str">
        <f>TEXT($E$340,"#,##0.00")</f>
        <v>0.00</v>
      </c>
      <c r="BA32" t="str">
        <f>$J$340&amp;""</f>
        <v/>
      </c>
    </row>
    <row r="33" spans="13:53" ht="14.25" customHeight="1">
      <c r="M33" s="1475"/>
      <c r="N33" s="1475"/>
      <c r="O33" s="1475"/>
      <c r="P33" s="1475"/>
      <c r="Q33" s="1327"/>
      <c r="R33" s="1327"/>
      <c r="V33" t="s">
        <v>6528</v>
      </c>
      <c r="W33" t="s">
        <v>6248</v>
      </c>
      <c r="X33" t="str">
        <f t="shared" si="0"/>
        <v>销售费用-保险费</v>
      </c>
      <c r="AJ33" s="1327">
        <v>31</v>
      </c>
      <c r="AK33" s="1316" t="s">
        <v>6199</v>
      </c>
      <c r="AL33" t="s">
        <v>6148</v>
      </c>
      <c r="AM33" t="s">
        <v>6148</v>
      </c>
      <c r="AX33">
        <f>$A$366</f>
        <v>0</v>
      </c>
      <c r="AY33">
        <f>$B$366</f>
        <v>0</v>
      </c>
      <c r="AZ33" t="str">
        <f>TEXT($E$366,"#,##0.00")</f>
        <v>0.00</v>
      </c>
      <c r="BA33" t="str">
        <f>$J$366&amp;""</f>
        <v/>
      </c>
    </row>
    <row r="34" spans="13:53" ht="14.25" customHeight="1">
      <c r="M34" s="1475"/>
      <c r="N34" s="1475"/>
      <c r="O34" s="1475"/>
      <c r="P34" s="1475"/>
      <c r="Q34" s="1327"/>
      <c r="R34" s="1327"/>
      <c r="V34" t="s">
        <v>6529</v>
      </c>
      <c r="W34" t="s">
        <v>6518</v>
      </c>
      <c r="X34" t="str">
        <f t="shared" si="0"/>
        <v>销售费用-运输、仓储费</v>
      </c>
      <c r="AJ34" s="1327">
        <v>32</v>
      </c>
      <c r="AK34" s="1316" t="s">
        <v>6200</v>
      </c>
      <c r="AL34" t="s">
        <v>6149</v>
      </c>
      <c r="AM34" t="s">
        <v>6149</v>
      </c>
      <c r="AX34">
        <f>$A$367</f>
        <v>0</v>
      </c>
      <c r="AY34">
        <f>$B$367</f>
        <v>0</v>
      </c>
      <c r="AZ34" t="str">
        <f>TEXT($E$367,"#,##0.00")</f>
        <v>0.00</v>
      </c>
      <c r="BA34" t="str">
        <f>$J$367&amp;""</f>
        <v/>
      </c>
    </row>
    <row r="35" spans="13:53" ht="14.25" customHeight="1">
      <c r="M35" s="1475"/>
      <c r="N35" s="1475"/>
      <c r="O35" s="1475"/>
      <c r="P35" s="1475"/>
      <c r="Q35" s="1327"/>
      <c r="R35" s="1327"/>
      <c r="V35" t="s">
        <v>6530</v>
      </c>
      <c r="W35" t="s">
        <v>6251</v>
      </c>
      <c r="X35" t="str">
        <f t="shared" si="0"/>
        <v>销售费用-修理费</v>
      </c>
      <c r="AK35" s="1316" t="s">
        <v>6201</v>
      </c>
      <c r="AL35" s="1327" t="s">
        <v>6117</v>
      </c>
      <c r="AX35">
        <f>$A$368</f>
        <v>0</v>
      </c>
      <c r="AY35">
        <f>$B$368</f>
        <v>0</v>
      </c>
      <c r="AZ35" t="str">
        <f>TEXT($E$368,"#,##0.00")</f>
        <v>0.00</v>
      </c>
      <c r="BA35" t="str">
        <f>$J$368&amp;""</f>
        <v/>
      </c>
    </row>
    <row r="36" spans="13:53" ht="14.25" customHeight="1">
      <c r="M36" s="1475"/>
      <c r="N36" s="1475"/>
      <c r="O36" s="1475"/>
      <c r="P36" s="1475"/>
      <c r="Q36" s="1327"/>
      <c r="R36" s="1327"/>
      <c r="V36" t="s">
        <v>6531</v>
      </c>
      <c r="W36" t="s">
        <v>6252</v>
      </c>
      <c r="X36" t="str">
        <f t="shared" si="0"/>
        <v>销售费用-包装费</v>
      </c>
      <c r="AJ36" s="1327">
        <v>33</v>
      </c>
      <c r="AK36" s="1316" t="s">
        <v>6202</v>
      </c>
      <c r="AL36" t="s">
        <v>6150</v>
      </c>
      <c r="AM36" t="s">
        <v>6150</v>
      </c>
      <c r="AX36">
        <f>$A$369</f>
        <v>0</v>
      </c>
      <c r="AY36">
        <f>$B$369</f>
        <v>0</v>
      </c>
      <c r="AZ36" t="str">
        <f>TEXT($E$369,"#,##0.00")</f>
        <v>0.00</v>
      </c>
      <c r="BA36" t="str">
        <f>$J$369&amp;""</f>
        <v/>
      </c>
    </row>
    <row r="37" spans="13:53" ht="14.25" customHeight="1">
      <c r="M37" s="1475"/>
      <c r="N37" s="1475"/>
      <c r="O37" s="1475"/>
      <c r="P37" s="1475"/>
      <c r="Q37" s="1327"/>
      <c r="R37" s="1327"/>
      <c r="V37" t="s">
        <v>6532</v>
      </c>
      <c r="W37" t="s">
        <v>6253</v>
      </c>
      <c r="X37" t="str">
        <f t="shared" si="0"/>
        <v>销售费用-技术转让费</v>
      </c>
      <c r="AJ37" s="1327">
        <v>34</v>
      </c>
      <c r="AK37" s="1316" t="s">
        <v>6203</v>
      </c>
      <c r="AL37" t="s">
        <v>6151</v>
      </c>
      <c r="AM37" t="s">
        <v>6151</v>
      </c>
      <c r="AX37">
        <f>$A$370</f>
        <v>0</v>
      </c>
      <c r="AY37">
        <f>$B$370</f>
        <v>0</v>
      </c>
      <c r="AZ37" t="str">
        <f>TEXT($E$370,"#,##0.00")</f>
        <v>0.00</v>
      </c>
      <c r="BA37" t="str">
        <f>$J$370&amp;""</f>
        <v/>
      </c>
    </row>
    <row r="38" spans="13:53" ht="14.25" customHeight="1">
      <c r="V38" t="s">
        <v>6533</v>
      </c>
      <c r="W38" t="s">
        <v>6254</v>
      </c>
      <c r="X38" t="str">
        <f t="shared" si="0"/>
        <v>销售费用-研究费用</v>
      </c>
      <c r="AJ38">
        <v>35</v>
      </c>
      <c r="AK38" s="1316" t="s">
        <v>6204</v>
      </c>
      <c r="AL38" t="s">
        <v>6152</v>
      </c>
      <c r="AM38" t="s">
        <v>6152</v>
      </c>
      <c r="AX38">
        <f>$A$371</f>
        <v>0</v>
      </c>
      <c r="AY38">
        <f>$B$371</f>
        <v>0</v>
      </c>
      <c r="AZ38" t="str">
        <f>TEXT($E$371,"#,##0.00")</f>
        <v>0.00</v>
      </c>
      <c r="BA38" t="str">
        <f>$J$371&amp;""</f>
        <v/>
      </c>
    </row>
    <row r="39" spans="13:53" ht="14.25" customHeight="1">
      <c r="V39" t="s">
        <v>6534</v>
      </c>
      <c r="W39" t="s">
        <v>1296</v>
      </c>
      <c r="X39" t="str">
        <f t="shared" si="0"/>
        <v>销售费用-其他</v>
      </c>
      <c r="AJ39">
        <v>36</v>
      </c>
      <c r="AK39" s="1316" t="s">
        <v>6205</v>
      </c>
      <c r="AL39" t="s">
        <v>6153</v>
      </c>
      <c r="AM39" t="s">
        <v>6153</v>
      </c>
    </row>
    <row r="40" spans="13:53" ht="14.25" customHeight="1">
      <c r="V40" t="s">
        <v>6231</v>
      </c>
      <c r="W40" t="s">
        <v>1293</v>
      </c>
      <c r="X40" t="s">
        <v>1293</v>
      </c>
      <c r="AJ40">
        <v>37</v>
      </c>
      <c r="AK40" s="1316" t="s">
        <v>3053</v>
      </c>
      <c r="AL40" t="s">
        <v>6154</v>
      </c>
      <c r="AM40" t="s">
        <v>6154</v>
      </c>
    </row>
    <row r="41" spans="13:53" ht="14.25" customHeight="1">
      <c r="V41" t="s">
        <v>6321</v>
      </c>
      <c r="W41" t="s">
        <v>908</v>
      </c>
      <c r="X41" t="str">
        <f>$X$40&amp;"-"&amp;W41</f>
        <v>管理费用-工资薪金支出</v>
      </c>
      <c r="AJ41">
        <v>38</v>
      </c>
      <c r="AK41" s="1316" t="s">
        <v>3057</v>
      </c>
      <c r="AL41" t="s">
        <v>6155</v>
      </c>
      <c r="AM41" t="s">
        <v>6155</v>
      </c>
    </row>
    <row r="42" spans="13:53" ht="14.25" customHeight="1">
      <c r="V42" t="s">
        <v>6323</v>
      </c>
      <c r="W42" t="s">
        <v>909</v>
      </c>
      <c r="X42" t="str">
        <f t="shared" ref="X42:X77" si="1">$X$40&amp;"-"&amp;W42</f>
        <v>管理费用-职工福利费支出</v>
      </c>
      <c r="AJ42">
        <v>39</v>
      </c>
      <c r="AK42" s="1316" t="s">
        <v>3063</v>
      </c>
      <c r="AL42" t="s">
        <v>6156</v>
      </c>
      <c r="AM42" t="s">
        <v>6156</v>
      </c>
    </row>
    <row r="43" spans="13:53" ht="14.25" customHeight="1">
      <c r="V43" t="s">
        <v>6325</v>
      </c>
      <c r="W43" t="s">
        <v>910</v>
      </c>
      <c r="X43" t="str">
        <f t="shared" si="1"/>
        <v>管理费用-职工教育经费支出</v>
      </c>
      <c r="AJ43">
        <v>40</v>
      </c>
      <c r="AK43" s="1316" t="s">
        <v>6206</v>
      </c>
      <c r="AL43" t="s">
        <v>6157</v>
      </c>
      <c r="AM43" t="s">
        <v>6157</v>
      </c>
    </row>
    <row r="44" spans="13:53" ht="14.25" customHeight="1">
      <c r="V44" t="s">
        <v>6327</v>
      </c>
      <c r="W44" t="s">
        <v>911</v>
      </c>
      <c r="X44" t="str">
        <f t="shared" si="1"/>
        <v>管理费用-工会经费支出</v>
      </c>
      <c r="AJ44">
        <v>41</v>
      </c>
      <c r="AK44" s="1316" t="s">
        <v>6207</v>
      </c>
      <c r="AL44" t="s">
        <v>6158</v>
      </c>
      <c r="AM44" t="s">
        <v>6158</v>
      </c>
    </row>
    <row r="45" spans="13:53" ht="14.25" customHeight="1">
      <c r="V45" t="s">
        <v>6329</v>
      </c>
      <c r="W45" t="s">
        <v>912</v>
      </c>
      <c r="X45" t="str">
        <f t="shared" si="1"/>
        <v>管理费用-业务招待费支出</v>
      </c>
      <c r="AJ45">
        <v>42</v>
      </c>
      <c r="AK45" s="1316" t="s">
        <v>6208</v>
      </c>
      <c r="AL45" t="s">
        <v>6159</v>
      </c>
      <c r="AM45" t="s">
        <v>6159</v>
      </c>
    </row>
    <row r="46" spans="13:53" ht="14.25" customHeight="1">
      <c r="V46" t="s">
        <v>6331</v>
      </c>
      <c r="W46" t="s">
        <v>913</v>
      </c>
      <c r="X46" t="str">
        <f t="shared" si="1"/>
        <v>管理费用-广告费和业务宣传费支出</v>
      </c>
      <c r="AJ46">
        <v>43</v>
      </c>
      <c r="AK46" s="1316" t="s">
        <v>6209</v>
      </c>
      <c r="AL46" t="s">
        <v>6160</v>
      </c>
      <c r="AM46" t="s">
        <v>6160</v>
      </c>
    </row>
    <row r="47" spans="13:53" ht="14.25" customHeight="1">
      <c r="V47" t="s">
        <v>6333</v>
      </c>
      <c r="W47" t="s">
        <v>914</v>
      </c>
      <c r="X47" t="str">
        <f t="shared" si="1"/>
        <v>管理费用-捐赠支出</v>
      </c>
      <c r="AJ47">
        <v>44</v>
      </c>
      <c r="AK47" s="1316" t="s">
        <v>6210</v>
      </c>
      <c r="AL47" t="s">
        <v>6161</v>
      </c>
      <c r="AM47" t="s">
        <v>6161</v>
      </c>
    </row>
    <row r="48" spans="13:53" ht="14.25" customHeight="1">
      <c r="V48" t="s">
        <v>6335</v>
      </c>
      <c r="W48" t="s">
        <v>1481</v>
      </c>
      <c r="X48" t="str">
        <f t="shared" si="1"/>
        <v>管理费用-住房公积金</v>
      </c>
      <c r="AK48" s="1316" t="s">
        <v>6211</v>
      </c>
      <c r="AL48" t="s">
        <v>6118</v>
      </c>
    </row>
    <row r="49" spans="22:39" ht="14.25" customHeight="1">
      <c r="V49" t="s">
        <v>6337</v>
      </c>
      <c r="W49" t="s">
        <v>915</v>
      </c>
      <c r="X49" t="str">
        <f t="shared" si="1"/>
        <v>管理费用-罚金、罚款和被没收财物的损失</v>
      </c>
      <c r="AJ49">
        <v>45</v>
      </c>
      <c r="AK49" s="1316" t="s">
        <v>6212</v>
      </c>
      <c r="AL49" t="s">
        <v>440</v>
      </c>
      <c r="AM49" t="s">
        <v>440</v>
      </c>
    </row>
    <row r="50" spans="22:39" ht="14.25" customHeight="1">
      <c r="V50" t="s">
        <v>6339</v>
      </c>
      <c r="W50" t="s">
        <v>572</v>
      </c>
      <c r="X50" t="str">
        <f t="shared" si="1"/>
        <v>管理费用-税收滞纳金</v>
      </c>
      <c r="AJ50">
        <v>46</v>
      </c>
      <c r="AK50" s="1316" t="s">
        <v>6213</v>
      </c>
      <c r="AL50" t="s">
        <v>844</v>
      </c>
      <c r="AM50" t="s">
        <v>844</v>
      </c>
    </row>
    <row r="51" spans="22:39" ht="14.25" customHeight="1">
      <c r="V51" t="s">
        <v>6341</v>
      </c>
      <c r="W51" t="s">
        <v>918</v>
      </c>
      <c r="X51" t="str">
        <f t="shared" si="1"/>
        <v>管理费用-赞助支出</v>
      </c>
      <c r="AJ51">
        <v>47</v>
      </c>
      <c r="AK51" s="1316" t="s">
        <v>6214</v>
      </c>
      <c r="AL51" t="s">
        <v>1133</v>
      </c>
      <c r="AM51" t="s">
        <v>1133</v>
      </c>
    </row>
    <row r="52" spans="22:39" ht="14.25" customHeight="1">
      <c r="V52" t="s">
        <v>6343</v>
      </c>
      <c r="W52" t="s">
        <v>920</v>
      </c>
      <c r="X52" t="str">
        <f t="shared" si="1"/>
        <v>管理费用-各类基本社会保障性缴款</v>
      </c>
      <c r="AJ52">
        <v>48</v>
      </c>
      <c r="AK52" s="1316" t="s">
        <v>6215</v>
      </c>
      <c r="AL52" t="s">
        <v>6162</v>
      </c>
      <c r="AM52" t="s">
        <v>6162</v>
      </c>
    </row>
    <row r="53" spans="22:39" ht="14.25" customHeight="1">
      <c r="V53" t="s">
        <v>6345</v>
      </c>
      <c r="W53" t="s">
        <v>921</v>
      </c>
      <c r="X53" t="str">
        <f t="shared" si="1"/>
        <v>管理费用-补充养老险、补充医疗保险</v>
      </c>
      <c r="AJ53">
        <v>49</v>
      </c>
      <c r="AK53" s="1316" t="s">
        <v>6216</v>
      </c>
      <c r="AL53" t="s">
        <v>6163</v>
      </c>
      <c r="AM53" t="s">
        <v>6163</v>
      </c>
    </row>
    <row r="54" spans="22:39" ht="14.25" customHeight="1">
      <c r="V54" t="s">
        <v>6347</v>
      </c>
      <c r="W54" t="s">
        <v>36</v>
      </c>
      <c r="X54" t="str">
        <f t="shared" si="1"/>
        <v>管理费用-财产损失</v>
      </c>
      <c r="AK54" s="1316" t="s">
        <v>6217</v>
      </c>
      <c r="AL54" t="s">
        <v>6119</v>
      </c>
    </row>
    <row r="55" spans="22:39" ht="14.25" customHeight="1">
      <c r="V55" t="s">
        <v>6349</v>
      </c>
      <c r="W55" t="s">
        <v>472</v>
      </c>
      <c r="X55" t="str">
        <f t="shared" si="1"/>
        <v>管理费用-折旧</v>
      </c>
      <c r="AJ55">
        <v>50</v>
      </c>
      <c r="AK55" s="1316" t="s">
        <v>6218</v>
      </c>
      <c r="AL55" t="s">
        <v>1288</v>
      </c>
      <c r="AM55" t="s">
        <v>1288</v>
      </c>
    </row>
    <row r="56" spans="22:39" ht="14.25" customHeight="1">
      <c r="V56" t="s">
        <v>6351</v>
      </c>
      <c r="W56" t="s">
        <v>473</v>
      </c>
      <c r="X56" t="str">
        <f t="shared" si="1"/>
        <v>管理费用-租金</v>
      </c>
      <c r="AJ56">
        <v>51</v>
      </c>
      <c r="AK56" s="1316" t="s">
        <v>6219</v>
      </c>
      <c r="AL56" t="s">
        <v>1290</v>
      </c>
      <c r="AM56" t="s">
        <v>1290</v>
      </c>
    </row>
    <row r="57" spans="22:39" ht="14.25" customHeight="1">
      <c r="V57" t="s">
        <v>6353</v>
      </c>
      <c r="W57" t="s">
        <v>6515</v>
      </c>
      <c r="X57" t="str">
        <f t="shared" si="1"/>
        <v>管理费用-辞退福利</v>
      </c>
      <c r="AJ57">
        <v>52</v>
      </c>
      <c r="AK57" s="1316" t="s">
        <v>6220</v>
      </c>
      <c r="AL57" t="s">
        <v>6164</v>
      </c>
      <c r="AM57" t="s">
        <v>6164</v>
      </c>
    </row>
    <row r="58" spans="22:39" ht="14.25" customHeight="1">
      <c r="V58" t="s">
        <v>6355</v>
      </c>
      <c r="W58" t="s">
        <v>1631</v>
      </c>
      <c r="X58" t="str">
        <f t="shared" si="1"/>
        <v>管理费用-无形资产摊销</v>
      </c>
      <c r="AJ58">
        <v>53</v>
      </c>
      <c r="AK58" s="1316" t="s">
        <v>6221</v>
      </c>
      <c r="AL58" t="s">
        <v>6165</v>
      </c>
      <c r="AM58" t="s">
        <v>6165</v>
      </c>
    </row>
    <row r="59" spans="22:39" ht="14.25" customHeight="1">
      <c r="V59" t="s">
        <v>6357</v>
      </c>
      <c r="W59" t="s">
        <v>6516</v>
      </c>
      <c r="X59" t="str">
        <f t="shared" si="1"/>
        <v>管理费用-长期待摊费用摊销</v>
      </c>
      <c r="AJ59">
        <v>54</v>
      </c>
      <c r="AK59" s="1316" t="s">
        <v>6222</v>
      </c>
      <c r="AL59" t="s">
        <v>6166</v>
      </c>
      <c r="AM59" t="s">
        <v>6166</v>
      </c>
    </row>
    <row r="60" spans="22:39" ht="14.25" customHeight="1">
      <c r="V60" t="s">
        <v>6359</v>
      </c>
      <c r="W60" t="s">
        <v>1280</v>
      </c>
      <c r="X60" t="str">
        <f t="shared" si="1"/>
        <v>管理费用-印花税</v>
      </c>
      <c r="AK60" s="1316" t="s">
        <v>6223</v>
      </c>
      <c r="AL60" t="s">
        <v>6120</v>
      </c>
    </row>
    <row r="61" spans="22:39" ht="14.25" customHeight="1">
      <c r="V61" t="s">
        <v>6361</v>
      </c>
      <c r="W61" t="s">
        <v>1278</v>
      </c>
      <c r="X61" t="str">
        <f t="shared" si="1"/>
        <v>管理费用-房产税</v>
      </c>
      <c r="AJ61">
        <v>55</v>
      </c>
      <c r="AK61" s="1316" t="s">
        <v>6224</v>
      </c>
      <c r="AL61" t="s">
        <v>245</v>
      </c>
      <c r="AM61" t="s">
        <v>245</v>
      </c>
    </row>
    <row r="62" spans="22:39" ht="14.25" customHeight="1">
      <c r="V62" t="s">
        <v>6535</v>
      </c>
      <c r="W62" t="s">
        <v>1279</v>
      </c>
      <c r="X62" t="str">
        <f>$X$40&amp;"-"&amp;W62</f>
        <v>管理费用-土地使用税</v>
      </c>
      <c r="AJ62">
        <v>56</v>
      </c>
      <c r="AK62" s="1316" t="s">
        <v>6225</v>
      </c>
      <c r="AL62" t="s">
        <v>246</v>
      </c>
      <c r="AM62" t="s">
        <v>246</v>
      </c>
    </row>
    <row r="63" spans="22:39" ht="14.25" customHeight="1">
      <c r="V63" t="s">
        <v>6536</v>
      </c>
      <c r="W63" t="s">
        <v>6517</v>
      </c>
      <c r="X63" t="str">
        <f t="shared" si="1"/>
        <v>管理费用-车船使用税</v>
      </c>
      <c r="AJ63">
        <v>57</v>
      </c>
      <c r="AK63" s="1316" t="s">
        <v>3945</v>
      </c>
      <c r="AL63" t="s">
        <v>6167</v>
      </c>
      <c r="AM63" t="s">
        <v>6167</v>
      </c>
    </row>
    <row r="64" spans="22:39" ht="14.25" customHeight="1">
      <c r="V64" t="s">
        <v>6537</v>
      </c>
      <c r="W64" t="s">
        <v>6235</v>
      </c>
      <c r="X64" t="str">
        <f t="shared" si="1"/>
        <v>管理费用-劳务费</v>
      </c>
      <c r="AJ64">
        <v>58</v>
      </c>
      <c r="AK64" s="1316" t="s">
        <v>6226</v>
      </c>
      <c r="AL64" t="s">
        <v>6168</v>
      </c>
      <c r="AM64" t="s">
        <v>6168</v>
      </c>
    </row>
    <row r="65" spans="21:39" ht="14.25" customHeight="1">
      <c r="V65" t="s">
        <v>6538</v>
      </c>
      <c r="W65" t="s">
        <v>6236</v>
      </c>
      <c r="X65" t="str">
        <f t="shared" si="1"/>
        <v>管理费用-咨询顾问费</v>
      </c>
      <c r="AJ65">
        <v>59</v>
      </c>
      <c r="AK65" s="1316" t="s">
        <v>6227</v>
      </c>
      <c r="AL65" t="s">
        <v>1231</v>
      </c>
      <c r="AM65" t="s">
        <v>1231</v>
      </c>
    </row>
    <row r="66" spans="21:39" ht="14.25" customHeight="1">
      <c r="V66" t="s">
        <v>6539</v>
      </c>
      <c r="W66" t="s">
        <v>6239</v>
      </c>
      <c r="X66" t="str">
        <f t="shared" si="1"/>
        <v>管理费用-佣金和手续费</v>
      </c>
      <c r="AJ66">
        <v>60</v>
      </c>
      <c r="AK66" s="1316" t="s">
        <v>6228</v>
      </c>
      <c r="AL66" t="s">
        <v>6169</v>
      </c>
      <c r="AM66" t="s">
        <v>6169</v>
      </c>
    </row>
    <row r="67" spans="21:39" ht="14.25" customHeight="1">
      <c r="V67" t="s">
        <v>6540</v>
      </c>
      <c r="W67" t="s">
        <v>6243</v>
      </c>
      <c r="X67" t="str">
        <f t="shared" si="1"/>
        <v>管理费用-办公费</v>
      </c>
      <c r="AJ67">
        <v>61</v>
      </c>
      <c r="AK67" s="1316" t="s">
        <v>6229</v>
      </c>
      <c r="AL67" t="s">
        <v>6170</v>
      </c>
      <c r="AM67" t="s">
        <v>6170</v>
      </c>
    </row>
    <row r="68" spans="21:39" ht="14.25" customHeight="1">
      <c r="U68" s="1702"/>
      <c r="V68" t="s">
        <v>6541</v>
      </c>
      <c r="W68" t="s">
        <v>6244</v>
      </c>
      <c r="X68" t="str">
        <f t="shared" si="1"/>
        <v>管理费用-董事会费</v>
      </c>
      <c r="AJ68" s="1702" t="s">
        <v>6259</v>
      </c>
      <c r="AK68" s="1324" t="s">
        <v>6366</v>
      </c>
      <c r="AL68" t="s">
        <v>224</v>
      </c>
      <c r="AM68" s="1324" t="s">
        <v>6367</v>
      </c>
    </row>
    <row r="69" spans="21:39" ht="14.25" customHeight="1">
      <c r="U69" s="1702"/>
      <c r="V69" t="s">
        <v>6542</v>
      </c>
      <c r="W69" t="s">
        <v>6246</v>
      </c>
      <c r="X69" t="str">
        <f t="shared" si="1"/>
        <v>管理费用-诉讼费</v>
      </c>
      <c r="AJ69" s="1702" t="s">
        <v>1869</v>
      </c>
      <c r="AK69" s="1324" t="s">
        <v>6368</v>
      </c>
      <c r="AL69" t="s">
        <v>1271</v>
      </c>
      <c r="AM69" s="1324" t="s">
        <v>6369</v>
      </c>
    </row>
    <row r="70" spans="21:39" ht="14.25" customHeight="1">
      <c r="U70" s="1702"/>
      <c r="V70" t="s">
        <v>6543</v>
      </c>
      <c r="W70" t="s">
        <v>6247</v>
      </c>
      <c r="X70" t="str">
        <f t="shared" si="1"/>
        <v>管理费用-差旅费</v>
      </c>
      <c r="AJ70" s="1702" t="s">
        <v>6260</v>
      </c>
      <c r="AK70" s="1324" t="s">
        <v>6370</v>
      </c>
      <c r="AL70" t="s">
        <v>711</v>
      </c>
      <c r="AM70" s="1324" t="s">
        <v>6371</v>
      </c>
    </row>
    <row r="71" spans="21:39" ht="14.25" customHeight="1">
      <c r="U71" s="1702"/>
      <c r="V71" t="s">
        <v>6544</v>
      </c>
      <c r="W71" t="s">
        <v>6248</v>
      </c>
      <c r="X71" t="str">
        <f t="shared" si="1"/>
        <v>管理费用-保险费</v>
      </c>
      <c r="AJ71" s="1702" t="s">
        <v>6261</v>
      </c>
      <c r="AK71" s="1324" t="s">
        <v>6372</v>
      </c>
      <c r="AL71" t="s">
        <v>226</v>
      </c>
      <c r="AM71" s="1324" t="s">
        <v>6373</v>
      </c>
    </row>
    <row r="72" spans="21:39" ht="14.25" customHeight="1">
      <c r="U72" s="1702"/>
      <c r="V72" t="s">
        <v>6545</v>
      </c>
      <c r="W72" t="s">
        <v>6518</v>
      </c>
      <c r="X72" t="str">
        <f t="shared" si="1"/>
        <v>管理费用-运输、仓储费</v>
      </c>
      <c r="AJ72" s="1702" t="s">
        <v>6262</v>
      </c>
      <c r="AK72" s="1324" t="s">
        <v>6374</v>
      </c>
      <c r="AL72" t="s">
        <v>230</v>
      </c>
      <c r="AM72" s="1324" t="s">
        <v>6375</v>
      </c>
    </row>
    <row r="73" spans="21:39" ht="14.25" customHeight="1">
      <c r="U73" s="1702"/>
      <c r="V73" t="s">
        <v>6546</v>
      </c>
      <c r="W73" t="s">
        <v>6251</v>
      </c>
      <c r="X73" t="str">
        <f t="shared" si="1"/>
        <v>管理费用-修理费</v>
      </c>
      <c r="AJ73" s="1702" t="s">
        <v>6263</v>
      </c>
      <c r="AK73" s="1324" t="s">
        <v>6376</v>
      </c>
      <c r="AL73" t="s">
        <v>2363</v>
      </c>
      <c r="AM73" s="1324" t="s">
        <v>6377</v>
      </c>
    </row>
    <row r="74" spans="21:39" ht="14.25" customHeight="1">
      <c r="U74" s="1702"/>
      <c r="V74" t="s">
        <v>6547</v>
      </c>
      <c r="W74" t="s">
        <v>6252</v>
      </c>
      <c r="X74" t="str">
        <f t="shared" si="1"/>
        <v>管理费用-包装费</v>
      </c>
      <c r="AJ74" s="1702" t="s">
        <v>6264</v>
      </c>
      <c r="AK74" s="1324" t="s">
        <v>6378</v>
      </c>
      <c r="AL74" t="s">
        <v>1278</v>
      </c>
      <c r="AM74" s="1324" t="s">
        <v>6379</v>
      </c>
    </row>
    <row r="75" spans="21:39" ht="14.25" customHeight="1">
      <c r="U75" s="1702"/>
      <c r="V75" t="s">
        <v>6548</v>
      </c>
      <c r="W75" t="s">
        <v>6253</v>
      </c>
      <c r="X75" t="str">
        <f t="shared" si="1"/>
        <v>管理费用-技术转让费</v>
      </c>
      <c r="AJ75" s="1702" t="s">
        <v>6265</v>
      </c>
      <c r="AK75" s="1324" t="s">
        <v>6380</v>
      </c>
      <c r="AL75" t="s">
        <v>184</v>
      </c>
      <c r="AM75" s="1324" t="s">
        <v>6381</v>
      </c>
    </row>
    <row r="76" spans="21:39" ht="14.25" customHeight="1">
      <c r="U76" s="1702"/>
      <c r="V76" t="s">
        <v>6549</v>
      </c>
      <c r="W76" s="1326" t="s">
        <v>6254</v>
      </c>
      <c r="X76" t="str">
        <f t="shared" si="1"/>
        <v>管理费用-研究费用</v>
      </c>
      <c r="AJ76" s="1702" t="s">
        <v>6266</v>
      </c>
      <c r="AK76" s="1324" t="s">
        <v>6382</v>
      </c>
      <c r="AL76" s="1326" t="s">
        <v>6365</v>
      </c>
      <c r="AM76" s="1324" t="s">
        <v>6383</v>
      </c>
    </row>
    <row r="77" spans="21:39" ht="14.25" customHeight="1">
      <c r="U77" s="1702"/>
      <c r="V77" t="s">
        <v>6550</v>
      </c>
      <c r="W77" t="s">
        <v>1296</v>
      </c>
      <c r="X77" t="str">
        <f t="shared" si="1"/>
        <v>管理费用-其他</v>
      </c>
      <c r="AJ77" s="1702" t="s">
        <v>6267</v>
      </c>
      <c r="AK77" s="1324" t="s">
        <v>6384</v>
      </c>
      <c r="AL77" t="s">
        <v>1273</v>
      </c>
      <c r="AM77" s="1324" t="s">
        <v>6385</v>
      </c>
    </row>
    <row r="78" spans="21:39" ht="14.25" customHeight="1">
      <c r="U78" s="1702"/>
      <c r="V78" t="s">
        <v>6232</v>
      </c>
      <c r="W78" t="s">
        <v>967</v>
      </c>
      <c r="X78" t="s">
        <v>967</v>
      </c>
      <c r="AJ78" s="1702" t="s">
        <v>6268</v>
      </c>
      <c r="AK78" s="1324" t="s">
        <v>6386</v>
      </c>
      <c r="AL78" t="s">
        <v>6363</v>
      </c>
      <c r="AM78" s="1324" t="s">
        <v>6387</v>
      </c>
    </row>
    <row r="79" spans="21:39" ht="14.25" customHeight="1">
      <c r="U79" s="1702"/>
      <c r="V79" t="s">
        <v>6392</v>
      </c>
      <c r="W79" t="s">
        <v>483</v>
      </c>
      <c r="X79" t="str">
        <f>$X$78&amp;"-"&amp;W79</f>
        <v>财务费用-金融机构手续费</v>
      </c>
      <c r="AJ79" s="1702" t="s">
        <v>6269</v>
      </c>
      <c r="AK79" s="1324" t="s">
        <v>6388</v>
      </c>
      <c r="AL79" t="s">
        <v>6364</v>
      </c>
      <c r="AM79" s="1324" t="s">
        <v>6389</v>
      </c>
    </row>
    <row r="80" spans="21:39" ht="14.25" customHeight="1">
      <c r="U80" s="1702"/>
      <c r="V80" t="s">
        <v>6394</v>
      </c>
      <c r="W80" s="1326" t="s">
        <v>6553</v>
      </c>
      <c r="X80" t="str">
        <f t="shared" ref="X80:X85" si="2">$X$78&amp;"-"&amp;W80</f>
        <v>财务费用-利息收入</v>
      </c>
      <c r="AJ80" s="1702" t="s">
        <v>6270</v>
      </c>
      <c r="AK80" s="1324" t="s">
        <v>6390</v>
      </c>
      <c r="AL80" s="1326" t="s">
        <v>5913</v>
      </c>
      <c r="AM80" s="1324" t="s">
        <v>6391</v>
      </c>
    </row>
    <row r="81" spans="21:39" ht="14.25" customHeight="1">
      <c r="V81" t="s">
        <v>6396</v>
      </c>
      <c r="W81" s="1326" t="s">
        <v>6554</v>
      </c>
      <c r="X81" t="str">
        <f t="shared" si="2"/>
        <v>财务费用-利息支出</v>
      </c>
      <c r="AJ81">
        <v>62</v>
      </c>
      <c r="AK81" s="1316" t="s">
        <v>6230</v>
      </c>
      <c r="AL81" t="s">
        <v>5052</v>
      </c>
      <c r="AM81" t="s">
        <v>5052</v>
      </c>
    </row>
    <row r="82" spans="21:39" ht="14.25" customHeight="1">
      <c r="U82" s="1702"/>
      <c r="V82" t="s">
        <v>6398</v>
      </c>
      <c r="W82" s="1326" t="s">
        <v>6555</v>
      </c>
      <c r="X82" t="str">
        <f t="shared" si="2"/>
        <v>财务费用-汇兑收益</v>
      </c>
      <c r="AJ82" s="1702" t="s">
        <v>6259</v>
      </c>
      <c r="AK82" s="1324" t="s">
        <v>6279</v>
      </c>
      <c r="AL82" t="s">
        <v>5911</v>
      </c>
      <c r="AM82" t="s">
        <v>6300</v>
      </c>
    </row>
    <row r="83" spans="21:39" ht="14.25" customHeight="1">
      <c r="U83" s="1702"/>
      <c r="V83" t="s">
        <v>6400</v>
      </c>
      <c r="W83" s="1326" t="s">
        <v>6556</v>
      </c>
      <c r="X83" t="str">
        <f t="shared" si="2"/>
        <v>财务费用-汇兑损失</v>
      </c>
      <c r="AJ83" s="1702" t="s">
        <v>1869</v>
      </c>
      <c r="AK83" s="1324" t="s">
        <v>6280</v>
      </c>
      <c r="AL83" t="s">
        <v>6235</v>
      </c>
      <c r="AM83" t="s">
        <v>6301</v>
      </c>
    </row>
    <row r="84" spans="21:39" ht="14.25" customHeight="1">
      <c r="U84" s="1702"/>
      <c r="V84" t="s">
        <v>6557</v>
      </c>
      <c r="W84" t="s">
        <v>6258</v>
      </c>
      <c r="X84" t="str">
        <f t="shared" si="2"/>
        <v>财务费用-现金折扣</v>
      </c>
      <c r="AJ84" s="1702" t="s">
        <v>6260</v>
      </c>
      <c r="AK84" s="1324" t="s">
        <v>6281</v>
      </c>
      <c r="AL84" t="s">
        <v>6236</v>
      </c>
      <c r="AM84" t="s">
        <v>6302</v>
      </c>
    </row>
    <row r="85" spans="21:39" ht="14.25" customHeight="1">
      <c r="U85" s="1702"/>
      <c r="V85" t="s">
        <v>6558</v>
      </c>
      <c r="W85" t="s">
        <v>1296</v>
      </c>
      <c r="X85" t="str">
        <f t="shared" si="2"/>
        <v>财务费用-其他</v>
      </c>
      <c r="AJ85" s="1702" t="s">
        <v>6261</v>
      </c>
      <c r="AK85" s="1324" t="s">
        <v>6282</v>
      </c>
      <c r="AL85" t="s">
        <v>6237</v>
      </c>
      <c r="AM85" t="s">
        <v>6303</v>
      </c>
    </row>
    <row r="86" spans="21:39" ht="14.25" customHeight="1">
      <c r="U86" s="1702"/>
      <c r="V86" s="1324"/>
      <c r="AJ86" s="1702" t="s">
        <v>6262</v>
      </c>
      <c r="AK86" s="1324" t="s">
        <v>6283</v>
      </c>
      <c r="AL86" t="s">
        <v>6238</v>
      </c>
      <c r="AM86" t="s">
        <v>6304</v>
      </c>
    </row>
    <row r="87" spans="21:39" ht="14.25" customHeight="1">
      <c r="U87" s="1702"/>
      <c r="V87" s="1324"/>
      <c r="AJ87" s="1702" t="s">
        <v>6263</v>
      </c>
      <c r="AK87" s="1324" t="s">
        <v>6284</v>
      </c>
      <c r="AL87" t="s">
        <v>6239</v>
      </c>
      <c r="AM87" t="s">
        <v>6305</v>
      </c>
    </row>
    <row r="88" spans="21:39" ht="14.25" customHeight="1">
      <c r="U88" s="1702"/>
      <c r="V88" s="1324"/>
      <c r="AJ88" s="1702" t="s">
        <v>6264</v>
      </c>
      <c r="AK88" s="1324" t="s">
        <v>6285</v>
      </c>
      <c r="AL88" t="s">
        <v>6240</v>
      </c>
      <c r="AM88" t="s">
        <v>6306</v>
      </c>
    </row>
    <row r="89" spans="21:39" ht="14.25" customHeight="1">
      <c r="U89" s="1702"/>
      <c r="V89" s="1324"/>
      <c r="AJ89" s="1702" t="s">
        <v>6265</v>
      </c>
      <c r="AK89" s="1324" t="s">
        <v>6286</v>
      </c>
      <c r="AL89" t="s">
        <v>6241</v>
      </c>
      <c r="AM89" t="s">
        <v>6307</v>
      </c>
    </row>
    <row r="90" spans="21:39" ht="14.25" customHeight="1">
      <c r="U90" s="1702"/>
      <c r="V90" s="1324"/>
      <c r="AJ90" s="1702" t="s">
        <v>6266</v>
      </c>
      <c r="AK90" s="1324" t="s">
        <v>6287</v>
      </c>
      <c r="AL90" t="s">
        <v>6243</v>
      </c>
      <c r="AM90" t="s">
        <v>6308</v>
      </c>
    </row>
    <row r="91" spans="21:39" ht="14.25" customHeight="1">
      <c r="U91" s="1702"/>
      <c r="V91" s="1324"/>
      <c r="AJ91" s="1702" t="s">
        <v>6267</v>
      </c>
      <c r="AK91" s="1324" t="s">
        <v>6288</v>
      </c>
      <c r="AL91" t="s">
        <v>6244</v>
      </c>
      <c r="AM91" t="s">
        <v>6309</v>
      </c>
    </row>
    <row r="92" spans="21:39" ht="14.25" customHeight="1">
      <c r="U92" s="1702"/>
      <c r="V92" s="1324"/>
      <c r="AJ92" s="1702" t="s">
        <v>6268</v>
      </c>
      <c r="AK92" s="1324" t="s">
        <v>6289</v>
      </c>
      <c r="AL92" t="s">
        <v>6245</v>
      </c>
      <c r="AM92" t="s">
        <v>6310</v>
      </c>
    </row>
    <row r="93" spans="21:39" ht="14.25" customHeight="1">
      <c r="U93" s="1702"/>
      <c r="V93" s="1324"/>
      <c r="AJ93" s="1702" t="s">
        <v>6269</v>
      </c>
      <c r="AK93" s="1324" t="s">
        <v>6290</v>
      </c>
      <c r="AL93" t="s">
        <v>6246</v>
      </c>
      <c r="AM93" t="s">
        <v>6311</v>
      </c>
    </row>
    <row r="94" spans="21:39" ht="14.25" customHeight="1">
      <c r="U94" s="1702"/>
      <c r="V94" s="1324"/>
      <c r="AJ94" s="1702" t="s">
        <v>6270</v>
      </c>
      <c r="AK94" s="1324" t="s">
        <v>6291</v>
      </c>
      <c r="AL94" t="s">
        <v>6247</v>
      </c>
      <c r="AM94" t="s">
        <v>6312</v>
      </c>
    </row>
    <row r="95" spans="21:39" ht="14.25" customHeight="1">
      <c r="U95" s="1702"/>
      <c r="V95" s="1324"/>
      <c r="AJ95" s="1702" t="s">
        <v>6271</v>
      </c>
      <c r="AK95" s="1324" t="s">
        <v>6292</v>
      </c>
      <c r="AL95" t="s">
        <v>6248</v>
      </c>
      <c r="AM95" t="s">
        <v>6313</v>
      </c>
    </row>
    <row r="96" spans="21:39" ht="14.25" customHeight="1">
      <c r="U96" s="1702"/>
      <c r="V96" s="1324"/>
      <c r="AJ96" s="1702" t="s">
        <v>6272</v>
      </c>
      <c r="AK96" s="1324" t="s">
        <v>6293</v>
      </c>
      <c r="AL96" t="s">
        <v>6249</v>
      </c>
      <c r="AM96" t="s">
        <v>6314</v>
      </c>
    </row>
    <row r="97" spans="21:39" ht="14.25" customHeight="1">
      <c r="U97" s="1702"/>
      <c r="V97" s="1324"/>
      <c r="AJ97" s="1702" t="s">
        <v>6273</v>
      </c>
      <c r="AK97" s="1324" t="s">
        <v>6294</v>
      </c>
      <c r="AL97" t="s">
        <v>6251</v>
      </c>
      <c r="AM97" t="s">
        <v>6315</v>
      </c>
    </row>
    <row r="98" spans="21:39" ht="14.25" customHeight="1">
      <c r="U98" s="1702"/>
      <c r="V98" s="1324"/>
      <c r="AJ98" s="1702" t="s">
        <v>6274</v>
      </c>
      <c r="AK98" s="1324" t="s">
        <v>6295</v>
      </c>
      <c r="AL98" t="s">
        <v>6252</v>
      </c>
      <c r="AM98" t="s">
        <v>6316</v>
      </c>
    </row>
    <row r="99" spans="21:39" ht="14.25" customHeight="1">
      <c r="U99" s="1702"/>
      <c r="V99" s="1324"/>
      <c r="AJ99" s="1702" t="s">
        <v>6275</v>
      </c>
      <c r="AK99" s="1324" t="s">
        <v>6296</v>
      </c>
      <c r="AL99" t="s">
        <v>6253</v>
      </c>
      <c r="AM99" t="s">
        <v>6317</v>
      </c>
    </row>
    <row r="100" spans="21:39" ht="14.25" customHeight="1">
      <c r="U100" s="1702"/>
      <c r="V100" s="1324"/>
      <c r="AJ100" s="1702" t="s">
        <v>6276</v>
      </c>
      <c r="AK100" s="1324" t="s">
        <v>6297</v>
      </c>
      <c r="AL100" t="s">
        <v>6254</v>
      </c>
      <c r="AM100" t="s">
        <v>6318</v>
      </c>
    </row>
    <row r="101" spans="21:39" ht="14.25" customHeight="1">
      <c r="U101" s="1702"/>
      <c r="V101" s="1324"/>
      <c r="AJ101" s="1702" t="s">
        <v>6277</v>
      </c>
      <c r="AK101" s="1324" t="s">
        <v>6298</v>
      </c>
      <c r="AL101" t="s">
        <v>6255</v>
      </c>
      <c r="AM101" t="s">
        <v>6319</v>
      </c>
    </row>
    <row r="102" spans="21:39" ht="14.25" customHeight="1">
      <c r="U102" s="1702"/>
      <c r="V102" s="1324"/>
      <c r="AJ102" s="1702" t="s">
        <v>6278</v>
      </c>
      <c r="AK102" s="1324" t="s">
        <v>6299</v>
      </c>
      <c r="AL102" t="s">
        <v>1296</v>
      </c>
      <c r="AM102" t="s">
        <v>6320</v>
      </c>
    </row>
    <row r="103" spans="21:39" ht="14.25" customHeight="1">
      <c r="V103" s="1316"/>
      <c r="AJ103">
        <v>63</v>
      </c>
      <c r="AK103" s="1316" t="s">
        <v>6231</v>
      </c>
      <c r="AL103" t="s">
        <v>1293</v>
      </c>
      <c r="AM103" t="s">
        <v>1293</v>
      </c>
    </row>
    <row r="104" spans="21:39" ht="14.25" customHeight="1">
      <c r="V104" s="1324"/>
      <c r="AJ104" t="s">
        <v>1868</v>
      </c>
      <c r="AK104" s="1324" t="s">
        <v>6321</v>
      </c>
      <c r="AL104" t="s">
        <v>5911</v>
      </c>
      <c r="AM104" t="s">
        <v>6322</v>
      </c>
    </row>
    <row r="105" spans="21:39" ht="14.25" customHeight="1">
      <c r="V105" s="1324"/>
      <c r="AJ105" t="s">
        <v>1869</v>
      </c>
      <c r="AK105" s="1324" t="s">
        <v>6323</v>
      </c>
      <c r="AL105" t="s">
        <v>6235</v>
      </c>
      <c r="AM105" t="s">
        <v>6324</v>
      </c>
    </row>
    <row r="106" spans="21:39" ht="14.25" customHeight="1">
      <c r="V106" s="1324"/>
      <c r="AJ106" t="s">
        <v>6260</v>
      </c>
      <c r="AK106" s="1324" t="s">
        <v>6325</v>
      </c>
      <c r="AL106" t="s">
        <v>6236</v>
      </c>
      <c r="AM106" t="s">
        <v>6326</v>
      </c>
    </row>
    <row r="107" spans="21:39" ht="14.25" customHeight="1">
      <c r="V107" s="1324"/>
      <c r="AJ107" t="s">
        <v>6261</v>
      </c>
      <c r="AK107" s="1324" t="s">
        <v>6327</v>
      </c>
      <c r="AL107" t="s">
        <v>6237</v>
      </c>
      <c r="AM107" t="s">
        <v>6328</v>
      </c>
    </row>
    <row r="108" spans="21:39" ht="14.25" customHeight="1">
      <c r="V108" s="1324"/>
      <c r="AJ108" t="s">
        <v>6262</v>
      </c>
      <c r="AK108" s="1324" t="s">
        <v>6329</v>
      </c>
      <c r="AL108" t="s">
        <v>6238</v>
      </c>
      <c r="AM108" t="s">
        <v>6330</v>
      </c>
    </row>
    <row r="109" spans="21:39" ht="14.25" customHeight="1">
      <c r="V109" s="1324"/>
      <c r="AJ109" t="s">
        <v>6263</v>
      </c>
      <c r="AK109" s="1324" t="s">
        <v>6331</v>
      </c>
      <c r="AL109" t="s">
        <v>6239</v>
      </c>
      <c r="AM109" t="s">
        <v>6332</v>
      </c>
    </row>
    <row r="110" spans="21:39" ht="14.25" customHeight="1">
      <c r="V110" s="1324"/>
      <c r="AJ110" t="s">
        <v>6264</v>
      </c>
      <c r="AK110" s="1324" t="s">
        <v>6333</v>
      </c>
      <c r="AL110" t="s">
        <v>6240</v>
      </c>
      <c r="AM110" t="s">
        <v>6334</v>
      </c>
    </row>
    <row r="111" spans="21:39" ht="14.25" customHeight="1">
      <c r="V111" s="1324"/>
      <c r="AJ111" t="s">
        <v>6265</v>
      </c>
      <c r="AK111" s="1324" t="s">
        <v>6335</v>
      </c>
      <c r="AL111" t="s">
        <v>6241</v>
      </c>
      <c r="AM111" t="s">
        <v>6336</v>
      </c>
    </row>
    <row r="112" spans="21:39" ht="14.25" customHeight="1">
      <c r="V112" s="1324"/>
      <c r="AJ112" t="s">
        <v>6266</v>
      </c>
      <c r="AK112" s="1324" t="s">
        <v>6337</v>
      </c>
      <c r="AL112" t="s">
        <v>6243</v>
      </c>
      <c r="AM112" t="s">
        <v>6338</v>
      </c>
    </row>
    <row r="113" spans="22:39" ht="14.25" customHeight="1">
      <c r="V113" s="1324"/>
      <c r="AJ113" t="s">
        <v>6267</v>
      </c>
      <c r="AK113" s="1324" t="s">
        <v>6339</v>
      </c>
      <c r="AL113" t="s">
        <v>6244</v>
      </c>
      <c r="AM113" t="s">
        <v>6340</v>
      </c>
    </row>
    <row r="114" spans="22:39" ht="14.25" customHeight="1">
      <c r="V114" s="1324"/>
      <c r="AJ114" t="s">
        <v>6268</v>
      </c>
      <c r="AK114" s="1324" t="s">
        <v>6341</v>
      </c>
      <c r="AL114" t="s">
        <v>6245</v>
      </c>
      <c r="AM114" t="s">
        <v>6342</v>
      </c>
    </row>
    <row r="115" spans="22:39" ht="14.25" customHeight="1">
      <c r="V115" s="1324"/>
      <c r="AJ115" t="s">
        <v>6269</v>
      </c>
      <c r="AK115" s="1324" t="s">
        <v>6343</v>
      </c>
      <c r="AL115" t="s">
        <v>6246</v>
      </c>
      <c r="AM115" t="s">
        <v>6344</v>
      </c>
    </row>
    <row r="116" spans="22:39" ht="14.25" customHeight="1">
      <c r="V116" s="1324"/>
      <c r="AJ116" t="s">
        <v>6270</v>
      </c>
      <c r="AK116" s="1324" t="s">
        <v>6345</v>
      </c>
      <c r="AL116" t="s">
        <v>6247</v>
      </c>
      <c r="AM116" t="s">
        <v>6346</v>
      </c>
    </row>
    <row r="117" spans="22:39" ht="14.25" customHeight="1">
      <c r="V117" s="1324"/>
      <c r="AJ117" t="s">
        <v>6271</v>
      </c>
      <c r="AK117" s="1324" t="s">
        <v>6347</v>
      </c>
      <c r="AL117" t="s">
        <v>6248</v>
      </c>
      <c r="AM117" t="s">
        <v>6348</v>
      </c>
    </row>
    <row r="118" spans="22:39" ht="14.25" customHeight="1">
      <c r="V118" s="1324"/>
      <c r="AJ118" t="s">
        <v>6272</v>
      </c>
      <c r="AK118" s="1324" t="s">
        <v>6349</v>
      </c>
      <c r="AL118" t="s">
        <v>6249</v>
      </c>
      <c r="AM118" t="s">
        <v>6350</v>
      </c>
    </row>
    <row r="119" spans="22:39" ht="14.25" customHeight="1">
      <c r="V119" s="1324"/>
      <c r="AJ119" t="s">
        <v>6273</v>
      </c>
      <c r="AK119" s="1324" t="s">
        <v>6351</v>
      </c>
      <c r="AL119" t="s">
        <v>6251</v>
      </c>
      <c r="AM119" t="s">
        <v>6352</v>
      </c>
    </row>
    <row r="120" spans="22:39" ht="14.25" customHeight="1">
      <c r="V120" s="1324"/>
      <c r="AJ120" t="s">
        <v>6274</v>
      </c>
      <c r="AK120" s="1324" t="s">
        <v>6353</v>
      </c>
      <c r="AL120" t="s">
        <v>6252</v>
      </c>
      <c r="AM120" t="s">
        <v>6354</v>
      </c>
    </row>
    <row r="121" spans="22:39" ht="14.25" customHeight="1">
      <c r="V121" s="1324"/>
      <c r="AJ121" t="s">
        <v>6275</v>
      </c>
      <c r="AK121" s="1324" t="s">
        <v>6355</v>
      </c>
      <c r="AL121" t="s">
        <v>6253</v>
      </c>
      <c r="AM121" t="s">
        <v>6356</v>
      </c>
    </row>
    <row r="122" spans="22:39" ht="14.25" customHeight="1">
      <c r="V122" s="1324"/>
      <c r="AJ122" t="s">
        <v>6276</v>
      </c>
      <c r="AK122" s="1324" t="s">
        <v>6357</v>
      </c>
      <c r="AL122" t="s">
        <v>6254</v>
      </c>
      <c r="AM122" t="s">
        <v>6358</v>
      </c>
    </row>
    <row r="123" spans="22:39" ht="14.25" customHeight="1">
      <c r="V123" s="1324"/>
      <c r="AJ123" t="s">
        <v>6277</v>
      </c>
      <c r="AK123" s="1324" t="s">
        <v>6359</v>
      </c>
      <c r="AL123" t="s">
        <v>6255</v>
      </c>
      <c r="AM123" t="s">
        <v>6360</v>
      </c>
    </row>
    <row r="124" spans="22:39" ht="14.25" customHeight="1">
      <c r="V124" s="1324"/>
      <c r="AJ124" t="s">
        <v>6278</v>
      </c>
      <c r="AK124" s="1324" t="s">
        <v>6361</v>
      </c>
      <c r="AL124" t="s">
        <v>1296</v>
      </c>
      <c r="AM124" t="s">
        <v>6362</v>
      </c>
    </row>
    <row r="125" spans="22:39" ht="14.25" customHeight="1">
      <c r="V125" s="1316"/>
      <c r="AJ125">
        <v>64</v>
      </c>
      <c r="AK125" s="1316" t="s">
        <v>6232</v>
      </c>
      <c r="AL125" t="s">
        <v>967</v>
      </c>
      <c r="AM125" t="s">
        <v>967</v>
      </c>
    </row>
    <row r="126" spans="22:39" ht="14.25" customHeight="1">
      <c r="V126" s="1324"/>
      <c r="AJ126" t="s">
        <v>1868</v>
      </c>
      <c r="AK126" s="1324" t="s">
        <v>6392</v>
      </c>
      <c r="AL126" t="s">
        <v>6239</v>
      </c>
      <c r="AM126" t="s">
        <v>6393</v>
      </c>
    </row>
    <row r="127" spans="22:39" ht="14.25" customHeight="1">
      <c r="V127" s="1324"/>
      <c r="AJ127" t="s">
        <v>1869</v>
      </c>
      <c r="AK127" s="1324" t="s">
        <v>6394</v>
      </c>
      <c r="AL127" t="s">
        <v>6256</v>
      </c>
      <c r="AM127" t="s">
        <v>6395</v>
      </c>
    </row>
    <row r="128" spans="22:39" ht="14.25" customHeight="1">
      <c r="V128" s="1324"/>
      <c r="AJ128" t="s">
        <v>6260</v>
      </c>
      <c r="AK128" s="1324" t="s">
        <v>6396</v>
      </c>
      <c r="AL128" t="s">
        <v>6257</v>
      </c>
      <c r="AM128" t="s">
        <v>6397</v>
      </c>
    </row>
    <row r="129" spans="22:39" ht="14.25" customHeight="1">
      <c r="V129" s="1324"/>
      <c r="AJ129" t="s">
        <v>6261</v>
      </c>
      <c r="AK129" s="1324" t="s">
        <v>6398</v>
      </c>
      <c r="AL129" t="s">
        <v>6258</v>
      </c>
      <c r="AM129" t="s">
        <v>6399</v>
      </c>
    </row>
    <row r="130" spans="22:39" ht="14.25" customHeight="1">
      <c r="V130" s="1324"/>
      <c r="AJ130" t="s">
        <v>6262</v>
      </c>
      <c r="AK130" s="1324" t="s">
        <v>6400</v>
      </c>
      <c r="AL130" t="s">
        <v>1296</v>
      </c>
      <c r="AM130" t="s">
        <v>6401</v>
      </c>
    </row>
    <row r="131" spans="22:39" ht="14.25" customHeight="1">
      <c r="V131" s="1316"/>
      <c r="AJ131">
        <v>65</v>
      </c>
      <c r="AK131" s="1316" t="s">
        <v>6233</v>
      </c>
      <c r="AL131" t="s">
        <v>495</v>
      </c>
      <c r="AM131" t="s">
        <v>495</v>
      </c>
    </row>
    <row r="132" spans="22:39" ht="14.25" customHeight="1">
      <c r="V132" s="1316"/>
      <c r="AJ132">
        <v>66</v>
      </c>
      <c r="AK132" s="1316" t="s">
        <v>6234</v>
      </c>
      <c r="AL132" t="s">
        <v>6171</v>
      </c>
      <c r="AM132" t="s">
        <v>6171</v>
      </c>
    </row>
    <row r="133" spans="22:39" ht="14.25" customHeight="1"/>
    <row r="134" spans="22:39" ht="14.25" customHeight="1"/>
    <row r="135" spans="22:39" ht="14.25" customHeight="1"/>
    <row r="136" spans="22:39" ht="14.25" customHeight="1"/>
    <row r="137" spans="22:39" ht="14.25" customHeight="1"/>
    <row r="138" spans="22:39" ht="14.25" customHeight="1"/>
    <row r="139" spans="22:39" ht="14.25" customHeight="1"/>
    <row r="140" spans="22:39" ht="14.25" customHeight="1"/>
    <row r="141" spans="22:39" ht="14.25" customHeight="1"/>
    <row r="142" spans="22:39" ht="14.25" customHeight="1"/>
    <row r="143" spans="22:39" ht="14.25" customHeight="1"/>
    <row r="144" spans="22:39" ht="14.25" customHeight="1"/>
    <row r="145" ht="14.25" customHeight="1"/>
    <row r="146" ht="14.25" customHeight="1"/>
    <row r="147" ht="14.25" customHeight="1"/>
    <row r="148" ht="14.25" customHeight="1"/>
    <row r="149" ht="14.25" customHeight="1"/>
    <row r="150" ht="14.25" customHeight="1"/>
    <row r="151" ht="14.25" customHeight="1"/>
    <row r="152" ht="14.25" customHeight="1"/>
    <row r="153" ht="14.25" customHeight="1"/>
    <row r="154" ht="14.25" customHeight="1"/>
    <row r="155" ht="14.25" customHeight="1"/>
    <row r="156" ht="14.25" customHeight="1"/>
    <row r="157" ht="14.25" customHeight="1"/>
    <row r="158" ht="14.25" customHeight="1"/>
    <row r="159" ht="14.25" customHeight="1"/>
    <row r="160" ht="14.25" customHeight="1"/>
    <row r="161" ht="14.25" customHeight="1"/>
    <row r="162" ht="14.25" customHeight="1"/>
    <row r="163" ht="14.25" customHeight="1"/>
    <row r="164" ht="14.25" customHeight="1"/>
    <row r="165" ht="14.25" customHeight="1"/>
    <row r="166" ht="14.25" customHeight="1"/>
    <row r="167" ht="14.25" customHeight="1"/>
    <row r="168" ht="14.25" customHeight="1"/>
    <row r="169" ht="14.25" customHeight="1"/>
    <row r="170" ht="14.25" customHeight="1"/>
    <row r="171" ht="14.25" customHeight="1"/>
    <row r="172" ht="14.25" customHeight="1"/>
    <row r="173" ht="14.25" customHeight="1"/>
    <row r="174" ht="14.25" customHeight="1"/>
    <row r="175" ht="14.25" customHeight="1"/>
    <row r="176" ht="14.25" customHeight="1"/>
    <row r="177" ht="14.25" customHeight="1"/>
    <row r="178" ht="14.25" customHeight="1"/>
    <row r="179" ht="14.25" customHeight="1"/>
    <row r="180" ht="14.25" customHeight="1"/>
    <row r="181" ht="14.25" customHeight="1"/>
    <row r="182" ht="14.25" customHeight="1"/>
    <row r="183" ht="14.25" customHeight="1"/>
    <row r="184" ht="14.25" customHeight="1"/>
    <row r="185" ht="14.25" customHeight="1"/>
    <row r="186" ht="14.25" customHeight="1"/>
    <row r="187" ht="14.25" customHeight="1"/>
    <row r="188" ht="14.25" customHeight="1"/>
    <row r="189" ht="14.25" customHeight="1"/>
    <row r="190" ht="14.25" customHeight="1"/>
    <row r="191" ht="14.25" customHeight="1"/>
    <row r="192" ht="14.25" customHeight="1"/>
    <row r="193" ht="14.25" customHeight="1"/>
    <row r="194" ht="14.25" customHeight="1"/>
    <row r="195" ht="14.25" customHeight="1"/>
    <row r="196" ht="14.25" customHeight="1"/>
    <row r="197" ht="14.25" customHeight="1"/>
    <row r="198" ht="14.25" customHeight="1"/>
    <row r="199" ht="14.25" customHeight="1"/>
    <row r="200" ht="14.25" customHeight="1"/>
    <row r="201" ht="14.25" customHeight="1"/>
    <row r="202" ht="14.25" customHeight="1"/>
    <row r="203" ht="14.25" customHeight="1"/>
    <row r="204" ht="14.25" customHeight="1"/>
    <row r="205" ht="14.25" customHeight="1"/>
    <row r="206" ht="14.25" customHeight="1"/>
    <row r="207" ht="14.25" customHeight="1"/>
    <row r="208" ht="14.25" customHeight="1"/>
    <row r="209" spans="12:12" ht="14.25" customHeight="1"/>
    <row r="210" spans="12:12" ht="14.25" customHeight="1"/>
    <row r="211" spans="12:12" ht="14.25" customHeight="1"/>
    <row r="212" spans="12:12" ht="14.25" customHeight="1"/>
    <row r="213" spans="12:12" ht="14.25" customHeight="1"/>
    <row r="214" spans="12:12" ht="14.25" customHeight="1"/>
    <row r="215" spans="12:12" ht="14.25" customHeight="1"/>
    <row r="216" spans="12:12" ht="14.25" customHeight="1"/>
    <row r="217" spans="12:12" ht="14.25" customHeight="1"/>
    <row r="218" spans="12:12" ht="14.25" customHeight="1"/>
    <row r="219" spans="12:12" ht="14.25" customHeight="1">
      <c r="L219" s="1325"/>
    </row>
    <row r="220" spans="12:12" ht="14.25" customHeight="1"/>
    <row r="221" spans="12:12" ht="14.25" customHeight="1"/>
    <row r="222" spans="12:12" ht="14.25" customHeight="1"/>
    <row r="223" spans="12:12" ht="14.25" customHeight="1"/>
    <row r="224" spans="12:12" ht="14.25" customHeight="1"/>
    <row r="225" ht="14.25" customHeight="1"/>
    <row r="226" ht="14.25" customHeight="1"/>
    <row r="227" ht="14.25" customHeight="1"/>
    <row r="228" ht="14.25" customHeight="1"/>
    <row r="229" ht="14.25" customHeight="1"/>
    <row r="230" ht="14.25" customHeight="1"/>
    <row r="231" ht="14.25" customHeight="1"/>
    <row r="232" ht="14.25" customHeight="1"/>
    <row r="233" ht="14.25" customHeight="1"/>
    <row r="234" ht="14.25" customHeight="1"/>
    <row r="235" ht="14.25" customHeight="1"/>
    <row r="236" ht="14.25" customHeight="1"/>
    <row r="237" ht="14.25" customHeight="1"/>
    <row r="238" ht="14.25" customHeight="1"/>
    <row r="239" ht="14.25" customHeight="1"/>
    <row r="240" ht="14.25" customHeight="1"/>
    <row r="241" ht="14.25" customHeight="1"/>
    <row r="242" ht="14.25" customHeight="1"/>
    <row r="243" ht="14.25" customHeight="1"/>
    <row r="244" ht="14.25" customHeight="1"/>
    <row r="245" ht="14.25" customHeight="1"/>
    <row r="246" ht="14.25" customHeight="1"/>
    <row r="247" ht="14.25" customHeight="1"/>
    <row r="248" ht="14.25" customHeight="1"/>
    <row r="249" ht="14.25" customHeight="1"/>
    <row r="250" ht="14.25" customHeight="1"/>
    <row r="251" ht="14.25" customHeight="1"/>
    <row r="252" ht="14.25" customHeight="1"/>
    <row r="253" ht="14.25" customHeight="1"/>
    <row r="254" ht="14.25" customHeight="1"/>
    <row r="255" ht="14.25" customHeight="1"/>
    <row r="256" ht="14.25" customHeight="1"/>
    <row r="257" ht="14.25" customHeight="1"/>
    <row r="258" ht="14.25" customHeight="1"/>
    <row r="259" ht="14.25" customHeight="1"/>
    <row r="260" ht="14.25" customHeight="1"/>
    <row r="261" ht="14.25" customHeight="1"/>
    <row r="262" ht="14.25" customHeight="1"/>
    <row r="263" ht="14.25" customHeight="1"/>
    <row r="264" ht="14.25" customHeight="1"/>
    <row r="265" ht="14.25" customHeight="1"/>
    <row r="266" ht="14.25" customHeight="1"/>
    <row r="267" ht="14.25" customHeight="1"/>
    <row r="268" ht="14.25" customHeight="1"/>
    <row r="269" ht="14.25" customHeight="1"/>
    <row r="270" ht="14.25" customHeight="1"/>
    <row r="271" ht="14.25" customHeight="1"/>
    <row r="272" ht="14.25" customHeight="1"/>
    <row r="273" ht="14.25" customHeight="1"/>
    <row r="274" ht="14.25" customHeight="1"/>
    <row r="275" ht="14.25" customHeight="1"/>
    <row r="276" ht="14.25" customHeight="1"/>
    <row r="277" ht="14.25" customHeight="1"/>
    <row r="278" ht="14.25" customHeight="1"/>
    <row r="279" ht="14.25" customHeight="1"/>
    <row r="280" ht="14.25" customHeight="1"/>
    <row r="281" ht="14.25" customHeight="1"/>
    <row r="282" ht="14.25" customHeight="1"/>
    <row r="283" ht="14.25" customHeight="1"/>
    <row r="284" ht="14.25" customHeight="1"/>
    <row r="285" ht="14.25" customHeight="1"/>
    <row r="286" ht="14.25" customHeight="1"/>
    <row r="287" ht="14.25" customHeight="1"/>
    <row r="288" ht="14.25" customHeight="1"/>
    <row r="289" ht="14.25" customHeight="1"/>
    <row r="290" ht="14.25" customHeight="1"/>
    <row r="291" ht="14.25" customHeight="1"/>
    <row r="292" ht="14.25" customHeight="1"/>
    <row r="293" ht="14.25" customHeight="1"/>
    <row r="294" ht="14.25" customHeight="1"/>
    <row r="295" ht="14.25" customHeight="1"/>
    <row r="296" ht="14.25" customHeight="1"/>
    <row r="297" ht="14.25" customHeight="1"/>
    <row r="298" ht="14.25" customHeight="1"/>
    <row r="299" ht="14.25" customHeight="1"/>
    <row r="300" ht="14.25" customHeight="1"/>
    <row r="301" ht="14.25" customHeight="1"/>
    <row r="302" ht="14.25" customHeight="1"/>
    <row r="303" ht="14.25" customHeight="1"/>
    <row r="304" ht="14.25" customHeight="1"/>
    <row r="305" ht="14.25" customHeight="1"/>
    <row r="306" ht="14.25" customHeight="1"/>
    <row r="307" ht="14.25" customHeight="1"/>
    <row r="308" ht="14.25" customHeight="1"/>
    <row r="309" ht="14.25" customHeight="1"/>
    <row r="310" ht="14.25" customHeight="1"/>
    <row r="311" ht="14.25" customHeight="1"/>
    <row r="312" ht="14.25" customHeight="1"/>
    <row r="313" ht="14.25" customHeight="1"/>
    <row r="314" ht="14.25" customHeight="1"/>
    <row r="315" ht="14.25" customHeight="1"/>
    <row r="316" ht="14.25" customHeight="1"/>
    <row r="317" ht="14.25" customHeight="1"/>
    <row r="318" ht="14.25" customHeight="1"/>
    <row r="319" ht="14.25" customHeight="1"/>
    <row r="320" ht="14.25" customHeight="1"/>
    <row r="321" ht="14.25" customHeight="1"/>
    <row r="322" ht="14.25" customHeight="1"/>
    <row r="323" ht="14.25" customHeight="1"/>
    <row r="324" ht="14.25" customHeight="1"/>
    <row r="325" ht="14.25" customHeight="1"/>
    <row r="326" ht="14.25" customHeight="1"/>
    <row r="327" ht="14.25" customHeight="1"/>
    <row r="328" ht="14.25" customHeight="1"/>
    <row r="329" ht="14.25" customHeight="1"/>
    <row r="330" ht="14.25" customHeight="1"/>
    <row r="331" ht="14.25" customHeight="1"/>
    <row r="332" ht="14.25" customHeight="1"/>
    <row r="333" ht="14.25" customHeight="1"/>
    <row r="334" ht="14.25" customHeight="1"/>
    <row r="335" ht="14.25" customHeight="1"/>
    <row r="336" ht="14.25" customHeight="1"/>
    <row r="337" ht="14.25" customHeight="1"/>
    <row r="338" ht="14.25" customHeight="1"/>
    <row r="339" ht="14.25" customHeight="1"/>
    <row r="340" ht="14.25" customHeight="1"/>
    <row r="341" ht="14.25" customHeight="1"/>
    <row r="342" ht="14.25" customHeight="1"/>
    <row r="343" ht="14.25" customHeight="1"/>
    <row r="344" ht="14.25" customHeight="1"/>
    <row r="345" ht="14.25" customHeight="1"/>
    <row r="346" ht="14.25" customHeight="1"/>
    <row r="347" ht="14.25" customHeight="1"/>
    <row r="348" ht="14.25" customHeight="1"/>
    <row r="349" ht="14.25" customHeight="1"/>
    <row r="350" ht="14.25" customHeight="1"/>
    <row r="351" ht="14.25" customHeight="1"/>
    <row r="352" ht="14.25" customHeight="1"/>
    <row r="353" ht="14.25" customHeight="1"/>
    <row r="354" ht="14.25" customHeight="1"/>
    <row r="355" ht="14.25" customHeight="1"/>
    <row r="356" ht="14.25" customHeight="1"/>
    <row r="357" ht="14.25" customHeight="1"/>
    <row r="358" ht="14.25" customHeight="1"/>
    <row r="359" ht="14.25" customHeight="1"/>
    <row r="360" ht="14.25" customHeight="1"/>
    <row r="361" ht="14.25" customHeight="1"/>
    <row r="362" ht="14.25" customHeight="1"/>
    <row r="363" ht="14.25" customHeight="1"/>
    <row r="364" ht="14.25" customHeight="1"/>
    <row r="365" ht="14.25" customHeight="1"/>
    <row r="366" ht="14.25" customHeight="1"/>
    <row r="367" ht="14.25" customHeight="1"/>
    <row r="368" ht="14.25" customHeight="1"/>
    <row r="369" ht="14.25" customHeight="1"/>
    <row r="370" ht="14.25" customHeight="1"/>
    <row r="371" ht="14.25" customHeight="1"/>
    <row r="372" ht="14.25" customHeight="1"/>
    <row r="373" ht="14.25" customHeight="1"/>
    <row r="374" ht="14.25" customHeight="1"/>
    <row r="375" ht="14.25" customHeight="1"/>
    <row r="376" ht="14.25" customHeight="1"/>
    <row r="377" ht="14.25" customHeight="1"/>
    <row r="378" ht="14.25" customHeight="1"/>
    <row r="379" ht="14.25" customHeight="1"/>
    <row r="380" ht="14.25" customHeight="1"/>
    <row r="381" ht="14.25" customHeight="1"/>
    <row r="382" ht="14.25" customHeight="1"/>
    <row r="383" ht="14.25" customHeight="1"/>
    <row r="384" ht="14.25" customHeight="1"/>
    <row r="385" ht="14.25" customHeight="1"/>
    <row r="386" ht="14.25" customHeight="1"/>
    <row r="387" ht="14.25" customHeight="1"/>
    <row r="388" ht="14.25" customHeight="1"/>
    <row r="389" ht="14.25" customHeight="1"/>
    <row r="390" ht="14.25" customHeight="1"/>
    <row r="391" ht="14.25" customHeight="1"/>
    <row r="392" ht="14.25" customHeight="1"/>
    <row r="393" ht="14.25" customHeight="1"/>
    <row r="394" ht="14.25" customHeight="1"/>
    <row r="395" ht="14.25" customHeight="1"/>
    <row r="396" ht="14.25" customHeight="1"/>
    <row r="397" ht="14.25" customHeight="1"/>
    <row r="398" ht="14.25" customHeight="1"/>
    <row r="399" ht="14.25" customHeight="1"/>
    <row r="400" ht="14.25" customHeight="1"/>
    <row r="401" ht="14.25" customHeight="1"/>
    <row r="402" ht="14.25" customHeight="1"/>
    <row r="403" ht="14.25" customHeight="1"/>
    <row r="404" ht="14.25" customHeight="1"/>
    <row r="405" ht="14.25" customHeight="1"/>
    <row r="406" ht="14.25" customHeight="1"/>
    <row r="407" ht="14.25" customHeight="1"/>
    <row r="408" ht="14.25" customHeight="1"/>
    <row r="409" ht="14.25" customHeight="1"/>
    <row r="410" ht="14.25" customHeight="1"/>
    <row r="411" ht="14.25" customHeight="1"/>
    <row r="412" ht="14.25" customHeight="1"/>
    <row r="413" ht="14.25" customHeight="1"/>
    <row r="414" ht="14.25" customHeight="1"/>
    <row r="415" ht="14.25" customHeight="1"/>
    <row r="416" ht="14.25" customHeight="1"/>
    <row r="417" ht="14.25" customHeight="1"/>
    <row r="418" ht="14.25" customHeight="1"/>
    <row r="419" ht="14.25" customHeight="1"/>
    <row r="420" ht="14.25" customHeight="1"/>
    <row r="421" ht="14.25" customHeight="1"/>
    <row r="422" ht="14.25" customHeight="1"/>
    <row r="423" ht="14.25" customHeight="1"/>
    <row r="424" ht="14.25" customHeight="1"/>
    <row r="425" ht="14.25" customHeight="1"/>
    <row r="426" ht="14.25" customHeight="1"/>
    <row r="427" ht="14.25" customHeight="1"/>
    <row r="428" ht="14.25" customHeight="1"/>
    <row r="429" ht="14.25" customHeight="1"/>
    <row r="430" ht="14.25" customHeight="1"/>
    <row r="431" ht="14.25" customHeight="1"/>
    <row r="432" ht="14.25" customHeight="1"/>
    <row r="433" ht="14.25" customHeight="1"/>
    <row r="434" ht="14.25" customHeight="1"/>
    <row r="435" ht="14.25" customHeight="1"/>
    <row r="436" ht="14.25" customHeight="1"/>
    <row r="437" ht="14.25" customHeight="1"/>
    <row r="438" ht="14.25" customHeight="1"/>
    <row r="439" ht="14.25" customHeight="1"/>
    <row r="440" ht="14.25" customHeight="1"/>
    <row r="441" ht="14.25" customHeight="1"/>
    <row r="442" ht="14.25" customHeight="1"/>
    <row r="443" ht="14.25" customHeight="1"/>
    <row r="444" ht="14.25" customHeight="1"/>
    <row r="445" ht="14.25" customHeight="1"/>
    <row r="446" ht="14.25" customHeight="1"/>
    <row r="447" ht="14.25" customHeight="1"/>
    <row r="448" ht="14.25" customHeight="1"/>
    <row r="449" ht="14.25" customHeight="1"/>
    <row r="450" ht="14.25" customHeight="1"/>
    <row r="451" ht="14.25" customHeight="1"/>
    <row r="452" ht="14.25" customHeight="1"/>
    <row r="453" ht="14.25" customHeight="1"/>
    <row r="454" ht="14.25" customHeight="1"/>
    <row r="455" ht="14.25" customHeight="1"/>
    <row r="456" ht="14.25" customHeight="1"/>
    <row r="457" ht="14.25" customHeight="1"/>
    <row r="458" ht="14.25" customHeight="1"/>
    <row r="459" ht="14.25" customHeight="1"/>
    <row r="460" ht="14.25" customHeight="1"/>
    <row r="461" ht="14.25" customHeight="1"/>
    <row r="462" ht="14.25" customHeight="1"/>
    <row r="463" ht="14.25" customHeight="1"/>
    <row r="464" ht="14.25" customHeight="1"/>
    <row r="465" ht="14.25" customHeight="1"/>
    <row r="466" ht="14.25" customHeight="1"/>
    <row r="467" ht="14.25" customHeight="1"/>
    <row r="468" ht="14.25" customHeight="1"/>
    <row r="469" ht="14.25" customHeight="1"/>
    <row r="470" ht="14.25" customHeight="1"/>
    <row r="471" ht="14.25" customHeight="1"/>
    <row r="472" ht="14.25" customHeight="1"/>
    <row r="473" ht="14.25" customHeight="1"/>
    <row r="474" ht="14.25" customHeight="1"/>
    <row r="475" ht="14.25" customHeight="1"/>
    <row r="476" ht="14.25" customHeight="1"/>
    <row r="477" ht="14.25" customHeight="1"/>
    <row r="478" ht="14.25" customHeight="1"/>
    <row r="479" ht="14.25" customHeight="1"/>
    <row r="480" ht="14.25" customHeight="1"/>
    <row r="481" ht="14.25" customHeight="1"/>
    <row r="482" ht="14.25" customHeight="1"/>
    <row r="483" ht="14.25" customHeight="1"/>
    <row r="484" ht="14.25" customHeight="1"/>
    <row r="485" ht="14.25" customHeight="1"/>
    <row r="486" ht="14.25" customHeight="1"/>
    <row r="487" ht="14.25" customHeight="1"/>
    <row r="488" ht="14.25" customHeight="1"/>
    <row r="489" ht="14.25" customHeight="1"/>
    <row r="490" ht="14.25" customHeight="1"/>
    <row r="491" ht="14.25" customHeight="1"/>
    <row r="492" ht="14.25" customHeight="1"/>
    <row r="493" ht="14.25" customHeight="1"/>
    <row r="494" ht="14.25" customHeight="1"/>
    <row r="495" ht="14.25" customHeight="1"/>
    <row r="496" ht="14.25" customHeight="1"/>
    <row r="497" ht="14.25" customHeight="1"/>
    <row r="498" ht="14.25" customHeight="1"/>
    <row r="499" ht="14.25" customHeight="1"/>
    <row r="500" ht="14.25" customHeight="1"/>
    <row r="501" ht="14.25" customHeight="1"/>
    <row r="502" ht="14.25" customHeight="1"/>
    <row r="503" ht="14.25" customHeight="1"/>
    <row r="504" ht="14.25" customHeight="1"/>
    <row r="505" ht="14.25" customHeight="1"/>
    <row r="506" ht="14.25" customHeight="1"/>
    <row r="507" ht="14.25" customHeight="1"/>
    <row r="508" ht="14.25" customHeight="1"/>
    <row r="509" ht="14.25" customHeight="1"/>
    <row r="510" ht="14.25" customHeight="1"/>
    <row r="511" ht="14.25" customHeight="1"/>
    <row r="512" ht="14.25" customHeight="1"/>
    <row r="513" ht="14.25" customHeight="1"/>
    <row r="514" ht="14.25" customHeight="1"/>
    <row r="515" ht="14.25" customHeight="1"/>
    <row r="516" ht="14.25" customHeight="1"/>
    <row r="517" ht="14.25" customHeight="1"/>
    <row r="518" ht="14.25" customHeight="1"/>
    <row r="519" ht="14.25" customHeight="1"/>
    <row r="520" ht="14.25" customHeight="1"/>
    <row r="521" ht="14.25" customHeight="1"/>
    <row r="522" ht="14.25" customHeight="1"/>
    <row r="523" ht="14.25" customHeight="1"/>
    <row r="524" ht="14.25" customHeight="1"/>
    <row r="525" ht="14.25" customHeight="1"/>
    <row r="526" ht="14.25" customHeight="1"/>
    <row r="527" ht="14.25" customHeight="1"/>
    <row r="528" ht="14.25" customHeight="1"/>
    <row r="529" ht="14.25" customHeight="1"/>
    <row r="530" ht="14.25" customHeight="1"/>
    <row r="531" ht="14.25" customHeight="1"/>
    <row r="532" ht="14.25" customHeight="1"/>
    <row r="533" ht="14.25" customHeight="1"/>
    <row r="534" ht="14.25" customHeight="1"/>
    <row r="535" ht="14.25" customHeight="1"/>
    <row r="536" ht="14.25" customHeight="1"/>
    <row r="537" ht="14.25" customHeight="1"/>
    <row r="538" ht="14.25" customHeight="1"/>
    <row r="539" ht="14.25" customHeight="1"/>
    <row r="540" ht="14.25" customHeight="1"/>
    <row r="541" ht="14.25" customHeight="1"/>
    <row r="542" ht="14.25" customHeight="1"/>
    <row r="543" ht="14.25" customHeight="1"/>
    <row r="544" ht="14.25" customHeight="1"/>
    <row r="545" ht="14.25" customHeight="1"/>
    <row r="546" ht="14.25" customHeight="1"/>
    <row r="547" ht="14.25" customHeight="1"/>
    <row r="548" ht="14.25" customHeight="1"/>
    <row r="549" ht="14.25" customHeight="1"/>
    <row r="550" ht="14.25" customHeight="1"/>
    <row r="551" ht="14.25" customHeight="1"/>
    <row r="552" ht="14.25" customHeight="1"/>
    <row r="553" ht="14.25" customHeight="1"/>
    <row r="554" ht="14.25" customHeight="1"/>
    <row r="555" ht="14.25" customHeight="1"/>
    <row r="556" ht="14.25" customHeight="1"/>
    <row r="557" ht="14.25" customHeight="1"/>
    <row r="558" ht="14.25" customHeight="1"/>
    <row r="559" ht="14.25" customHeight="1"/>
    <row r="560" ht="14.25" customHeight="1"/>
    <row r="561" spans="5:5" ht="14.25" customHeight="1"/>
    <row r="562" spans="5:5" ht="14.25" customHeight="1"/>
    <row r="563" spans="5:5" ht="14.25" customHeight="1"/>
    <row r="564" spans="5:5" ht="14.25" customHeight="1"/>
    <row r="565" spans="5:5" ht="14.25" customHeight="1"/>
    <row r="566" spans="5:5" ht="14.25" customHeight="1"/>
    <row r="567" spans="5:5" ht="14.25" customHeight="1">
      <c r="E567" s="1454"/>
    </row>
    <row r="568" spans="5:5" ht="14.25" customHeight="1"/>
    <row r="569" spans="5:5" ht="14.25" customHeight="1">
      <c r="E569" s="1454"/>
    </row>
    <row r="570" spans="5:5" ht="14.25" customHeight="1"/>
    <row r="571" spans="5:5" ht="14.25" customHeight="1"/>
    <row r="572" spans="5:5" ht="14.25" customHeight="1"/>
    <row r="573" spans="5:5" ht="14.25" customHeight="1">
      <c r="E573" s="1454"/>
    </row>
    <row r="574" spans="5:5" ht="14.25" customHeight="1"/>
    <row r="575" spans="5:5" ht="14.25" customHeight="1"/>
    <row r="576" spans="5:5" ht="14.25" customHeight="1"/>
    <row r="577" spans="5:5" ht="14.25" customHeight="1"/>
    <row r="578" spans="5:5" ht="14.25" customHeight="1">
      <c r="E578" s="1454"/>
    </row>
    <row r="579" spans="5:5" ht="14.25" customHeight="1">
      <c r="E579" s="1454"/>
    </row>
    <row r="580" spans="5:5" ht="14.25" customHeight="1"/>
    <row r="581" spans="5:5" ht="14.25" customHeight="1"/>
    <row r="582" spans="5:5" ht="14.25" customHeight="1"/>
    <row r="583" spans="5:5" ht="14.25" customHeight="1">
      <c r="E583" s="1454"/>
    </row>
    <row r="584" spans="5:5" ht="14.25" customHeight="1"/>
    <row r="585" spans="5:5" ht="14.25" customHeight="1"/>
    <row r="586" spans="5:5" ht="14.25" customHeight="1"/>
    <row r="587" spans="5:5" ht="14.25" customHeight="1"/>
    <row r="588" spans="5:5" ht="14.25" customHeight="1"/>
    <row r="589" spans="5:5" ht="14.25" customHeight="1"/>
    <row r="590" spans="5:5" ht="14.25" customHeight="1"/>
    <row r="591" spans="5:5" ht="14.25" customHeight="1">
      <c r="E591" s="1454"/>
    </row>
    <row r="592" spans="5:5" ht="14.25" customHeight="1">
      <c r="E592" s="1454"/>
    </row>
    <row r="593" ht="14.25" customHeight="1"/>
    <row r="594" ht="14.25" customHeight="1"/>
  </sheetData>
  <autoFilter ref="A1:K22"/>
  <mergeCells count="6">
    <mergeCell ref="L1:L22"/>
    <mergeCell ref="M2:M3"/>
    <mergeCell ref="M20:M22"/>
    <mergeCell ref="M13:M16"/>
    <mergeCell ref="M17:M19"/>
    <mergeCell ref="M10:M12"/>
  </mergeCells>
  <phoneticPr fontId="51" type="noConversion"/>
  <hyperlinks>
    <hyperlink ref="AF1" location="A104000期间费用明细表!A1" display="A104000期间费用明细表!A1"/>
  </hyperlinks>
  <pageMargins left="0.78740157480314998" right="0.35433070866141703" top="0.511811023622047" bottom="0.11811023622047198" header="0.511811023622047" footer="0.511811023622047"/>
  <pageSetup paperSize="9" orientation="landscape" r:id="rId1"/>
</worksheet>
</file>

<file path=xl/worksheets/sheet10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83">
    <tabColor rgb="FFFF0000"/>
  </sheetPr>
  <dimension ref="A1:R132"/>
  <sheetViews>
    <sheetView workbookViewId="0">
      <selection activeCell="B8" sqref="B8"/>
    </sheetView>
  </sheetViews>
  <sheetFormatPr defaultColWidth="1.19921875" defaultRowHeight="15.6"/>
  <cols>
    <col min="1" max="4" width="11.3984375" style="1327" bestFit="1" customWidth="1"/>
    <col min="5" max="5" width="13.5" style="1327" bestFit="1" customWidth="1"/>
    <col min="6" max="6" width="11.3984375" style="1327" bestFit="1" customWidth="1"/>
    <col min="7" max="7" width="7.3984375" style="1327" bestFit="1" customWidth="1"/>
    <col min="8" max="9" width="11.3984375" style="1327" bestFit="1" customWidth="1"/>
    <col min="10" max="10" width="11.3984375" bestFit="1" customWidth="1"/>
    <col min="11" max="11" width="15.69921875" bestFit="1" customWidth="1"/>
    <col min="12" max="12" width="11.3984375" bestFit="1" customWidth="1"/>
    <col min="13" max="13" width="13" customWidth="1"/>
    <col min="14" max="14" width="9" customWidth="1"/>
    <col min="15" max="15" width="13.69921875" customWidth="1"/>
    <col min="16" max="16" width="11.09765625" customWidth="1"/>
    <col min="17" max="17" width="9" customWidth="1"/>
    <col min="18" max="18" width="17.69921875" customWidth="1"/>
  </cols>
  <sheetData>
    <row r="1" spans="1:18">
      <c r="A1" s="2575" t="s">
        <v>7745</v>
      </c>
      <c r="B1" s="2575" t="s">
        <v>7746</v>
      </c>
      <c r="C1" s="2575" t="s">
        <v>7747</v>
      </c>
      <c r="D1" s="2575" t="s">
        <v>7748</v>
      </c>
      <c r="E1" s="2575" t="s">
        <v>7749</v>
      </c>
      <c r="F1" s="2575" t="s">
        <v>7750</v>
      </c>
      <c r="G1" s="2575" t="s">
        <v>7751</v>
      </c>
      <c r="H1" s="1467" t="s">
        <v>7752</v>
      </c>
      <c r="I1" s="2575" t="s">
        <v>7753</v>
      </c>
      <c r="J1" s="2575" t="s">
        <v>7754</v>
      </c>
      <c r="K1" s="2575" t="s">
        <v>7755</v>
      </c>
      <c r="L1" s="2575" t="s">
        <v>7756</v>
      </c>
    </row>
    <row r="2" spans="1:18">
      <c r="A2"/>
      <c r="B2"/>
      <c r="C2"/>
      <c r="D2"/>
      <c r="E2"/>
      <c r="F2"/>
      <c r="G2"/>
      <c r="H2"/>
      <c r="I2"/>
      <c r="Q2" s="1327"/>
    </row>
    <row r="3" spans="1:18">
      <c r="A3"/>
      <c r="B3"/>
      <c r="C3"/>
      <c r="D3"/>
      <c r="E3"/>
      <c r="F3"/>
      <c r="G3"/>
      <c r="H3"/>
      <c r="I3"/>
      <c r="O3" s="1468"/>
      <c r="P3" s="1468"/>
      <c r="Q3" s="1327"/>
    </row>
    <row r="4" spans="1:18" ht="15.6" customHeight="1">
      <c r="A4"/>
      <c r="B4"/>
      <c r="C4"/>
      <c r="D4"/>
      <c r="E4"/>
      <c r="F4"/>
      <c r="G4"/>
      <c r="H4"/>
      <c r="I4"/>
      <c r="O4" s="3796" t="s">
        <v>9971</v>
      </c>
      <c r="P4" s="3796"/>
      <c r="Q4" s="3795" t="s">
        <v>2403</v>
      </c>
      <c r="R4" s="1326" t="s">
        <v>2401</v>
      </c>
    </row>
    <row r="5" spans="1:18">
      <c r="A5"/>
      <c r="B5"/>
      <c r="C5"/>
      <c r="D5"/>
      <c r="E5"/>
      <c r="F5"/>
      <c r="G5"/>
      <c r="H5"/>
      <c r="I5"/>
      <c r="O5" s="3796"/>
      <c r="P5" s="3796"/>
      <c r="Q5" s="3795"/>
      <c r="R5" s="1469" t="s">
        <v>2402</v>
      </c>
    </row>
    <row r="6" spans="1:18">
      <c r="A6"/>
      <c r="B6"/>
      <c r="C6"/>
      <c r="D6"/>
      <c r="E6"/>
      <c r="F6"/>
      <c r="G6"/>
      <c r="H6"/>
      <c r="I6"/>
      <c r="O6" s="3796"/>
      <c r="P6" s="3796"/>
      <c r="Q6" s="3795"/>
    </row>
    <row r="7" spans="1:18">
      <c r="A7"/>
      <c r="B7"/>
      <c r="C7"/>
      <c r="D7"/>
      <c r="E7"/>
      <c r="F7"/>
      <c r="G7"/>
      <c r="H7"/>
      <c r="I7"/>
      <c r="O7" s="3796"/>
      <c r="P7" s="3796"/>
      <c r="Q7" s="1468"/>
    </row>
    <row r="8" spans="1:18">
      <c r="A8"/>
      <c r="B8"/>
      <c r="C8"/>
      <c r="D8"/>
      <c r="E8"/>
      <c r="F8"/>
      <c r="G8"/>
      <c r="H8"/>
      <c r="I8"/>
      <c r="O8" s="3796"/>
      <c r="P8" s="3796"/>
    </row>
    <row r="9" spans="1:18">
      <c r="A9"/>
      <c r="B9"/>
      <c r="C9"/>
      <c r="D9"/>
      <c r="E9"/>
      <c r="F9"/>
      <c r="G9"/>
      <c r="H9"/>
      <c r="I9"/>
      <c r="O9" s="3796"/>
      <c r="P9" s="3796"/>
    </row>
    <row r="10" spans="1:18">
      <c r="A10"/>
      <c r="B10"/>
      <c r="C10"/>
      <c r="D10"/>
      <c r="E10"/>
      <c r="F10"/>
      <c r="G10"/>
      <c r="H10"/>
      <c r="I10"/>
      <c r="O10" s="3796"/>
      <c r="P10" s="3796"/>
    </row>
    <row r="11" spans="1:18">
      <c r="A11"/>
      <c r="B11"/>
      <c r="C11"/>
      <c r="D11"/>
      <c r="E11"/>
      <c r="F11"/>
      <c r="G11"/>
      <c r="H11"/>
      <c r="I11"/>
      <c r="O11" s="3796"/>
      <c r="P11" s="3796"/>
    </row>
    <row r="12" spans="1:18">
      <c r="A12"/>
      <c r="B12"/>
      <c r="C12"/>
      <c r="D12"/>
      <c r="E12"/>
      <c r="F12"/>
      <c r="G12"/>
      <c r="H12"/>
      <c r="I12"/>
      <c r="O12" s="3796"/>
      <c r="P12" s="3796"/>
    </row>
    <row r="13" spans="1:18">
      <c r="A13"/>
      <c r="B13"/>
      <c r="C13"/>
      <c r="D13"/>
      <c r="E13"/>
      <c r="F13"/>
      <c r="G13"/>
      <c r="H13"/>
      <c r="I13"/>
      <c r="O13" s="3796"/>
      <c r="P13" s="3796"/>
    </row>
    <row r="14" spans="1:18">
      <c r="A14"/>
      <c r="B14"/>
      <c r="C14"/>
      <c r="D14"/>
      <c r="E14"/>
      <c r="F14"/>
      <c r="G14"/>
      <c r="H14"/>
      <c r="I14"/>
      <c r="O14" s="3796"/>
      <c r="P14" s="3796"/>
    </row>
    <row r="15" spans="1:18">
      <c r="A15"/>
      <c r="B15"/>
      <c r="C15"/>
      <c r="D15"/>
      <c r="E15"/>
      <c r="F15"/>
      <c r="G15"/>
      <c r="H15"/>
      <c r="I15"/>
    </row>
    <row r="16" spans="1:18">
      <c r="A16"/>
      <c r="B16"/>
      <c r="C16"/>
      <c r="D16"/>
      <c r="E16"/>
      <c r="F16"/>
      <c r="G16"/>
      <c r="H16"/>
      <c r="I16"/>
    </row>
    <row r="17" spans="1:9">
      <c r="A17"/>
      <c r="B17"/>
      <c r="C17"/>
      <c r="D17"/>
      <c r="E17"/>
      <c r="F17"/>
      <c r="G17"/>
      <c r="H17"/>
      <c r="I17"/>
    </row>
    <row r="18" spans="1:9">
      <c r="A18"/>
      <c r="B18"/>
      <c r="C18"/>
      <c r="D18"/>
      <c r="E18"/>
      <c r="F18"/>
      <c r="G18"/>
      <c r="H18"/>
      <c r="I18"/>
    </row>
    <row r="19" spans="1:9">
      <c r="A19"/>
      <c r="B19"/>
      <c r="C19"/>
      <c r="D19"/>
      <c r="E19"/>
      <c r="F19"/>
      <c r="G19"/>
      <c r="H19"/>
      <c r="I19"/>
    </row>
    <row r="20" spans="1:9">
      <c r="A20"/>
      <c r="B20"/>
      <c r="C20"/>
      <c r="D20"/>
      <c r="E20"/>
      <c r="F20"/>
      <c r="G20"/>
      <c r="H20"/>
      <c r="I20"/>
    </row>
    <row r="21" spans="1:9">
      <c r="A21"/>
      <c r="B21"/>
      <c r="C21"/>
      <c r="D21"/>
      <c r="E21"/>
      <c r="F21"/>
      <c r="G21"/>
      <c r="H21"/>
      <c r="I21"/>
    </row>
    <row r="22" spans="1:9">
      <c r="A22"/>
      <c r="B22"/>
      <c r="C22"/>
      <c r="D22"/>
      <c r="E22"/>
      <c r="F22"/>
      <c r="G22"/>
      <c r="H22"/>
      <c r="I22"/>
    </row>
    <row r="23" spans="1:9">
      <c r="A23"/>
      <c r="B23"/>
      <c r="C23"/>
      <c r="D23"/>
      <c r="E23"/>
      <c r="F23"/>
      <c r="G23"/>
      <c r="H23"/>
      <c r="I23"/>
    </row>
    <row r="24" spans="1:9">
      <c r="A24"/>
      <c r="B24"/>
      <c r="C24"/>
      <c r="D24"/>
      <c r="E24"/>
      <c r="F24"/>
      <c r="G24"/>
      <c r="H24"/>
      <c r="I24"/>
    </row>
    <row r="25" spans="1:9">
      <c r="A25"/>
      <c r="B25"/>
      <c r="C25"/>
      <c r="D25"/>
      <c r="E25"/>
      <c r="F25"/>
      <c r="G25"/>
      <c r="H25"/>
      <c r="I25"/>
    </row>
    <row r="26" spans="1:9">
      <c r="A26"/>
      <c r="B26"/>
      <c r="C26"/>
      <c r="D26"/>
      <c r="E26"/>
      <c r="F26"/>
      <c r="G26"/>
      <c r="H26"/>
      <c r="I26"/>
    </row>
    <row r="27" spans="1:9">
      <c r="A27"/>
      <c r="B27"/>
      <c r="C27"/>
      <c r="D27"/>
      <c r="E27"/>
      <c r="F27"/>
      <c r="G27"/>
      <c r="H27"/>
      <c r="I27"/>
    </row>
    <row r="28" spans="1:9">
      <c r="A28"/>
      <c r="B28"/>
      <c r="C28"/>
      <c r="D28"/>
      <c r="E28"/>
      <c r="F28"/>
      <c r="G28"/>
      <c r="H28"/>
      <c r="I28"/>
    </row>
    <row r="29" spans="1:9">
      <c r="A29"/>
      <c r="B29"/>
      <c r="C29"/>
      <c r="D29"/>
      <c r="E29"/>
      <c r="F29"/>
      <c r="G29"/>
      <c r="H29"/>
      <c r="I29"/>
    </row>
    <row r="30" spans="1:9">
      <c r="A30"/>
      <c r="B30"/>
      <c r="C30"/>
      <c r="D30"/>
      <c r="E30"/>
      <c r="F30"/>
      <c r="G30"/>
      <c r="H30"/>
      <c r="I30"/>
    </row>
    <row r="31" spans="1:9">
      <c r="A31"/>
      <c r="B31"/>
      <c r="C31"/>
      <c r="D31"/>
      <c r="E31"/>
      <c r="F31"/>
      <c r="G31"/>
      <c r="H31"/>
      <c r="I31"/>
    </row>
    <row r="32" spans="1:9">
      <c r="A32"/>
      <c r="B32"/>
      <c r="C32"/>
      <c r="D32"/>
      <c r="E32"/>
      <c r="F32"/>
      <c r="G32"/>
      <c r="H32"/>
      <c r="I32"/>
    </row>
    <row r="33" spans="1:9">
      <c r="A33"/>
      <c r="B33"/>
      <c r="C33"/>
      <c r="D33"/>
      <c r="E33"/>
      <c r="F33"/>
      <c r="G33"/>
      <c r="H33"/>
      <c r="I33"/>
    </row>
    <row r="34" spans="1:9">
      <c r="A34"/>
      <c r="B34"/>
      <c r="C34"/>
      <c r="D34"/>
      <c r="E34"/>
      <c r="F34"/>
      <c r="G34"/>
      <c r="H34"/>
      <c r="I34"/>
    </row>
    <row r="35" spans="1:9">
      <c r="A35"/>
      <c r="B35"/>
      <c r="C35"/>
      <c r="D35"/>
      <c r="E35"/>
      <c r="F35"/>
      <c r="G35"/>
      <c r="H35"/>
      <c r="I35"/>
    </row>
    <row r="36" spans="1:9">
      <c r="A36"/>
      <c r="B36"/>
      <c r="C36"/>
      <c r="D36"/>
      <c r="E36"/>
      <c r="F36"/>
      <c r="G36"/>
      <c r="H36"/>
      <c r="I36"/>
    </row>
    <row r="37" spans="1:9">
      <c r="A37"/>
      <c r="B37"/>
      <c r="C37"/>
      <c r="D37"/>
      <c r="E37"/>
      <c r="F37"/>
      <c r="G37"/>
      <c r="H37"/>
      <c r="I37"/>
    </row>
    <row r="38" spans="1:9">
      <c r="A38"/>
      <c r="B38"/>
      <c r="C38"/>
      <c r="D38"/>
      <c r="E38"/>
      <c r="F38"/>
      <c r="G38"/>
      <c r="H38"/>
      <c r="I38"/>
    </row>
    <row r="39" spans="1:9">
      <c r="A39"/>
      <c r="B39"/>
      <c r="C39"/>
      <c r="D39"/>
      <c r="E39"/>
      <c r="F39"/>
      <c r="G39"/>
      <c r="H39"/>
      <c r="I39"/>
    </row>
    <row r="40" spans="1:9">
      <c r="A40"/>
      <c r="B40"/>
      <c r="C40"/>
      <c r="D40"/>
      <c r="E40"/>
      <c r="F40"/>
      <c r="G40"/>
      <c r="H40"/>
      <c r="I40"/>
    </row>
    <row r="41" spans="1:9">
      <c r="A41"/>
      <c r="B41"/>
      <c r="C41"/>
      <c r="D41"/>
      <c r="E41"/>
      <c r="F41"/>
      <c r="G41"/>
      <c r="H41"/>
      <c r="I41"/>
    </row>
    <row r="42" spans="1:9">
      <c r="A42"/>
      <c r="B42"/>
      <c r="C42"/>
      <c r="D42"/>
      <c r="E42"/>
      <c r="F42"/>
      <c r="G42"/>
      <c r="H42"/>
      <c r="I42"/>
    </row>
    <row r="43" spans="1:9">
      <c r="A43"/>
      <c r="B43"/>
      <c r="C43"/>
      <c r="D43"/>
      <c r="E43"/>
      <c r="F43"/>
      <c r="G43"/>
      <c r="H43"/>
      <c r="I43"/>
    </row>
    <row r="44" spans="1:9">
      <c r="A44"/>
      <c r="B44"/>
      <c r="C44"/>
      <c r="D44"/>
      <c r="E44"/>
      <c r="F44"/>
      <c r="G44"/>
      <c r="H44"/>
      <c r="I44"/>
    </row>
    <row r="45" spans="1:9">
      <c r="A45"/>
      <c r="B45"/>
      <c r="C45"/>
      <c r="D45"/>
      <c r="E45"/>
      <c r="F45"/>
      <c r="G45"/>
      <c r="H45"/>
      <c r="I45"/>
    </row>
    <row r="46" spans="1:9">
      <c r="A46"/>
      <c r="B46"/>
      <c r="C46"/>
      <c r="D46"/>
      <c r="E46"/>
      <c r="F46"/>
      <c r="G46"/>
      <c r="H46"/>
      <c r="I46"/>
    </row>
    <row r="47" spans="1:9">
      <c r="A47"/>
      <c r="B47"/>
      <c r="C47"/>
      <c r="D47"/>
      <c r="E47"/>
      <c r="F47"/>
      <c r="G47"/>
      <c r="H47"/>
      <c r="I47"/>
    </row>
    <row r="48" spans="1:9">
      <c r="A48"/>
      <c r="B48"/>
      <c r="C48"/>
      <c r="D48"/>
      <c r="E48"/>
      <c r="F48"/>
      <c r="G48"/>
      <c r="H48"/>
      <c r="I48"/>
    </row>
    <row r="49" spans="1:9">
      <c r="A49"/>
      <c r="B49"/>
      <c r="C49"/>
      <c r="D49"/>
      <c r="E49"/>
      <c r="F49"/>
      <c r="G49"/>
      <c r="H49"/>
      <c r="I49"/>
    </row>
    <row r="50" spans="1:9">
      <c r="A50"/>
      <c r="B50"/>
      <c r="C50"/>
      <c r="D50"/>
      <c r="E50"/>
      <c r="F50"/>
      <c r="G50"/>
      <c r="H50"/>
      <c r="I50"/>
    </row>
    <row r="51" spans="1:9">
      <c r="A51"/>
      <c r="B51"/>
      <c r="C51"/>
      <c r="D51"/>
      <c r="E51"/>
      <c r="F51"/>
      <c r="G51"/>
      <c r="H51"/>
      <c r="I51"/>
    </row>
    <row r="52" spans="1:9">
      <c r="A52"/>
      <c r="B52"/>
      <c r="C52"/>
      <c r="D52"/>
      <c r="E52"/>
      <c r="F52"/>
      <c r="G52"/>
      <c r="H52"/>
      <c r="I52"/>
    </row>
    <row r="53" spans="1:9">
      <c r="A53"/>
      <c r="B53"/>
      <c r="C53"/>
      <c r="D53"/>
      <c r="E53"/>
      <c r="F53"/>
      <c r="G53"/>
      <c r="H53"/>
      <c r="I53"/>
    </row>
    <row r="54" spans="1:9">
      <c r="A54"/>
      <c r="B54"/>
      <c r="C54"/>
      <c r="D54"/>
      <c r="E54"/>
      <c r="F54"/>
      <c r="G54"/>
      <c r="H54"/>
      <c r="I54"/>
    </row>
    <row r="55" spans="1:9">
      <c r="A55"/>
      <c r="B55"/>
      <c r="C55"/>
      <c r="D55"/>
      <c r="E55"/>
      <c r="F55"/>
      <c r="G55"/>
      <c r="H55"/>
      <c r="I55"/>
    </row>
    <row r="56" spans="1:9">
      <c r="A56"/>
      <c r="B56"/>
      <c r="C56"/>
      <c r="D56"/>
      <c r="E56"/>
      <c r="F56"/>
      <c r="G56"/>
      <c r="H56"/>
      <c r="I56"/>
    </row>
    <row r="57" spans="1:9">
      <c r="A57"/>
      <c r="B57"/>
      <c r="C57"/>
      <c r="D57"/>
      <c r="E57"/>
      <c r="F57"/>
      <c r="G57"/>
      <c r="H57"/>
      <c r="I57"/>
    </row>
    <row r="58" spans="1:9">
      <c r="A58"/>
      <c r="B58"/>
      <c r="C58"/>
      <c r="D58"/>
      <c r="E58"/>
      <c r="F58"/>
      <c r="G58"/>
      <c r="H58"/>
      <c r="I58"/>
    </row>
    <row r="59" spans="1:9">
      <c r="A59"/>
      <c r="B59"/>
      <c r="C59"/>
      <c r="D59"/>
      <c r="E59"/>
      <c r="F59"/>
      <c r="G59"/>
      <c r="H59"/>
      <c r="I59"/>
    </row>
    <row r="60" spans="1:9">
      <c r="A60"/>
      <c r="B60"/>
      <c r="C60"/>
      <c r="D60"/>
      <c r="E60"/>
      <c r="F60"/>
      <c r="G60"/>
      <c r="H60"/>
      <c r="I60"/>
    </row>
    <row r="61" spans="1:9">
      <c r="A61"/>
      <c r="B61"/>
      <c r="C61"/>
      <c r="D61"/>
      <c r="E61"/>
      <c r="F61"/>
      <c r="G61"/>
      <c r="H61"/>
      <c r="I61"/>
    </row>
    <row r="62" spans="1:9">
      <c r="A62"/>
      <c r="B62"/>
      <c r="C62"/>
      <c r="D62"/>
      <c r="E62"/>
      <c r="F62"/>
      <c r="G62"/>
      <c r="H62"/>
      <c r="I62"/>
    </row>
    <row r="63" spans="1:9">
      <c r="A63"/>
      <c r="B63"/>
      <c r="C63"/>
      <c r="D63"/>
      <c r="E63"/>
      <c r="F63"/>
      <c r="G63"/>
      <c r="H63"/>
      <c r="I63"/>
    </row>
    <row r="64" spans="1:9">
      <c r="A64"/>
      <c r="B64"/>
      <c r="C64"/>
      <c r="D64"/>
      <c r="E64"/>
      <c r="F64"/>
      <c r="G64"/>
      <c r="H64"/>
      <c r="I64"/>
    </row>
    <row r="65" spans="1:9">
      <c r="A65"/>
      <c r="B65"/>
      <c r="C65"/>
      <c r="D65"/>
      <c r="E65"/>
      <c r="F65"/>
      <c r="G65"/>
      <c r="H65"/>
      <c r="I65"/>
    </row>
    <row r="66" spans="1:9">
      <c r="A66"/>
      <c r="B66"/>
      <c r="C66"/>
      <c r="D66"/>
      <c r="E66"/>
      <c r="F66"/>
      <c r="G66"/>
      <c r="H66"/>
      <c r="I66"/>
    </row>
    <row r="67" spans="1:9">
      <c r="A67"/>
      <c r="B67"/>
      <c r="C67"/>
      <c r="D67"/>
      <c r="E67"/>
      <c r="F67"/>
      <c r="G67"/>
      <c r="H67"/>
      <c r="I67"/>
    </row>
    <row r="68" spans="1:9">
      <c r="A68"/>
      <c r="B68"/>
      <c r="C68"/>
      <c r="D68"/>
      <c r="E68"/>
      <c r="F68"/>
      <c r="G68"/>
      <c r="H68"/>
      <c r="I68"/>
    </row>
    <row r="69" spans="1:9">
      <c r="A69"/>
      <c r="B69"/>
      <c r="C69"/>
      <c r="D69"/>
      <c r="E69"/>
      <c r="F69"/>
      <c r="G69"/>
      <c r="H69"/>
      <c r="I69"/>
    </row>
    <row r="70" spans="1:9">
      <c r="A70"/>
      <c r="B70"/>
      <c r="C70"/>
      <c r="D70"/>
      <c r="E70"/>
      <c r="F70"/>
      <c r="G70"/>
      <c r="H70"/>
      <c r="I70"/>
    </row>
    <row r="71" spans="1:9">
      <c r="A71"/>
      <c r="B71"/>
      <c r="C71"/>
      <c r="D71"/>
      <c r="E71"/>
      <c r="F71"/>
      <c r="G71"/>
      <c r="H71"/>
      <c r="I71"/>
    </row>
    <row r="72" spans="1:9">
      <c r="A72"/>
      <c r="B72"/>
      <c r="C72"/>
      <c r="D72"/>
      <c r="E72"/>
      <c r="F72"/>
      <c r="G72"/>
      <c r="H72"/>
      <c r="I72"/>
    </row>
    <row r="73" spans="1:9">
      <c r="A73"/>
      <c r="B73"/>
      <c r="C73"/>
      <c r="D73"/>
      <c r="E73"/>
      <c r="F73"/>
      <c r="G73"/>
      <c r="H73"/>
      <c r="I73"/>
    </row>
    <row r="74" spans="1:9">
      <c r="A74"/>
      <c r="B74"/>
      <c r="C74"/>
      <c r="D74"/>
      <c r="E74"/>
      <c r="F74"/>
      <c r="G74"/>
      <c r="H74"/>
      <c r="I74"/>
    </row>
    <row r="75" spans="1:9">
      <c r="A75"/>
      <c r="B75"/>
      <c r="C75"/>
      <c r="D75"/>
      <c r="E75"/>
      <c r="F75"/>
      <c r="G75"/>
      <c r="H75"/>
      <c r="I75"/>
    </row>
    <row r="76" spans="1:9">
      <c r="A76"/>
      <c r="B76"/>
      <c r="C76"/>
      <c r="D76"/>
      <c r="E76"/>
      <c r="F76"/>
      <c r="G76"/>
      <c r="H76"/>
      <c r="I76"/>
    </row>
    <row r="77" spans="1:9">
      <c r="A77"/>
      <c r="B77"/>
      <c r="C77"/>
      <c r="D77"/>
      <c r="E77"/>
      <c r="F77"/>
      <c r="G77"/>
      <c r="H77"/>
      <c r="I77"/>
    </row>
    <row r="78" spans="1:9">
      <c r="A78"/>
      <c r="B78"/>
      <c r="C78"/>
      <c r="D78"/>
      <c r="E78"/>
      <c r="F78"/>
      <c r="G78"/>
      <c r="H78"/>
      <c r="I78"/>
    </row>
    <row r="79" spans="1:9">
      <c r="A79"/>
      <c r="B79"/>
      <c r="C79"/>
      <c r="D79"/>
      <c r="E79"/>
      <c r="F79"/>
      <c r="G79"/>
      <c r="H79"/>
      <c r="I79"/>
    </row>
    <row r="80" spans="1:9">
      <c r="A80"/>
      <c r="B80"/>
      <c r="C80"/>
      <c r="D80"/>
      <c r="E80"/>
      <c r="F80"/>
      <c r="G80"/>
      <c r="H80"/>
      <c r="I80"/>
    </row>
    <row r="81" spans="1:9">
      <c r="A81"/>
      <c r="B81"/>
      <c r="C81"/>
      <c r="D81"/>
      <c r="E81"/>
      <c r="F81"/>
      <c r="G81"/>
      <c r="H81"/>
      <c r="I81"/>
    </row>
    <row r="82" spans="1:9">
      <c r="A82"/>
      <c r="B82"/>
      <c r="C82"/>
      <c r="D82"/>
      <c r="E82"/>
      <c r="F82"/>
      <c r="G82"/>
      <c r="H82"/>
      <c r="I82"/>
    </row>
    <row r="83" spans="1:9">
      <c r="A83"/>
      <c r="B83"/>
      <c r="C83"/>
      <c r="D83"/>
      <c r="E83"/>
      <c r="F83"/>
      <c r="G83"/>
      <c r="H83"/>
      <c r="I83"/>
    </row>
    <row r="84" spans="1:9">
      <c r="A84"/>
      <c r="B84"/>
      <c r="C84"/>
      <c r="D84"/>
      <c r="E84"/>
      <c r="F84"/>
      <c r="G84"/>
      <c r="H84"/>
      <c r="I84"/>
    </row>
    <row r="85" spans="1:9">
      <c r="A85"/>
      <c r="B85"/>
      <c r="C85"/>
      <c r="D85"/>
      <c r="E85"/>
      <c r="F85"/>
      <c r="G85"/>
      <c r="H85"/>
      <c r="I85"/>
    </row>
    <row r="86" spans="1:9">
      <c r="A86"/>
      <c r="B86"/>
      <c r="C86"/>
      <c r="D86"/>
      <c r="E86"/>
      <c r="F86"/>
      <c r="G86"/>
      <c r="H86"/>
      <c r="I86"/>
    </row>
    <row r="87" spans="1:9">
      <c r="A87"/>
      <c r="B87"/>
      <c r="C87"/>
      <c r="D87"/>
      <c r="E87"/>
      <c r="F87"/>
      <c r="G87"/>
      <c r="H87"/>
      <c r="I87"/>
    </row>
    <row r="88" spans="1:9">
      <c r="A88"/>
      <c r="B88"/>
      <c r="C88"/>
      <c r="D88"/>
      <c r="E88"/>
      <c r="F88"/>
      <c r="G88"/>
      <c r="H88"/>
      <c r="I88"/>
    </row>
    <row r="89" spans="1:9">
      <c r="A89"/>
      <c r="B89"/>
      <c r="C89"/>
      <c r="D89"/>
      <c r="E89"/>
      <c r="F89"/>
      <c r="G89"/>
      <c r="H89"/>
      <c r="I89"/>
    </row>
    <row r="90" spans="1:9">
      <c r="A90"/>
      <c r="B90"/>
      <c r="C90"/>
      <c r="D90"/>
      <c r="E90"/>
      <c r="F90"/>
      <c r="G90"/>
      <c r="H90"/>
      <c r="I90"/>
    </row>
    <row r="91" spans="1:9">
      <c r="A91"/>
      <c r="B91"/>
      <c r="C91"/>
      <c r="D91"/>
      <c r="E91"/>
      <c r="F91"/>
      <c r="G91"/>
      <c r="H91"/>
      <c r="I91"/>
    </row>
    <row r="92" spans="1:9">
      <c r="A92"/>
      <c r="B92"/>
      <c r="C92"/>
      <c r="D92"/>
      <c r="E92"/>
      <c r="F92"/>
      <c r="G92"/>
      <c r="H92"/>
      <c r="I92"/>
    </row>
    <row r="93" spans="1:9">
      <c r="A93"/>
      <c r="B93"/>
      <c r="C93"/>
      <c r="D93"/>
      <c r="E93"/>
      <c r="F93"/>
      <c r="G93"/>
      <c r="H93"/>
      <c r="I93"/>
    </row>
    <row r="94" spans="1:9">
      <c r="A94"/>
      <c r="B94"/>
      <c r="C94"/>
      <c r="D94"/>
      <c r="E94"/>
      <c r="F94"/>
      <c r="G94"/>
      <c r="H94"/>
      <c r="I94"/>
    </row>
    <row r="95" spans="1:9">
      <c r="A95"/>
      <c r="B95"/>
      <c r="C95"/>
      <c r="D95"/>
      <c r="E95"/>
      <c r="F95"/>
      <c r="G95"/>
      <c r="H95"/>
      <c r="I95"/>
    </row>
    <row r="96" spans="1:9">
      <c r="A96"/>
      <c r="B96"/>
      <c r="C96"/>
      <c r="D96"/>
      <c r="E96"/>
      <c r="F96"/>
      <c r="G96"/>
      <c r="H96"/>
      <c r="I96"/>
    </row>
    <row r="97" spans="1:9">
      <c r="A97"/>
      <c r="B97"/>
      <c r="C97"/>
      <c r="D97"/>
      <c r="E97"/>
      <c r="F97"/>
      <c r="G97"/>
      <c r="H97"/>
      <c r="I97"/>
    </row>
    <row r="98" spans="1:9">
      <c r="A98"/>
      <c r="B98"/>
      <c r="C98"/>
      <c r="D98"/>
      <c r="E98"/>
      <c r="F98"/>
      <c r="G98"/>
      <c r="H98"/>
      <c r="I98"/>
    </row>
    <row r="99" spans="1:9">
      <c r="A99"/>
      <c r="B99"/>
      <c r="C99"/>
      <c r="D99"/>
      <c r="E99"/>
      <c r="F99"/>
      <c r="G99"/>
      <c r="H99"/>
      <c r="I99"/>
    </row>
    <row r="100" spans="1:9">
      <c r="A100"/>
      <c r="B100"/>
      <c r="C100"/>
      <c r="D100"/>
      <c r="E100"/>
      <c r="F100"/>
      <c r="G100"/>
      <c r="H100"/>
      <c r="I100"/>
    </row>
    <row r="101" spans="1:9">
      <c r="A101"/>
      <c r="B101"/>
      <c r="C101"/>
      <c r="D101"/>
      <c r="E101"/>
      <c r="F101"/>
      <c r="G101"/>
      <c r="H101"/>
      <c r="I101"/>
    </row>
    <row r="102" spans="1:9">
      <c r="A102"/>
      <c r="B102"/>
      <c r="C102"/>
      <c r="D102"/>
      <c r="E102"/>
      <c r="F102"/>
      <c r="G102"/>
      <c r="H102"/>
      <c r="I102"/>
    </row>
    <row r="103" spans="1:9">
      <c r="A103"/>
      <c r="B103"/>
      <c r="C103"/>
      <c r="D103"/>
      <c r="E103"/>
      <c r="F103"/>
      <c r="G103"/>
      <c r="H103"/>
      <c r="I103"/>
    </row>
    <row r="104" spans="1:9">
      <c r="A104"/>
      <c r="B104"/>
      <c r="C104"/>
      <c r="D104"/>
      <c r="E104"/>
      <c r="F104"/>
      <c r="G104"/>
      <c r="H104"/>
      <c r="I104"/>
    </row>
    <row r="105" spans="1:9">
      <c r="A105"/>
      <c r="B105"/>
      <c r="C105"/>
      <c r="D105"/>
      <c r="E105"/>
      <c r="F105"/>
      <c r="G105"/>
      <c r="H105"/>
      <c r="I105"/>
    </row>
    <row r="106" spans="1:9">
      <c r="A106"/>
      <c r="B106"/>
      <c r="C106"/>
      <c r="D106"/>
      <c r="E106"/>
      <c r="F106"/>
      <c r="G106"/>
      <c r="H106"/>
      <c r="I106"/>
    </row>
    <row r="107" spans="1:9">
      <c r="A107"/>
      <c r="B107"/>
      <c r="C107"/>
      <c r="D107"/>
      <c r="E107"/>
      <c r="F107"/>
      <c r="G107"/>
      <c r="H107"/>
      <c r="I107"/>
    </row>
    <row r="108" spans="1:9">
      <c r="A108"/>
      <c r="B108"/>
      <c r="C108"/>
      <c r="D108"/>
      <c r="E108"/>
      <c r="F108"/>
      <c r="G108"/>
      <c r="H108"/>
      <c r="I108"/>
    </row>
    <row r="109" spans="1:9">
      <c r="A109"/>
      <c r="B109"/>
      <c r="C109"/>
      <c r="D109"/>
      <c r="E109"/>
      <c r="F109"/>
      <c r="G109"/>
      <c r="H109"/>
      <c r="I109"/>
    </row>
    <row r="110" spans="1:9">
      <c r="A110"/>
      <c r="B110"/>
      <c r="C110"/>
      <c r="D110"/>
      <c r="E110"/>
      <c r="F110"/>
      <c r="G110"/>
      <c r="H110"/>
      <c r="I110"/>
    </row>
    <row r="111" spans="1:9">
      <c r="A111"/>
      <c r="B111"/>
      <c r="C111"/>
      <c r="D111"/>
      <c r="E111"/>
      <c r="F111"/>
      <c r="G111"/>
      <c r="H111"/>
      <c r="I111"/>
    </row>
    <row r="112" spans="1:9">
      <c r="A112"/>
      <c r="B112"/>
      <c r="C112"/>
      <c r="D112"/>
      <c r="E112"/>
      <c r="F112"/>
      <c r="G112"/>
      <c r="H112"/>
      <c r="I112"/>
    </row>
    <row r="113" spans="1:9">
      <c r="A113"/>
      <c r="B113"/>
      <c r="C113"/>
      <c r="D113"/>
      <c r="E113"/>
      <c r="F113"/>
      <c r="G113"/>
      <c r="H113"/>
      <c r="I113"/>
    </row>
    <row r="114" spans="1:9">
      <c r="A114"/>
      <c r="B114"/>
      <c r="C114"/>
      <c r="D114"/>
      <c r="E114"/>
      <c r="F114"/>
      <c r="G114"/>
      <c r="H114"/>
      <c r="I114"/>
    </row>
    <row r="115" spans="1:9">
      <c r="A115"/>
      <c r="B115"/>
      <c r="C115"/>
      <c r="D115"/>
      <c r="E115"/>
      <c r="F115"/>
      <c r="G115"/>
      <c r="H115"/>
      <c r="I115"/>
    </row>
    <row r="116" spans="1:9">
      <c r="A116"/>
      <c r="B116"/>
      <c r="C116"/>
      <c r="D116"/>
      <c r="E116"/>
      <c r="F116"/>
      <c r="G116"/>
      <c r="H116"/>
      <c r="I116"/>
    </row>
    <row r="117" spans="1:9">
      <c r="A117"/>
      <c r="B117"/>
      <c r="C117"/>
      <c r="D117"/>
      <c r="E117"/>
      <c r="F117"/>
      <c r="G117"/>
      <c r="H117"/>
      <c r="I117"/>
    </row>
    <row r="118" spans="1:9">
      <c r="A118"/>
      <c r="B118"/>
      <c r="C118"/>
      <c r="D118"/>
      <c r="E118"/>
      <c r="F118"/>
      <c r="G118"/>
      <c r="H118"/>
      <c r="I118"/>
    </row>
    <row r="119" spans="1:9">
      <c r="A119"/>
      <c r="B119"/>
      <c r="C119"/>
      <c r="D119"/>
      <c r="E119"/>
      <c r="F119"/>
      <c r="G119"/>
      <c r="H119"/>
      <c r="I119"/>
    </row>
    <row r="120" spans="1:9">
      <c r="A120"/>
      <c r="B120"/>
      <c r="C120"/>
      <c r="D120"/>
      <c r="E120"/>
      <c r="F120"/>
      <c r="G120"/>
      <c r="H120"/>
      <c r="I120"/>
    </row>
    <row r="121" spans="1:9">
      <c r="A121"/>
      <c r="B121"/>
      <c r="C121"/>
      <c r="D121"/>
      <c r="E121"/>
      <c r="F121"/>
      <c r="G121"/>
      <c r="H121"/>
      <c r="I121"/>
    </row>
    <row r="122" spans="1:9">
      <c r="A122"/>
      <c r="B122"/>
      <c r="C122"/>
      <c r="D122"/>
      <c r="E122"/>
      <c r="F122"/>
      <c r="G122"/>
      <c r="H122"/>
      <c r="I122"/>
    </row>
    <row r="123" spans="1:9">
      <c r="A123"/>
      <c r="B123"/>
      <c r="C123"/>
      <c r="D123"/>
      <c r="E123"/>
      <c r="F123"/>
      <c r="G123"/>
      <c r="H123"/>
      <c r="I123"/>
    </row>
    <row r="124" spans="1:9">
      <c r="A124"/>
      <c r="B124"/>
      <c r="C124"/>
      <c r="D124"/>
      <c r="E124"/>
      <c r="F124"/>
      <c r="G124"/>
      <c r="H124"/>
      <c r="I124"/>
    </row>
    <row r="125" spans="1:9">
      <c r="A125"/>
      <c r="B125"/>
      <c r="C125"/>
      <c r="D125"/>
      <c r="E125"/>
      <c r="F125"/>
      <c r="G125"/>
      <c r="H125"/>
      <c r="I125"/>
    </row>
    <row r="126" spans="1:9">
      <c r="A126"/>
      <c r="B126"/>
      <c r="C126"/>
      <c r="D126"/>
      <c r="E126"/>
      <c r="F126"/>
      <c r="G126"/>
      <c r="H126"/>
      <c r="I126"/>
    </row>
    <row r="127" spans="1:9">
      <c r="A127"/>
      <c r="B127"/>
      <c r="C127"/>
      <c r="D127"/>
      <c r="E127"/>
      <c r="F127"/>
      <c r="G127"/>
      <c r="H127"/>
      <c r="I127"/>
    </row>
    <row r="128" spans="1:9">
      <c r="A128"/>
      <c r="B128"/>
      <c r="C128"/>
      <c r="D128"/>
      <c r="E128"/>
      <c r="F128"/>
      <c r="G128"/>
      <c r="H128"/>
      <c r="I128"/>
    </row>
    <row r="129" spans="1:9">
      <c r="A129"/>
      <c r="B129"/>
      <c r="C129"/>
      <c r="D129"/>
      <c r="E129"/>
      <c r="F129"/>
      <c r="G129"/>
      <c r="H129"/>
      <c r="I129"/>
    </row>
    <row r="130" spans="1:9">
      <c r="A130"/>
      <c r="B130"/>
      <c r="C130"/>
      <c r="D130"/>
      <c r="E130"/>
      <c r="F130"/>
      <c r="G130"/>
      <c r="H130"/>
      <c r="I130"/>
    </row>
    <row r="131" spans="1:9">
      <c r="A131"/>
      <c r="B131"/>
      <c r="C131"/>
      <c r="D131"/>
      <c r="E131"/>
      <c r="F131"/>
      <c r="G131"/>
      <c r="H131"/>
      <c r="I131"/>
    </row>
    <row r="132" spans="1:9">
      <c r="A132"/>
      <c r="B132"/>
      <c r="C132"/>
      <c r="D132"/>
      <c r="E132"/>
      <c r="F132"/>
      <c r="G132"/>
      <c r="H132"/>
      <c r="I132"/>
    </row>
  </sheetData>
  <autoFilter ref="A1:R1"/>
  <mergeCells count="2">
    <mergeCell ref="Q4:Q6"/>
    <mergeCell ref="O4:P14"/>
  </mergeCells>
  <phoneticPr fontId="51" type="noConversion"/>
  <pageMargins left="0.78740157480314998" right="0.35433070866141703" top="0.511811023622047" bottom="0.11811023622047198" header="0.511811023622047" footer="0.511811023622047"/>
  <pageSetup paperSize="9" orientation="portrait" r:id="rId1"/>
</worksheet>
</file>

<file path=xl/worksheets/sheet10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07">
    <tabColor rgb="FF00B050"/>
  </sheetPr>
  <dimension ref="A1:J27"/>
  <sheetViews>
    <sheetView workbookViewId="0">
      <selection activeCell="M25" sqref="M25"/>
    </sheetView>
  </sheetViews>
  <sheetFormatPr defaultRowHeight="15.6"/>
  <cols>
    <col min="1" max="1" width="6.09765625" style="1381" customWidth="1"/>
    <col min="2" max="2" width="19.8984375" style="1381" customWidth="1"/>
    <col min="3" max="3" width="20.69921875" style="1381" customWidth="1"/>
    <col min="4" max="4" width="18.5" style="1381" customWidth="1"/>
    <col min="5" max="5" width="15.69921875" style="1381" customWidth="1"/>
    <col min="6" max="6" width="16.09765625" style="1381" customWidth="1"/>
    <col min="7" max="7" width="18.09765625" style="1381" customWidth="1"/>
    <col min="8" max="8" width="9.19921875" style="1381" customWidth="1"/>
    <col min="9" max="9" width="18.09765625" style="1381" customWidth="1"/>
    <col min="10" max="10" width="15.19921875" style="1381" customWidth="1"/>
    <col min="11" max="256" width="9" style="1381"/>
    <col min="257" max="257" width="6.09765625" style="1381" customWidth="1"/>
    <col min="258" max="258" width="19.8984375" style="1381" customWidth="1"/>
    <col min="259" max="259" width="20.69921875" style="1381" customWidth="1"/>
    <col min="260" max="260" width="18.5" style="1381" customWidth="1"/>
    <col min="261" max="261" width="15.69921875" style="1381" customWidth="1"/>
    <col min="262" max="262" width="16.09765625" style="1381" customWidth="1"/>
    <col min="263" max="263" width="18.09765625" style="1381" customWidth="1"/>
    <col min="264" max="264" width="9.19921875" style="1381" customWidth="1"/>
    <col min="265" max="265" width="18.09765625" style="1381" customWidth="1"/>
    <col min="266" max="266" width="15.19921875" style="1381" customWidth="1"/>
    <col min="267" max="512" width="9" style="1381"/>
    <col min="513" max="513" width="6.09765625" style="1381" customWidth="1"/>
    <col min="514" max="514" width="19.8984375" style="1381" customWidth="1"/>
    <col min="515" max="515" width="20.69921875" style="1381" customWidth="1"/>
    <col min="516" max="516" width="18.5" style="1381" customWidth="1"/>
    <col min="517" max="517" width="15.69921875" style="1381" customWidth="1"/>
    <col min="518" max="518" width="16.09765625" style="1381" customWidth="1"/>
    <col min="519" max="519" width="18.09765625" style="1381" customWidth="1"/>
    <col min="520" max="520" width="9.19921875" style="1381" customWidth="1"/>
    <col min="521" max="521" width="18.09765625" style="1381" customWidth="1"/>
    <col min="522" max="522" width="15.19921875" style="1381" customWidth="1"/>
    <col min="523" max="768" width="9" style="1381"/>
    <col min="769" max="769" width="6.09765625" style="1381" customWidth="1"/>
    <col min="770" max="770" width="19.8984375" style="1381" customWidth="1"/>
    <col min="771" max="771" width="20.69921875" style="1381" customWidth="1"/>
    <col min="772" max="772" width="18.5" style="1381" customWidth="1"/>
    <col min="773" max="773" width="15.69921875" style="1381" customWidth="1"/>
    <col min="774" max="774" width="16.09765625" style="1381" customWidth="1"/>
    <col min="775" max="775" width="18.09765625" style="1381" customWidth="1"/>
    <col min="776" max="776" width="9.19921875" style="1381" customWidth="1"/>
    <col min="777" max="777" width="18.09765625" style="1381" customWidth="1"/>
    <col min="778" max="778" width="15.19921875" style="1381" customWidth="1"/>
    <col min="779" max="1024" width="9" style="1381"/>
    <col min="1025" max="1025" width="6.09765625" style="1381" customWidth="1"/>
    <col min="1026" max="1026" width="19.8984375" style="1381" customWidth="1"/>
    <col min="1027" max="1027" width="20.69921875" style="1381" customWidth="1"/>
    <col min="1028" max="1028" width="18.5" style="1381" customWidth="1"/>
    <col min="1029" max="1029" width="15.69921875" style="1381" customWidth="1"/>
    <col min="1030" max="1030" width="16.09765625" style="1381" customWidth="1"/>
    <col min="1031" max="1031" width="18.09765625" style="1381" customWidth="1"/>
    <col min="1032" max="1032" width="9.19921875" style="1381" customWidth="1"/>
    <col min="1033" max="1033" width="18.09765625" style="1381" customWidth="1"/>
    <col min="1034" max="1034" width="15.19921875" style="1381" customWidth="1"/>
    <col min="1035" max="1280" width="9" style="1381"/>
    <col min="1281" max="1281" width="6.09765625" style="1381" customWidth="1"/>
    <col min="1282" max="1282" width="19.8984375" style="1381" customWidth="1"/>
    <col min="1283" max="1283" width="20.69921875" style="1381" customWidth="1"/>
    <col min="1284" max="1284" width="18.5" style="1381" customWidth="1"/>
    <col min="1285" max="1285" width="15.69921875" style="1381" customWidth="1"/>
    <col min="1286" max="1286" width="16.09765625" style="1381" customWidth="1"/>
    <col min="1287" max="1287" width="18.09765625" style="1381" customWidth="1"/>
    <col min="1288" max="1288" width="9.19921875" style="1381" customWidth="1"/>
    <col min="1289" max="1289" width="18.09765625" style="1381" customWidth="1"/>
    <col min="1290" max="1290" width="15.19921875" style="1381" customWidth="1"/>
    <col min="1291" max="1536" width="9" style="1381"/>
    <col min="1537" max="1537" width="6.09765625" style="1381" customWidth="1"/>
    <col min="1538" max="1538" width="19.8984375" style="1381" customWidth="1"/>
    <col min="1539" max="1539" width="20.69921875" style="1381" customWidth="1"/>
    <col min="1540" max="1540" width="18.5" style="1381" customWidth="1"/>
    <col min="1541" max="1541" width="15.69921875" style="1381" customWidth="1"/>
    <col min="1542" max="1542" width="16.09765625" style="1381" customWidth="1"/>
    <col min="1543" max="1543" width="18.09765625" style="1381" customWidth="1"/>
    <col min="1544" max="1544" width="9.19921875" style="1381" customWidth="1"/>
    <col min="1545" max="1545" width="18.09765625" style="1381" customWidth="1"/>
    <col min="1546" max="1546" width="15.19921875" style="1381" customWidth="1"/>
    <col min="1547" max="1792" width="9" style="1381"/>
    <col min="1793" max="1793" width="6.09765625" style="1381" customWidth="1"/>
    <col min="1794" max="1794" width="19.8984375" style="1381" customWidth="1"/>
    <col min="1795" max="1795" width="20.69921875" style="1381" customWidth="1"/>
    <col min="1796" max="1796" width="18.5" style="1381" customWidth="1"/>
    <col min="1797" max="1797" width="15.69921875" style="1381" customWidth="1"/>
    <col min="1798" max="1798" width="16.09765625" style="1381" customWidth="1"/>
    <col min="1799" max="1799" width="18.09765625" style="1381" customWidth="1"/>
    <col min="1800" max="1800" width="9.19921875" style="1381" customWidth="1"/>
    <col min="1801" max="1801" width="18.09765625" style="1381" customWidth="1"/>
    <col min="1802" max="1802" width="15.19921875" style="1381" customWidth="1"/>
    <col min="1803" max="2048" width="9" style="1381"/>
    <col min="2049" max="2049" width="6.09765625" style="1381" customWidth="1"/>
    <col min="2050" max="2050" width="19.8984375" style="1381" customWidth="1"/>
    <col min="2051" max="2051" width="20.69921875" style="1381" customWidth="1"/>
    <col min="2052" max="2052" width="18.5" style="1381" customWidth="1"/>
    <col min="2053" max="2053" width="15.69921875" style="1381" customWidth="1"/>
    <col min="2054" max="2054" width="16.09765625" style="1381" customWidth="1"/>
    <col min="2055" max="2055" width="18.09765625" style="1381" customWidth="1"/>
    <col min="2056" max="2056" width="9.19921875" style="1381" customWidth="1"/>
    <col min="2057" max="2057" width="18.09765625" style="1381" customWidth="1"/>
    <col min="2058" max="2058" width="15.19921875" style="1381" customWidth="1"/>
    <col min="2059" max="2304" width="9" style="1381"/>
    <col min="2305" max="2305" width="6.09765625" style="1381" customWidth="1"/>
    <col min="2306" max="2306" width="19.8984375" style="1381" customWidth="1"/>
    <col min="2307" max="2307" width="20.69921875" style="1381" customWidth="1"/>
    <col min="2308" max="2308" width="18.5" style="1381" customWidth="1"/>
    <col min="2309" max="2309" width="15.69921875" style="1381" customWidth="1"/>
    <col min="2310" max="2310" width="16.09765625" style="1381" customWidth="1"/>
    <col min="2311" max="2311" width="18.09765625" style="1381" customWidth="1"/>
    <col min="2312" max="2312" width="9.19921875" style="1381" customWidth="1"/>
    <col min="2313" max="2313" width="18.09765625" style="1381" customWidth="1"/>
    <col min="2314" max="2314" width="15.19921875" style="1381" customWidth="1"/>
    <col min="2315" max="2560" width="9" style="1381"/>
    <col min="2561" max="2561" width="6.09765625" style="1381" customWidth="1"/>
    <col min="2562" max="2562" width="19.8984375" style="1381" customWidth="1"/>
    <col min="2563" max="2563" width="20.69921875" style="1381" customWidth="1"/>
    <col min="2564" max="2564" width="18.5" style="1381" customWidth="1"/>
    <col min="2565" max="2565" width="15.69921875" style="1381" customWidth="1"/>
    <col min="2566" max="2566" width="16.09765625" style="1381" customWidth="1"/>
    <col min="2567" max="2567" width="18.09765625" style="1381" customWidth="1"/>
    <col min="2568" max="2568" width="9.19921875" style="1381" customWidth="1"/>
    <col min="2569" max="2569" width="18.09765625" style="1381" customWidth="1"/>
    <col min="2570" max="2570" width="15.19921875" style="1381" customWidth="1"/>
    <col min="2571" max="2816" width="9" style="1381"/>
    <col min="2817" max="2817" width="6.09765625" style="1381" customWidth="1"/>
    <col min="2818" max="2818" width="19.8984375" style="1381" customWidth="1"/>
    <col min="2819" max="2819" width="20.69921875" style="1381" customWidth="1"/>
    <col min="2820" max="2820" width="18.5" style="1381" customWidth="1"/>
    <col min="2821" max="2821" width="15.69921875" style="1381" customWidth="1"/>
    <col min="2822" max="2822" width="16.09765625" style="1381" customWidth="1"/>
    <col min="2823" max="2823" width="18.09765625" style="1381" customWidth="1"/>
    <col min="2824" max="2824" width="9.19921875" style="1381" customWidth="1"/>
    <col min="2825" max="2825" width="18.09765625" style="1381" customWidth="1"/>
    <col min="2826" max="2826" width="15.19921875" style="1381" customWidth="1"/>
    <col min="2827" max="3072" width="9" style="1381"/>
    <col min="3073" max="3073" width="6.09765625" style="1381" customWidth="1"/>
    <col min="3074" max="3074" width="19.8984375" style="1381" customWidth="1"/>
    <col min="3075" max="3075" width="20.69921875" style="1381" customWidth="1"/>
    <col min="3076" max="3076" width="18.5" style="1381" customWidth="1"/>
    <col min="3077" max="3077" width="15.69921875" style="1381" customWidth="1"/>
    <col min="3078" max="3078" width="16.09765625" style="1381" customWidth="1"/>
    <col min="3079" max="3079" width="18.09765625" style="1381" customWidth="1"/>
    <col min="3080" max="3080" width="9.19921875" style="1381" customWidth="1"/>
    <col min="3081" max="3081" width="18.09765625" style="1381" customWidth="1"/>
    <col min="3082" max="3082" width="15.19921875" style="1381" customWidth="1"/>
    <col min="3083" max="3328" width="9" style="1381"/>
    <col min="3329" max="3329" width="6.09765625" style="1381" customWidth="1"/>
    <col min="3330" max="3330" width="19.8984375" style="1381" customWidth="1"/>
    <col min="3331" max="3331" width="20.69921875" style="1381" customWidth="1"/>
    <col min="3332" max="3332" width="18.5" style="1381" customWidth="1"/>
    <col min="3333" max="3333" width="15.69921875" style="1381" customWidth="1"/>
    <col min="3334" max="3334" width="16.09765625" style="1381" customWidth="1"/>
    <col min="3335" max="3335" width="18.09765625" style="1381" customWidth="1"/>
    <col min="3336" max="3336" width="9.19921875" style="1381" customWidth="1"/>
    <col min="3337" max="3337" width="18.09765625" style="1381" customWidth="1"/>
    <col min="3338" max="3338" width="15.19921875" style="1381" customWidth="1"/>
    <col min="3339" max="3584" width="9" style="1381"/>
    <col min="3585" max="3585" width="6.09765625" style="1381" customWidth="1"/>
    <col min="3586" max="3586" width="19.8984375" style="1381" customWidth="1"/>
    <col min="3587" max="3587" width="20.69921875" style="1381" customWidth="1"/>
    <col min="3588" max="3588" width="18.5" style="1381" customWidth="1"/>
    <col min="3589" max="3589" width="15.69921875" style="1381" customWidth="1"/>
    <col min="3590" max="3590" width="16.09765625" style="1381" customWidth="1"/>
    <col min="3591" max="3591" width="18.09765625" style="1381" customWidth="1"/>
    <col min="3592" max="3592" width="9.19921875" style="1381" customWidth="1"/>
    <col min="3593" max="3593" width="18.09765625" style="1381" customWidth="1"/>
    <col min="3594" max="3594" width="15.19921875" style="1381" customWidth="1"/>
    <col min="3595" max="3840" width="9" style="1381"/>
    <col min="3841" max="3841" width="6.09765625" style="1381" customWidth="1"/>
    <col min="3842" max="3842" width="19.8984375" style="1381" customWidth="1"/>
    <col min="3843" max="3843" width="20.69921875" style="1381" customWidth="1"/>
    <col min="3844" max="3844" width="18.5" style="1381" customWidth="1"/>
    <col min="3845" max="3845" width="15.69921875" style="1381" customWidth="1"/>
    <col min="3846" max="3846" width="16.09765625" style="1381" customWidth="1"/>
    <col min="3847" max="3847" width="18.09765625" style="1381" customWidth="1"/>
    <col min="3848" max="3848" width="9.19921875" style="1381" customWidth="1"/>
    <col min="3849" max="3849" width="18.09765625" style="1381" customWidth="1"/>
    <col min="3850" max="3850" width="15.19921875" style="1381" customWidth="1"/>
    <col min="3851" max="4096" width="9" style="1381"/>
    <col min="4097" max="4097" width="6.09765625" style="1381" customWidth="1"/>
    <col min="4098" max="4098" width="19.8984375" style="1381" customWidth="1"/>
    <col min="4099" max="4099" width="20.69921875" style="1381" customWidth="1"/>
    <col min="4100" max="4100" width="18.5" style="1381" customWidth="1"/>
    <col min="4101" max="4101" width="15.69921875" style="1381" customWidth="1"/>
    <col min="4102" max="4102" width="16.09765625" style="1381" customWidth="1"/>
    <col min="4103" max="4103" width="18.09765625" style="1381" customWidth="1"/>
    <col min="4104" max="4104" width="9.19921875" style="1381" customWidth="1"/>
    <col min="4105" max="4105" width="18.09765625" style="1381" customWidth="1"/>
    <col min="4106" max="4106" width="15.19921875" style="1381" customWidth="1"/>
    <col min="4107" max="4352" width="9" style="1381"/>
    <col min="4353" max="4353" width="6.09765625" style="1381" customWidth="1"/>
    <col min="4354" max="4354" width="19.8984375" style="1381" customWidth="1"/>
    <col min="4355" max="4355" width="20.69921875" style="1381" customWidth="1"/>
    <col min="4356" max="4356" width="18.5" style="1381" customWidth="1"/>
    <col min="4357" max="4357" width="15.69921875" style="1381" customWidth="1"/>
    <col min="4358" max="4358" width="16.09765625" style="1381" customWidth="1"/>
    <col min="4359" max="4359" width="18.09765625" style="1381" customWidth="1"/>
    <col min="4360" max="4360" width="9.19921875" style="1381" customWidth="1"/>
    <col min="4361" max="4361" width="18.09765625" style="1381" customWidth="1"/>
    <col min="4362" max="4362" width="15.19921875" style="1381" customWidth="1"/>
    <col min="4363" max="4608" width="9" style="1381"/>
    <col min="4609" max="4609" width="6.09765625" style="1381" customWidth="1"/>
    <col min="4610" max="4610" width="19.8984375" style="1381" customWidth="1"/>
    <col min="4611" max="4611" width="20.69921875" style="1381" customWidth="1"/>
    <col min="4612" max="4612" width="18.5" style="1381" customWidth="1"/>
    <col min="4613" max="4613" width="15.69921875" style="1381" customWidth="1"/>
    <col min="4614" max="4614" width="16.09765625" style="1381" customWidth="1"/>
    <col min="4615" max="4615" width="18.09765625" style="1381" customWidth="1"/>
    <col min="4616" max="4616" width="9.19921875" style="1381" customWidth="1"/>
    <col min="4617" max="4617" width="18.09765625" style="1381" customWidth="1"/>
    <col min="4618" max="4618" width="15.19921875" style="1381" customWidth="1"/>
    <col min="4619" max="4864" width="9" style="1381"/>
    <col min="4865" max="4865" width="6.09765625" style="1381" customWidth="1"/>
    <col min="4866" max="4866" width="19.8984375" style="1381" customWidth="1"/>
    <col min="4867" max="4867" width="20.69921875" style="1381" customWidth="1"/>
    <col min="4868" max="4868" width="18.5" style="1381" customWidth="1"/>
    <col min="4869" max="4869" width="15.69921875" style="1381" customWidth="1"/>
    <col min="4870" max="4870" width="16.09765625" style="1381" customWidth="1"/>
    <col min="4871" max="4871" width="18.09765625" style="1381" customWidth="1"/>
    <col min="4872" max="4872" width="9.19921875" style="1381" customWidth="1"/>
    <col min="4873" max="4873" width="18.09765625" style="1381" customWidth="1"/>
    <col min="4874" max="4874" width="15.19921875" style="1381" customWidth="1"/>
    <col min="4875" max="5120" width="9" style="1381"/>
    <col min="5121" max="5121" width="6.09765625" style="1381" customWidth="1"/>
    <col min="5122" max="5122" width="19.8984375" style="1381" customWidth="1"/>
    <col min="5123" max="5123" width="20.69921875" style="1381" customWidth="1"/>
    <col min="5124" max="5124" width="18.5" style="1381" customWidth="1"/>
    <col min="5125" max="5125" width="15.69921875" style="1381" customWidth="1"/>
    <col min="5126" max="5126" width="16.09765625" style="1381" customWidth="1"/>
    <col min="5127" max="5127" width="18.09765625" style="1381" customWidth="1"/>
    <col min="5128" max="5128" width="9.19921875" style="1381" customWidth="1"/>
    <col min="5129" max="5129" width="18.09765625" style="1381" customWidth="1"/>
    <col min="5130" max="5130" width="15.19921875" style="1381" customWidth="1"/>
    <col min="5131" max="5376" width="9" style="1381"/>
    <col min="5377" max="5377" width="6.09765625" style="1381" customWidth="1"/>
    <col min="5378" max="5378" width="19.8984375" style="1381" customWidth="1"/>
    <col min="5379" max="5379" width="20.69921875" style="1381" customWidth="1"/>
    <col min="5380" max="5380" width="18.5" style="1381" customWidth="1"/>
    <col min="5381" max="5381" width="15.69921875" style="1381" customWidth="1"/>
    <col min="5382" max="5382" width="16.09765625" style="1381" customWidth="1"/>
    <col min="5383" max="5383" width="18.09765625" style="1381" customWidth="1"/>
    <col min="5384" max="5384" width="9.19921875" style="1381" customWidth="1"/>
    <col min="5385" max="5385" width="18.09765625" style="1381" customWidth="1"/>
    <col min="5386" max="5386" width="15.19921875" style="1381" customWidth="1"/>
    <col min="5387" max="5632" width="9" style="1381"/>
    <col min="5633" max="5633" width="6.09765625" style="1381" customWidth="1"/>
    <col min="5634" max="5634" width="19.8984375" style="1381" customWidth="1"/>
    <col min="5635" max="5635" width="20.69921875" style="1381" customWidth="1"/>
    <col min="5636" max="5636" width="18.5" style="1381" customWidth="1"/>
    <col min="5637" max="5637" width="15.69921875" style="1381" customWidth="1"/>
    <col min="5638" max="5638" width="16.09765625" style="1381" customWidth="1"/>
    <col min="5639" max="5639" width="18.09765625" style="1381" customWidth="1"/>
    <col min="5640" max="5640" width="9.19921875" style="1381" customWidth="1"/>
    <col min="5641" max="5641" width="18.09765625" style="1381" customWidth="1"/>
    <col min="5642" max="5642" width="15.19921875" style="1381" customWidth="1"/>
    <col min="5643" max="5888" width="9" style="1381"/>
    <col min="5889" max="5889" width="6.09765625" style="1381" customWidth="1"/>
    <col min="5890" max="5890" width="19.8984375" style="1381" customWidth="1"/>
    <col min="5891" max="5891" width="20.69921875" style="1381" customWidth="1"/>
    <col min="5892" max="5892" width="18.5" style="1381" customWidth="1"/>
    <col min="5893" max="5893" width="15.69921875" style="1381" customWidth="1"/>
    <col min="5894" max="5894" width="16.09765625" style="1381" customWidth="1"/>
    <col min="5895" max="5895" width="18.09765625" style="1381" customWidth="1"/>
    <col min="5896" max="5896" width="9.19921875" style="1381" customWidth="1"/>
    <col min="5897" max="5897" width="18.09765625" style="1381" customWidth="1"/>
    <col min="5898" max="5898" width="15.19921875" style="1381" customWidth="1"/>
    <col min="5899" max="6144" width="9" style="1381"/>
    <col min="6145" max="6145" width="6.09765625" style="1381" customWidth="1"/>
    <col min="6146" max="6146" width="19.8984375" style="1381" customWidth="1"/>
    <col min="6147" max="6147" width="20.69921875" style="1381" customWidth="1"/>
    <col min="6148" max="6148" width="18.5" style="1381" customWidth="1"/>
    <col min="6149" max="6149" width="15.69921875" style="1381" customWidth="1"/>
    <col min="6150" max="6150" width="16.09765625" style="1381" customWidth="1"/>
    <col min="6151" max="6151" width="18.09765625" style="1381" customWidth="1"/>
    <col min="6152" max="6152" width="9.19921875" style="1381" customWidth="1"/>
    <col min="6153" max="6153" width="18.09765625" style="1381" customWidth="1"/>
    <col min="6154" max="6154" width="15.19921875" style="1381" customWidth="1"/>
    <col min="6155" max="6400" width="9" style="1381"/>
    <col min="6401" max="6401" width="6.09765625" style="1381" customWidth="1"/>
    <col min="6402" max="6402" width="19.8984375" style="1381" customWidth="1"/>
    <col min="6403" max="6403" width="20.69921875" style="1381" customWidth="1"/>
    <col min="6404" max="6404" width="18.5" style="1381" customWidth="1"/>
    <col min="6405" max="6405" width="15.69921875" style="1381" customWidth="1"/>
    <col min="6406" max="6406" width="16.09765625" style="1381" customWidth="1"/>
    <col min="6407" max="6407" width="18.09765625" style="1381" customWidth="1"/>
    <col min="6408" max="6408" width="9.19921875" style="1381" customWidth="1"/>
    <col min="6409" max="6409" width="18.09765625" style="1381" customWidth="1"/>
    <col min="6410" max="6410" width="15.19921875" style="1381" customWidth="1"/>
    <col min="6411" max="6656" width="9" style="1381"/>
    <col min="6657" max="6657" width="6.09765625" style="1381" customWidth="1"/>
    <col min="6658" max="6658" width="19.8984375" style="1381" customWidth="1"/>
    <col min="6659" max="6659" width="20.69921875" style="1381" customWidth="1"/>
    <col min="6660" max="6660" width="18.5" style="1381" customWidth="1"/>
    <col min="6661" max="6661" width="15.69921875" style="1381" customWidth="1"/>
    <col min="6662" max="6662" width="16.09765625" style="1381" customWidth="1"/>
    <col min="6663" max="6663" width="18.09765625" style="1381" customWidth="1"/>
    <col min="6664" max="6664" width="9.19921875" style="1381" customWidth="1"/>
    <col min="6665" max="6665" width="18.09765625" style="1381" customWidth="1"/>
    <col min="6666" max="6666" width="15.19921875" style="1381" customWidth="1"/>
    <col min="6667" max="6912" width="9" style="1381"/>
    <col min="6913" max="6913" width="6.09765625" style="1381" customWidth="1"/>
    <col min="6914" max="6914" width="19.8984375" style="1381" customWidth="1"/>
    <col min="6915" max="6915" width="20.69921875" style="1381" customWidth="1"/>
    <col min="6916" max="6916" width="18.5" style="1381" customWidth="1"/>
    <col min="6917" max="6917" width="15.69921875" style="1381" customWidth="1"/>
    <col min="6918" max="6918" width="16.09765625" style="1381" customWidth="1"/>
    <col min="6919" max="6919" width="18.09765625" style="1381" customWidth="1"/>
    <col min="6920" max="6920" width="9.19921875" style="1381" customWidth="1"/>
    <col min="6921" max="6921" width="18.09765625" style="1381" customWidth="1"/>
    <col min="6922" max="6922" width="15.19921875" style="1381" customWidth="1"/>
    <col min="6923" max="7168" width="9" style="1381"/>
    <col min="7169" max="7169" width="6.09765625" style="1381" customWidth="1"/>
    <col min="7170" max="7170" width="19.8984375" style="1381" customWidth="1"/>
    <col min="7171" max="7171" width="20.69921875" style="1381" customWidth="1"/>
    <col min="7172" max="7172" width="18.5" style="1381" customWidth="1"/>
    <col min="7173" max="7173" width="15.69921875" style="1381" customWidth="1"/>
    <col min="7174" max="7174" width="16.09765625" style="1381" customWidth="1"/>
    <col min="7175" max="7175" width="18.09765625" style="1381" customWidth="1"/>
    <col min="7176" max="7176" width="9.19921875" style="1381" customWidth="1"/>
    <col min="7177" max="7177" width="18.09765625" style="1381" customWidth="1"/>
    <col min="7178" max="7178" width="15.19921875" style="1381" customWidth="1"/>
    <col min="7179" max="7424" width="9" style="1381"/>
    <col min="7425" max="7425" width="6.09765625" style="1381" customWidth="1"/>
    <col min="7426" max="7426" width="19.8984375" style="1381" customWidth="1"/>
    <col min="7427" max="7427" width="20.69921875" style="1381" customWidth="1"/>
    <col min="7428" max="7428" width="18.5" style="1381" customWidth="1"/>
    <col min="7429" max="7429" width="15.69921875" style="1381" customWidth="1"/>
    <col min="7430" max="7430" width="16.09765625" style="1381" customWidth="1"/>
    <col min="7431" max="7431" width="18.09765625" style="1381" customWidth="1"/>
    <col min="7432" max="7432" width="9.19921875" style="1381" customWidth="1"/>
    <col min="7433" max="7433" width="18.09765625" style="1381" customWidth="1"/>
    <col min="7434" max="7434" width="15.19921875" style="1381" customWidth="1"/>
    <col min="7435" max="7680" width="9" style="1381"/>
    <col min="7681" max="7681" width="6.09765625" style="1381" customWidth="1"/>
    <col min="7682" max="7682" width="19.8984375" style="1381" customWidth="1"/>
    <col min="7683" max="7683" width="20.69921875" style="1381" customWidth="1"/>
    <col min="7684" max="7684" width="18.5" style="1381" customWidth="1"/>
    <col min="7685" max="7685" width="15.69921875" style="1381" customWidth="1"/>
    <col min="7686" max="7686" width="16.09765625" style="1381" customWidth="1"/>
    <col min="7687" max="7687" width="18.09765625" style="1381" customWidth="1"/>
    <col min="7688" max="7688" width="9.19921875" style="1381" customWidth="1"/>
    <col min="7689" max="7689" width="18.09765625" style="1381" customWidth="1"/>
    <col min="7690" max="7690" width="15.19921875" style="1381" customWidth="1"/>
    <col min="7691" max="7936" width="9" style="1381"/>
    <col min="7937" max="7937" width="6.09765625" style="1381" customWidth="1"/>
    <col min="7938" max="7938" width="19.8984375" style="1381" customWidth="1"/>
    <col min="7939" max="7939" width="20.69921875" style="1381" customWidth="1"/>
    <col min="7940" max="7940" width="18.5" style="1381" customWidth="1"/>
    <col min="7941" max="7941" width="15.69921875" style="1381" customWidth="1"/>
    <col min="7942" max="7942" width="16.09765625" style="1381" customWidth="1"/>
    <col min="7943" max="7943" width="18.09765625" style="1381" customWidth="1"/>
    <col min="7944" max="7944" width="9.19921875" style="1381" customWidth="1"/>
    <col min="7945" max="7945" width="18.09765625" style="1381" customWidth="1"/>
    <col min="7946" max="7946" width="15.19921875" style="1381" customWidth="1"/>
    <col min="7947" max="8192" width="9" style="1381"/>
    <col min="8193" max="8193" width="6.09765625" style="1381" customWidth="1"/>
    <col min="8194" max="8194" width="19.8984375" style="1381" customWidth="1"/>
    <col min="8195" max="8195" width="20.69921875" style="1381" customWidth="1"/>
    <col min="8196" max="8196" width="18.5" style="1381" customWidth="1"/>
    <col min="8197" max="8197" width="15.69921875" style="1381" customWidth="1"/>
    <col min="8198" max="8198" width="16.09765625" style="1381" customWidth="1"/>
    <col min="8199" max="8199" width="18.09765625" style="1381" customWidth="1"/>
    <col min="8200" max="8200" width="9.19921875" style="1381" customWidth="1"/>
    <col min="8201" max="8201" width="18.09765625" style="1381" customWidth="1"/>
    <col min="8202" max="8202" width="15.19921875" style="1381" customWidth="1"/>
    <col min="8203" max="8448" width="9" style="1381"/>
    <col min="8449" max="8449" width="6.09765625" style="1381" customWidth="1"/>
    <col min="8450" max="8450" width="19.8984375" style="1381" customWidth="1"/>
    <col min="8451" max="8451" width="20.69921875" style="1381" customWidth="1"/>
    <col min="8452" max="8452" width="18.5" style="1381" customWidth="1"/>
    <col min="8453" max="8453" width="15.69921875" style="1381" customWidth="1"/>
    <col min="8454" max="8454" width="16.09765625" style="1381" customWidth="1"/>
    <col min="8455" max="8455" width="18.09765625" style="1381" customWidth="1"/>
    <col min="8456" max="8456" width="9.19921875" style="1381" customWidth="1"/>
    <col min="8457" max="8457" width="18.09765625" style="1381" customWidth="1"/>
    <col min="8458" max="8458" width="15.19921875" style="1381" customWidth="1"/>
    <col min="8459" max="8704" width="9" style="1381"/>
    <col min="8705" max="8705" width="6.09765625" style="1381" customWidth="1"/>
    <col min="8706" max="8706" width="19.8984375" style="1381" customWidth="1"/>
    <col min="8707" max="8707" width="20.69921875" style="1381" customWidth="1"/>
    <col min="8708" max="8708" width="18.5" style="1381" customWidth="1"/>
    <col min="8709" max="8709" width="15.69921875" style="1381" customWidth="1"/>
    <col min="8710" max="8710" width="16.09765625" style="1381" customWidth="1"/>
    <col min="8711" max="8711" width="18.09765625" style="1381" customWidth="1"/>
    <col min="8712" max="8712" width="9.19921875" style="1381" customWidth="1"/>
    <col min="8713" max="8713" width="18.09765625" style="1381" customWidth="1"/>
    <col min="8714" max="8714" width="15.19921875" style="1381" customWidth="1"/>
    <col min="8715" max="8960" width="9" style="1381"/>
    <col min="8961" max="8961" width="6.09765625" style="1381" customWidth="1"/>
    <col min="8962" max="8962" width="19.8984375" style="1381" customWidth="1"/>
    <col min="8963" max="8963" width="20.69921875" style="1381" customWidth="1"/>
    <col min="8964" max="8964" width="18.5" style="1381" customWidth="1"/>
    <col min="8965" max="8965" width="15.69921875" style="1381" customWidth="1"/>
    <col min="8966" max="8966" width="16.09765625" style="1381" customWidth="1"/>
    <col min="8967" max="8967" width="18.09765625" style="1381" customWidth="1"/>
    <col min="8968" max="8968" width="9.19921875" style="1381" customWidth="1"/>
    <col min="8969" max="8969" width="18.09765625" style="1381" customWidth="1"/>
    <col min="8970" max="8970" width="15.19921875" style="1381" customWidth="1"/>
    <col min="8971" max="9216" width="9" style="1381"/>
    <col min="9217" max="9217" width="6.09765625" style="1381" customWidth="1"/>
    <col min="9218" max="9218" width="19.8984375" style="1381" customWidth="1"/>
    <col min="9219" max="9219" width="20.69921875" style="1381" customWidth="1"/>
    <col min="9220" max="9220" width="18.5" style="1381" customWidth="1"/>
    <col min="9221" max="9221" width="15.69921875" style="1381" customWidth="1"/>
    <col min="9222" max="9222" width="16.09765625" style="1381" customWidth="1"/>
    <col min="9223" max="9223" width="18.09765625" style="1381" customWidth="1"/>
    <col min="9224" max="9224" width="9.19921875" style="1381" customWidth="1"/>
    <col min="9225" max="9225" width="18.09765625" style="1381" customWidth="1"/>
    <col min="9226" max="9226" width="15.19921875" style="1381" customWidth="1"/>
    <col min="9227" max="9472" width="9" style="1381"/>
    <col min="9473" max="9473" width="6.09765625" style="1381" customWidth="1"/>
    <col min="9474" max="9474" width="19.8984375" style="1381" customWidth="1"/>
    <col min="9475" max="9475" width="20.69921875" style="1381" customWidth="1"/>
    <col min="9476" max="9476" width="18.5" style="1381" customWidth="1"/>
    <col min="9477" max="9477" width="15.69921875" style="1381" customWidth="1"/>
    <col min="9478" max="9478" width="16.09765625" style="1381" customWidth="1"/>
    <col min="9479" max="9479" width="18.09765625" style="1381" customWidth="1"/>
    <col min="9480" max="9480" width="9.19921875" style="1381" customWidth="1"/>
    <col min="9481" max="9481" width="18.09765625" style="1381" customWidth="1"/>
    <col min="9482" max="9482" width="15.19921875" style="1381" customWidth="1"/>
    <col min="9483" max="9728" width="9" style="1381"/>
    <col min="9729" max="9729" width="6.09765625" style="1381" customWidth="1"/>
    <col min="9730" max="9730" width="19.8984375" style="1381" customWidth="1"/>
    <col min="9731" max="9731" width="20.69921875" style="1381" customWidth="1"/>
    <col min="9732" max="9732" width="18.5" style="1381" customWidth="1"/>
    <col min="9733" max="9733" width="15.69921875" style="1381" customWidth="1"/>
    <col min="9734" max="9734" width="16.09765625" style="1381" customWidth="1"/>
    <col min="9735" max="9735" width="18.09765625" style="1381" customWidth="1"/>
    <col min="9736" max="9736" width="9.19921875" style="1381" customWidth="1"/>
    <col min="9737" max="9737" width="18.09765625" style="1381" customWidth="1"/>
    <col min="9738" max="9738" width="15.19921875" style="1381" customWidth="1"/>
    <col min="9739" max="9984" width="9" style="1381"/>
    <col min="9985" max="9985" width="6.09765625" style="1381" customWidth="1"/>
    <col min="9986" max="9986" width="19.8984375" style="1381" customWidth="1"/>
    <col min="9987" max="9987" width="20.69921875" style="1381" customWidth="1"/>
    <col min="9988" max="9988" width="18.5" style="1381" customWidth="1"/>
    <col min="9989" max="9989" width="15.69921875" style="1381" customWidth="1"/>
    <col min="9990" max="9990" width="16.09765625" style="1381" customWidth="1"/>
    <col min="9991" max="9991" width="18.09765625" style="1381" customWidth="1"/>
    <col min="9992" max="9992" width="9.19921875" style="1381" customWidth="1"/>
    <col min="9993" max="9993" width="18.09765625" style="1381" customWidth="1"/>
    <col min="9994" max="9994" width="15.19921875" style="1381" customWidth="1"/>
    <col min="9995" max="10240" width="9" style="1381"/>
    <col min="10241" max="10241" width="6.09765625" style="1381" customWidth="1"/>
    <col min="10242" max="10242" width="19.8984375" style="1381" customWidth="1"/>
    <col min="10243" max="10243" width="20.69921875" style="1381" customWidth="1"/>
    <col min="10244" max="10244" width="18.5" style="1381" customWidth="1"/>
    <col min="10245" max="10245" width="15.69921875" style="1381" customWidth="1"/>
    <col min="10246" max="10246" width="16.09765625" style="1381" customWidth="1"/>
    <col min="10247" max="10247" width="18.09765625" style="1381" customWidth="1"/>
    <col min="10248" max="10248" width="9.19921875" style="1381" customWidth="1"/>
    <col min="10249" max="10249" width="18.09765625" style="1381" customWidth="1"/>
    <col min="10250" max="10250" width="15.19921875" style="1381" customWidth="1"/>
    <col min="10251" max="10496" width="9" style="1381"/>
    <col min="10497" max="10497" width="6.09765625" style="1381" customWidth="1"/>
    <col min="10498" max="10498" width="19.8984375" style="1381" customWidth="1"/>
    <col min="10499" max="10499" width="20.69921875" style="1381" customWidth="1"/>
    <col min="10500" max="10500" width="18.5" style="1381" customWidth="1"/>
    <col min="10501" max="10501" width="15.69921875" style="1381" customWidth="1"/>
    <col min="10502" max="10502" width="16.09765625" style="1381" customWidth="1"/>
    <col min="10503" max="10503" width="18.09765625" style="1381" customWidth="1"/>
    <col min="10504" max="10504" width="9.19921875" style="1381" customWidth="1"/>
    <col min="10505" max="10505" width="18.09765625" style="1381" customWidth="1"/>
    <col min="10506" max="10506" width="15.19921875" style="1381" customWidth="1"/>
    <col min="10507" max="10752" width="9" style="1381"/>
    <col min="10753" max="10753" width="6.09765625" style="1381" customWidth="1"/>
    <col min="10754" max="10754" width="19.8984375" style="1381" customWidth="1"/>
    <col min="10755" max="10755" width="20.69921875" style="1381" customWidth="1"/>
    <col min="10756" max="10756" width="18.5" style="1381" customWidth="1"/>
    <col min="10757" max="10757" width="15.69921875" style="1381" customWidth="1"/>
    <col min="10758" max="10758" width="16.09765625" style="1381" customWidth="1"/>
    <col min="10759" max="10759" width="18.09765625" style="1381" customWidth="1"/>
    <col min="10760" max="10760" width="9.19921875" style="1381" customWidth="1"/>
    <col min="10761" max="10761" width="18.09765625" style="1381" customWidth="1"/>
    <col min="10762" max="10762" width="15.19921875" style="1381" customWidth="1"/>
    <col min="10763" max="11008" width="9" style="1381"/>
    <col min="11009" max="11009" width="6.09765625" style="1381" customWidth="1"/>
    <col min="11010" max="11010" width="19.8984375" style="1381" customWidth="1"/>
    <col min="11011" max="11011" width="20.69921875" style="1381" customWidth="1"/>
    <col min="11012" max="11012" width="18.5" style="1381" customWidth="1"/>
    <col min="11013" max="11013" width="15.69921875" style="1381" customWidth="1"/>
    <col min="11014" max="11014" width="16.09765625" style="1381" customWidth="1"/>
    <col min="11015" max="11015" width="18.09765625" style="1381" customWidth="1"/>
    <col min="11016" max="11016" width="9.19921875" style="1381" customWidth="1"/>
    <col min="11017" max="11017" width="18.09765625" style="1381" customWidth="1"/>
    <col min="11018" max="11018" width="15.19921875" style="1381" customWidth="1"/>
    <col min="11019" max="11264" width="9" style="1381"/>
    <col min="11265" max="11265" width="6.09765625" style="1381" customWidth="1"/>
    <col min="11266" max="11266" width="19.8984375" style="1381" customWidth="1"/>
    <col min="11267" max="11267" width="20.69921875" style="1381" customWidth="1"/>
    <col min="11268" max="11268" width="18.5" style="1381" customWidth="1"/>
    <col min="11269" max="11269" width="15.69921875" style="1381" customWidth="1"/>
    <col min="11270" max="11270" width="16.09765625" style="1381" customWidth="1"/>
    <col min="11271" max="11271" width="18.09765625" style="1381" customWidth="1"/>
    <col min="11272" max="11272" width="9.19921875" style="1381" customWidth="1"/>
    <col min="11273" max="11273" width="18.09765625" style="1381" customWidth="1"/>
    <col min="11274" max="11274" width="15.19921875" style="1381" customWidth="1"/>
    <col min="11275" max="11520" width="9" style="1381"/>
    <col min="11521" max="11521" width="6.09765625" style="1381" customWidth="1"/>
    <col min="11522" max="11522" width="19.8984375" style="1381" customWidth="1"/>
    <col min="11523" max="11523" width="20.69921875" style="1381" customWidth="1"/>
    <col min="11524" max="11524" width="18.5" style="1381" customWidth="1"/>
    <col min="11525" max="11525" width="15.69921875" style="1381" customWidth="1"/>
    <col min="11526" max="11526" width="16.09765625" style="1381" customWidth="1"/>
    <col min="11527" max="11527" width="18.09765625" style="1381" customWidth="1"/>
    <col min="11528" max="11528" width="9.19921875" style="1381" customWidth="1"/>
    <col min="11529" max="11529" width="18.09765625" style="1381" customWidth="1"/>
    <col min="11530" max="11530" width="15.19921875" style="1381" customWidth="1"/>
    <col min="11531" max="11776" width="9" style="1381"/>
    <col min="11777" max="11777" width="6.09765625" style="1381" customWidth="1"/>
    <col min="11778" max="11778" width="19.8984375" style="1381" customWidth="1"/>
    <col min="11779" max="11779" width="20.69921875" style="1381" customWidth="1"/>
    <col min="11780" max="11780" width="18.5" style="1381" customWidth="1"/>
    <col min="11781" max="11781" width="15.69921875" style="1381" customWidth="1"/>
    <col min="11782" max="11782" width="16.09765625" style="1381" customWidth="1"/>
    <col min="11783" max="11783" width="18.09765625" style="1381" customWidth="1"/>
    <col min="11784" max="11784" width="9.19921875" style="1381" customWidth="1"/>
    <col min="11785" max="11785" width="18.09765625" style="1381" customWidth="1"/>
    <col min="11786" max="11786" width="15.19921875" style="1381" customWidth="1"/>
    <col min="11787" max="12032" width="9" style="1381"/>
    <col min="12033" max="12033" width="6.09765625" style="1381" customWidth="1"/>
    <col min="12034" max="12034" width="19.8984375" style="1381" customWidth="1"/>
    <col min="12035" max="12035" width="20.69921875" style="1381" customWidth="1"/>
    <col min="12036" max="12036" width="18.5" style="1381" customWidth="1"/>
    <col min="12037" max="12037" width="15.69921875" style="1381" customWidth="1"/>
    <col min="12038" max="12038" width="16.09765625" style="1381" customWidth="1"/>
    <col min="12039" max="12039" width="18.09765625" style="1381" customWidth="1"/>
    <col min="12040" max="12040" width="9.19921875" style="1381" customWidth="1"/>
    <col min="12041" max="12041" width="18.09765625" style="1381" customWidth="1"/>
    <col min="12042" max="12042" width="15.19921875" style="1381" customWidth="1"/>
    <col min="12043" max="12288" width="9" style="1381"/>
    <col min="12289" max="12289" width="6.09765625" style="1381" customWidth="1"/>
    <col min="12290" max="12290" width="19.8984375" style="1381" customWidth="1"/>
    <col min="12291" max="12291" width="20.69921875" style="1381" customWidth="1"/>
    <col min="12292" max="12292" width="18.5" style="1381" customWidth="1"/>
    <col min="12293" max="12293" width="15.69921875" style="1381" customWidth="1"/>
    <col min="12294" max="12294" width="16.09765625" style="1381" customWidth="1"/>
    <col min="12295" max="12295" width="18.09765625" style="1381" customWidth="1"/>
    <col min="12296" max="12296" width="9.19921875" style="1381" customWidth="1"/>
    <col min="12297" max="12297" width="18.09765625" style="1381" customWidth="1"/>
    <col min="12298" max="12298" width="15.19921875" style="1381" customWidth="1"/>
    <col min="12299" max="12544" width="9" style="1381"/>
    <col min="12545" max="12545" width="6.09765625" style="1381" customWidth="1"/>
    <col min="12546" max="12546" width="19.8984375" style="1381" customWidth="1"/>
    <col min="12547" max="12547" width="20.69921875" style="1381" customWidth="1"/>
    <col min="12548" max="12548" width="18.5" style="1381" customWidth="1"/>
    <col min="12549" max="12549" width="15.69921875" style="1381" customWidth="1"/>
    <col min="12550" max="12550" width="16.09765625" style="1381" customWidth="1"/>
    <col min="12551" max="12551" width="18.09765625" style="1381" customWidth="1"/>
    <col min="12552" max="12552" width="9.19921875" style="1381" customWidth="1"/>
    <col min="12553" max="12553" width="18.09765625" style="1381" customWidth="1"/>
    <col min="12554" max="12554" width="15.19921875" style="1381" customWidth="1"/>
    <col min="12555" max="12800" width="9" style="1381"/>
    <col min="12801" max="12801" width="6.09765625" style="1381" customWidth="1"/>
    <col min="12802" max="12802" width="19.8984375" style="1381" customWidth="1"/>
    <col min="12803" max="12803" width="20.69921875" style="1381" customWidth="1"/>
    <col min="12804" max="12804" width="18.5" style="1381" customWidth="1"/>
    <col min="12805" max="12805" width="15.69921875" style="1381" customWidth="1"/>
    <col min="12806" max="12806" width="16.09765625" style="1381" customWidth="1"/>
    <col min="12807" max="12807" width="18.09765625" style="1381" customWidth="1"/>
    <col min="12808" max="12808" width="9.19921875" style="1381" customWidth="1"/>
    <col min="12809" max="12809" width="18.09765625" style="1381" customWidth="1"/>
    <col min="12810" max="12810" width="15.19921875" style="1381" customWidth="1"/>
    <col min="12811" max="13056" width="9" style="1381"/>
    <col min="13057" max="13057" width="6.09765625" style="1381" customWidth="1"/>
    <col min="13058" max="13058" width="19.8984375" style="1381" customWidth="1"/>
    <col min="13059" max="13059" width="20.69921875" style="1381" customWidth="1"/>
    <col min="13060" max="13060" width="18.5" style="1381" customWidth="1"/>
    <col min="13061" max="13061" width="15.69921875" style="1381" customWidth="1"/>
    <col min="13062" max="13062" width="16.09765625" style="1381" customWidth="1"/>
    <col min="13063" max="13063" width="18.09765625" style="1381" customWidth="1"/>
    <col min="13064" max="13064" width="9.19921875" style="1381" customWidth="1"/>
    <col min="13065" max="13065" width="18.09765625" style="1381" customWidth="1"/>
    <col min="13066" max="13066" width="15.19921875" style="1381" customWidth="1"/>
    <col min="13067" max="13312" width="9" style="1381"/>
    <col min="13313" max="13313" width="6.09765625" style="1381" customWidth="1"/>
    <col min="13314" max="13314" width="19.8984375" style="1381" customWidth="1"/>
    <col min="13315" max="13315" width="20.69921875" style="1381" customWidth="1"/>
    <col min="13316" max="13316" width="18.5" style="1381" customWidth="1"/>
    <col min="13317" max="13317" width="15.69921875" style="1381" customWidth="1"/>
    <col min="13318" max="13318" width="16.09765625" style="1381" customWidth="1"/>
    <col min="13319" max="13319" width="18.09765625" style="1381" customWidth="1"/>
    <col min="13320" max="13320" width="9.19921875" style="1381" customWidth="1"/>
    <col min="13321" max="13321" width="18.09765625" style="1381" customWidth="1"/>
    <col min="13322" max="13322" width="15.19921875" style="1381" customWidth="1"/>
    <col min="13323" max="13568" width="9" style="1381"/>
    <col min="13569" max="13569" width="6.09765625" style="1381" customWidth="1"/>
    <col min="13570" max="13570" width="19.8984375" style="1381" customWidth="1"/>
    <col min="13571" max="13571" width="20.69921875" style="1381" customWidth="1"/>
    <col min="13572" max="13572" width="18.5" style="1381" customWidth="1"/>
    <col min="13573" max="13573" width="15.69921875" style="1381" customWidth="1"/>
    <col min="13574" max="13574" width="16.09765625" style="1381" customWidth="1"/>
    <col min="13575" max="13575" width="18.09765625" style="1381" customWidth="1"/>
    <col min="13576" max="13576" width="9.19921875" style="1381" customWidth="1"/>
    <col min="13577" max="13577" width="18.09765625" style="1381" customWidth="1"/>
    <col min="13578" max="13578" width="15.19921875" style="1381" customWidth="1"/>
    <col min="13579" max="13824" width="9" style="1381"/>
    <col min="13825" max="13825" width="6.09765625" style="1381" customWidth="1"/>
    <col min="13826" max="13826" width="19.8984375" style="1381" customWidth="1"/>
    <col min="13827" max="13827" width="20.69921875" style="1381" customWidth="1"/>
    <col min="13828" max="13828" width="18.5" style="1381" customWidth="1"/>
    <col min="13829" max="13829" width="15.69921875" style="1381" customWidth="1"/>
    <col min="13830" max="13830" width="16.09765625" style="1381" customWidth="1"/>
    <col min="13831" max="13831" width="18.09765625" style="1381" customWidth="1"/>
    <col min="13832" max="13832" width="9.19921875" style="1381" customWidth="1"/>
    <col min="13833" max="13833" width="18.09765625" style="1381" customWidth="1"/>
    <col min="13834" max="13834" width="15.19921875" style="1381" customWidth="1"/>
    <col min="13835" max="14080" width="9" style="1381"/>
    <col min="14081" max="14081" width="6.09765625" style="1381" customWidth="1"/>
    <col min="14082" max="14082" width="19.8984375" style="1381" customWidth="1"/>
    <col min="14083" max="14083" width="20.69921875" style="1381" customWidth="1"/>
    <col min="14084" max="14084" width="18.5" style="1381" customWidth="1"/>
    <col min="14085" max="14085" width="15.69921875" style="1381" customWidth="1"/>
    <col min="14086" max="14086" width="16.09765625" style="1381" customWidth="1"/>
    <col min="14087" max="14087" width="18.09765625" style="1381" customWidth="1"/>
    <col min="14088" max="14088" width="9.19921875" style="1381" customWidth="1"/>
    <col min="14089" max="14089" width="18.09765625" style="1381" customWidth="1"/>
    <col min="14090" max="14090" width="15.19921875" style="1381" customWidth="1"/>
    <col min="14091" max="14336" width="9" style="1381"/>
    <col min="14337" max="14337" width="6.09765625" style="1381" customWidth="1"/>
    <col min="14338" max="14338" width="19.8984375" style="1381" customWidth="1"/>
    <col min="14339" max="14339" width="20.69921875" style="1381" customWidth="1"/>
    <col min="14340" max="14340" width="18.5" style="1381" customWidth="1"/>
    <col min="14341" max="14341" width="15.69921875" style="1381" customWidth="1"/>
    <col min="14342" max="14342" width="16.09765625" style="1381" customWidth="1"/>
    <col min="14343" max="14343" width="18.09765625" style="1381" customWidth="1"/>
    <col min="14344" max="14344" width="9.19921875" style="1381" customWidth="1"/>
    <col min="14345" max="14345" width="18.09765625" style="1381" customWidth="1"/>
    <col min="14346" max="14346" width="15.19921875" style="1381" customWidth="1"/>
    <col min="14347" max="14592" width="9" style="1381"/>
    <col min="14593" max="14593" width="6.09765625" style="1381" customWidth="1"/>
    <col min="14594" max="14594" width="19.8984375" style="1381" customWidth="1"/>
    <col min="14595" max="14595" width="20.69921875" style="1381" customWidth="1"/>
    <col min="14596" max="14596" width="18.5" style="1381" customWidth="1"/>
    <col min="14597" max="14597" width="15.69921875" style="1381" customWidth="1"/>
    <col min="14598" max="14598" width="16.09765625" style="1381" customWidth="1"/>
    <col min="14599" max="14599" width="18.09765625" style="1381" customWidth="1"/>
    <col min="14600" max="14600" width="9.19921875" style="1381" customWidth="1"/>
    <col min="14601" max="14601" width="18.09765625" style="1381" customWidth="1"/>
    <col min="14602" max="14602" width="15.19921875" style="1381" customWidth="1"/>
    <col min="14603" max="14848" width="9" style="1381"/>
    <col min="14849" max="14849" width="6.09765625" style="1381" customWidth="1"/>
    <col min="14850" max="14850" width="19.8984375" style="1381" customWidth="1"/>
    <col min="14851" max="14851" width="20.69921875" style="1381" customWidth="1"/>
    <col min="14852" max="14852" width="18.5" style="1381" customWidth="1"/>
    <col min="14853" max="14853" width="15.69921875" style="1381" customWidth="1"/>
    <col min="14854" max="14854" width="16.09765625" style="1381" customWidth="1"/>
    <col min="14855" max="14855" width="18.09765625" style="1381" customWidth="1"/>
    <col min="14856" max="14856" width="9.19921875" style="1381" customWidth="1"/>
    <col min="14857" max="14857" width="18.09765625" style="1381" customWidth="1"/>
    <col min="14858" max="14858" width="15.19921875" style="1381" customWidth="1"/>
    <col min="14859" max="15104" width="9" style="1381"/>
    <col min="15105" max="15105" width="6.09765625" style="1381" customWidth="1"/>
    <col min="15106" max="15106" width="19.8984375" style="1381" customWidth="1"/>
    <col min="15107" max="15107" width="20.69921875" style="1381" customWidth="1"/>
    <col min="15108" max="15108" width="18.5" style="1381" customWidth="1"/>
    <col min="15109" max="15109" width="15.69921875" style="1381" customWidth="1"/>
    <col min="15110" max="15110" width="16.09765625" style="1381" customWidth="1"/>
    <col min="15111" max="15111" width="18.09765625" style="1381" customWidth="1"/>
    <col min="15112" max="15112" width="9.19921875" style="1381" customWidth="1"/>
    <col min="15113" max="15113" width="18.09765625" style="1381" customWidth="1"/>
    <col min="15114" max="15114" width="15.19921875" style="1381" customWidth="1"/>
    <col min="15115" max="15360" width="9" style="1381"/>
    <col min="15361" max="15361" width="6.09765625" style="1381" customWidth="1"/>
    <col min="15362" max="15362" width="19.8984375" style="1381" customWidth="1"/>
    <col min="15363" max="15363" width="20.69921875" style="1381" customWidth="1"/>
    <col min="15364" max="15364" width="18.5" style="1381" customWidth="1"/>
    <col min="15365" max="15365" width="15.69921875" style="1381" customWidth="1"/>
    <col min="15366" max="15366" width="16.09765625" style="1381" customWidth="1"/>
    <col min="15367" max="15367" width="18.09765625" style="1381" customWidth="1"/>
    <col min="15368" max="15368" width="9.19921875" style="1381" customWidth="1"/>
    <col min="15369" max="15369" width="18.09765625" style="1381" customWidth="1"/>
    <col min="15370" max="15370" width="15.19921875" style="1381" customWidth="1"/>
    <col min="15371" max="15616" width="9" style="1381"/>
    <col min="15617" max="15617" width="6.09765625" style="1381" customWidth="1"/>
    <col min="15618" max="15618" width="19.8984375" style="1381" customWidth="1"/>
    <col min="15619" max="15619" width="20.69921875" style="1381" customWidth="1"/>
    <col min="15620" max="15620" width="18.5" style="1381" customWidth="1"/>
    <col min="15621" max="15621" width="15.69921875" style="1381" customWidth="1"/>
    <col min="15622" max="15622" width="16.09765625" style="1381" customWidth="1"/>
    <col min="15623" max="15623" width="18.09765625" style="1381" customWidth="1"/>
    <col min="15624" max="15624" width="9.19921875" style="1381" customWidth="1"/>
    <col min="15625" max="15625" width="18.09765625" style="1381" customWidth="1"/>
    <col min="15626" max="15626" width="15.19921875" style="1381" customWidth="1"/>
    <col min="15627" max="15872" width="9" style="1381"/>
    <col min="15873" max="15873" width="6.09765625" style="1381" customWidth="1"/>
    <col min="15874" max="15874" width="19.8984375" style="1381" customWidth="1"/>
    <col min="15875" max="15875" width="20.69921875" style="1381" customWidth="1"/>
    <col min="15876" max="15876" width="18.5" style="1381" customWidth="1"/>
    <col min="15877" max="15877" width="15.69921875" style="1381" customWidth="1"/>
    <col min="15878" max="15878" width="16.09765625" style="1381" customWidth="1"/>
    <col min="15879" max="15879" width="18.09765625" style="1381" customWidth="1"/>
    <col min="15880" max="15880" width="9.19921875" style="1381" customWidth="1"/>
    <col min="15881" max="15881" width="18.09765625" style="1381" customWidth="1"/>
    <col min="15882" max="15882" width="15.19921875" style="1381" customWidth="1"/>
    <col min="15883" max="16128" width="9" style="1381"/>
    <col min="16129" max="16129" width="6.09765625" style="1381" customWidth="1"/>
    <col min="16130" max="16130" width="19.8984375" style="1381" customWidth="1"/>
    <col min="16131" max="16131" width="20.69921875" style="1381" customWidth="1"/>
    <col min="16132" max="16132" width="18.5" style="1381" customWidth="1"/>
    <col min="16133" max="16133" width="15.69921875" style="1381" customWidth="1"/>
    <col min="16134" max="16134" width="16.09765625" style="1381" customWidth="1"/>
    <col min="16135" max="16135" width="18.09765625" style="1381" customWidth="1"/>
    <col min="16136" max="16136" width="9.19921875" style="1381" customWidth="1"/>
    <col min="16137" max="16137" width="18.09765625" style="1381" customWidth="1"/>
    <col min="16138" max="16138" width="15.19921875" style="1381" customWidth="1"/>
    <col min="16139" max="16384" width="9" style="1381"/>
  </cols>
  <sheetData>
    <row r="1" spans="1:10">
      <c r="A1" s="1398" t="s">
        <v>2410</v>
      </c>
      <c r="B1" s="1398"/>
      <c r="C1" s="1398"/>
      <c r="D1" s="1398"/>
    </row>
    <row r="2" spans="1:10" ht="46.5" customHeight="1">
      <c r="A2" s="3797" t="s">
        <v>2411</v>
      </c>
      <c r="B2" s="3798"/>
      <c r="C2" s="3798"/>
      <c r="D2" s="3798"/>
      <c r="E2" s="3798"/>
      <c r="F2" s="3798"/>
      <c r="G2" s="3798"/>
      <c r="H2" s="3798"/>
      <c r="I2" s="3798"/>
    </row>
    <row r="3" spans="1:10" ht="16.2" thickBot="1">
      <c r="A3" s="1399" t="s">
        <v>2412</v>
      </c>
      <c r="B3" s="1486"/>
      <c r="C3" s="1486"/>
      <c r="D3" s="1486"/>
      <c r="E3" s="1486"/>
      <c r="F3" s="1486"/>
      <c r="G3" s="1486"/>
      <c r="H3" s="1486"/>
      <c r="I3" s="1486"/>
    </row>
    <row r="4" spans="1:10" ht="20.100000000000001" customHeight="1">
      <c r="A4" s="3799" t="s">
        <v>2413</v>
      </c>
      <c r="B4" s="3800"/>
      <c r="C4" s="3800"/>
      <c r="D4" s="3800"/>
      <c r="E4" s="3800"/>
      <c r="F4" s="3800"/>
      <c r="G4" s="3800"/>
      <c r="H4" s="3800"/>
      <c r="I4" s="3800"/>
      <c r="J4" s="1487" t="s">
        <v>2414</v>
      </c>
    </row>
    <row r="5" spans="1:10" ht="20.100000000000001" customHeight="1">
      <c r="A5" s="3801" t="s">
        <v>2415</v>
      </c>
      <c r="B5" s="3802"/>
      <c r="C5" s="3801" t="s">
        <v>2416</v>
      </c>
      <c r="D5" s="3801" t="s">
        <v>1623</v>
      </c>
      <c r="E5" s="3801" t="s">
        <v>2417</v>
      </c>
      <c r="F5" s="3802"/>
      <c r="G5" s="3801" t="s">
        <v>2418</v>
      </c>
      <c r="H5" s="3802"/>
      <c r="I5" s="3801" t="s">
        <v>2419</v>
      </c>
      <c r="J5" s="3813" t="s">
        <v>2420</v>
      </c>
    </row>
    <row r="6" spans="1:10" ht="20.100000000000001" customHeight="1">
      <c r="A6" s="3803"/>
      <c r="B6" s="3804"/>
      <c r="C6" s="3803"/>
      <c r="D6" s="3803"/>
      <c r="E6" s="3803"/>
      <c r="F6" s="3804"/>
      <c r="G6" s="3803"/>
      <c r="H6" s="3804"/>
      <c r="I6" s="3803"/>
      <c r="J6" s="3814"/>
    </row>
    <row r="7" spans="1:10" ht="20.100000000000001" customHeight="1">
      <c r="A7" s="3816"/>
      <c r="B7" s="3817"/>
      <c r="C7" s="1488"/>
      <c r="D7" s="1488"/>
      <c r="E7" s="3817"/>
      <c r="F7" s="3817"/>
      <c r="G7" s="3817"/>
      <c r="H7" s="3817"/>
      <c r="I7" s="1489"/>
      <c r="J7" s="3814"/>
    </row>
    <row r="8" spans="1:10" s="1490" customFormat="1" ht="20.100000000000001" customHeight="1">
      <c r="A8" s="3818" t="s">
        <v>2421</v>
      </c>
      <c r="B8" s="3819"/>
      <c r="C8" s="3819"/>
      <c r="D8" s="3819"/>
      <c r="E8" s="3819"/>
      <c r="F8" s="3819"/>
      <c r="G8" s="3819"/>
      <c r="H8" s="3819"/>
      <c r="I8" s="3819"/>
      <c r="J8" s="3814"/>
    </row>
    <row r="9" spans="1:10" ht="20.100000000000001" customHeight="1">
      <c r="A9" s="3820" t="s">
        <v>454</v>
      </c>
      <c r="B9" s="3801" t="s">
        <v>2422</v>
      </c>
      <c r="C9" s="3801" t="s">
        <v>2423</v>
      </c>
      <c r="D9" s="3822" t="s">
        <v>2424</v>
      </c>
      <c r="E9" s="3823"/>
      <c r="F9" s="3823"/>
      <c r="G9" s="3824"/>
      <c r="H9" s="3805" t="s">
        <v>2425</v>
      </c>
      <c r="I9" s="3805" t="s">
        <v>2426</v>
      </c>
      <c r="J9" s="3814"/>
    </row>
    <row r="10" spans="1:10" ht="30" customHeight="1">
      <c r="A10" s="3821"/>
      <c r="B10" s="3803"/>
      <c r="C10" s="3803"/>
      <c r="D10" s="1483" t="s">
        <v>2427</v>
      </c>
      <c r="E10" s="1481" t="s">
        <v>2428</v>
      </c>
      <c r="F10" s="1481" t="s">
        <v>2429</v>
      </c>
      <c r="G10" s="1481" t="s">
        <v>2430</v>
      </c>
      <c r="H10" s="3806"/>
      <c r="I10" s="3806"/>
      <c r="J10" s="3814"/>
    </row>
    <row r="11" spans="1:10" ht="20.100000000000001" customHeight="1">
      <c r="A11" s="1491"/>
      <c r="B11" s="1488"/>
      <c r="C11" s="1488"/>
      <c r="D11" s="1492"/>
      <c r="E11" s="1403"/>
      <c r="F11" s="1403"/>
      <c r="G11" s="1403"/>
      <c r="H11" s="1402"/>
      <c r="I11" s="1493"/>
      <c r="J11" s="3814"/>
    </row>
    <row r="12" spans="1:10" ht="20.100000000000001" customHeight="1">
      <c r="A12" s="1491"/>
      <c r="B12" s="1488"/>
      <c r="C12" s="1488"/>
      <c r="D12" s="1403"/>
      <c r="E12" s="1403"/>
      <c r="F12" s="1403"/>
      <c r="G12" s="1403"/>
      <c r="H12" s="1402"/>
      <c r="I12" s="1493"/>
      <c r="J12" s="3814"/>
    </row>
    <row r="13" spans="1:10" ht="20.100000000000001" customHeight="1">
      <c r="A13" s="1491"/>
      <c r="B13" s="1488"/>
      <c r="C13" s="1488"/>
      <c r="D13" s="1403"/>
      <c r="E13" s="1403"/>
      <c r="F13" s="1493"/>
      <c r="G13" s="1403"/>
      <c r="H13" s="1402"/>
      <c r="I13" s="1493"/>
      <c r="J13" s="3814"/>
    </row>
    <row r="14" spans="1:10" ht="20.100000000000001" customHeight="1">
      <c r="A14" s="1491"/>
      <c r="B14" s="1482"/>
      <c r="C14" s="1488"/>
      <c r="D14" s="1404"/>
      <c r="E14" s="1404"/>
      <c r="F14" s="1493"/>
      <c r="G14" s="1403"/>
      <c r="H14" s="1405"/>
      <c r="I14" s="1484"/>
      <c r="J14" s="3814"/>
    </row>
    <row r="15" spans="1:10" ht="20.100000000000001" customHeight="1">
      <c r="A15" s="1491"/>
      <c r="B15" s="1482"/>
      <c r="C15" s="1488"/>
      <c r="D15" s="1404"/>
      <c r="E15" s="1404"/>
      <c r="F15" s="1493"/>
      <c r="G15" s="1403"/>
      <c r="H15" s="1405"/>
      <c r="I15" s="1484"/>
      <c r="J15" s="3814"/>
    </row>
    <row r="16" spans="1:10" ht="20.100000000000001" customHeight="1">
      <c r="A16" s="1491"/>
      <c r="B16" s="1482"/>
      <c r="C16" s="1488"/>
      <c r="D16" s="1404"/>
      <c r="E16" s="1404"/>
      <c r="F16" s="1493"/>
      <c r="G16" s="1403"/>
      <c r="H16" s="1405"/>
      <c r="I16" s="1484"/>
      <c r="J16" s="3814"/>
    </row>
    <row r="17" spans="1:10" ht="20.100000000000001" customHeight="1">
      <c r="A17" s="1491"/>
      <c r="B17" s="1482"/>
      <c r="C17" s="1488"/>
      <c r="D17" s="1404"/>
      <c r="E17" s="1404"/>
      <c r="F17" s="1493"/>
      <c r="G17" s="1403"/>
      <c r="H17" s="1405"/>
      <c r="I17" s="1484"/>
      <c r="J17" s="3814"/>
    </row>
    <row r="18" spans="1:10" ht="20.100000000000001" customHeight="1">
      <c r="A18" s="1491"/>
      <c r="B18" s="1482"/>
      <c r="C18" s="1488"/>
      <c r="D18" s="1404"/>
      <c r="E18" s="1404"/>
      <c r="F18" s="1403"/>
      <c r="G18" s="1403"/>
      <c r="H18" s="1405"/>
      <c r="I18" s="1484"/>
      <c r="J18" s="3814"/>
    </row>
    <row r="19" spans="1:10" ht="20.100000000000001" customHeight="1">
      <c r="A19" s="1491"/>
      <c r="B19" s="1482"/>
      <c r="C19" s="1488"/>
      <c r="D19" s="1404"/>
      <c r="E19" s="1404"/>
      <c r="F19" s="1403"/>
      <c r="G19" s="1403"/>
      <c r="H19" s="1405"/>
      <c r="I19" s="1484"/>
      <c r="J19" s="3814"/>
    </row>
    <row r="20" spans="1:10" ht="20.100000000000001" customHeight="1">
      <c r="A20" s="1491"/>
      <c r="B20" s="1482"/>
      <c r="C20" s="1488"/>
      <c r="D20" s="1404"/>
      <c r="E20" s="1404"/>
      <c r="F20" s="1403"/>
      <c r="G20" s="1403"/>
      <c r="H20" s="1405"/>
      <c r="I20" s="1484"/>
      <c r="J20" s="3814"/>
    </row>
    <row r="21" spans="1:10" ht="20.100000000000001" customHeight="1">
      <c r="A21" s="1491"/>
      <c r="B21" s="1482"/>
      <c r="C21" s="1488"/>
      <c r="D21" s="1404"/>
      <c r="E21" s="1404"/>
      <c r="F21" s="1403"/>
      <c r="G21" s="1403"/>
      <c r="H21" s="1405"/>
      <c r="I21" s="1484"/>
      <c r="J21" s="3814"/>
    </row>
    <row r="22" spans="1:10" ht="20.100000000000001" customHeight="1">
      <c r="A22" s="1491"/>
      <c r="B22" s="1482"/>
      <c r="C22" s="1488"/>
      <c r="D22" s="1404"/>
      <c r="E22" s="1404"/>
      <c r="F22" s="1403"/>
      <c r="G22" s="1403"/>
      <c r="H22" s="1405"/>
      <c r="I22" s="1484"/>
      <c r="J22" s="3814"/>
    </row>
    <row r="23" spans="1:10" ht="20.100000000000001" customHeight="1">
      <c r="A23" s="1491"/>
      <c r="B23" s="1482"/>
      <c r="C23" s="1488"/>
      <c r="D23" s="1404"/>
      <c r="E23" s="1404"/>
      <c r="F23" s="1403"/>
      <c r="G23" s="1403"/>
      <c r="H23" s="1405"/>
      <c r="I23" s="1484"/>
      <c r="J23" s="3814"/>
    </row>
    <row r="24" spans="1:10" ht="20.100000000000001" customHeight="1">
      <c r="A24" s="1491"/>
      <c r="B24" s="1482"/>
      <c r="C24" s="1488"/>
      <c r="D24" s="1404"/>
      <c r="E24" s="1404"/>
      <c r="F24" s="1403"/>
      <c r="G24" s="1403"/>
      <c r="H24" s="1405"/>
      <c r="I24" s="1484"/>
      <c r="J24" s="3814"/>
    </row>
    <row r="25" spans="1:10" ht="20.100000000000001" customHeight="1" thickBot="1">
      <c r="A25" s="3807" t="s">
        <v>2431</v>
      </c>
      <c r="B25" s="3808"/>
      <c r="C25" s="1494" t="s">
        <v>1243</v>
      </c>
      <c r="D25" s="1495"/>
      <c r="E25" s="1495"/>
      <c r="F25" s="1495"/>
      <c r="G25" s="1495"/>
      <c r="H25" s="1496"/>
      <c r="I25" s="1497"/>
      <c r="J25" s="3815"/>
    </row>
    <row r="26" spans="1:10">
      <c r="A26" s="3809"/>
      <c r="B26" s="3810"/>
      <c r="C26" s="3809"/>
      <c r="D26" s="3809"/>
      <c r="E26" s="3809"/>
      <c r="F26" s="3809"/>
      <c r="G26" s="3809"/>
      <c r="H26" s="3809"/>
      <c r="I26" s="3809"/>
    </row>
    <row r="27" spans="1:10" ht="175.5" customHeight="1">
      <c r="A27" s="3811" t="s">
        <v>2432</v>
      </c>
      <c r="B27" s="3812"/>
      <c r="C27" s="3812"/>
      <c r="D27" s="3812"/>
      <c r="E27" s="3812"/>
      <c r="F27" s="3812"/>
      <c r="G27" s="3812"/>
    </row>
  </sheetData>
  <mergeCells count="22">
    <mergeCell ref="I9:I10"/>
    <mergeCell ref="A25:B25"/>
    <mergeCell ref="A26:I26"/>
    <mergeCell ref="A27:G27"/>
    <mergeCell ref="J5:J25"/>
    <mergeCell ref="A7:B7"/>
    <mergeCell ref="E7:F7"/>
    <mergeCell ref="G7:H7"/>
    <mergeCell ref="A8:I8"/>
    <mergeCell ref="A9:A10"/>
    <mergeCell ref="B9:B10"/>
    <mergeCell ref="C9:C10"/>
    <mergeCell ref="D9:G9"/>
    <mergeCell ref="H9:H10"/>
    <mergeCell ref="A2:I2"/>
    <mergeCell ref="A4:I4"/>
    <mergeCell ref="A5:B6"/>
    <mergeCell ref="C5:C6"/>
    <mergeCell ref="D5:D6"/>
    <mergeCell ref="E5:F6"/>
    <mergeCell ref="G5:H6"/>
    <mergeCell ref="I5:I6"/>
  </mergeCells>
  <phoneticPr fontId="51" type="noConversion"/>
  <pageMargins left="0.78740157480314998" right="0.35433070866141703" top="0.511811023622047" bottom="0.11811023622047198" header="0.511811023622047" footer="0.511811023622047"/>
  <pageSetup paperSize="9" orientation="landscape" useFirstPageNumber="1" r:id="rId1"/>
  <headerFooter alignWithMargins="0"/>
</worksheet>
</file>

<file path=xl/worksheets/sheet1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08">
    <tabColor rgb="FF00B050"/>
  </sheetPr>
  <dimension ref="A1:E23"/>
  <sheetViews>
    <sheetView workbookViewId="0">
      <selection activeCell="M25" sqref="M25"/>
    </sheetView>
  </sheetViews>
  <sheetFormatPr defaultRowHeight="21" customHeight="1"/>
  <cols>
    <col min="1" max="1" width="25.69921875" style="1390" customWidth="1"/>
    <col min="2" max="4" width="25" style="1412" customWidth="1"/>
    <col min="5" max="5" width="19" style="1390" customWidth="1"/>
    <col min="6" max="256" width="9" style="1381"/>
    <col min="257" max="257" width="25.69921875" style="1381" customWidth="1"/>
    <col min="258" max="260" width="25" style="1381" customWidth="1"/>
    <col min="261" max="261" width="19" style="1381" customWidth="1"/>
    <col min="262" max="512" width="9" style="1381"/>
    <col min="513" max="513" width="25.69921875" style="1381" customWidth="1"/>
    <col min="514" max="516" width="25" style="1381" customWidth="1"/>
    <col min="517" max="517" width="19" style="1381" customWidth="1"/>
    <col min="518" max="768" width="9" style="1381"/>
    <col min="769" max="769" width="25.69921875" style="1381" customWidth="1"/>
    <col min="770" max="772" width="25" style="1381" customWidth="1"/>
    <col min="773" max="773" width="19" style="1381" customWidth="1"/>
    <col min="774" max="1024" width="9" style="1381"/>
    <col min="1025" max="1025" width="25.69921875" style="1381" customWidth="1"/>
    <col min="1026" max="1028" width="25" style="1381" customWidth="1"/>
    <col min="1029" max="1029" width="19" style="1381" customWidth="1"/>
    <col min="1030" max="1280" width="9" style="1381"/>
    <col min="1281" max="1281" width="25.69921875" style="1381" customWidth="1"/>
    <col min="1282" max="1284" width="25" style="1381" customWidth="1"/>
    <col min="1285" max="1285" width="19" style="1381" customWidth="1"/>
    <col min="1286" max="1536" width="9" style="1381"/>
    <col min="1537" max="1537" width="25.69921875" style="1381" customWidth="1"/>
    <col min="1538" max="1540" width="25" style="1381" customWidth="1"/>
    <col min="1541" max="1541" width="19" style="1381" customWidth="1"/>
    <col min="1542" max="1792" width="9" style="1381"/>
    <col min="1793" max="1793" width="25.69921875" style="1381" customWidth="1"/>
    <col min="1794" max="1796" width="25" style="1381" customWidth="1"/>
    <col min="1797" max="1797" width="19" style="1381" customWidth="1"/>
    <col min="1798" max="2048" width="9" style="1381"/>
    <col min="2049" max="2049" width="25.69921875" style="1381" customWidth="1"/>
    <col min="2050" max="2052" width="25" style="1381" customWidth="1"/>
    <col min="2053" max="2053" width="19" style="1381" customWidth="1"/>
    <col min="2054" max="2304" width="9" style="1381"/>
    <col min="2305" max="2305" width="25.69921875" style="1381" customWidth="1"/>
    <col min="2306" max="2308" width="25" style="1381" customWidth="1"/>
    <col min="2309" max="2309" width="19" style="1381" customWidth="1"/>
    <col min="2310" max="2560" width="9" style="1381"/>
    <col min="2561" max="2561" width="25.69921875" style="1381" customWidth="1"/>
    <col min="2562" max="2564" width="25" style="1381" customWidth="1"/>
    <col min="2565" max="2565" width="19" style="1381" customWidth="1"/>
    <col min="2566" max="2816" width="9" style="1381"/>
    <col min="2817" max="2817" width="25.69921875" style="1381" customWidth="1"/>
    <col min="2818" max="2820" width="25" style="1381" customWidth="1"/>
    <col min="2821" max="2821" width="19" style="1381" customWidth="1"/>
    <col min="2822" max="3072" width="9" style="1381"/>
    <col min="3073" max="3073" width="25.69921875" style="1381" customWidth="1"/>
    <col min="3074" max="3076" width="25" style="1381" customWidth="1"/>
    <col min="3077" max="3077" width="19" style="1381" customWidth="1"/>
    <col min="3078" max="3328" width="9" style="1381"/>
    <col min="3329" max="3329" width="25.69921875" style="1381" customWidth="1"/>
    <col min="3330" max="3332" width="25" style="1381" customWidth="1"/>
    <col min="3333" max="3333" width="19" style="1381" customWidth="1"/>
    <col min="3334" max="3584" width="9" style="1381"/>
    <col min="3585" max="3585" width="25.69921875" style="1381" customWidth="1"/>
    <col min="3586" max="3588" width="25" style="1381" customWidth="1"/>
    <col min="3589" max="3589" width="19" style="1381" customWidth="1"/>
    <col min="3590" max="3840" width="9" style="1381"/>
    <col min="3841" max="3841" width="25.69921875" style="1381" customWidth="1"/>
    <col min="3842" max="3844" width="25" style="1381" customWidth="1"/>
    <col min="3845" max="3845" width="19" style="1381" customWidth="1"/>
    <col min="3846" max="4096" width="9" style="1381"/>
    <col min="4097" max="4097" width="25.69921875" style="1381" customWidth="1"/>
    <col min="4098" max="4100" width="25" style="1381" customWidth="1"/>
    <col min="4101" max="4101" width="19" style="1381" customWidth="1"/>
    <col min="4102" max="4352" width="9" style="1381"/>
    <col min="4353" max="4353" width="25.69921875" style="1381" customWidth="1"/>
    <col min="4354" max="4356" width="25" style="1381" customWidth="1"/>
    <col min="4357" max="4357" width="19" style="1381" customWidth="1"/>
    <col min="4358" max="4608" width="9" style="1381"/>
    <col min="4609" max="4609" width="25.69921875" style="1381" customWidth="1"/>
    <col min="4610" max="4612" width="25" style="1381" customWidth="1"/>
    <col min="4613" max="4613" width="19" style="1381" customWidth="1"/>
    <col min="4614" max="4864" width="9" style="1381"/>
    <col min="4865" max="4865" width="25.69921875" style="1381" customWidth="1"/>
    <col min="4866" max="4868" width="25" style="1381" customWidth="1"/>
    <col min="4869" max="4869" width="19" style="1381" customWidth="1"/>
    <col min="4870" max="5120" width="9" style="1381"/>
    <col min="5121" max="5121" width="25.69921875" style="1381" customWidth="1"/>
    <col min="5122" max="5124" width="25" style="1381" customWidth="1"/>
    <col min="5125" max="5125" width="19" style="1381" customWidth="1"/>
    <col min="5126" max="5376" width="9" style="1381"/>
    <col min="5377" max="5377" width="25.69921875" style="1381" customWidth="1"/>
    <col min="5378" max="5380" width="25" style="1381" customWidth="1"/>
    <col min="5381" max="5381" width="19" style="1381" customWidth="1"/>
    <col min="5382" max="5632" width="9" style="1381"/>
    <col min="5633" max="5633" width="25.69921875" style="1381" customWidth="1"/>
    <col min="5634" max="5636" width="25" style="1381" customWidth="1"/>
    <col min="5637" max="5637" width="19" style="1381" customWidth="1"/>
    <col min="5638" max="5888" width="9" style="1381"/>
    <col min="5889" max="5889" width="25.69921875" style="1381" customWidth="1"/>
    <col min="5890" max="5892" width="25" style="1381" customWidth="1"/>
    <col min="5893" max="5893" width="19" style="1381" customWidth="1"/>
    <col min="5894" max="6144" width="9" style="1381"/>
    <col min="6145" max="6145" width="25.69921875" style="1381" customWidth="1"/>
    <col min="6146" max="6148" width="25" style="1381" customWidth="1"/>
    <col min="6149" max="6149" width="19" style="1381" customWidth="1"/>
    <col min="6150" max="6400" width="9" style="1381"/>
    <col min="6401" max="6401" width="25.69921875" style="1381" customWidth="1"/>
    <col min="6402" max="6404" width="25" style="1381" customWidth="1"/>
    <col min="6405" max="6405" width="19" style="1381" customWidth="1"/>
    <col min="6406" max="6656" width="9" style="1381"/>
    <col min="6657" max="6657" width="25.69921875" style="1381" customWidth="1"/>
    <col min="6658" max="6660" width="25" style="1381" customWidth="1"/>
    <col min="6661" max="6661" width="19" style="1381" customWidth="1"/>
    <col min="6662" max="6912" width="9" style="1381"/>
    <col min="6913" max="6913" width="25.69921875" style="1381" customWidth="1"/>
    <col min="6914" max="6916" width="25" style="1381" customWidth="1"/>
    <col min="6917" max="6917" width="19" style="1381" customWidth="1"/>
    <col min="6918" max="7168" width="9" style="1381"/>
    <col min="7169" max="7169" width="25.69921875" style="1381" customWidth="1"/>
    <col min="7170" max="7172" width="25" style="1381" customWidth="1"/>
    <col min="7173" max="7173" width="19" style="1381" customWidth="1"/>
    <col min="7174" max="7424" width="9" style="1381"/>
    <col min="7425" max="7425" width="25.69921875" style="1381" customWidth="1"/>
    <col min="7426" max="7428" width="25" style="1381" customWidth="1"/>
    <col min="7429" max="7429" width="19" style="1381" customWidth="1"/>
    <col min="7430" max="7680" width="9" style="1381"/>
    <col min="7681" max="7681" width="25.69921875" style="1381" customWidth="1"/>
    <col min="7682" max="7684" width="25" style="1381" customWidth="1"/>
    <col min="7685" max="7685" width="19" style="1381" customWidth="1"/>
    <col min="7686" max="7936" width="9" style="1381"/>
    <col min="7937" max="7937" width="25.69921875" style="1381" customWidth="1"/>
    <col min="7938" max="7940" width="25" style="1381" customWidth="1"/>
    <col min="7941" max="7941" width="19" style="1381" customWidth="1"/>
    <col min="7942" max="8192" width="9" style="1381"/>
    <col min="8193" max="8193" width="25.69921875" style="1381" customWidth="1"/>
    <col min="8194" max="8196" width="25" style="1381" customWidth="1"/>
    <col min="8197" max="8197" width="19" style="1381" customWidth="1"/>
    <col min="8198" max="8448" width="9" style="1381"/>
    <col min="8449" max="8449" width="25.69921875" style="1381" customWidth="1"/>
    <col min="8450" max="8452" width="25" style="1381" customWidth="1"/>
    <col min="8453" max="8453" width="19" style="1381" customWidth="1"/>
    <col min="8454" max="8704" width="9" style="1381"/>
    <col min="8705" max="8705" width="25.69921875" style="1381" customWidth="1"/>
    <col min="8706" max="8708" width="25" style="1381" customWidth="1"/>
    <col min="8709" max="8709" width="19" style="1381" customWidth="1"/>
    <col min="8710" max="8960" width="9" style="1381"/>
    <col min="8961" max="8961" width="25.69921875" style="1381" customWidth="1"/>
    <col min="8962" max="8964" width="25" style="1381" customWidth="1"/>
    <col min="8965" max="8965" width="19" style="1381" customWidth="1"/>
    <col min="8966" max="9216" width="9" style="1381"/>
    <col min="9217" max="9217" width="25.69921875" style="1381" customWidth="1"/>
    <col min="9218" max="9220" width="25" style="1381" customWidth="1"/>
    <col min="9221" max="9221" width="19" style="1381" customWidth="1"/>
    <col min="9222" max="9472" width="9" style="1381"/>
    <col min="9473" max="9473" width="25.69921875" style="1381" customWidth="1"/>
    <col min="9474" max="9476" width="25" style="1381" customWidth="1"/>
    <col min="9477" max="9477" width="19" style="1381" customWidth="1"/>
    <col min="9478" max="9728" width="9" style="1381"/>
    <col min="9729" max="9729" width="25.69921875" style="1381" customWidth="1"/>
    <col min="9730" max="9732" width="25" style="1381" customWidth="1"/>
    <col min="9733" max="9733" width="19" style="1381" customWidth="1"/>
    <col min="9734" max="9984" width="9" style="1381"/>
    <col min="9985" max="9985" width="25.69921875" style="1381" customWidth="1"/>
    <col min="9986" max="9988" width="25" style="1381" customWidth="1"/>
    <col min="9989" max="9989" width="19" style="1381" customWidth="1"/>
    <col min="9990" max="10240" width="9" style="1381"/>
    <col min="10241" max="10241" width="25.69921875" style="1381" customWidth="1"/>
    <col min="10242" max="10244" width="25" style="1381" customWidth="1"/>
    <col min="10245" max="10245" width="19" style="1381" customWidth="1"/>
    <col min="10246" max="10496" width="9" style="1381"/>
    <col min="10497" max="10497" width="25.69921875" style="1381" customWidth="1"/>
    <col min="10498" max="10500" width="25" style="1381" customWidth="1"/>
    <col min="10501" max="10501" width="19" style="1381" customWidth="1"/>
    <col min="10502" max="10752" width="9" style="1381"/>
    <col min="10753" max="10753" width="25.69921875" style="1381" customWidth="1"/>
    <col min="10754" max="10756" width="25" style="1381" customWidth="1"/>
    <col min="10757" max="10757" width="19" style="1381" customWidth="1"/>
    <col min="10758" max="11008" width="9" style="1381"/>
    <col min="11009" max="11009" width="25.69921875" style="1381" customWidth="1"/>
    <col min="11010" max="11012" width="25" style="1381" customWidth="1"/>
    <col min="11013" max="11013" width="19" style="1381" customWidth="1"/>
    <col min="11014" max="11264" width="9" style="1381"/>
    <col min="11265" max="11265" width="25.69921875" style="1381" customWidth="1"/>
    <col min="11266" max="11268" width="25" style="1381" customWidth="1"/>
    <col min="11269" max="11269" width="19" style="1381" customWidth="1"/>
    <col min="11270" max="11520" width="9" style="1381"/>
    <col min="11521" max="11521" width="25.69921875" style="1381" customWidth="1"/>
    <col min="11522" max="11524" width="25" style="1381" customWidth="1"/>
    <col min="11525" max="11525" width="19" style="1381" customWidth="1"/>
    <col min="11526" max="11776" width="9" style="1381"/>
    <col min="11777" max="11777" width="25.69921875" style="1381" customWidth="1"/>
    <col min="11778" max="11780" width="25" style="1381" customWidth="1"/>
    <col min="11781" max="11781" width="19" style="1381" customWidth="1"/>
    <col min="11782" max="12032" width="9" style="1381"/>
    <col min="12033" max="12033" width="25.69921875" style="1381" customWidth="1"/>
    <col min="12034" max="12036" width="25" style="1381" customWidth="1"/>
    <col min="12037" max="12037" width="19" style="1381" customWidth="1"/>
    <col min="12038" max="12288" width="9" style="1381"/>
    <col min="12289" max="12289" width="25.69921875" style="1381" customWidth="1"/>
    <col min="12290" max="12292" width="25" style="1381" customWidth="1"/>
    <col min="12293" max="12293" width="19" style="1381" customWidth="1"/>
    <col min="12294" max="12544" width="9" style="1381"/>
    <col min="12545" max="12545" width="25.69921875" style="1381" customWidth="1"/>
    <col min="12546" max="12548" width="25" style="1381" customWidth="1"/>
    <col min="12549" max="12549" width="19" style="1381" customWidth="1"/>
    <col min="12550" max="12800" width="9" style="1381"/>
    <col min="12801" max="12801" width="25.69921875" style="1381" customWidth="1"/>
    <col min="12802" max="12804" width="25" style="1381" customWidth="1"/>
    <col min="12805" max="12805" width="19" style="1381" customWidth="1"/>
    <col min="12806" max="13056" width="9" style="1381"/>
    <col min="13057" max="13057" width="25.69921875" style="1381" customWidth="1"/>
    <col min="13058" max="13060" width="25" style="1381" customWidth="1"/>
    <col min="13061" max="13061" width="19" style="1381" customWidth="1"/>
    <col min="13062" max="13312" width="9" style="1381"/>
    <col min="13313" max="13313" width="25.69921875" style="1381" customWidth="1"/>
    <col min="13314" max="13316" width="25" style="1381" customWidth="1"/>
    <col min="13317" max="13317" width="19" style="1381" customWidth="1"/>
    <col min="13318" max="13568" width="9" style="1381"/>
    <col min="13569" max="13569" width="25.69921875" style="1381" customWidth="1"/>
    <col min="13570" max="13572" width="25" style="1381" customWidth="1"/>
    <col min="13573" max="13573" width="19" style="1381" customWidth="1"/>
    <col min="13574" max="13824" width="9" style="1381"/>
    <col min="13825" max="13825" width="25.69921875" style="1381" customWidth="1"/>
    <col min="13826" max="13828" width="25" style="1381" customWidth="1"/>
    <col min="13829" max="13829" width="19" style="1381" customWidth="1"/>
    <col min="13830" max="14080" width="9" style="1381"/>
    <col min="14081" max="14081" width="25.69921875" style="1381" customWidth="1"/>
    <col min="14082" max="14084" width="25" style="1381" customWidth="1"/>
    <col min="14085" max="14085" width="19" style="1381" customWidth="1"/>
    <col min="14086" max="14336" width="9" style="1381"/>
    <col min="14337" max="14337" width="25.69921875" style="1381" customWidth="1"/>
    <col min="14338" max="14340" width="25" style="1381" customWidth="1"/>
    <col min="14341" max="14341" width="19" style="1381" customWidth="1"/>
    <col min="14342" max="14592" width="9" style="1381"/>
    <col min="14593" max="14593" width="25.69921875" style="1381" customWidth="1"/>
    <col min="14594" max="14596" width="25" style="1381" customWidth="1"/>
    <col min="14597" max="14597" width="19" style="1381" customWidth="1"/>
    <col min="14598" max="14848" width="9" style="1381"/>
    <col min="14849" max="14849" width="25.69921875" style="1381" customWidth="1"/>
    <col min="14850" max="14852" width="25" style="1381" customWidth="1"/>
    <col min="14853" max="14853" width="19" style="1381" customWidth="1"/>
    <col min="14854" max="15104" width="9" style="1381"/>
    <col min="15105" max="15105" width="25.69921875" style="1381" customWidth="1"/>
    <col min="15106" max="15108" width="25" style="1381" customWidth="1"/>
    <col min="15109" max="15109" width="19" style="1381" customWidth="1"/>
    <col min="15110" max="15360" width="9" style="1381"/>
    <col min="15361" max="15361" width="25.69921875" style="1381" customWidth="1"/>
    <col min="15362" max="15364" width="25" style="1381" customWidth="1"/>
    <col min="15365" max="15365" width="19" style="1381" customWidth="1"/>
    <col min="15366" max="15616" width="9" style="1381"/>
    <col min="15617" max="15617" width="25.69921875" style="1381" customWidth="1"/>
    <col min="15618" max="15620" width="25" style="1381" customWidth="1"/>
    <col min="15621" max="15621" width="19" style="1381" customWidth="1"/>
    <col min="15622" max="15872" width="9" style="1381"/>
    <col min="15873" max="15873" width="25.69921875" style="1381" customWidth="1"/>
    <col min="15874" max="15876" width="25" style="1381" customWidth="1"/>
    <col min="15877" max="15877" width="19" style="1381" customWidth="1"/>
    <col min="15878" max="16128" width="9" style="1381"/>
    <col min="16129" max="16129" width="25.69921875" style="1381" customWidth="1"/>
    <col min="16130" max="16132" width="25" style="1381" customWidth="1"/>
    <col min="16133" max="16133" width="19" style="1381" customWidth="1"/>
    <col min="16134" max="16384" width="9" style="1381"/>
  </cols>
  <sheetData>
    <row r="1" spans="1:5" ht="21" customHeight="1">
      <c r="A1" s="3825" t="s">
        <v>1426</v>
      </c>
      <c r="B1" s="3825"/>
      <c r="C1" s="3825"/>
      <c r="D1" s="3825"/>
    </row>
    <row r="2" spans="1:5" s="1401" customFormat="1" ht="20.25" customHeight="1">
      <c r="A2" s="3826" t="s">
        <v>2344</v>
      </c>
      <c r="B2" s="3826"/>
      <c r="C2" s="3826"/>
      <c r="D2" s="3826"/>
      <c r="E2" s="3826"/>
    </row>
    <row r="3" spans="1:5" ht="19.5" customHeight="1">
      <c r="A3" s="3826"/>
      <c r="B3" s="3826"/>
      <c r="C3" s="3826"/>
      <c r="D3" s="3826"/>
      <c r="E3" s="3826"/>
    </row>
    <row r="4" spans="1:5" ht="21" customHeight="1">
      <c r="A4" s="3826"/>
      <c r="B4" s="3826"/>
      <c r="C4" s="3826"/>
      <c r="D4" s="3826"/>
      <c r="E4" s="3826"/>
    </row>
    <row r="5" spans="1:5" ht="21" customHeight="1">
      <c r="A5" s="1406"/>
      <c r="B5" s="1407"/>
      <c r="C5" s="1407"/>
      <c r="D5" s="1407" t="s">
        <v>2345</v>
      </c>
    </row>
    <row r="6" spans="1:5" ht="21" customHeight="1">
      <c r="A6" s="1382" t="s">
        <v>2346</v>
      </c>
      <c r="B6" s="1408" t="s">
        <v>1428</v>
      </c>
      <c r="C6" s="1408" t="s">
        <v>1429</v>
      </c>
      <c r="D6" s="1408" t="s">
        <v>2347</v>
      </c>
      <c r="E6" s="1382" t="s">
        <v>833</v>
      </c>
    </row>
    <row r="7" spans="1:5" ht="21" customHeight="1">
      <c r="A7" s="1409" t="str">
        <f>IF(AND(无限期结转扣除项目审核表!$F$6=0,无限期结转扣除项目审核表!I6=0),"",无限期结转扣除项目审核表!A6)</f>
        <v/>
      </c>
      <c r="B7" s="1409" t="str">
        <f>IF(AND(无限期结转扣除项目审核表!$F$6=0,无限期结转扣除项目审核表!I6=0),"",无限期结转扣除项目审核表!C6)</f>
        <v/>
      </c>
      <c r="C7" s="1409" t="str">
        <f>IF(AND(无限期结转扣除项目审核表!$F$6=0,无限期结转扣除项目审核表!I6=0),"",无限期结转扣除项目审核表!F6)</f>
        <v/>
      </c>
      <c r="D7" s="1409" t="str">
        <f>IF(AND(无限期结转扣除项目审核表!$F$6=0,无限期结转扣除项目审核表!I6=0),"",无限期结转扣除项目审核表!I6)</f>
        <v/>
      </c>
      <c r="E7" s="1409" t="str">
        <f>IF(AND(无限期结转扣除项目审核表!$F$6=0,无限期结转扣除项目审核表!I6=0),"",无限期结转扣除项目审核表!L6)</f>
        <v/>
      </c>
    </row>
    <row r="8" spans="1:5" ht="21" customHeight="1">
      <c r="A8" s="1409" t="str">
        <f>IF(AND(无限期结转扣除项目审核表!$F$7=0,无限期结转扣除项目审核表!I7=0),"",无限期结转扣除项目审核表!A7)</f>
        <v/>
      </c>
      <c r="B8" s="1409" t="str">
        <f>IF(AND(无限期结转扣除项目审核表!$F$7=0,无限期结转扣除项目审核表!I7=0),"",无限期结转扣除项目审核表!C7)</f>
        <v/>
      </c>
      <c r="C8" s="1409" t="str">
        <f>IF(AND(无限期结转扣除项目审核表!$F$7=0,无限期结转扣除项目审核表!I7=0),"",无限期结转扣除项目审核表!F7)</f>
        <v/>
      </c>
      <c r="D8" s="1409" t="str">
        <f>IF(AND(无限期结转扣除项目审核表!$F$7=0,无限期结转扣除项目审核表!I7=0),"",无限期结转扣除项目审核表!I7)</f>
        <v/>
      </c>
      <c r="E8" s="1409" t="str">
        <f>IF(AND(无限期结转扣除项目审核表!$F$7=0,无限期结转扣除项目审核表!I7=0),"",无限期结转扣除项目审核表!L7)</f>
        <v/>
      </c>
    </row>
    <row r="9" spans="1:5" ht="21" customHeight="1">
      <c r="A9" s="1409" t="str">
        <f>IF(AND(无限期结转扣除项目审核表!$F$8=0,无限期结转扣除项目审核表!I8=0),"",无限期结转扣除项目审核表!A8)</f>
        <v/>
      </c>
      <c r="B9" s="1409" t="str">
        <f>IF(AND(无限期结转扣除项目审核表!$F$7=0,无限期结转扣除项目审核表!I8=0),"",无限期结转扣除项目审核表!C8)</f>
        <v/>
      </c>
      <c r="C9" s="1409" t="str">
        <f>IF(AND(无限期结转扣除项目审核表!$F$7=0,无限期结转扣除项目审核表!I8=0),"",无限期结转扣除项目审核表!F8)</f>
        <v/>
      </c>
      <c r="D9" s="1409" t="str">
        <f>IF(AND(无限期结转扣除项目审核表!$F$7=0,无限期结转扣除项目审核表!I8=0),"",无限期结转扣除项目审核表!I8)</f>
        <v/>
      </c>
      <c r="E9" s="1409" t="str">
        <f>IF(AND(无限期结转扣除项目审核表!$F$7=0,无限期结转扣除项目审核表!I8=0),"",无限期结转扣除项目审核表!L8)</f>
        <v/>
      </c>
    </row>
    <row r="10" spans="1:5" ht="21" customHeight="1">
      <c r="A10" s="1409" t="str">
        <f>IF(AND(无限期结转扣除项目审核表!$F$9=0,无限期结转扣除项目审核表!I9=0),"",无限期结转扣除项目审核表!A9)</f>
        <v/>
      </c>
      <c r="B10" s="1409" t="str">
        <f>IF(AND(无限期结转扣除项目审核表!$F$7=0,无限期结转扣除项目审核表!I9=0),"",无限期结转扣除项目审核表!C9)</f>
        <v/>
      </c>
      <c r="C10" s="1409" t="str">
        <f>IF(AND(无限期结转扣除项目审核表!$F$7=0,无限期结转扣除项目审核表!I9=0),"",无限期结转扣除项目审核表!F9)</f>
        <v/>
      </c>
      <c r="D10" s="1409" t="str">
        <f>IF(AND(无限期结转扣除项目审核表!$F$7=0,无限期结转扣除项目审核表!I9=0),"",无限期结转扣除项目审核表!I9)</f>
        <v/>
      </c>
      <c r="E10" s="1409" t="str">
        <f>IF(AND(无限期结转扣除项目审核表!$F$7=0,无限期结转扣除项目审核表!I9=0),"",无限期结转扣除项目审核表!L9)</f>
        <v/>
      </c>
    </row>
    <row r="11" spans="1:5" ht="21" customHeight="1">
      <c r="A11" s="1410"/>
      <c r="B11" s="1411"/>
      <c r="C11" s="1411"/>
      <c r="D11" s="1411"/>
      <c r="E11" s="1387"/>
    </row>
    <row r="12" spans="1:5" ht="21" customHeight="1">
      <c r="A12" s="1410"/>
      <c r="B12" s="1411"/>
      <c r="C12" s="1411"/>
      <c r="D12" s="1411"/>
      <c r="E12" s="1387"/>
    </row>
    <row r="13" spans="1:5" ht="21" customHeight="1">
      <c r="A13" s="1410"/>
      <c r="B13" s="1411"/>
      <c r="C13" s="1411"/>
      <c r="D13" s="1411"/>
      <c r="E13" s="1387"/>
    </row>
    <row r="14" spans="1:5" ht="21" customHeight="1">
      <c r="A14" s="1410"/>
      <c r="B14" s="1411"/>
      <c r="C14" s="1411"/>
      <c r="D14" s="1411"/>
      <c r="E14" s="1387"/>
    </row>
    <row r="15" spans="1:5" ht="21" customHeight="1">
      <c r="A15" s="1410"/>
      <c r="B15" s="1411"/>
      <c r="C15" s="1411"/>
      <c r="D15" s="1411"/>
      <c r="E15" s="1387"/>
    </row>
    <row r="16" spans="1:5" ht="21" customHeight="1">
      <c r="A16" s="1410"/>
      <c r="B16" s="1411"/>
      <c r="C16" s="1411"/>
      <c r="D16" s="1411"/>
      <c r="E16" s="1387"/>
    </row>
    <row r="17" spans="1:5" ht="21" customHeight="1">
      <c r="A17" s="1410"/>
      <c r="B17" s="1411"/>
      <c r="C17" s="1411"/>
      <c r="D17" s="1411"/>
      <c r="E17" s="1387"/>
    </row>
    <row r="18" spans="1:5" ht="21" customHeight="1">
      <c r="A18" s="1410"/>
      <c r="B18" s="1411"/>
      <c r="C18" s="1411"/>
      <c r="D18" s="1411"/>
      <c r="E18" s="1387"/>
    </row>
    <row r="19" spans="1:5" ht="27" customHeight="1">
      <c r="A19" s="1410"/>
      <c r="B19" s="1411"/>
      <c r="C19" s="1411"/>
      <c r="D19" s="1411"/>
      <c r="E19" s="1387"/>
    </row>
    <row r="20" spans="1:5" ht="12.75" customHeight="1">
      <c r="A20" s="1410"/>
      <c r="B20" s="1411"/>
      <c r="C20" s="1411"/>
      <c r="D20" s="1411"/>
      <c r="E20" s="1387"/>
    </row>
    <row r="21" spans="1:5" ht="21" customHeight="1">
      <c r="A21" s="1406"/>
      <c r="B21" s="1407"/>
      <c r="C21" s="1407"/>
      <c r="D21" s="1407"/>
    </row>
    <row r="22" spans="1:5" ht="21" customHeight="1">
      <c r="A22" s="1406"/>
      <c r="B22" s="1407"/>
      <c r="C22" s="1407"/>
      <c r="D22" s="1407"/>
    </row>
    <row r="23" spans="1:5" ht="21" customHeight="1">
      <c r="A23" s="1406"/>
      <c r="B23" s="1407"/>
      <c r="C23" s="1407"/>
      <c r="D23" s="1407"/>
    </row>
  </sheetData>
  <mergeCells count="2">
    <mergeCell ref="A1:D1"/>
    <mergeCell ref="A2:E4"/>
  </mergeCells>
  <phoneticPr fontId="51" type="noConversion"/>
  <pageMargins left="0.78740157480314998" right="0.35433070866141703" top="0.511811023622047" bottom="0.11811023622047198" header="0.511811023622047" footer="0.511811023622047"/>
  <pageSetup paperSize="9" orientation="portrait" r:id="rId1"/>
</worksheet>
</file>

<file path=xl/worksheets/sheet1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09">
    <tabColor rgb="FF00B050"/>
  </sheetPr>
  <dimension ref="A1:F41"/>
  <sheetViews>
    <sheetView workbookViewId="0">
      <selection activeCell="M25" sqref="M25"/>
    </sheetView>
  </sheetViews>
  <sheetFormatPr defaultRowHeight="23.25" customHeight="1"/>
  <cols>
    <col min="1" max="1" width="26.19921875" style="1390" customWidth="1"/>
    <col min="2" max="2" width="15.3984375" style="1390" customWidth="1"/>
    <col min="3" max="3" width="17.59765625" style="1426" customWidth="1"/>
    <col min="4" max="4" width="17.59765625" style="1427" customWidth="1"/>
    <col min="5" max="5" width="15.59765625" style="1426" customWidth="1"/>
    <col min="6" max="6" width="18" style="1390" customWidth="1"/>
    <col min="7" max="256" width="9" style="1400"/>
    <col min="257" max="257" width="26.19921875" style="1400" customWidth="1"/>
    <col min="258" max="258" width="15.3984375" style="1400" customWidth="1"/>
    <col min="259" max="260" width="17.59765625" style="1400" customWidth="1"/>
    <col min="261" max="261" width="15.59765625" style="1400" customWidth="1"/>
    <col min="262" max="262" width="18" style="1400" customWidth="1"/>
    <col min="263" max="512" width="9" style="1400"/>
    <col min="513" max="513" width="26.19921875" style="1400" customWidth="1"/>
    <col min="514" max="514" width="15.3984375" style="1400" customWidth="1"/>
    <col min="515" max="516" width="17.59765625" style="1400" customWidth="1"/>
    <col min="517" max="517" width="15.59765625" style="1400" customWidth="1"/>
    <col min="518" max="518" width="18" style="1400" customWidth="1"/>
    <col min="519" max="768" width="9" style="1400"/>
    <col min="769" max="769" width="26.19921875" style="1400" customWidth="1"/>
    <col min="770" max="770" width="15.3984375" style="1400" customWidth="1"/>
    <col min="771" max="772" width="17.59765625" style="1400" customWidth="1"/>
    <col min="773" max="773" width="15.59765625" style="1400" customWidth="1"/>
    <col min="774" max="774" width="18" style="1400" customWidth="1"/>
    <col min="775" max="1024" width="9" style="1400"/>
    <col min="1025" max="1025" width="26.19921875" style="1400" customWidth="1"/>
    <col min="1026" max="1026" width="15.3984375" style="1400" customWidth="1"/>
    <col min="1027" max="1028" width="17.59765625" style="1400" customWidth="1"/>
    <col min="1029" max="1029" width="15.59765625" style="1400" customWidth="1"/>
    <col min="1030" max="1030" width="18" style="1400" customWidth="1"/>
    <col min="1031" max="1280" width="9" style="1400"/>
    <col min="1281" max="1281" width="26.19921875" style="1400" customWidth="1"/>
    <col min="1282" max="1282" width="15.3984375" style="1400" customWidth="1"/>
    <col min="1283" max="1284" width="17.59765625" style="1400" customWidth="1"/>
    <col min="1285" max="1285" width="15.59765625" style="1400" customWidth="1"/>
    <col min="1286" max="1286" width="18" style="1400" customWidth="1"/>
    <col min="1287" max="1536" width="9" style="1400"/>
    <col min="1537" max="1537" width="26.19921875" style="1400" customWidth="1"/>
    <col min="1538" max="1538" width="15.3984375" style="1400" customWidth="1"/>
    <col min="1539" max="1540" width="17.59765625" style="1400" customWidth="1"/>
    <col min="1541" max="1541" width="15.59765625" style="1400" customWidth="1"/>
    <col min="1542" max="1542" width="18" style="1400" customWidth="1"/>
    <col min="1543" max="1792" width="9" style="1400"/>
    <col min="1793" max="1793" width="26.19921875" style="1400" customWidth="1"/>
    <col min="1794" max="1794" width="15.3984375" style="1400" customWidth="1"/>
    <col min="1795" max="1796" width="17.59765625" style="1400" customWidth="1"/>
    <col min="1797" max="1797" width="15.59765625" style="1400" customWidth="1"/>
    <col min="1798" max="1798" width="18" style="1400" customWidth="1"/>
    <col min="1799" max="2048" width="9" style="1400"/>
    <col min="2049" max="2049" width="26.19921875" style="1400" customWidth="1"/>
    <col min="2050" max="2050" width="15.3984375" style="1400" customWidth="1"/>
    <col min="2051" max="2052" width="17.59765625" style="1400" customWidth="1"/>
    <col min="2053" max="2053" width="15.59765625" style="1400" customWidth="1"/>
    <col min="2054" max="2054" width="18" style="1400" customWidth="1"/>
    <col min="2055" max="2304" width="9" style="1400"/>
    <col min="2305" max="2305" width="26.19921875" style="1400" customWidth="1"/>
    <col min="2306" max="2306" width="15.3984375" style="1400" customWidth="1"/>
    <col min="2307" max="2308" width="17.59765625" style="1400" customWidth="1"/>
    <col min="2309" max="2309" width="15.59765625" style="1400" customWidth="1"/>
    <col min="2310" max="2310" width="18" style="1400" customWidth="1"/>
    <col min="2311" max="2560" width="9" style="1400"/>
    <col min="2561" max="2561" width="26.19921875" style="1400" customWidth="1"/>
    <col min="2562" max="2562" width="15.3984375" style="1400" customWidth="1"/>
    <col min="2563" max="2564" width="17.59765625" style="1400" customWidth="1"/>
    <col min="2565" max="2565" width="15.59765625" style="1400" customWidth="1"/>
    <col min="2566" max="2566" width="18" style="1400" customWidth="1"/>
    <col min="2567" max="2816" width="9" style="1400"/>
    <col min="2817" max="2817" width="26.19921875" style="1400" customWidth="1"/>
    <col min="2818" max="2818" width="15.3984375" style="1400" customWidth="1"/>
    <col min="2819" max="2820" width="17.59765625" style="1400" customWidth="1"/>
    <col min="2821" max="2821" width="15.59765625" style="1400" customWidth="1"/>
    <col min="2822" max="2822" width="18" style="1400" customWidth="1"/>
    <col min="2823" max="3072" width="9" style="1400"/>
    <col min="3073" max="3073" width="26.19921875" style="1400" customWidth="1"/>
    <col min="3074" max="3074" width="15.3984375" style="1400" customWidth="1"/>
    <col min="3075" max="3076" width="17.59765625" style="1400" customWidth="1"/>
    <col min="3077" max="3077" width="15.59765625" style="1400" customWidth="1"/>
    <col min="3078" max="3078" width="18" style="1400" customWidth="1"/>
    <col min="3079" max="3328" width="9" style="1400"/>
    <col min="3329" max="3329" width="26.19921875" style="1400" customWidth="1"/>
    <col min="3330" max="3330" width="15.3984375" style="1400" customWidth="1"/>
    <col min="3331" max="3332" width="17.59765625" style="1400" customWidth="1"/>
    <col min="3333" max="3333" width="15.59765625" style="1400" customWidth="1"/>
    <col min="3334" max="3334" width="18" style="1400" customWidth="1"/>
    <col min="3335" max="3584" width="9" style="1400"/>
    <col min="3585" max="3585" width="26.19921875" style="1400" customWidth="1"/>
    <col min="3586" max="3586" width="15.3984375" style="1400" customWidth="1"/>
    <col min="3587" max="3588" width="17.59765625" style="1400" customWidth="1"/>
    <col min="3589" max="3589" width="15.59765625" style="1400" customWidth="1"/>
    <col min="3590" max="3590" width="18" style="1400" customWidth="1"/>
    <col min="3591" max="3840" width="9" style="1400"/>
    <col min="3841" max="3841" width="26.19921875" style="1400" customWidth="1"/>
    <col min="3842" max="3842" width="15.3984375" style="1400" customWidth="1"/>
    <col min="3843" max="3844" width="17.59765625" style="1400" customWidth="1"/>
    <col min="3845" max="3845" width="15.59765625" style="1400" customWidth="1"/>
    <col min="3846" max="3846" width="18" style="1400" customWidth="1"/>
    <col min="3847" max="4096" width="9" style="1400"/>
    <col min="4097" max="4097" width="26.19921875" style="1400" customWidth="1"/>
    <col min="4098" max="4098" width="15.3984375" style="1400" customWidth="1"/>
    <col min="4099" max="4100" width="17.59765625" style="1400" customWidth="1"/>
    <col min="4101" max="4101" width="15.59765625" style="1400" customWidth="1"/>
    <col min="4102" max="4102" width="18" style="1400" customWidth="1"/>
    <col min="4103" max="4352" width="9" style="1400"/>
    <col min="4353" max="4353" width="26.19921875" style="1400" customWidth="1"/>
    <col min="4354" max="4354" width="15.3984375" style="1400" customWidth="1"/>
    <col min="4355" max="4356" width="17.59765625" style="1400" customWidth="1"/>
    <col min="4357" max="4357" width="15.59765625" style="1400" customWidth="1"/>
    <col min="4358" max="4358" width="18" style="1400" customWidth="1"/>
    <col min="4359" max="4608" width="9" style="1400"/>
    <col min="4609" max="4609" width="26.19921875" style="1400" customWidth="1"/>
    <col min="4610" max="4610" width="15.3984375" style="1400" customWidth="1"/>
    <col min="4611" max="4612" width="17.59765625" style="1400" customWidth="1"/>
    <col min="4613" max="4613" width="15.59765625" style="1400" customWidth="1"/>
    <col min="4614" max="4614" width="18" style="1400" customWidth="1"/>
    <col min="4615" max="4864" width="9" style="1400"/>
    <col min="4865" max="4865" width="26.19921875" style="1400" customWidth="1"/>
    <col min="4866" max="4866" width="15.3984375" style="1400" customWidth="1"/>
    <col min="4867" max="4868" width="17.59765625" style="1400" customWidth="1"/>
    <col min="4869" max="4869" width="15.59765625" style="1400" customWidth="1"/>
    <col min="4870" max="4870" width="18" style="1400" customWidth="1"/>
    <col min="4871" max="5120" width="9" style="1400"/>
    <col min="5121" max="5121" width="26.19921875" style="1400" customWidth="1"/>
    <col min="5122" max="5122" width="15.3984375" style="1400" customWidth="1"/>
    <col min="5123" max="5124" width="17.59765625" style="1400" customWidth="1"/>
    <col min="5125" max="5125" width="15.59765625" style="1400" customWidth="1"/>
    <col min="5126" max="5126" width="18" style="1400" customWidth="1"/>
    <col min="5127" max="5376" width="9" style="1400"/>
    <col min="5377" max="5377" width="26.19921875" style="1400" customWidth="1"/>
    <col min="5378" max="5378" width="15.3984375" style="1400" customWidth="1"/>
    <col min="5379" max="5380" width="17.59765625" style="1400" customWidth="1"/>
    <col min="5381" max="5381" width="15.59765625" style="1400" customWidth="1"/>
    <col min="5382" max="5382" width="18" style="1400" customWidth="1"/>
    <col min="5383" max="5632" width="9" style="1400"/>
    <col min="5633" max="5633" width="26.19921875" style="1400" customWidth="1"/>
    <col min="5634" max="5634" width="15.3984375" style="1400" customWidth="1"/>
    <col min="5635" max="5636" width="17.59765625" style="1400" customWidth="1"/>
    <col min="5637" max="5637" width="15.59765625" style="1400" customWidth="1"/>
    <col min="5638" max="5638" width="18" style="1400" customWidth="1"/>
    <col min="5639" max="5888" width="9" style="1400"/>
    <col min="5889" max="5889" width="26.19921875" style="1400" customWidth="1"/>
    <col min="5890" max="5890" width="15.3984375" style="1400" customWidth="1"/>
    <col min="5891" max="5892" width="17.59765625" style="1400" customWidth="1"/>
    <col min="5893" max="5893" width="15.59765625" style="1400" customWidth="1"/>
    <col min="5894" max="5894" width="18" style="1400" customWidth="1"/>
    <col min="5895" max="6144" width="9" style="1400"/>
    <col min="6145" max="6145" width="26.19921875" style="1400" customWidth="1"/>
    <col min="6146" max="6146" width="15.3984375" style="1400" customWidth="1"/>
    <col min="6147" max="6148" width="17.59765625" style="1400" customWidth="1"/>
    <col min="6149" max="6149" width="15.59765625" style="1400" customWidth="1"/>
    <col min="6150" max="6150" width="18" style="1400" customWidth="1"/>
    <col min="6151" max="6400" width="9" style="1400"/>
    <col min="6401" max="6401" width="26.19921875" style="1400" customWidth="1"/>
    <col min="6402" max="6402" width="15.3984375" style="1400" customWidth="1"/>
    <col min="6403" max="6404" width="17.59765625" style="1400" customWidth="1"/>
    <col min="6405" max="6405" width="15.59765625" style="1400" customWidth="1"/>
    <col min="6406" max="6406" width="18" style="1400" customWidth="1"/>
    <col min="6407" max="6656" width="9" style="1400"/>
    <col min="6657" max="6657" width="26.19921875" style="1400" customWidth="1"/>
    <col min="6658" max="6658" width="15.3984375" style="1400" customWidth="1"/>
    <col min="6659" max="6660" width="17.59765625" style="1400" customWidth="1"/>
    <col min="6661" max="6661" width="15.59765625" style="1400" customWidth="1"/>
    <col min="6662" max="6662" width="18" style="1400" customWidth="1"/>
    <col min="6663" max="6912" width="9" style="1400"/>
    <col min="6913" max="6913" width="26.19921875" style="1400" customWidth="1"/>
    <col min="6914" max="6914" width="15.3984375" style="1400" customWidth="1"/>
    <col min="6915" max="6916" width="17.59765625" style="1400" customWidth="1"/>
    <col min="6917" max="6917" width="15.59765625" style="1400" customWidth="1"/>
    <col min="6918" max="6918" width="18" style="1400" customWidth="1"/>
    <col min="6919" max="7168" width="9" style="1400"/>
    <col min="7169" max="7169" width="26.19921875" style="1400" customWidth="1"/>
    <col min="7170" max="7170" width="15.3984375" style="1400" customWidth="1"/>
    <col min="7171" max="7172" width="17.59765625" style="1400" customWidth="1"/>
    <col min="7173" max="7173" width="15.59765625" style="1400" customWidth="1"/>
    <col min="7174" max="7174" width="18" style="1400" customWidth="1"/>
    <col min="7175" max="7424" width="9" style="1400"/>
    <col min="7425" max="7425" width="26.19921875" style="1400" customWidth="1"/>
    <col min="7426" max="7426" width="15.3984375" style="1400" customWidth="1"/>
    <col min="7427" max="7428" width="17.59765625" style="1400" customWidth="1"/>
    <col min="7429" max="7429" width="15.59765625" style="1400" customWidth="1"/>
    <col min="7430" max="7430" width="18" style="1400" customWidth="1"/>
    <col min="7431" max="7680" width="9" style="1400"/>
    <col min="7681" max="7681" width="26.19921875" style="1400" customWidth="1"/>
    <col min="7682" max="7682" width="15.3984375" style="1400" customWidth="1"/>
    <col min="7683" max="7684" width="17.59765625" style="1400" customWidth="1"/>
    <col min="7685" max="7685" width="15.59765625" style="1400" customWidth="1"/>
    <col min="7686" max="7686" width="18" style="1400" customWidth="1"/>
    <col min="7687" max="7936" width="9" style="1400"/>
    <col min="7937" max="7937" width="26.19921875" style="1400" customWidth="1"/>
    <col min="7938" max="7938" width="15.3984375" style="1400" customWidth="1"/>
    <col min="7939" max="7940" width="17.59765625" style="1400" customWidth="1"/>
    <col min="7941" max="7941" width="15.59765625" style="1400" customWidth="1"/>
    <col min="7942" max="7942" width="18" style="1400" customWidth="1"/>
    <col min="7943" max="8192" width="9" style="1400"/>
    <col min="8193" max="8193" width="26.19921875" style="1400" customWidth="1"/>
    <col min="8194" max="8194" width="15.3984375" style="1400" customWidth="1"/>
    <col min="8195" max="8196" width="17.59765625" style="1400" customWidth="1"/>
    <col min="8197" max="8197" width="15.59765625" style="1400" customWidth="1"/>
    <col min="8198" max="8198" width="18" style="1400" customWidth="1"/>
    <col min="8199" max="8448" width="9" style="1400"/>
    <col min="8449" max="8449" width="26.19921875" style="1400" customWidth="1"/>
    <col min="8450" max="8450" width="15.3984375" style="1400" customWidth="1"/>
    <col min="8451" max="8452" width="17.59765625" style="1400" customWidth="1"/>
    <col min="8453" max="8453" width="15.59765625" style="1400" customWidth="1"/>
    <col min="8454" max="8454" width="18" style="1400" customWidth="1"/>
    <col min="8455" max="8704" width="9" style="1400"/>
    <col min="8705" max="8705" width="26.19921875" style="1400" customWidth="1"/>
    <col min="8706" max="8706" width="15.3984375" style="1400" customWidth="1"/>
    <col min="8707" max="8708" width="17.59765625" style="1400" customWidth="1"/>
    <col min="8709" max="8709" width="15.59765625" style="1400" customWidth="1"/>
    <col min="8710" max="8710" width="18" style="1400" customWidth="1"/>
    <col min="8711" max="8960" width="9" style="1400"/>
    <col min="8961" max="8961" width="26.19921875" style="1400" customWidth="1"/>
    <col min="8962" max="8962" width="15.3984375" style="1400" customWidth="1"/>
    <col min="8963" max="8964" width="17.59765625" style="1400" customWidth="1"/>
    <col min="8965" max="8965" width="15.59765625" style="1400" customWidth="1"/>
    <col min="8966" max="8966" width="18" style="1400" customWidth="1"/>
    <col min="8967" max="9216" width="9" style="1400"/>
    <col min="9217" max="9217" width="26.19921875" style="1400" customWidth="1"/>
    <col min="9218" max="9218" width="15.3984375" style="1400" customWidth="1"/>
    <col min="9219" max="9220" width="17.59765625" style="1400" customWidth="1"/>
    <col min="9221" max="9221" width="15.59765625" style="1400" customWidth="1"/>
    <col min="9222" max="9222" width="18" style="1400" customWidth="1"/>
    <col min="9223" max="9472" width="9" style="1400"/>
    <col min="9473" max="9473" width="26.19921875" style="1400" customWidth="1"/>
    <col min="9474" max="9474" width="15.3984375" style="1400" customWidth="1"/>
    <col min="9475" max="9476" width="17.59765625" style="1400" customWidth="1"/>
    <col min="9477" max="9477" width="15.59765625" style="1400" customWidth="1"/>
    <col min="9478" max="9478" width="18" style="1400" customWidth="1"/>
    <col min="9479" max="9728" width="9" style="1400"/>
    <col min="9729" max="9729" width="26.19921875" style="1400" customWidth="1"/>
    <col min="9730" max="9730" width="15.3984375" style="1400" customWidth="1"/>
    <col min="9731" max="9732" width="17.59765625" style="1400" customWidth="1"/>
    <col min="9733" max="9733" width="15.59765625" style="1400" customWidth="1"/>
    <col min="9734" max="9734" width="18" style="1400" customWidth="1"/>
    <col min="9735" max="9984" width="9" style="1400"/>
    <col min="9985" max="9985" width="26.19921875" style="1400" customWidth="1"/>
    <col min="9986" max="9986" width="15.3984375" style="1400" customWidth="1"/>
    <col min="9987" max="9988" width="17.59765625" style="1400" customWidth="1"/>
    <col min="9989" max="9989" width="15.59765625" style="1400" customWidth="1"/>
    <col min="9990" max="9990" width="18" style="1400" customWidth="1"/>
    <col min="9991" max="10240" width="9" style="1400"/>
    <col min="10241" max="10241" width="26.19921875" style="1400" customWidth="1"/>
    <col min="10242" max="10242" width="15.3984375" style="1400" customWidth="1"/>
    <col min="10243" max="10244" width="17.59765625" style="1400" customWidth="1"/>
    <col min="10245" max="10245" width="15.59765625" style="1400" customWidth="1"/>
    <col min="10246" max="10246" width="18" style="1400" customWidth="1"/>
    <col min="10247" max="10496" width="9" style="1400"/>
    <col min="10497" max="10497" width="26.19921875" style="1400" customWidth="1"/>
    <col min="10498" max="10498" width="15.3984375" style="1400" customWidth="1"/>
    <col min="10499" max="10500" width="17.59765625" style="1400" customWidth="1"/>
    <col min="10501" max="10501" width="15.59765625" style="1400" customWidth="1"/>
    <col min="10502" max="10502" width="18" style="1400" customWidth="1"/>
    <col min="10503" max="10752" width="9" style="1400"/>
    <col min="10753" max="10753" width="26.19921875" style="1400" customWidth="1"/>
    <col min="10754" max="10754" width="15.3984375" style="1400" customWidth="1"/>
    <col min="10755" max="10756" width="17.59765625" style="1400" customWidth="1"/>
    <col min="10757" max="10757" width="15.59765625" style="1400" customWidth="1"/>
    <col min="10758" max="10758" width="18" style="1400" customWidth="1"/>
    <col min="10759" max="11008" width="9" style="1400"/>
    <col min="11009" max="11009" width="26.19921875" style="1400" customWidth="1"/>
    <col min="11010" max="11010" width="15.3984375" style="1400" customWidth="1"/>
    <col min="11011" max="11012" width="17.59765625" style="1400" customWidth="1"/>
    <col min="11013" max="11013" width="15.59765625" style="1400" customWidth="1"/>
    <col min="11014" max="11014" width="18" style="1400" customWidth="1"/>
    <col min="11015" max="11264" width="9" style="1400"/>
    <col min="11265" max="11265" width="26.19921875" style="1400" customWidth="1"/>
    <col min="11266" max="11266" width="15.3984375" style="1400" customWidth="1"/>
    <col min="11267" max="11268" width="17.59765625" style="1400" customWidth="1"/>
    <col min="11269" max="11269" width="15.59765625" style="1400" customWidth="1"/>
    <col min="11270" max="11270" width="18" style="1400" customWidth="1"/>
    <col min="11271" max="11520" width="9" style="1400"/>
    <col min="11521" max="11521" width="26.19921875" style="1400" customWidth="1"/>
    <col min="11522" max="11522" width="15.3984375" style="1400" customWidth="1"/>
    <col min="11523" max="11524" width="17.59765625" style="1400" customWidth="1"/>
    <col min="11525" max="11525" width="15.59765625" style="1400" customWidth="1"/>
    <col min="11526" max="11526" width="18" style="1400" customWidth="1"/>
    <col min="11527" max="11776" width="9" style="1400"/>
    <col min="11777" max="11777" width="26.19921875" style="1400" customWidth="1"/>
    <col min="11778" max="11778" width="15.3984375" style="1400" customWidth="1"/>
    <col min="11779" max="11780" width="17.59765625" style="1400" customWidth="1"/>
    <col min="11781" max="11781" width="15.59765625" style="1400" customWidth="1"/>
    <col min="11782" max="11782" width="18" style="1400" customWidth="1"/>
    <col min="11783" max="12032" width="9" style="1400"/>
    <col min="12033" max="12033" width="26.19921875" style="1400" customWidth="1"/>
    <col min="12034" max="12034" width="15.3984375" style="1400" customWidth="1"/>
    <col min="12035" max="12036" width="17.59765625" style="1400" customWidth="1"/>
    <col min="12037" max="12037" width="15.59765625" style="1400" customWidth="1"/>
    <col min="12038" max="12038" width="18" style="1400" customWidth="1"/>
    <col min="12039" max="12288" width="9" style="1400"/>
    <col min="12289" max="12289" width="26.19921875" style="1400" customWidth="1"/>
    <col min="12290" max="12290" width="15.3984375" style="1400" customWidth="1"/>
    <col min="12291" max="12292" width="17.59765625" style="1400" customWidth="1"/>
    <col min="12293" max="12293" width="15.59765625" style="1400" customWidth="1"/>
    <col min="12294" max="12294" width="18" style="1400" customWidth="1"/>
    <col min="12295" max="12544" width="9" style="1400"/>
    <col min="12545" max="12545" width="26.19921875" style="1400" customWidth="1"/>
    <col min="12546" max="12546" width="15.3984375" style="1400" customWidth="1"/>
    <col min="12547" max="12548" width="17.59765625" style="1400" customWidth="1"/>
    <col min="12549" max="12549" width="15.59765625" style="1400" customWidth="1"/>
    <col min="12550" max="12550" width="18" style="1400" customWidth="1"/>
    <col min="12551" max="12800" width="9" style="1400"/>
    <col min="12801" max="12801" width="26.19921875" style="1400" customWidth="1"/>
    <col min="12802" max="12802" width="15.3984375" style="1400" customWidth="1"/>
    <col min="12803" max="12804" width="17.59765625" style="1400" customWidth="1"/>
    <col min="12805" max="12805" width="15.59765625" style="1400" customWidth="1"/>
    <col min="12806" max="12806" width="18" style="1400" customWidth="1"/>
    <col min="12807" max="13056" width="9" style="1400"/>
    <col min="13057" max="13057" width="26.19921875" style="1400" customWidth="1"/>
    <col min="13058" max="13058" width="15.3984375" style="1400" customWidth="1"/>
    <col min="13059" max="13060" width="17.59765625" style="1400" customWidth="1"/>
    <col min="13061" max="13061" width="15.59765625" style="1400" customWidth="1"/>
    <col min="13062" max="13062" width="18" style="1400" customWidth="1"/>
    <col min="13063" max="13312" width="9" style="1400"/>
    <col min="13313" max="13313" width="26.19921875" style="1400" customWidth="1"/>
    <col min="13314" max="13314" width="15.3984375" style="1400" customWidth="1"/>
    <col min="13315" max="13316" width="17.59765625" style="1400" customWidth="1"/>
    <col min="13317" max="13317" width="15.59765625" style="1400" customWidth="1"/>
    <col min="13318" max="13318" width="18" style="1400" customWidth="1"/>
    <col min="13319" max="13568" width="9" style="1400"/>
    <col min="13569" max="13569" width="26.19921875" style="1400" customWidth="1"/>
    <col min="13570" max="13570" width="15.3984375" style="1400" customWidth="1"/>
    <col min="13571" max="13572" width="17.59765625" style="1400" customWidth="1"/>
    <col min="13573" max="13573" width="15.59765625" style="1400" customWidth="1"/>
    <col min="13574" max="13574" width="18" style="1400" customWidth="1"/>
    <col min="13575" max="13824" width="9" style="1400"/>
    <col min="13825" max="13825" width="26.19921875" style="1400" customWidth="1"/>
    <col min="13826" max="13826" width="15.3984375" style="1400" customWidth="1"/>
    <col min="13827" max="13828" width="17.59765625" style="1400" customWidth="1"/>
    <col min="13829" max="13829" width="15.59765625" style="1400" customWidth="1"/>
    <col min="13830" max="13830" width="18" style="1400" customWidth="1"/>
    <col min="13831" max="14080" width="9" style="1400"/>
    <col min="14081" max="14081" width="26.19921875" style="1400" customWidth="1"/>
    <col min="14082" max="14082" width="15.3984375" style="1400" customWidth="1"/>
    <col min="14083" max="14084" width="17.59765625" style="1400" customWidth="1"/>
    <col min="14085" max="14085" width="15.59765625" style="1400" customWidth="1"/>
    <col min="14086" max="14086" width="18" style="1400" customWidth="1"/>
    <col min="14087" max="14336" width="9" style="1400"/>
    <col min="14337" max="14337" width="26.19921875" style="1400" customWidth="1"/>
    <col min="14338" max="14338" width="15.3984375" style="1400" customWidth="1"/>
    <col min="14339" max="14340" width="17.59765625" style="1400" customWidth="1"/>
    <col min="14341" max="14341" width="15.59765625" style="1400" customWidth="1"/>
    <col min="14342" max="14342" width="18" style="1400" customWidth="1"/>
    <col min="14343" max="14592" width="9" style="1400"/>
    <col min="14593" max="14593" width="26.19921875" style="1400" customWidth="1"/>
    <col min="14594" max="14594" width="15.3984375" style="1400" customWidth="1"/>
    <col min="14595" max="14596" width="17.59765625" style="1400" customWidth="1"/>
    <col min="14597" max="14597" width="15.59765625" style="1400" customWidth="1"/>
    <col min="14598" max="14598" width="18" style="1400" customWidth="1"/>
    <col min="14599" max="14848" width="9" style="1400"/>
    <col min="14849" max="14849" width="26.19921875" style="1400" customWidth="1"/>
    <col min="14850" max="14850" width="15.3984375" style="1400" customWidth="1"/>
    <col min="14851" max="14852" width="17.59765625" style="1400" customWidth="1"/>
    <col min="14853" max="14853" width="15.59765625" style="1400" customWidth="1"/>
    <col min="14854" max="14854" width="18" style="1400" customWidth="1"/>
    <col min="14855" max="15104" width="9" style="1400"/>
    <col min="15105" max="15105" width="26.19921875" style="1400" customWidth="1"/>
    <col min="15106" max="15106" width="15.3984375" style="1400" customWidth="1"/>
    <col min="15107" max="15108" width="17.59765625" style="1400" customWidth="1"/>
    <col min="15109" max="15109" width="15.59765625" style="1400" customWidth="1"/>
    <col min="15110" max="15110" width="18" style="1400" customWidth="1"/>
    <col min="15111" max="15360" width="9" style="1400"/>
    <col min="15361" max="15361" width="26.19921875" style="1400" customWidth="1"/>
    <col min="15362" max="15362" width="15.3984375" style="1400" customWidth="1"/>
    <col min="15363" max="15364" width="17.59765625" style="1400" customWidth="1"/>
    <col min="15365" max="15365" width="15.59765625" style="1400" customWidth="1"/>
    <col min="15366" max="15366" width="18" style="1400" customWidth="1"/>
    <col min="15367" max="15616" width="9" style="1400"/>
    <col min="15617" max="15617" width="26.19921875" style="1400" customWidth="1"/>
    <col min="15618" max="15618" width="15.3984375" style="1400" customWidth="1"/>
    <col min="15619" max="15620" width="17.59765625" style="1400" customWidth="1"/>
    <col min="15621" max="15621" width="15.59765625" style="1400" customWidth="1"/>
    <col min="15622" max="15622" width="18" style="1400" customWidth="1"/>
    <col min="15623" max="15872" width="9" style="1400"/>
    <col min="15873" max="15873" width="26.19921875" style="1400" customWidth="1"/>
    <col min="15874" max="15874" width="15.3984375" style="1400" customWidth="1"/>
    <col min="15875" max="15876" width="17.59765625" style="1400" customWidth="1"/>
    <col min="15877" max="15877" width="15.59765625" style="1400" customWidth="1"/>
    <col min="15878" max="15878" width="18" style="1400" customWidth="1"/>
    <col min="15879" max="16128" width="9" style="1400"/>
    <col min="16129" max="16129" width="26.19921875" style="1400" customWidth="1"/>
    <col min="16130" max="16130" width="15.3984375" style="1400" customWidth="1"/>
    <col min="16131" max="16132" width="17.59765625" style="1400" customWidth="1"/>
    <col min="16133" max="16133" width="15.59765625" style="1400" customWidth="1"/>
    <col min="16134" max="16134" width="18" style="1400" customWidth="1"/>
    <col min="16135" max="16384" width="9" style="1400"/>
  </cols>
  <sheetData>
    <row r="1" spans="1:6" ht="23.25" customHeight="1">
      <c r="A1" s="3827" t="s">
        <v>1431</v>
      </c>
      <c r="B1" s="3827"/>
      <c r="C1" s="3827"/>
      <c r="D1" s="3827"/>
      <c r="E1" s="3827"/>
      <c r="F1" s="1413"/>
    </row>
    <row r="2" spans="1:6" s="1352" customFormat="1" ht="38.25" customHeight="1">
      <c r="A2" s="3828" t="s">
        <v>2348</v>
      </c>
      <c r="B2" s="3829"/>
      <c r="C2" s="3829"/>
      <c r="D2" s="3829"/>
      <c r="E2" s="3829"/>
      <c r="F2" s="3829"/>
    </row>
    <row r="3" spans="1:6" s="1352" customFormat="1" ht="32.25" customHeight="1">
      <c r="A3" s="3829"/>
      <c r="B3" s="3829"/>
      <c r="C3" s="3829"/>
      <c r="D3" s="3829"/>
      <c r="E3" s="3829"/>
      <c r="F3" s="3829"/>
    </row>
    <row r="4" spans="1:6" s="1352" customFormat="1" ht="23.25" customHeight="1">
      <c r="A4" s="3830" t="s">
        <v>2349</v>
      </c>
      <c r="B4" s="3830"/>
      <c r="C4" s="3830"/>
      <c r="D4" s="3830"/>
      <c r="E4" s="3830"/>
      <c r="F4" s="1414"/>
    </row>
    <row r="5" spans="1:6" s="1352" customFormat="1" ht="23.25" customHeight="1">
      <c r="A5" s="3831" t="s">
        <v>2350</v>
      </c>
      <c r="B5" s="3831" t="s">
        <v>1432</v>
      </c>
      <c r="C5" s="3832" t="s">
        <v>2351</v>
      </c>
      <c r="D5" s="3833" t="s">
        <v>1434</v>
      </c>
      <c r="E5" s="3833"/>
      <c r="F5" s="3834" t="s">
        <v>2352</v>
      </c>
    </row>
    <row r="6" spans="1:6" s="1352" customFormat="1" ht="36" customHeight="1">
      <c r="A6" s="3831"/>
      <c r="B6" s="3831"/>
      <c r="C6" s="3832"/>
      <c r="D6" s="1415" t="s">
        <v>2353</v>
      </c>
      <c r="E6" s="1416" t="s">
        <v>2354</v>
      </c>
      <c r="F6" s="3834"/>
    </row>
    <row r="7" spans="1:6" s="1352" customFormat="1" ht="23.25" customHeight="1">
      <c r="A7" s="1417" t="str">
        <f>IF(AND(跨年度确认所得情况表!$D8=0,跨年度确认所得情况表!$F8=0),"",跨年度确认所得情况表!A8)</f>
        <v/>
      </c>
      <c r="B7" s="1417" t="str">
        <f>IF(AND(跨年度确认所得情况表!$D$8=0,跨年度确认所得情况表!$F$8=0),"",跨年度确认所得情况表!C8)</f>
        <v/>
      </c>
      <c r="C7" s="1417" t="str">
        <f>IF(AND(跨年度确认所得情况表!$D$8=0,跨年度确认所得情况表!$F$8=0),"",跨年度确认所得情况表!D8)</f>
        <v/>
      </c>
      <c r="D7" s="1417" t="str">
        <f>IF(AND(跨年度确认所得情况表!$D$8=0,跨年度确认所得情况表!$F$8=0),"",跨年度确认所得情况表!E8)</f>
        <v/>
      </c>
      <c r="E7" s="1417" t="str">
        <f>IF(AND(跨年度确认所得情况表!$D$8=0,跨年度确认所得情况表!$F$8=0),"",跨年度确认所得情况表!F8)</f>
        <v/>
      </c>
      <c r="F7" s="1417" t="str">
        <f>IF(AND(跨年度确认所得情况表!$D$8=0,跨年度确认所得情况表!$F$8=0),"",跨年度确认所得情况表!G8)</f>
        <v/>
      </c>
    </row>
    <row r="8" spans="1:6" s="1352" customFormat="1" ht="23.25" customHeight="1">
      <c r="A8" s="1417" t="str">
        <f>IF(AND(跨年度确认所得情况表!$D$9=0,跨年度确认所得情况表!$F$9=0),"",跨年度确认所得情况表!A9)</f>
        <v/>
      </c>
      <c r="B8" s="1417" t="str">
        <f>IF(AND(跨年度确认所得情况表!$D$9=0,跨年度确认所得情况表!$F$9=0),"",跨年度确认所得情况表!B9)</f>
        <v/>
      </c>
      <c r="C8" s="1417" t="str">
        <f>IF(AND(跨年度确认所得情况表!$D$9=0,跨年度确认所得情况表!$F$9=0),"",跨年度确认所得情况表!C9)</f>
        <v/>
      </c>
      <c r="D8" s="1417" t="str">
        <f>IF(AND(跨年度确认所得情况表!$D$9=0,跨年度确认所得情况表!$F$9=0),"",跨年度确认所得情况表!D9)</f>
        <v/>
      </c>
      <c r="E8" s="1417" t="str">
        <f>IF(AND(跨年度确认所得情况表!$D$9=0,跨年度确认所得情况表!$F$9=0),"",跨年度确认所得情况表!E9)</f>
        <v/>
      </c>
      <c r="F8" s="1417" t="str">
        <f>IF(AND(跨年度确认所得情况表!$D$9=0,跨年度确认所得情况表!$F$9=0),"",跨年度确认所得情况表!F9)</f>
        <v/>
      </c>
    </row>
    <row r="9" spans="1:6" s="1352" customFormat="1" ht="23.25" customHeight="1">
      <c r="A9" s="1417" t="str">
        <f>IF(AND(跨年度确认所得情况表!$D$10=0,跨年度确认所得情况表!$F$10=0),"",跨年度确认所得情况表!A10)</f>
        <v/>
      </c>
      <c r="B9" s="1417" t="str">
        <f>IF(AND(跨年度确认所得情况表!$D$10=0,跨年度确认所得情况表!$F$10=0),"",跨年度确认所得情况表!B10)</f>
        <v/>
      </c>
      <c r="C9" s="1417" t="str">
        <f>IF(AND(跨年度确认所得情况表!$D$10=0,跨年度确认所得情况表!$F$10=0),"",跨年度确认所得情况表!C10)</f>
        <v/>
      </c>
      <c r="D9" s="1417" t="str">
        <f>IF(AND(跨年度确认所得情况表!$D$10=0,跨年度确认所得情况表!$F$10=0),"",跨年度确认所得情况表!D10)</f>
        <v/>
      </c>
      <c r="E9" s="1417" t="str">
        <f>IF(AND(跨年度确认所得情况表!$D$10=0,跨年度确认所得情况表!$F$10=0),"",跨年度确认所得情况表!E10)</f>
        <v/>
      </c>
      <c r="F9" s="1417" t="str">
        <f>IF(AND(跨年度确认所得情况表!$D$10=0,跨年度确认所得情况表!$F$10=0),"",跨年度确认所得情况表!F10)</f>
        <v/>
      </c>
    </row>
    <row r="10" spans="1:6" s="1352" customFormat="1" ht="23.25" customHeight="1">
      <c r="A10" s="1417" t="str">
        <f>IF(AND(跨年度确认所得情况表!$D$11=0,跨年度确认所得情况表!$F$11=0),"",跨年度确认所得情况表!A11)</f>
        <v/>
      </c>
      <c r="B10" s="1417" t="str">
        <f>IF(AND(跨年度确认所得情况表!$D$11=0,跨年度确认所得情况表!$F$11=0),"",跨年度确认所得情况表!B11)</f>
        <v/>
      </c>
      <c r="C10" s="1417" t="str">
        <f>IF(AND(跨年度确认所得情况表!$D$11=0,跨年度确认所得情况表!$F$11=0),"",跨年度确认所得情况表!C11)</f>
        <v/>
      </c>
      <c r="D10" s="1417" t="str">
        <f>IF(AND(跨年度确认所得情况表!$D$11=0,跨年度确认所得情况表!$F$11=0),"",跨年度确认所得情况表!D11)</f>
        <v/>
      </c>
      <c r="E10" s="1417" t="str">
        <f>IF(AND(跨年度确认所得情况表!$D$11=0,跨年度确认所得情况表!$F$11=0),"",跨年度确认所得情况表!E11)</f>
        <v/>
      </c>
      <c r="F10" s="1417" t="str">
        <f>IF(AND(跨年度确认所得情况表!$D$11=0,跨年度确认所得情况表!$F$11=0),"",跨年度确认所得情况表!F11)</f>
        <v/>
      </c>
    </row>
    <row r="11" spans="1:6" s="1352" customFormat="1" ht="23.25" customHeight="1">
      <c r="A11" s="1417" t="str">
        <f>IF(AND(跨年度确认所得情况表!$D$12=0,跨年度确认所得情况表!$F$12=0),"",跨年度确认所得情况表!A12)</f>
        <v/>
      </c>
      <c r="B11" s="1417" t="str">
        <f>IF(AND(跨年度确认所得情况表!$D$12=0,跨年度确认所得情况表!$F$12=0),"",跨年度确认所得情况表!B12)</f>
        <v/>
      </c>
      <c r="C11" s="1417" t="str">
        <f>IF(AND(跨年度确认所得情况表!$D$12=0,跨年度确认所得情况表!$F$12=0),"",跨年度确认所得情况表!C12)</f>
        <v/>
      </c>
      <c r="D11" s="1417" t="str">
        <f>IF(AND(跨年度确认所得情况表!$D$12=0,跨年度确认所得情况表!$F$12=0),"",跨年度确认所得情况表!D12)</f>
        <v/>
      </c>
      <c r="E11" s="1417" t="str">
        <f>IF(AND(跨年度确认所得情况表!$D$12=0,跨年度确认所得情况表!$F$12=0),"",跨年度确认所得情况表!E12)</f>
        <v/>
      </c>
      <c r="F11" s="1417" t="str">
        <f>IF(AND(跨年度确认所得情况表!$D$12=0,跨年度确认所得情况表!$F$12=0),"",跨年度确认所得情况表!F12)</f>
        <v/>
      </c>
    </row>
    <row r="12" spans="1:6" s="1352" customFormat="1" ht="23.25" customHeight="1">
      <c r="A12" s="1417" t="str">
        <f>IF(AND(跨年度确认所得情况表!$D$13=0,跨年度确认所得情况表!$F$13=0),"",跨年度确认所得情况表!A13)</f>
        <v/>
      </c>
      <c r="B12" s="1417" t="str">
        <f>IF(AND(跨年度确认所得情况表!$D$13=0,跨年度确认所得情况表!$F$13=0),"",跨年度确认所得情况表!B13)</f>
        <v/>
      </c>
      <c r="C12" s="1417" t="str">
        <f>IF(AND(跨年度确认所得情况表!$D$13=0,跨年度确认所得情况表!$F$13=0),"",跨年度确认所得情况表!C13)</f>
        <v/>
      </c>
      <c r="D12" s="1417" t="str">
        <f>IF(AND(跨年度确认所得情况表!$D$13=0,跨年度确认所得情况表!$F$13=0),"",跨年度确认所得情况表!D13)</f>
        <v/>
      </c>
      <c r="E12" s="1417" t="str">
        <f>IF(AND(跨年度确认所得情况表!$D$13=0,跨年度确认所得情况表!$F$13=0),"",跨年度确认所得情况表!E13)</f>
        <v/>
      </c>
      <c r="F12" s="1417" t="str">
        <f>IF(AND(跨年度确认所得情况表!$D$13=0,跨年度确认所得情况表!$F$13=0),"",跨年度确认所得情况表!F13)</f>
        <v/>
      </c>
    </row>
    <row r="13" spans="1:6" s="1352" customFormat="1" ht="23.25" customHeight="1">
      <c r="A13" s="1417" t="str">
        <f>IF(AND(跨年度确认所得情况表!$D$14=0,跨年度确认所得情况表!$F$14=0),"",跨年度确认所得情况表!A14)</f>
        <v/>
      </c>
      <c r="B13" s="1417" t="str">
        <f>IF(AND(跨年度确认所得情况表!$D$14=0,跨年度确认所得情况表!$F$14=0),"",跨年度确认所得情况表!B14)</f>
        <v/>
      </c>
      <c r="C13" s="1417" t="str">
        <f>IF(AND(跨年度确认所得情况表!$D$14=0,跨年度确认所得情况表!$F$14=0),"",跨年度确认所得情况表!C14)</f>
        <v/>
      </c>
      <c r="D13" s="1417" t="str">
        <f>IF(AND(跨年度确认所得情况表!$D$14=0,跨年度确认所得情况表!$F$14=0),"",跨年度确认所得情况表!D14)</f>
        <v/>
      </c>
      <c r="E13" s="1417" t="str">
        <f>IF(AND(跨年度确认所得情况表!$D$14=0,跨年度确认所得情况表!$F$14=0),"",跨年度确认所得情况表!E14)</f>
        <v/>
      </c>
      <c r="F13" s="1417" t="str">
        <f>IF(AND(跨年度确认所得情况表!$D$14=0,跨年度确认所得情况表!$F$14=0),"",跨年度确认所得情况表!F14)</f>
        <v/>
      </c>
    </row>
    <row r="14" spans="1:6" ht="23.25" customHeight="1">
      <c r="A14" s="1417" t="str">
        <f>IF(AND(跨年度确认所得情况表!$D$15=0,跨年度确认所得情况表!$F$15=0),"",跨年度确认所得情况表!A15)</f>
        <v/>
      </c>
      <c r="B14" s="1417" t="str">
        <f>IF(AND(跨年度确认所得情况表!$D$15=0,跨年度确认所得情况表!$F$15=0),"",跨年度确认所得情况表!B15)</f>
        <v/>
      </c>
      <c r="C14" s="1417" t="str">
        <f>IF(AND(跨年度确认所得情况表!$D$15=0,跨年度确认所得情况表!$F$15=0),"",跨年度确认所得情况表!C15)</f>
        <v/>
      </c>
      <c r="D14" s="1417" t="str">
        <f>IF(AND(跨年度确认所得情况表!$D$15=0,跨年度确认所得情况表!$F$15=0),"",跨年度确认所得情况表!D15)</f>
        <v/>
      </c>
      <c r="E14" s="1417" t="str">
        <f>IF(AND(跨年度确认所得情况表!$D$15=0,跨年度确认所得情况表!$F$15=0),"",跨年度确认所得情况表!E15)</f>
        <v/>
      </c>
      <c r="F14" s="1417" t="str">
        <f>IF(AND(跨年度确认所得情况表!$D$15=0,跨年度确认所得情况表!$F$15=0),"",跨年度确认所得情况表!F15)</f>
        <v/>
      </c>
    </row>
    <row r="15" spans="1:6" ht="23.25" customHeight="1">
      <c r="A15" s="1417" t="str">
        <f>IF(AND(跨年度确认所得情况表!$D$16=0,跨年度确认所得情况表!$F$16=0),"",跨年度确认所得情况表!A16)</f>
        <v/>
      </c>
      <c r="B15" s="1417" t="str">
        <f>IF(AND(跨年度确认所得情况表!$D$16=0,跨年度确认所得情况表!$F$16=0),"",跨年度确认所得情况表!B16)</f>
        <v/>
      </c>
      <c r="C15" s="1417" t="str">
        <f>IF(AND(跨年度确认所得情况表!$D$16=0,跨年度确认所得情况表!$F$16=0),"",跨年度确认所得情况表!C16)</f>
        <v/>
      </c>
      <c r="D15" s="1417" t="str">
        <f>IF(AND(跨年度确认所得情况表!$D$16=0,跨年度确认所得情况表!$F$16=0),"",跨年度确认所得情况表!D16)</f>
        <v/>
      </c>
      <c r="E15" s="1417" t="str">
        <f>IF(AND(跨年度确认所得情况表!$D$16=0,跨年度确认所得情况表!$F$16=0),"",跨年度确认所得情况表!E16)</f>
        <v/>
      </c>
      <c r="F15" s="1417" t="str">
        <f>IF(AND(跨年度确认所得情况表!$D$16=0,跨年度确认所得情况表!$F$16=0),"",跨年度确认所得情况表!F16)</f>
        <v/>
      </c>
    </row>
    <row r="16" spans="1:6" ht="23.25" customHeight="1">
      <c r="A16" s="1418"/>
      <c r="B16" s="1418"/>
      <c r="C16" s="1419"/>
      <c r="D16" s="1420"/>
      <c r="E16" s="1419"/>
      <c r="F16" s="1387"/>
    </row>
    <row r="17" spans="1:6" ht="23.25" customHeight="1">
      <c r="A17" s="1418"/>
      <c r="B17" s="1421"/>
      <c r="C17" s="1422"/>
      <c r="D17" s="1423"/>
      <c r="E17" s="1422"/>
      <c r="F17" s="1387"/>
    </row>
    <row r="18" spans="1:6" ht="23.25" customHeight="1">
      <c r="A18" s="1421"/>
      <c r="B18" s="1421"/>
      <c r="C18" s="1422"/>
      <c r="D18" s="1423"/>
      <c r="E18" s="1422"/>
      <c r="F18" s="1387"/>
    </row>
    <row r="19" spans="1:6" ht="23.25" customHeight="1">
      <c r="A19" s="1421"/>
      <c r="B19" s="1421"/>
      <c r="C19" s="1422"/>
      <c r="D19" s="1423"/>
      <c r="E19" s="1422"/>
      <c r="F19" s="1387"/>
    </row>
    <row r="20" spans="1:6" ht="23.25" customHeight="1">
      <c r="A20" s="1421"/>
      <c r="B20" s="1421"/>
      <c r="C20" s="1422"/>
      <c r="D20" s="1423"/>
      <c r="E20" s="1422"/>
      <c r="F20" s="1387"/>
    </row>
    <row r="21" spans="1:6" ht="23.25" customHeight="1">
      <c r="A21" s="1421"/>
      <c r="B21" s="1421"/>
      <c r="C21" s="1422"/>
      <c r="D21" s="1423"/>
      <c r="E21" s="1422"/>
      <c r="F21" s="1387"/>
    </row>
    <row r="22" spans="1:6" ht="23.25" customHeight="1">
      <c r="A22" s="1387"/>
      <c r="B22" s="1387"/>
      <c r="C22" s="1424"/>
      <c r="D22" s="1425"/>
      <c r="E22" s="1424"/>
      <c r="F22" s="1387"/>
    </row>
    <row r="23" spans="1:6" ht="23.25" customHeight="1">
      <c r="A23" s="1387"/>
      <c r="B23" s="1387"/>
      <c r="C23" s="1424"/>
      <c r="D23" s="1425"/>
      <c r="E23" s="1424"/>
      <c r="F23" s="1387"/>
    </row>
    <row r="24" spans="1:6" ht="23.25" customHeight="1">
      <c r="A24" s="1387"/>
      <c r="B24" s="1387"/>
      <c r="C24" s="1424"/>
      <c r="D24" s="1425"/>
      <c r="E24" s="1424"/>
      <c r="F24" s="1387"/>
    </row>
    <row r="25" spans="1:6" ht="23.25" customHeight="1">
      <c r="A25" s="1387"/>
      <c r="B25" s="1387"/>
      <c r="C25" s="1424"/>
      <c r="D25" s="1425"/>
      <c r="E25" s="1424"/>
      <c r="F25" s="1387"/>
    </row>
    <row r="26" spans="1:6" ht="23.25" customHeight="1">
      <c r="A26" s="1387"/>
      <c r="B26" s="1387"/>
      <c r="C26" s="1424"/>
      <c r="D26" s="1425"/>
      <c r="E26" s="1424"/>
      <c r="F26" s="1387"/>
    </row>
    <row r="27" spans="1:6" ht="23.25" customHeight="1">
      <c r="A27" s="1387"/>
      <c r="B27" s="1387"/>
      <c r="C27" s="1424"/>
      <c r="D27" s="1425"/>
      <c r="E27" s="1424"/>
      <c r="F27" s="1387"/>
    </row>
    <row r="28" spans="1:6" ht="23.25" customHeight="1">
      <c r="A28" s="1387"/>
      <c r="B28" s="1387"/>
      <c r="C28" s="1424"/>
      <c r="D28" s="1425"/>
      <c r="E28" s="1424"/>
      <c r="F28" s="1387"/>
    </row>
    <row r="29" spans="1:6" ht="23.25" customHeight="1">
      <c r="A29" s="1387"/>
      <c r="B29" s="1387"/>
      <c r="C29" s="1424"/>
      <c r="D29" s="1425"/>
      <c r="E29" s="1424"/>
      <c r="F29" s="1387"/>
    </row>
    <row r="30" spans="1:6" ht="23.25" customHeight="1">
      <c r="A30" s="1387"/>
      <c r="B30" s="1387"/>
      <c r="C30" s="1424"/>
      <c r="D30" s="1425"/>
      <c r="E30" s="1424"/>
      <c r="F30" s="1387"/>
    </row>
    <row r="31" spans="1:6" ht="23.25" customHeight="1">
      <c r="A31" s="1387"/>
      <c r="B31" s="1387"/>
      <c r="C31" s="1424"/>
      <c r="D31" s="1425"/>
      <c r="E31" s="1424"/>
      <c r="F31" s="1387"/>
    </row>
    <row r="32" spans="1:6" ht="23.25" customHeight="1">
      <c r="A32" s="1387"/>
      <c r="B32" s="1387"/>
      <c r="C32" s="1424"/>
      <c r="D32" s="1425"/>
      <c r="E32" s="1424"/>
      <c r="F32" s="1387"/>
    </row>
    <row r="33" spans="1:6" ht="23.25" customHeight="1">
      <c r="A33" s="1387"/>
      <c r="B33" s="1387"/>
      <c r="C33" s="1424"/>
      <c r="D33" s="1425"/>
      <c r="E33" s="1424"/>
      <c r="F33" s="1387"/>
    </row>
    <row r="34" spans="1:6" ht="23.25" customHeight="1">
      <c r="A34" s="1387"/>
      <c r="B34" s="1387"/>
      <c r="C34" s="1424"/>
      <c r="D34" s="1425"/>
      <c r="E34" s="1424"/>
      <c r="F34" s="1387"/>
    </row>
    <row r="35" spans="1:6" ht="23.25" customHeight="1">
      <c r="A35" s="1387"/>
      <c r="B35" s="1387"/>
      <c r="C35" s="1424"/>
      <c r="D35" s="1425"/>
      <c r="E35" s="1424"/>
      <c r="F35" s="1387"/>
    </row>
    <row r="36" spans="1:6" ht="23.25" customHeight="1">
      <c r="A36" s="1387"/>
      <c r="B36" s="1387"/>
      <c r="C36" s="1424"/>
      <c r="D36" s="1425"/>
      <c r="E36" s="1424"/>
      <c r="F36" s="1387"/>
    </row>
    <row r="37" spans="1:6" ht="23.25" customHeight="1">
      <c r="A37" s="1387"/>
      <c r="B37" s="1387"/>
      <c r="C37" s="1424"/>
      <c r="D37" s="1425"/>
      <c r="E37" s="1424"/>
      <c r="F37" s="1387"/>
    </row>
    <row r="38" spans="1:6" ht="23.25" customHeight="1">
      <c r="A38" s="1387"/>
      <c r="B38" s="1387"/>
      <c r="C38" s="1424"/>
      <c r="D38" s="1425"/>
      <c r="E38" s="1424"/>
      <c r="F38" s="1387"/>
    </row>
    <row r="39" spans="1:6" ht="23.25" customHeight="1">
      <c r="A39" s="1387"/>
      <c r="B39" s="1387"/>
      <c r="C39" s="1424"/>
      <c r="D39" s="1425"/>
      <c r="E39" s="1424"/>
      <c r="F39" s="1387"/>
    </row>
    <row r="40" spans="1:6" ht="23.25" customHeight="1">
      <c r="A40" s="1387"/>
      <c r="B40" s="1387"/>
      <c r="C40" s="1424"/>
      <c r="D40" s="1425"/>
      <c r="E40" s="1424"/>
      <c r="F40" s="1387"/>
    </row>
    <row r="41" spans="1:6" ht="23.25" customHeight="1">
      <c r="A41" s="1387"/>
      <c r="B41" s="1387"/>
      <c r="C41" s="1424"/>
      <c r="D41" s="1425"/>
      <c r="E41" s="1424"/>
      <c r="F41" s="1387"/>
    </row>
  </sheetData>
  <mergeCells count="8">
    <mergeCell ref="A1:E1"/>
    <mergeCell ref="A2:F3"/>
    <mergeCell ref="A4:E4"/>
    <mergeCell ref="A5:A6"/>
    <mergeCell ref="B5:B6"/>
    <mergeCell ref="C5:C6"/>
    <mergeCell ref="D5:E5"/>
    <mergeCell ref="F5:F6"/>
  </mergeCells>
  <phoneticPr fontId="51" type="noConversion"/>
  <pageMargins left="0.78740157480314998" right="0.35433070866141703" top="0.511811023622047" bottom="0.11811023622047198" header="0.511811023622047" footer="0.511811023622047"/>
  <pageSetup paperSize="9" orientation="portrait" r:id="rId1"/>
</worksheet>
</file>

<file path=xl/worksheets/sheet1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87"/>
  <dimension ref="A1:E42"/>
  <sheetViews>
    <sheetView workbookViewId="0">
      <selection activeCell="A9" sqref="A9"/>
    </sheetView>
  </sheetViews>
  <sheetFormatPr defaultRowHeight="19.5" customHeight="1"/>
  <cols>
    <col min="1" max="1" width="21.3984375" style="1350" customWidth="1"/>
    <col min="2" max="2" width="55.69921875" style="1351" customWidth="1"/>
    <col min="3" max="3" width="24.3984375" style="1350" customWidth="1"/>
    <col min="4" max="255" width="9" style="1336"/>
    <col min="256" max="256" width="21.3984375" style="1336" customWidth="1"/>
    <col min="257" max="257" width="55.69921875" style="1336" customWidth="1"/>
    <col min="258" max="258" width="24.3984375" style="1336" customWidth="1"/>
    <col min="259" max="259" width="9" style="1336"/>
    <col min="260" max="260" width="20.5" style="1336" bestFit="1" customWidth="1"/>
    <col min="261" max="511" width="9" style="1336"/>
    <col min="512" max="512" width="21.3984375" style="1336" customWidth="1"/>
    <col min="513" max="513" width="55.69921875" style="1336" customWidth="1"/>
    <col min="514" max="514" width="24.3984375" style="1336" customWidth="1"/>
    <col min="515" max="515" width="9" style="1336"/>
    <col min="516" max="516" width="20.5" style="1336" bestFit="1" customWidth="1"/>
    <col min="517" max="767" width="9" style="1336"/>
    <col min="768" max="768" width="21.3984375" style="1336" customWidth="1"/>
    <col min="769" max="769" width="55.69921875" style="1336" customWidth="1"/>
    <col min="770" max="770" width="24.3984375" style="1336" customWidth="1"/>
    <col min="771" max="771" width="9" style="1336"/>
    <col min="772" max="772" width="20.5" style="1336" bestFit="1" customWidth="1"/>
    <col min="773" max="1023" width="9" style="1336"/>
    <col min="1024" max="1024" width="21.3984375" style="1336" customWidth="1"/>
    <col min="1025" max="1025" width="55.69921875" style="1336" customWidth="1"/>
    <col min="1026" max="1026" width="24.3984375" style="1336" customWidth="1"/>
    <col min="1027" max="1027" width="9" style="1336"/>
    <col min="1028" max="1028" width="20.5" style="1336" bestFit="1" customWidth="1"/>
    <col min="1029" max="1279" width="9" style="1336"/>
    <col min="1280" max="1280" width="21.3984375" style="1336" customWidth="1"/>
    <col min="1281" max="1281" width="55.69921875" style="1336" customWidth="1"/>
    <col min="1282" max="1282" width="24.3984375" style="1336" customWidth="1"/>
    <col min="1283" max="1283" width="9" style="1336"/>
    <col min="1284" max="1284" width="20.5" style="1336" bestFit="1" customWidth="1"/>
    <col min="1285" max="1535" width="9" style="1336"/>
    <col min="1536" max="1536" width="21.3984375" style="1336" customWidth="1"/>
    <col min="1537" max="1537" width="55.69921875" style="1336" customWidth="1"/>
    <col min="1538" max="1538" width="24.3984375" style="1336" customWidth="1"/>
    <col min="1539" max="1539" width="9" style="1336"/>
    <col min="1540" max="1540" width="20.5" style="1336" bestFit="1" customWidth="1"/>
    <col min="1541" max="1791" width="9" style="1336"/>
    <col min="1792" max="1792" width="21.3984375" style="1336" customWidth="1"/>
    <col min="1793" max="1793" width="55.69921875" style="1336" customWidth="1"/>
    <col min="1794" max="1794" width="24.3984375" style="1336" customWidth="1"/>
    <col min="1795" max="1795" width="9" style="1336"/>
    <col min="1796" max="1796" width="20.5" style="1336" bestFit="1" customWidth="1"/>
    <col min="1797" max="2047" width="9" style="1336"/>
    <col min="2048" max="2048" width="21.3984375" style="1336" customWidth="1"/>
    <col min="2049" max="2049" width="55.69921875" style="1336" customWidth="1"/>
    <col min="2050" max="2050" width="24.3984375" style="1336" customWidth="1"/>
    <col min="2051" max="2051" width="9" style="1336"/>
    <col min="2052" max="2052" width="20.5" style="1336" bestFit="1" customWidth="1"/>
    <col min="2053" max="2303" width="9" style="1336"/>
    <col min="2304" max="2304" width="21.3984375" style="1336" customWidth="1"/>
    <col min="2305" max="2305" width="55.69921875" style="1336" customWidth="1"/>
    <col min="2306" max="2306" width="24.3984375" style="1336" customWidth="1"/>
    <col min="2307" max="2307" width="9" style="1336"/>
    <col min="2308" max="2308" width="20.5" style="1336" bestFit="1" customWidth="1"/>
    <col min="2309" max="2559" width="9" style="1336"/>
    <col min="2560" max="2560" width="21.3984375" style="1336" customWidth="1"/>
    <col min="2561" max="2561" width="55.69921875" style="1336" customWidth="1"/>
    <col min="2562" max="2562" width="24.3984375" style="1336" customWidth="1"/>
    <col min="2563" max="2563" width="9" style="1336"/>
    <col min="2564" max="2564" width="20.5" style="1336" bestFit="1" customWidth="1"/>
    <col min="2565" max="2815" width="9" style="1336"/>
    <col min="2816" max="2816" width="21.3984375" style="1336" customWidth="1"/>
    <col min="2817" max="2817" width="55.69921875" style="1336" customWidth="1"/>
    <col min="2818" max="2818" width="24.3984375" style="1336" customWidth="1"/>
    <col min="2819" max="2819" width="9" style="1336"/>
    <col min="2820" max="2820" width="20.5" style="1336" bestFit="1" customWidth="1"/>
    <col min="2821" max="3071" width="9" style="1336"/>
    <col min="3072" max="3072" width="21.3984375" style="1336" customWidth="1"/>
    <col min="3073" max="3073" width="55.69921875" style="1336" customWidth="1"/>
    <col min="3074" max="3074" width="24.3984375" style="1336" customWidth="1"/>
    <col min="3075" max="3075" width="9" style="1336"/>
    <col min="3076" max="3076" width="20.5" style="1336" bestFit="1" customWidth="1"/>
    <col min="3077" max="3327" width="9" style="1336"/>
    <col min="3328" max="3328" width="21.3984375" style="1336" customWidth="1"/>
    <col min="3329" max="3329" width="55.69921875" style="1336" customWidth="1"/>
    <col min="3330" max="3330" width="24.3984375" style="1336" customWidth="1"/>
    <col min="3331" max="3331" width="9" style="1336"/>
    <col min="3332" max="3332" width="20.5" style="1336" bestFit="1" customWidth="1"/>
    <col min="3333" max="3583" width="9" style="1336"/>
    <col min="3584" max="3584" width="21.3984375" style="1336" customWidth="1"/>
    <col min="3585" max="3585" width="55.69921875" style="1336" customWidth="1"/>
    <col min="3586" max="3586" width="24.3984375" style="1336" customWidth="1"/>
    <col min="3587" max="3587" width="9" style="1336"/>
    <col min="3588" max="3588" width="20.5" style="1336" bestFit="1" customWidth="1"/>
    <col min="3589" max="3839" width="9" style="1336"/>
    <col min="3840" max="3840" width="21.3984375" style="1336" customWidth="1"/>
    <col min="3841" max="3841" width="55.69921875" style="1336" customWidth="1"/>
    <col min="3842" max="3842" width="24.3984375" style="1336" customWidth="1"/>
    <col min="3843" max="3843" width="9" style="1336"/>
    <col min="3844" max="3844" width="20.5" style="1336" bestFit="1" customWidth="1"/>
    <col min="3845" max="4095" width="9" style="1336"/>
    <col min="4096" max="4096" width="21.3984375" style="1336" customWidth="1"/>
    <col min="4097" max="4097" width="55.69921875" style="1336" customWidth="1"/>
    <col min="4098" max="4098" width="24.3984375" style="1336" customWidth="1"/>
    <col min="4099" max="4099" width="9" style="1336"/>
    <col min="4100" max="4100" width="20.5" style="1336" bestFit="1" customWidth="1"/>
    <col min="4101" max="4351" width="9" style="1336"/>
    <col min="4352" max="4352" width="21.3984375" style="1336" customWidth="1"/>
    <col min="4353" max="4353" width="55.69921875" style="1336" customWidth="1"/>
    <col min="4354" max="4354" width="24.3984375" style="1336" customWidth="1"/>
    <col min="4355" max="4355" width="9" style="1336"/>
    <col min="4356" max="4356" width="20.5" style="1336" bestFit="1" customWidth="1"/>
    <col min="4357" max="4607" width="9" style="1336"/>
    <col min="4608" max="4608" width="21.3984375" style="1336" customWidth="1"/>
    <col min="4609" max="4609" width="55.69921875" style="1336" customWidth="1"/>
    <col min="4610" max="4610" width="24.3984375" style="1336" customWidth="1"/>
    <col min="4611" max="4611" width="9" style="1336"/>
    <col min="4612" max="4612" width="20.5" style="1336" bestFit="1" customWidth="1"/>
    <col min="4613" max="4863" width="9" style="1336"/>
    <col min="4864" max="4864" width="21.3984375" style="1336" customWidth="1"/>
    <col min="4865" max="4865" width="55.69921875" style="1336" customWidth="1"/>
    <col min="4866" max="4866" width="24.3984375" style="1336" customWidth="1"/>
    <col min="4867" max="4867" width="9" style="1336"/>
    <col min="4868" max="4868" width="20.5" style="1336" bestFit="1" customWidth="1"/>
    <col min="4869" max="5119" width="9" style="1336"/>
    <col min="5120" max="5120" width="21.3984375" style="1336" customWidth="1"/>
    <col min="5121" max="5121" width="55.69921875" style="1336" customWidth="1"/>
    <col min="5122" max="5122" width="24.3984375" style="1336" customWidth="1"/>
    <col min="5123" max="5123" width="9" style="1336"/>
    <col min="5124" max="5124" width="20.5" style="1336" bestFit="1" customWidth="1"/>
    <col min="5125" max="5375" width="9" style="1336"/>
    <col min="5376" max="5376" width="21.3984375" style="1336" customWidth="1"/>
    <col min="5377" max="5377" width="55.69921875" style="1336" customWidth="1"/>
    <col min="5378" max="5378" width="24.3984375" style="1336" customWidth="1"/>
    <col min="5379" max="5379" width="9" style="1336"/>
    <col min="5380" max="5380" width="20.5" style="1336" bestFit="1" customWidth="1"/>
    <col min="5381" max="5631" width="9" style="1336"/>
    <col min="5632" max="5632" width="21.3984375" style="1336" customWidth="1"/>
    <col min="5633" max="5633" width="55.69921875" style="1336" customWidth="1"/>
    <col min="5634" max="5634" width="24.3984375" style="1336" customWidth="1"/>
    <col min="5635" max="5635" width="9" style="1336"/>
    <col min="5636" max="5636" width="20.5" style="1336" bestFit="1" customWidth="1"/>
    <col min="5637" max="5887" width="9" style="1336"/>
    <col min="5888" max="5888" width="21.3984375" style="1336" customWidth="1"/>
    <col min="5889" max="5889" width="55.69921875" style="1336" customWidth="1"/>
    <col min="5890" max="5890" width="24.3984375" style="1336" customWidth="1"/>
    <col min="5891" max="5891" width="9" style="1336"/>
    <col min="5892" max="5892" width="20.5" style="1336" bestFit="1" customWidth="1"/>
    <col min="5893" max="6143" width="9" style="1336"/>
    <col min="6144" max="6144" width="21.3984375" style="1336" customWidth="1"/>
    <col min="6145" max="6145" width="55.69921875" style="1336" customWidth="1"/>
    <col min="6146" max="6146" width="24.3984375" style="1336" customWidth="1"/>
    <col min="6147" max="6147" width="9" style="1336"/>
    <col min="6148" max="6148" width="20.5" style="1336" bestFit="1" customWidth="1"/>
    <col min="6149" max="6399" width="9" style="1336"/>
    <col min="6400" max="6400" width="21.3984375" style="1336" customWidth="1"/>
    <col min="6401" max="6401" width="55.69921875" style="1336" customWidth="1"/>
    <col min="6402" max="6402" width="24.3984375" style="1336" customWidth="1"/>
    <col min="6403" max="6403" width="9" style="1336"/>
    <col min="6404" max="6404" width="20.5" style="1336" bestFit="1" customWidth="1"/>
    <col min="6405" max="6655" width="9" style="1336"/>
    <col min="6656" max="6656" width="21.3984375" style="1336" customWidth="1"/>
    <col min="6657" max="6657" width="55.69921875" style="1336" customWidth="1"/>
    <col min="6658" max="6658" width="24.3984375" style="1336" customWidth="1"/>
    <col min="6659" max="6659" width="9" style="1336"/>
    <col min="6660" max="6660" width="20.5" style="1336" bestFit="1" customWidth="1"/>
    <col min="6661" max="6911" width="9" style="1336"/>
    <col min="6912" max="6912" width="21.3984375" style="1336" customWidth="1"/>
    <col min="6913" max="6913" width="55.69921875" style="1336" customWidth="1"/>
    <col min="6914" max="6914" width="24.3984375" style="1336" customWidth="1"/>
    <col min="6915" max="6915" width="9" style="1336"/>
    <col min="6916" max="6916" width="20.5" style="1336" bestFit="1" customWidth="1"/>
    <col min="6917" max="7167" width="9" style="1336"/>
    <col min="7168" max="7168" width="21.3984375" style="1336" customWidth="1"/>
    <col min="7169" max="7169" width="55.69921875" style="1336" customWidth="1"/>
    <col min="7170" max="7170" width="24.3984375" style="1336" customWidth="1"/>
    <col min="7171" max="7171" width="9" style="1336"/>
    <col min="7172" max="7172" width="20.5" style="1336" bestFit="1" customWidth="1"/>
    <col min="7173" max="7423" width="9" style="1336"/>
    <col min="7424" max="7424" width="21.3984375" style="1336" customWidth="1"/>
    <col min="7425" max="7425" width="55.69921875" style="1336" customWidth="1"/>
    <col min="7426" max="7426" width="24.3984375" style="1336" customWidth="1"/>
    <col min="7427" max="7427" width="9" style="1336"/>
    <col min="7428" max="7428" width="20.5" style="1336" bestFit="1" customWidth="1"/>
    <col min="7429" max="7679" width="9" style="1336"/>
    <col min="7680" max="7680" width="21.3984375" style="1336" customWidth="1"/>
    <col min="7681" max="7681" width="55.69921875" style="1336" customWidth="1"/>
    <col min="7682" max="7682" width="24.3984375" style="1336" customWidth="1"/>
    <col min="7683" max="7683" width="9" style="1336"/>
    <col min="7684" max="7684" width="20.5" style="1336" bestFit="1" customWidth="1"/>
    <col min="7685" max="7935" width="9" style="1336"/>
    <col min="7936" max="7936" width="21.3984375" style="1336" customWidth="1"/>
    <col min="7937" max="7937" width="55.69921875" style="1336" customWidth="1"/>
    <col min="7938" max="7938" width="24.3984375" style="1336" customWidth="1"/>
    <col min="7939" max="7939" width="9" style="1336"/>
    <col min="7940" max="7940" width="20.5" style="1336" bestFit="1" customWidth="1"/>
    <col min="7941" max="8191" width="9" style="1336"/>
    <col min="8192" max="8192" width="21.3984375" style="1336" customWidth="1"/>
    <col min="8193" max="8193" width="55.69921875" style="1336" customWidth="1"/>
    <col min="8194" max="8194" width="24.3984375" style="1336" customWidth="1"/>
    <col min="8195" max="8195" width="9" style="1336"/>
    <col min="8196" max="8196" width="20.5" style="1336" bestFit="1" customWidth="1"/>
    <col min="8197" max="8447" width="9" style="1336"/>
    <col min="8448" max="8448" width="21.3984375" style="1336" customWidth="1"/>
    <col min="8449" max="8449" width="55.69921875" style="1336" customWidth="1"/>
    <col min="8450" max="8450" width="24.3984375" style="1336" customWidth="1"/>
    <col min="8451" max="8451" width="9" style="1336"/>
    <col min="8452" max="8452" width="20.5" style="1336" bestFit="1" customWidth="1"/>
    <col min="8453" max="8703" width="9" style="1336"/>
    <col min="8704" max="8704" width="21.3984375" style="1336" customWidth="1"/>
    <col min="8705" max="8705" width="55.69921875" style="1336" customWidth="1"/>
    <col min="8706" max="8706" width="24.3984375" style="1336" customWidth="1"/>
    <col min="8707" max="8707" width="9" style="1336"/>
    <col min="8708" max="8708" width="20.5" style="1336" bestFit="1" customWidth="1"/>
    <col min="8709" max="8959" width="9" style="1336"/>
    <col min="8960" max="8960" width="21.3984375" style="1336" customWidth="1"/>
    <col min="8961" max="8961" width="55.69921875" style="1336" customWidth="1"/>
    <col min="8962" max="8962" width="24.3984375" style="1336" customWidth="1"/>
    <col min="8963" max="8963" width="9" style="1336"/>
    <col min="8964" max="8964" width="20.5" style="1336" bestFit="1" customWidth="1"/>
    <col min="8965" max="9215" width="9" style="1336"/>
    <col min="9216" max="9216" width="21.3984375" style="1336" customWidth="1"/>
    <col min="9217" max="9217" width="55.69921875" style="1336" customWidth="1"/>
    <col min="9218" max="9218" width="24.3984375" style="1336" customWidth="1"/>
    <col min="9219" max="9219" width="9" style="1336"/>
    <col min="9220" max="9220" width="20.5" style="1336" bestFit="1" customWidth="1"/>
    <col min="9221" max="9471" width="9" style="1336"/>
    <col min="9472" max="9472" width="21.3984375" style="1336" customWidth="1"/>
    <col min="9473" max="9473" width="55.69921875" style="1336" customWidth="1"/>
    <col min="9474" max="9474" width="24.3984375" style="1336" customWidth="1"/>
    <col min="9475" max="9475" width="9" style="1336"/>
    <col min="9476" max="9476" width="20.5" style="1336" bestFit="1" customWidth="1"/>
    <col min="9477" max="9727" width="9" style="1336"/>
    <col min="9728" max="9728" width="21.3984375" style="1336" customWidth="1"/>
    <col min="9729" max="9729" width="55.69921875" style="1336" customWidth="1"/>
    <col min="9730" max="9730" width="24.3984375" style="1336" customWidth="1"/>
    <col min="9731" max="9731" width="9" style="1336"/>
    <col min="9732" max="9732" width="20.5" style="1336" bestFit="1" customWidth="1"/>
    <col min="9733" max="9983" width="9" style="1336"/>
    <col min="9984" max="9984" width="21.3984375" style="1336" customWidth="1"/>
    <col min="9985" max="9985" width="55.69921875" style="1336" customWidth="1"/>
    <col min="9986" max="9986" width="24.3984375" style="1336" customWidth="1"/>
    <col min="9987" max="9987" width="9" style="1336"/>
    <col min="9988" max="9988" width="20.5" style="1336" bestFit="1" customWidth="1"/>
    <col min="9989" max="10239" width="9" style="1336"/>
    <col min="10240" max="10240" width="21.3984375" style="1336" customWidth="1"/>
    <col min="10241" max="10241" width="55.69921875" style="1336" customWidth="1"/>
    <col min="10242" max="10242" width="24.3984375" style="1336" customWidth="1"/>
    <col min="10243" max="10243" width="9" style="1336"/>
    <col min="10244" max="10244" width="20.5" style="1336" bestFit="1" customWidth="1"/>
    <col min="10245" max="10495" width="9" style="1336"/>
    <col min="10496" max="10496" width="21.3984375" style="1336" customWidth="1"/>
    <col min="10497" max="10497" width="55.69921875" style="1336" customWidth="1"/>
    <col min="10498" max="10498" width="24.3984375" style="1336" customWidth="1"/>
    <col min="10499" max="10499" width="9" style="1336"/>
    <col min="10500" max="10500" width="20.5" style="1336" bestFit="1" customWidth="1"/>
    <col min="10501" max="10751" width="9" style="1336"/>
    <col min="10752" max="10752" width="21.3984375" style="1336" customWidth="1"/>
    <col min="10753" max="10753" width="55.69921875" style="1336" customWidth="1"/>
    <col min="10754" max="10754" width="24.3984375" style="1336" customWidth="1"/>
    <col min="10755" max="10755" width="9" style="1336"/>
    <col min="10756" max="10756" width="20.5" style="1336" bestFit="1" customWidth="1"/>
    <col min="10757" max="11007" width="9" style="1336"/>
    <col min="11008" max="11008" width="21.3984375" style="1336" customWidth="1"/>
    <col min="11009" max="11009" width="55.69921875" style="1336" customWidth="1"/>
    <col min="11010" max="11010" width="24.3984375" style="1336" customWidth="1"/>
    <col min="11011" max="11011" width="9" style="1336"/>
    <col min="11012" max="11012" width="20.5" style="1336" bestFit="1" customWidth="1"/>
    <col min="11013" max="11263" width="9" style="1336"/>
    <col min="11264" max="11264" width="21.3984375" style="1336" customWidth="1"/>
    <col min="11265" max="11265" width="55.69921875" style="1336" customWidth="1"/>
    <col min="11266" max="11266" width="24.3984375" style="1336" customWidth="1"/>
    <col min="11267" max="11267" width="9" style="1336"/>
    <col min="11268" max="11268" width="20.5" style="1336" bestFit="1" customWidth="1"/>
    <col min="11269" max="11519" width="9" style="1336"/>
    <col min="11520" max="11520" width="21.3984375" style="1336" customWidth="1"/>
    <col min="11521" max="11521" width="55.69921875" style="1336" customWidth="1"/>
    <col min="11522" max="11522" width="24.3984375" style="1336" customWidth="1"/>
    <col min="11523" max="11523" width="9" style="1336"/>
    <col min="11524" max="11524" width="20.5" style="1336" bestFit="1" customWidth="1"/>
    <col min="11525" max="11775" width="9" style="1336"/>
    <col min="11776" max="11776" width="21.3984375" style="1336" customWidth="1"/>
    <col min="11777" max="11777" width="55.69921875" style="1336" customWidth="1"/>
    <col min="11778" max="11778" width="24.3984375" style="1336" customWidth="1"/>
    <col min="11779" max="11779" width="9" style="1336"/>
    <col min="11780" max="11780" width="20.5" style="1336" bestFit="1" customWidth="1"/>
    <col min="11781" max="12031" width="9" style="1336"/>
    <col min="12032" max="12032" width="21.3984375" style="1336" customWidth="1"/>
    <col min="12033" max="12033" width="55.69921875" style="1336" customWidth="1"/>
    <col min="12034" max="12034" width="24.3984375" style="1336" customWidth="1"/>
    <col min="12035" max="12035" width="9" style="1336"/>
    <col min="12036" max="12036" width="20.5" style="1336" bestFit="1" customWidth="1"/>
    <col min="12037" max="12287" width="9" style="1336"/>
    <col min="12288" max="12288" width="21.3984375" style="1336" customWidth="1"/>
    <col min="12289" max="12289" width="55.69921875" style="1336" customWidth="1"/>
    <col min="12290" max="12290" width="24.3984375" style="1336" customWidth="1"/>
    <col min="12291" max="12291" width="9" style="1336"/>
    <col min="12292" max="12292" width="20.5" style="1336" bestFit="1" customWidth="1"/>
    <col min="12293" max="12543" width="9" style="1336"/>
    <col min="12544" max="12544" width="21.3984375" style="1336" customWidth="1"/>
    <col min="12545" max="12545" width="55.69921875" style="1336" customWidth="1"/>
    <col min="12546" max="12546" width="24.3984375" style="1336" customWidth="1"/>
    <col min="12547" max="12547" width="9" style="1336"/>
    <col min="12548" max="12548" width="20.5" style="1336" bestFit="1" customWidth="1"/>
    <col min="12549" max="12799" width="9" style="1336"/>
    <col min="12800" max="12800" width="21.3984375" style="1336" customWidth="1"/>
    <col min="12801" max="12801" width="55.69921875" style="1336" customWidth="1"/>
    <col min="12802" max="12802" width="24.3984375" style="1336" customWidth="1"/>
    <col min="12803" max="12803" width="9" style="1336"/>
    <col min="12804" max="12804" width="20.5" style="1336" bestFit="1" customWidth="1"/>
    <col min="12805" max="13055" width="9" style="1336"/>
    <col min="13056" max="13056" width="21.3984375" style="1336" customWidth="1"/>
    <col min="13057" max="13057" width="55.69921875" style="1336" customWidth="1"/>
    <col min="13058" max="13058" width="24.3984375" style="1336" customWidth="1"/>
    <col min="13059" max="13059" width="9" style="1336"/>
    <col min="13060" max="13060" width="20.5" style="1336" bestFit="1" customWidth="1"/>
    <col min="13061" max="13311" width="9" style="1336"/>
    <col min="13312" max="13312" width="21.3984375" style="1336" customWidth="1"/>
    <col min="13313" max="13313" width="55.69921875" style="1336" customWidth="1"/>
    <col min="13314" max="13314" width="24.3984375" style="1336" customWidth="1"/>
    <col min="13315" max="13315" width="9" style="1336"/>
    <col min="13316" max="13316" width="20.5" style="1336" bestFit="1" customWidth="1"/>
    <col min="13317" max="13567" width="9" style="1336"/>
    <col min="13568" max="13568" width="21.3984375" style="1336" customWidth="1"/>
    <col min="13569" max="13569" width="55.69921875" style="1336" customWidth="1"/>
    <col min="13570" max="13570" width="24.3984375" style="1336" customWidth="1"/>
    <col min="13571" max="13571" width="9" style="1336"/>
    <col min="13572" max="13572" width="20.5" style="1336" bestFit="1" customWidth="1"/>
    <col min="13573" max="13823" width="9" style="1336"/>
    <col min="13824" max="13824" width="21.3984375" style="1336" customWidth="1"/>
    <col min="13825" max="13825" width="55.69921875" style="1336" customWidth="1"/>
    <col min="13826" max="13826" width="24.3984375" style="1336" customWidth="1"/>
    <col min="13827" max="13827" width="9" style="1336"/>
    <col min="13828" max="13828" width="20.5" style="1336" bestFit="1" customWidth="1"/>
    <col min="13829" max="14079" width="9" style="1336"/>
    <col min="14080" max="14080" width="21.3984375" style="1336" customWidth="1"/>
    <col min="14081" max="14081" width="55.69921875" style="1336" customWidth="1"/>
    <col min="14082" max="14082" width="24.3984375" style="1336" customWidth="1"/>
    <col min="14083" max="14083" width="9" style="1336"/>
    <col min="14084" max="14084" width="20.5" style="1336" bestFit="1" customWidth="1"/>
    <col min="14085" max="14335" width="9" style="1336"/>
    <col min="14336" max="14336" width="21.3984375" style="1336" customWidth="1"/>
    <col min="14337" max="14337" width="55.69921875" style="1336" customWidth="1"/>
    <col min="14338" max="14338" width="24.3984375" style="1336" customWidth="1"/>
    <col min="14339" max="14339" width="9" style="1336"/>
    <col min="14340" max="14340" width="20.5" style="1336" bestFit="1" customWidth="1"/>
    <col min="14341" max="14591" width="9" style="1336"/>
    <col min="14592" max="14592" width="21.3984375" style="1336" customWidth="1"/>
    <col min="14593" max="14593" width="55.69921875" style="1336" customWidth="1"/>
    <col min="14594" max="14594" width="24.3984375" style="1336" customWidth="1"/>
    <col min="14595" max="14595" width="9" style="1336"/>
    <col min="14596" max="14596" width="20.5" style="1336" bestFit="1" customWidth="1"/>
    <col min="14597" max="14847" width="9" style="1336"/>
    <col min="14848" max="14848" width="21.3984375" style="1336" customWidth="1"/>
    <col min="14849" max="14849" width="55.69921875" style="1336" customWidth="1"/>
    <col min="14850" max="14850" width="24.3984375" style="1336" customWidth="1"/>
    <col min="14851" max="14851" width="9" style="1336"/>
    <col min="14852" max="14852" width="20.5" style="1336" bestFit="1" customWidth="1"/>
    <col min="14853" max="15103" width="9" style="1336"/>
    <col min="15104" max="15104" width="21.3984375" style="1336" customWidth="1"/>
    <col min="15105" max="15105" width="55.69921875" style="1336" customWidth="1"/>
    <col min="15106" max="15106" width="24.3984375" style="1336" customWidth="1"/>
    <col min="15107" max="15107" width="9" style="1336"/>
    <col min="15108" max="15108" width="20.5" style="1336" bestFit="1" customWidth="1"/>
    <col min="15109" max="15359" width="9" style="1336"/>
    <col min="15360" max="15360" width="21.3984375" style="1336" customWidth="1"/>
    <col min="15361" max="15361" width="55.69921875" style="1336" customWidth="1"/>
    <col min="15362" max="15362" width="24.3984375" style="1336" customWidth="1"/>
    <col min="15363" max="15363" width="9" style="1336"/>
    <col min="15364" max="15364" width="20.5" style="1336" bestFit="1" customWidth="1"/>
    <col min="15365" max="15615" width="9" style="1336"/>
    <col min="15616" max="15616" width="21.3984375" style="1336" customWidth="1"/>
    <col min="15617" max="15617" width="55.69921875" style="1336" customWidth="1"/>
    <col min="15618" max="15618" width="24.3984375" style="1336" customWidth="1"/>
    <col min="15619" max="15619" width="9" style="1336"/>
    <col min="15620" max="15620" width="20.5" style="1336" bestFit="1" customWidth="1"/>
    <col min="15621" max="15871" width="9" style="1336"/>
    <col min="15872" max="15872" width="21.3984375" style="1336" customWidth="1"/>
    <col min="15873" max="15873" width="55.69921875" style="1336" customWidth="1"/>
    <col min="15874" max="15874" width="24.3984375" style="1336" customWidth="1"/>
    <col min="15875" max="15875" width="9" style="1336"/>
    <col min="15876" max="15876" width="20.5" style="1336" bestFit="1" customWidth="1"/>
    <col min="15877" max="16127" width="9" style="1336"/>
    <col min="16128" max="16128" width="21.3984375" style="1336" customWidth="1"/>
    <col min="16129" max="16129" width="55.69921875" style="1336" customWidth="1"/>
    <col min="16130" max="16130" width="24.3984375" style="1336" customWidth="1"/>
    <col min="16131" max="16131" width="9" style="1336"/>
    <col min="16132" max="16132" width="20.5" style="1336" bestFit="1" customWidth="1"/>
    <col min="16133" max="16383" width="9" style="1336"/>
    <col min="16384" max="16384" width="9" style="1336" customWidth="1"/>
  </cols>
  <sheetData>
    <row r="1" spans="1:3" ht="26.25" customHeight="1">
      <c r="A1" s="3835" t="s">
        <v>10099</v>
      </c>
      <c r="B1" s="3835"/>
      <c r="C1" s="1335" t="s">
        <v>7684</v>
      </c>
    </row>
    <row r="2" spans="1:3" ht="19.5" customHeight="1">
      <c r="A2" s="3836" t="s">
        <v>10100</v>
      </c>
      <c r="B2" s="3836"/>
      <c r="C2" s="1337" t="s">
        <v>833</v>
      </c>
    </row>
    <row r="3" spans="1:3" ht="19.5" customHeight="1">
      <c r="A3" s="1338" t="s">
        <v>1694</v>
      </c>
      <c r="B3" s="1345">
        <f>基本情况!B44</f>
        <v>0</v>
      </c>
      <c r="C3" s="1340" t="s">
        <v>1695</v>
      </c>
    </row>
    <row r="4" spans="1:3" ht="19.5" customHeight="1">
      <c r="A4" s="1338" t="s">
        <v>1696</v>
      </c>
      <c r="B4" s="1339">
        <f>基本情况!B2</f>
        <v>0</v>
      </c>
      <c r="C4" s="1340" t="s">
        <v>1697</v>
      </c>
    </row>
    <row r="5" spans="1:3" ht="19.5" customHeight="1">
      <c r="A5" s="1338" t="s">
        <v>10101</v>
      </c>
      <c r="B5" s="1339">
        <f>[0]!本年度</f>
        <v>2016</v>
      </c>
      <c r="C5" s="1340" t="s">
        <v>1698</v>
      </c>
    </row>
    <row r="6" spans="1:3" ht="19.5" customHeight="1">
      <c r="A6" s="1338" t="s">
        <v>10102</v>
      </c>
      <c r="B6" s="1339" t="str">
        <f>基本情况!F21</f>
        <v>2017-03-16</v>
      </c>
      <c r="C6" s="3838" t="s">
        <v>7423</v>
      </c>
    </row>
    <row r="7" spans="1:3" ht="19.5" customHeight="1">
      <c r="A7" s="1338" t="s">
        <v>10103</v>
      </c>
      <c r="B7" s="1339" t="str">
        <f>基本情况!F20</f>
        <v>2017-05-04</v>
      </c>
      <c r="C7" s="3839"/>
    </row>
    <row r="8" spans="1:3" ht="19.5" customHeight="1">
      <c r="A8" s="1338" t="s">
        <v>10104</v>
      </c>
      <c r="B8" s="1339">
        <f>基本情况!B18</f>
        <v>0</v>
      </c>
      <c r="C8" s="1340" t="s">
        <v>1695</v>
      </c>
    </row>
    <row r="9" spans="1:3" ht="75" customHeight="1">
      <c r="A9" s="1338" t="s">
        <v>10084</v>
      </c>
      <c r="B9" s="1339">
        <f>基本情况!B30</f>
        <v>3</v>
      </c>
      <c r="C9" s="1341" t="s">
        <v>1699</v>
      </c>
    </row>
    <row r="10" spans="1:3" ht="19.5" customHeight="1">
      <c r="A10" s="1338" t="s">
        <v>1700</v>
      </c>
      <c r="B10" s="1339" t="str">
        <f>IFERROR(VLOOKUP('基本情况（封面）'!B11,IF(基本情况!B8="中汇百邦（厦门）税务师事务所有限公司",首页!C:D,首页!E:F),2,0),"")</f>
        <v/>
      </c>
      <c r="C10" s="1340" t="s">
        <v>1695</v>
      </c>
    </row>
    <row r="11" spans="1:3" ht="19.5" customHeight="1">
      <c r="A11" s="1338" t="s">
        <v>1701</v>
      </c>
      <c r="B11" s="1339">
        <f>基本情况!B11</f>
        <v>0</v>
      </c>
      <c r="C11" s="1340" t="s">
        <v>1697</v>
      </c>
    </row>
    <row r="12" spans="1:3" ht="19.5" customHeight="1">
      <c r="A12" s="1342" t="s">
        <v>1702</v>
      </c>
      <c r="B12" s="1343" t="str">
        <f ca="1">IF(ISERROR(OFFSET(#REF!,MATCH(B13,#REF!,0)-2,0)),"",OFFSET(#REF!,MATCH(B13,#REF!,0)-2,0))</f>
        <v/>
      </c>
      <c r="C12" s="1342" t="s">
        <v>1703</v>
      </c>
    </row>
    <row r="13" spans="1:3" ht="19.5" customHeight="1">
      <c r="A13" s="1342" t="s">
        <v>1704</v>
      </c>
      <c r="B13" s="1343" t="str">
        <f>IF(基本情况!B10=0,"",基本情况!B10)</f>
        <v/>
      </c>
      <c r="C13" s="1342" t="s">
        <v>1705</v>
      </c>
    </row>
    <row r="14" spans="1:3" ht="19.5" customHeight="1">
      <c r="A14" s="3836" t="s">
        <v>1706</v>
      </c>
      <c r="B14" s="3836"/>
      <c r="C14" s="1344"/>
    </row>
    <row r="15" spans="1:3" ht="19.5" customHeight="1">
      <c r="A15" s="1338" t="s">
        <v>1707</v>
      </c>
      <c r="B15" s="2618" t="str">
        <f>INDEX(首页!$B:$B,MATCH($B$16,首页!$B:$B,0)+12)</f>
        <v>91350200776046719Q</v>
      </c>
      <c r="C15" s="1340" t="s">
        <v>1697</v>
      </c>
    </row>
    <row r="16" spans="1:3" ht="19.5" customHeight="1">
      <c r="A16" s="1338" t="s">
        <v>1708</v>
      </c>
      <c r="B16" s="2619" t="str">
        <f>基本情况!B8</f>
        <v>中汇百邦（厦门）税务师事务所有限公司</v>
      </c>
      <c r="C16" s="1340" t="s">
        <v>1697</v>
      </c>
    </row>
    <row r="17" spans="1:5" ht="19.5" customHeight="1">
      <c r="A17" s="1338" t="s">
        <v>1709</v>
      </c>
      <c r="B17" s="2618" t="str">
        <f>INDEX(首页!$B:$B,MATCH($B$16,首页!$B:$B,0)+11)</f>
        <v>陈元庆</v>
      </c>
      <c r="C17" s="1340" t="s">
        <v>1697</v>
      </c>
      <c r="E17" s="2060"/>
    </row>
    <row r="18" spans="1:5" ht="19.5" customHeight="1">
      <c r="A18" s="1338" t="s">
        <v>1711</v>
      </c>
      <c r="B18" s="2618" t="str">
        <f>INDEX(首页!$B:$B,MATCH($B$16,首页!$B:$B,0)+10)</f>
        <v>16023</v>
      </c>
      <c r="C18" s="1340" t="s">
        <v>1697</v>
      </c>
      <c r="E18" s="2060"/>
    </row>
    <row r="19" spans="1:5" ht="19.5" customHeight="1">
      <c r="A19" s="1340" t="s">
        <v>1713</v>
      </c>
      <c r="B19" s="2618" t="str">
        <f>INDEX(首页!$B:$B,MATCH($B$16,首页!$B:$B,0)+16)</f>
        <v>0592-5881050</v>
      </c>
      <c r="C19" s="1340" t="s">
        <v>1703</v>
      </c>
      <c r="E19" s="2060"/>
    </row>
    <row r="20" spans="1:5" ht="19.5" customHeight="1">
      <c r="A20" s="1340" t="s">
        <v>1714</v>
      </c>
      <c r="B20" s="2618" t="str">
        <f>INDEX(首页!$B:$B,MATCH($B$16,首页!$B:$B,0)+15)</f>
        <v>0592-5881033</v>
      </c>
      <c r="C20" s="1340" t="s">
        <v>1703</v>
      </c>
      <c r="E20" s="2060"/>
    </row>
    <row r="21" spans="1:5" ht="19.5" customHeight="1">
      <c r="A21" s="1340" t="s">
        <v>1715</v>
      </c>
      <c r="B21" s="2618" t="str">
        <f>INDEX(首页!$B:$B,MATCH($B$16,首页!$B:$B,0)+17)</f>
        <v>厦门市思明区湖滨南路388号国贸大厦41楼B、C单元</v>
      </c>
      <c r="C21" s="1340" t="s">
        <v>1703</v>
      </c>
      <c r="E21" s="2060"/>
    </row>
    <row r="22" spans="1:5" ht="19.5" customHeight="1">
      <c r="A22" s="1340" t="s">
        <v>1716</v>
      </c>
      <c r="B22" s="2618" t="str">
        <f>INDEX(首页!$B:$B,MATCH($B$16,首页!$B:$B,0)+13)</f>
        <v>xm-baibang@163.com</v>
      </c>
      <c r="C22" s="1340" t="s">
        <v>1703</v>
      </c>
      <c r="E22" s="2060"/>
    </row>
    <row r="23" spans="1:5" ht="19.5" customHeight="1">
      <c r="A23" s="1340" t="s">
        <v>1717</v>
      </c>
      <c r="B23" s="2618" t="str">
        <f>INDEX(首页!$B:$B,MATCH($B$16,首页!$B:$B,0)+14)</f>
        <v>www.baibangcpa.com</v>
      </c>
      <c r="C23" s="1340" t="s">
        <v>1703</v>
      </c>
      <c r="E23" s="2060"/>
    </row>
    <row r="24" spans="1:5" ht="19.5" customHeight="1">
      <c r="A24" s="3836" t="s">
        <v>10096</v>
      </c>
      <c r="B24" s="3836"/>
      <c r="C24" s="1340"/>
      <c r="E24" s="2060"/>
    </row>
    <row r="25" spans="1:5" ht="19.5" customHeight="1">
      <c r="A25" s="1340" t="s">
        <v>10097</v>
      </c>
      <c r="B25" s="1345" t="s">
        <v>1693</v>
      </c>
      <c r="C25" s="1340" t="s">
        <v>1703</v>
      </c>
      <c r="E25" s="2060"/>
    </row>
    <row r="26" spans="1:5" ht="19.5" customHeight="1">
      <c r="A26" s="1338" t="s">
        <v>10098</v>
      </c>
      <c r="B26" s="1346">
        <f>基本情况!B17</f>
        <v>1500</v>
      </c>
      <c r="C26" s="1340" t="s">
        <v>1695</v>
      </c>
      <c r="E26" s="2060"/>
    </row>
    <row r="27" spans="1:5" ht="19.5" customHeight="1">
      <c r="A27" s="1347"/>
      <c r="B27" s="1348"/>
      <c r="C27" s="1349"/>
      <c r="E27" s="2060"/>
    </row>
    <row r="28" spans="1:5" ht="62.25" customHeight="1">
      <c r="A28" s="3837" t="s">
        <v>2474</v>
      </c>
      <c r="B28" s="3837"/>
      <c r="C28" s="3837"/>
      <c r="E28" s="2060"/>
    </row>
    <row r="29" spans="1:5" ht="19.5" customHeight="1">
      <c r="E29" s="2060"/>
    </row>
    <row r="30" spans="1:5" ht="19.5" customHeight="1">
      <c r="E30" s="2060"/>
    </row>
    <row r="31" spans="1:5" ht="19.5" customHeight="1">
      <c r="E31" s="2060"/>
    </row>
    <row r="32" spans="1:5" ht="19.5" customHeight="1">
      <c r="E32" s="2060"/>
    </row>
    <row r="33" spans="5:5" ht="19.5" customHeight="1">
      <c r="E33" s="2060"/>
    </row>
    <row r="34" spans="5:5" ht="19.5" customHeight="1">
      <c r="E34" s="2060"/>
    </row>
    <row r="35" spans="5:5" ht="19.5" customHeight="1">
      <c r="E35" s="2060"/>
    </row>
    <row r="36" spans="5:5" ht="19.5" customHeight="1">
      <c r="E36" s="2060"/>
    </row>
    <row r="37" spans="5:5" ht="19.5" customHeight="1">
      <c r="E37" s="2060"/>
    </row>
    <row r="38" spans="5:5" ht="19.5" customHeight="1">
      <c r="E38" s="2060"/>
    </row>
    <row r="39" spans="5:5" ht="19.5" customHeight="1">
      <c r="E39" s="2060"/>
    </row>
    <row r="40" spans="5:5" ht="19.5" customHeight="1">
      <c r="E40" s="2060"/>
    </row>
    <row r="41" spans="5:5" ht="19.5" customHeight="1">
      <c r="E41" s="2060"/>
    </row>
    <row r="42" spans="5:5" ht="19.5" customHeight="1">
      <c r="E42" s="2060"/>
    </row>
  </sheetData>
  <mergeCells count="6">
    <mergeCell ref="A1:B1"/>
    <mergeCell ref="A2:B2"/>
    <mergeCell ref="A14:B14"/>
    <mergeCell ref="A24:B24"/>
    <mergeCell ref="A28:C28"/>
    <mergeCell ref="C6:C7"/>
  </mergeCells>
  <phoneticPr fontId="51" type="noConversion"/>
  <pageMargins left="0.78740157480314998" right="0.35433070866141703" top="0.511811023622047" bottom="0.11811023622047198" header="0.511811023622047" footer="0.511811023622047"/>
  <pageSetup paperSize="9" orientation="portrait" r:id="rId1"/>
</worksheet>
</file>

<file path=xl/worksheets/sheet1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88"/>
  <dimension ref="A1:C10"/>
  <sheetViews>
    <sheetView workbookViewId="0">
      <selection sqref="A1:C1"/>
    </sheetView>
  </sheetViews>
  <sheetFormatPr defaultRowHeight="14.4"/>
  <cols>
    <col min="1" max="1" width="23.19921875" style="1352" customWidth="1"/>
    <col min="2" max="2" width="72.3984375" style="1357" customWidth="1"/>
    <col min="3" max="3" width="13.09765625" style="1358" customWidth="1"/>
    <col min="4" max="256" width="9" style="1352"/>
    <col min="257" max="257" width="23.19921875" style="1352" customWidth="1"/>
    <col min="258" max="258" width="72.3984375" style="1352" customWidth="1"/>
    <col min="259" max="259" width="13.09765625" style="1352" customWidth="1"/>
    <col min="260" max="512" width="9" style="1352"/>
    <col min="513" max="513" width="23.19921875" style="1352" customWidth="1"/>
    <col min="514" max="514" width="72.3984375" style="1352" customWidth="1"/>
    <col min="515" max="515" width="13.09765625" style="1352" customWidth="1"/>
    <col min="516" max="768" width="9" style="1352"/>
    <col min="769" max="769" width="23.19921875" style="1352" customWidth="1"/>
    <col min="770" max="770" width="72.3984375" style="1352" customWidth="1"/>
    <col min="771" max="771" width="13.09765625" style="1352" customWidth="1"/>
    <col min="772" max="1024" width="9" style="1352"/>
    <col min="1025" max="1025" width="23.19921875" style="1352" customWidth="1"/>
    <col min="1026" max="1026" width="72.3984375" style="1352" customWidth="1"/>
    <col min="1027" max="1027" width="13.09765625" style="1352" customWidth="1"/>
    <col min="1028" max="1280" width="9" style="1352"/>
    <col min="1281" max="1281" width="23.19921875" style="1352" customWidth="1"/>
    <col min="1282" max="1282" width="72.3984375" style="1352" customWidth="1"/>
    <col min="1283" max="1283" width="13.09765625" style="1352" customWidth="1"/>
    <col min="1284" max="1536" width="9" style="1352"/>
    <col min="1537" max="1537" width="23.19921875" style="1352" customWidth="1"/>
    <col min="1538" max="1538" width="72.3984375" style="1352" customWidth="1"/>
    <col min="1539" max="1539" width="13.09765625" style="1352" customWidth="1"/>
    <col min="1540" max="1792" width="9" style="1352"/>
    <col min="1793" max="1793" width="23.19921875" style="1352" customWidth="1"/>
    <col min="1794" max="1794" width="72.3984375" style="1352" customWidth="1"/>
    <col min="1795" max="1795" width="13.09765625" style="1352" customWidth="1"/>
    <col min="1796" max="2048" width="9" style="1352"/>
    <col min="2049" max="2049" width="23.19921875" style="1352" customWidth="1"/>
    <col min="2050" max="2050" width="72.3984375" style="1352" customWidth="1"/>
    <col min="2051" max="2051" width="13.09765625" style="1352" customWidth="1"/>
    <col min="2052" max="2304" width="9" style="1352"/>
    <col min="2305" max="2305" width="23.19921875" style="1352" customWidth="1"/>
    <col min="2306" max="2306" width="72.3984375" style="1352" customWidth="1"/>
    <col min="2307" max="2307" width="13.09765625" style="1352" customWidth="1"/>
    <col min="2308" max="2560" width="9" style="1352"/>
    <col min="2561" max="2561" width="23.19921875" style="1352" customWidth="1"/>
    <col min="2562" max="2562" width="72.3984375" style="1352" customWidth="1"/>
    <col min="2563" max="2563" width="13.09765625" style="1352" customWidth="1"/>
    <col min="2564" max="2816" width="9" style="1352"/>
    <col min="2817" max="2817" width="23.19921875" style="1352" customWidth="1"/>
    <col min="2818" max="2818" width="72.3984375" style="1352" customWidth="1"/>
    <col min="2819" max="2819" width="13.09765625" style="1352" customWidth="1"/>
    <col min="2820" max="3072" width="9" style="1352"/>
    <col min="3073" max="3073" width="23.19921875" style="1352" customWidth="1"/>
    <col min="3074" max="3074" width="72.3984375" style="1352" customWidth="1"/>
    <col min="3075" max="3075" width="13.09765625" style="1352" customWidth="1"/>
    <col min="3076" max="3328" width="9" style="1352"/>
    <col min="3329" max="3329" width="23.19921875" style="1352" customWidth="1"/>
    <col min="3330" max="3330" width="72.3984375" style="1352" customWidth="1"/>
    <col min="3331" max="3331" width="13.09765625" style="1352" customWidth="1"/>
    <col min="3332" max="3584" width="9" style="1352"/>
    <col min="3585" max="3585" width="23.19921875" style="1352" customWidth="1"/>
    <col min="3586" max="3586" width="72.3984375" style="1352" customWidth="1"/>
    <col min="3587" max="3587" width="13.09765625" style="1352" customWidth="1"/>
    <col min="3588" max="3840" width="9" style="1352"/>
    <col min="3841" max="3841" width="23.19921875" style="1352" customWidth="1"/>
    <col min="3842" max="3842" width="72.3984375" style="1352" customWidth="1"/>
    <col min="3843" max="3843" width="13.09765625" style="1352" customWidth="1"/>
    <col min="3844" max="4096" width="9" style="1352"/>
    <col min="4097" max="4097" width="23.19921875" style="1352" customWidth="1"/>
    <col min="4098" max="4098" width="72.3984375" style="1352" customWidth="1"/>
    <col min="4099" max="4099" width="13.09765625" style="1352" customWidth="1"/>
    <col min="4100" max="4352" width="9" style="1352"/>
    <col min="4353" max="4353" width="23.19921875" style="1352" customWidth="1"/>
    <col min="4354" max="4354" width="72.3984375" style="1352" customWidth="1"/>
    <col min="4355" max="4355" width="13.09765625" style="1352" customWidth="1"/>
    <col min="4356" max="4608" width="9" style="1352"/>
    <col min="4609" max="4609" width="23.19921875" style="1352" customWidth="1"/>
    <col min="4610" max="4610" width="72.3984375" style="1352" customWidth="1"/>
    <col min="4611" max="4611" width="13.09765625" style="1352" customWidth="1"/>
    <col min="4612" max="4864" width="9" style="1352"/>
    <col min="4865" max="4865" width="23.19921875" style="1352" customWidth="1"/>
    <col min="4866" max="4866" width="72.3984375" style="1352" customWidth="1"/>
    <col min="4867" max="4867" width="13.09765625" style="1352" customWidth="1"/>
    <col min="4868" max="5120" width="9" style="1352"/>
    <col min="5121" max="5121" width="23.19921875" style="1352" customWidth="1"/>
    <col min="5122" max="5122" width="72.3984375" style="1352" customWidth="1"/>
    <col min="5123" max="5123" width="13.09765625" style="1352" customWidth="1"/>
    <col min="5124" max="5376" width="9" style="1352"/>
    <col min="5377" max="5377" width="23.19921875" style="1352" customWidth="1"/>
    <col min="5378" max="5378" width="72.3984375" style="1352" customWidth="1"/>
    <col min="5379" max="5379" width="13.09765625" style="1352" customWidth="1"/>
    <col min="5380" max="5632" width="9" style="1352"/>
    <col min="5633" max="5633" width="23.19921875" style="1352" customWidth="1"/>
    <col min="5634" max="5634" width="72.3984375" style="1352" customWidth="1"/>
    <col min="5635" max="5635" width="13.09765625" style="1352" customWidth="1"/>
    <col min="5636" max="5888" width="9" style="1352"/>
    <col min="5889" max="5889" width="23.19921875" style="1352" customWidth="1"/>
    <col min="5890" max="5890" width="72.3984375" style="1352" customWidth="1"/>
    <col min="5891" max="5891" width="13.09765625" style="1352" customWidth="1"/>
    <col min="5892" max="6144" width="9" style="1352"/>
    <col min="6145" max="6145" width="23.19921875" style="1352" customWidth="1"/>
    <col min="6146" max="6146" width="72.3984375" style="1352" customWidth="1"/>
    <col min="6147" max="6147" width="13.09765625" style="1352" customWidth="1"/>
    <col min="6148" max="6400" width="9" style="1352"/>
    <col min="6401" max="6401" width="23.19921875" style="1352" customWidth="1"/>
    <col min="6402" max="6402" width="72.3984375" style="1352" customWidth="1"/>
    <col min="6403" max="6403" width="13.09765625" style="1352" customWidth="1"/>
    <col min="6404" max="6656" width="9" style="1352"/>
    <col min="6657" max="6657" width="23.19921875" style="1352" customWidth="1"/>
    <col min="6658" max="6658" width="72.3984375" style="1352" customWidth="1"/>
    <col min="6659" max="6659" width="13.09765625" style="1352" customWidth="1"/>
    <col min="6660" max="6912" width="9" style="1352"/>
    <col min="6913" max="6913" width="23.19921875" style="1352" customWidth="1"/>
    <col min="6914" max="6914" width="72.3984375" style="1352" customWidth="1"/>
    <col min="6915" max="6915" width="13.09765625" style="1352" customWidth="1"/>
    <col min="6916" max="7168" width="9" style="1352"/>
    <col min="7169" max="7169" width="23.19921875" style="1352" customWidth="1"/>
    <col min="7170" max="7170" width="72.3984375" style="1352" customWidth="1"/>
    <col min="7171" max="7171" width="13.09765625" style="1352" customWidth="1"/>
    <col min="7172" max="7424" width="9" style="1352"/>
    <col min="7425" max="7425" width="23.19921875" style="1352" customWidth="1"/>
    <col min="7426" max="7426" width="72.3984375" style="1352" customWidth="1"/>
    <col min="7427" max="7427" width="13.09765625" style="1352" customWidth="1"/>
    <col min="7428" max="7680" width="9" style="1352"/>
    <col min="7681" max="7681" width="23.19921875" style="1352" customWidth="1"/>
    <col min="7682" max="7682" width="72.3984375" style="1352" customWidth="1"/>
    <col min="7683" max="7683" width="13.09765625" style="1352" customWidth="1"/>
    <col min="7684" max="7936" width="9" style="1352"/>
    <col min="7937" max="7937" width="23.19921875" style="1352" customWidth="1"/>
    <col min="7938" max="7938" width="72.3984375" style="1352" customWidth="1"/>
    <col min="7939" max="7939" width="13.09765625" style="1352" customWidth="1"/>
    <col min="7940" max="8192" width="9" style="1352"/>
    <col min="8193" max="8193" width="23.19921875" style="1352" customWidth="1"/>
    <col min="8194" max="8194" width="72.3984375" style="1352" customWidth="1"/>
    <col min="8195" max="8195" width="13.09765625" style="1352" customWidth="1"/>
    <col min="8196" max="8448" width="9" style="1352"/>
    <col min="8449" max="8449" width="23.19921875" style="1352" customWidth="1"/>
    <col min="8450" max="8450" width="72.3984375" style="1352" customWidth="1"/>
    <col min="8451" max="8451" width="13.09765625" style="1352" customWidth="1"/>
    <col min="8452" max="8704" width="9" style="1352"/>
    <col min="8705" max="8705" width="23.19921875" style="1352" customWidth="1"/>
    <col min="8706" max="8706" width="72.3984375" style="1352" customWidth="1"/>
    <col min="8707" max="8707" width="13.09765625" style="1352" customWidth="1"/>
    <col min="8708" max="8960" width="9" style="1352"/>
    <col min="8961" max="8961" width="23.19921875" style="1352" customWidth="1"/>
    <col min="8962" max="8962" width="72.3984375" style="1352" customWidth="1"/>
    <col min="8963" max="8963" width="13.09765625" style="1352" customWidth="1"/>
    <col min="8964" max="9216" width="9" style="1352"/>
    <col min="9217" max="9217" width="23.19921875" style="1352" customWidth="1"/>
    <col min="9218" max="9218" width="72.3984375" style="1352" customWidth="1"/>
    <col min="9219" max="9219" width="13.09765625" style="1352" customWidth="1"/>
    <col min="9220" max="9472" width="9" style="1352"/>
    <col min="9473" max="9473" width="23.19921875" style="1352" customWidth="1"/>
    <col min="9474" max="9474" width="72.3984375" style="1352" customWidth="1"/>
    <col min="9475" max="9475" width="13.09765625" style="1352" customWidth="1"/>
    <col min="9476" max="9728" width="9" style="1352"/>
    <col min="9729" max="9729" width="23.19921875" style="1352" customWidth="1"/>
    <col min="9730" max="9730" width="72.3984375" style="1352" customWidth="1"/>
    <col min="9731" max="9731" width="13.09765625" style="1352" customWidth="1"/>
    <col min="9732" max="9984" width="9" style="1352"/>
    <col min="9985" max="9985" width="23.19921875" style="1352" customWidth="1"/>
    <col min="9986" max="9986" width="72.3984375" style="1352" customWidth="1"/>
    <col min="9987" max="9987" width="13.09765625" style="1352" customWidth="1"/>
    <col min="9988" max="10240" width="9" style="1352"/>
    <col min="10241" max="10241" width="23.19921875" style="1352" customWidth="1"/>
    <col min="10242" max="10242" width="72.3984375" style="1352" customWidth="1"/>
    <col min="10243" max="10243" width="13.09765625" style="1352" customWidth="1"/>
    <col min="10244" max="10496" width="9" style="1352"/>
    <col min="10497" max="10497" width="23.19921875" style="1352" customWidth="1"/>
    <col min="10498" max="10498" width="72.3984375" style="1352" customWidth="1"/>
    <col min="10499" max="10499" width="13.09765625" style="1352" customWidth="1"/>
    <col min="10500" max="10752" width="9" style="1352"/>
    <col min="10753" max="10753" width="23.19921875" style="1352" customWidth="1"/>
    <col min="10754" max="10754" width="72.3984375" style="1352" customWidth="1"/>
    <col min="10755" max="10755" width="13.09765625" style="1352" customWidth="1"/>
    <col min="10756" max="11008" width="9" style="1352"/>
    <col min="11009" max="11009" width="23.19921875" style="1352" customWidth="1"/>
    <col min="11010" max="11010" width="72.3984375" style="1352" customWidth="1"/>
    <col min="11011" max="11011" width="13.09765625" style="1352" customWidth="1"/>
    <col min="11012" max="11264" width="9" style="1352"/>
    <col min="11265" max="11265" width="23.19921875" style="1352" customWidth="1"/>
    <col min="11266" max="11266" width="72.3984375" style="1352" customWidth="1"/>
    <col min="11267" max="11267" width="13.09765625" style="1352" customWidth="1"/>
    <col min="11268" max="11520" width="9" style="1352"/>
    <col min="11521" max="11521" width="23.19921875" style="1352" customWidth="1"/>
    <col min="11522" max="11522" width="72.3984375" style="1352" customWidth="1"/>
    <col min="11523" max="11523" width="13.09765625" style="1352" customWidth="1"/>
    <col min="11524" max="11776" width="9" style="1352"/>
    <col min="11777" max="11777" width="23.19921875" style="1352" customWidth="1"/>
    <col min="11778" max="11778" width="72.3984375" style="1352" customWidth="1"/>
    <col min="11779" max="11779" width="13.09765625" style="1352" customWidth="1"/>
    <col min="11780" max="12032" width="9" style="1352"/>
    <col min="12033" max="12033" width="23.19921875" style="1352" customWidth="1"/>
    <col min="12034" max="12034" width="72.3984375" style="1352" customWidth="1"/>
    <col min="12035" max="12035" width="13.09765625" style="1352" customWidth="1"/>
    <col min="12036" max="12288" width="9" style="1352"/>
    <col min="12289" max="12289" width="23.19921875" style="1352" customWidth="1"/>
    <col min="12290" max="12290" width="72.3984375" style="1352" customWidth="1"/>
    <col min="12291" max="12291" width="13.09765625" style="1352" customWidth="1"/>
    <col min="12292" max="12544" width="9" style="1352"/>
    <col min="12545" max="12545" width="23.19921875" style="1352" customWidth="1"/>
    <col min="12546" max="12546" width="72.3984375" style="1352" customWidth="1"/>
    <col min="12547" max="12547" width="13.09765625" style="1352" customWidth="1"/>
    <col min="12548" max="12800" width="9" style="1352"/>
    <col min="12801" max="12801" width="23.19921875" style="1352" customWidth="1"/>
    <col min="12802" max="12802" width="72.3984375" style="1352" customWidth="1"/>
    <col min="12803" max="12803" width="13.09765625" style="1352" customWidth="1"/>
    <col min="12804" max="13056" width="9" style="1352"/>
    <col min="13057" max="13057" width="23.19921875" style="1352" customWidth="1"/>
    <col min="13058" max="13058" width="72.3984375" style="1352" customWidth="1"/>
    <col min="13059" max="13059" width="13.09765625" style="1352" customWidth="1"/>
    <col min="13060" max="13312" width="9" style="1352"/>
    <col min="13313" max="13313" width="23.19921875" style="1352" customWidth="1"/>
    <col min="13314" max="13314" width="72.3984375" style="1352" customWidth="1"/>
    <col min="13315" max="13315" width="13.09765625" style="1352" customWidth="1"/>
    <col min="13316" max="13568" width="9" style="1352"/>
    <col min="13569" max="13569" width="23.19921875" style="1352" customWidth="1"/>
    <col min="13570" max="13570" width="72.3984375" style="1352" customWidth="1"/>
    <col min="13571" max="13571" width="13.09765625" style="1352" customWidth="1"/>
    <col min="13572" max="13824" width="9" style="1352"/>
    <col min="13825" max="13825" width="23.19921875" style="1352" customWidth="1"/>
    <col min="13826" max="13826" width="72.3984375" style="1352" customWidth="1"/>
    <col min="13827" max="13827" width="13.09765625" style="1352" customWidth="1"/>
    <col min="13828" max="14080" width="9" style="1352"/>
    <col min="14081" max="14081" width="23.19921875" style="1352" customWidth="1"/>
    <col min="14082" max="14082" width="72.3984375" style="1352" customWidth="1"/>
    <col min="14083" max="14083" width="13.09765625" style="1352" customWidth="1"/>
    <col min="14084" max="14336" width="9" style="1352"/>
    <col min="14337" max="14337" width="23.19921875" style="1352" customWidth="1"/>
    <col min="14338" max="14338" width="72.3984375" style="1352" customWidth="1"/>
    <col min="14339" max="14339" width="13.09765625" style="1352" customWidth="1"/>
    <col min="14340" max="14592" width="9" style="1352"/>
    <col min="14593" max="14593" width="23.19921875" style="1352" customWidth="1"/>
    <col min="14594" max="14594" width="72.3984375" style="1352" customWidth="1"/>
    <col min="14595" max="14595" width="13.09765625" style="1352" customWidth="1"/>
    <col min="14596" max="14848" width="9" style="1352"/>
    <col min="14849" max="14849" width="23.19921875" style="1352" customWidth="1"/>
    <col min="14850" max="14850" width="72.3984375" style="1352" customWidth="1"/>
    <col min="14851" max="14851" width="13.09765625" style="1352" customWidth="1"/>
    <col min="14852" max="15104" width="9" style="1352"/>
    <col min="15105" max="15105" width="23.19921875" style="1352" customWidth="1"/>
    <col min="15106" max="15106" width="72.3984375" style="1352" customWidth="1"/>
    <col min="15107" max="15107" width="13.09765625" style="1352" customWidth="1"/>
    <col min="15108" max="15360" width="9" style="1352"/>
    <col min="15361" max="15361" width="23.19921875" style="1352" customWidth="1"/>
    <col min="15362" max="15362" width="72.3984375" style="1352" customWidth="1"/>
    <col min="15363" max="15363" width="13.09765625" style="1352" customWidth="1"/>
    <col min="15364" max="15616" width="9" style="1352"/>
    <col min="15617" max="15617" width="23.19921875" style="1352" customWidth="1"/>
    <col min="15618" max="15618" width="72.3984375" style="1352" customWidth="1"/>
    <col min="15619" max="15619" width="13.09765625" style="1352" customWidth="1"/>
    <col min="15620" max="15872" width="9" style="1352"/>
    <col min="15873" max="15873" width="23.19921875" style="1352" customWidth="1"/>
    <col min="15874" max="15874" width="72.3984375" style="1352" customWidth="1"/>
    <col min="15875" max="15875" width="13.09765625" style="1352" customWidth="1"/>
    <col min="15876" max="16128" width="9" style="1352"/>
    <col min="16129" max="16129" width="23.19921875" style="1352" customWidth="1"/>
    <col min="16130" max="16130" width="72.3984375" style="1352" customWidth="1"/>
    <col min="16131" max="16131" width="13.09765625" style="1352" customWidth="1"/>
    <col min="16132" max="16384" width="9" style="1352"/>
  </cols>
  <sheetData>
    <row r="1" spans="1:3" ht="22.5" customHeight="1">
      <c r="A1" s="3835" t="s">
        <v>10106</v>
      </c>
      <c r="B1" s="3835"/>
      <c r="C1" s="3835"/>
    </row>
    <row r="2" spans="1:3" ht="24" customHeight="1">
      <c r="A2" s="3840" t="s">
        <v>1718</v>
      </c>
      <c r="B2" s="3841"/>
      <c r="C2" s="1340" t="s">
        <v>1719</v>
      </c>
    </row>
    <row r="3" spans="1:3" ht="108.75" customHeight="1">
      <c r="A3" s="1353" t="s">
        <v>1720</v>
      </c>
      <c r="B3" s="1354"/>
      <c r="C3" s="1340" t="s">
        <v>1721</v>
      </c>
    </row>
    <row r="4" spans="1:3" ht="108.75" customHeight="1">
      <c r="A4" s="1353" t="s">
        <v>1722</v>
      </c>
      <c r="B4" s="1354"/>
      <c r="C4" s="1340" t="s">
        <v>1721</v>
      </c>
    </row>
    <row r="5" spans="1:3" ht="108.75" customHeight="1">
      <c r="A5" s="1355" t="s">
        <v>1723</v>
      </c>
      <c r="B5" s="1354"/>
      <c r="C5" s="1340" t="s">
        <v>1721</v>
      </c>
    </row>
    <row r="6" spans="1:3" ht="21" customHeight="1">
      <c r="A6" s="3840" t="s">
        <v>10105</v>
      </c>
      <c r="B6" s="3841"/>
      <c r="C6" s="1340"/>
    </row>
    <row r="7" spans="1:3" ht="30.75" customHeight="1">
      <c r="A7" s="3842" t="s">
        <v>1724</v>
      </c>
      <c r="B7" s="3843"/>
      <c r="C7" s="1356" t="s">
        <v>1725</v>
      </c>
    </row>
    <row r="8" spans="1:3" ht="22.5" customHeight="1">
      <c r="A8" s="3840" t="s">
        <v>1726</v>
      </c>
      <c r="B8" s="3841"/>
      <c r="C8" s="1340"/>
    </row>
    <row r="9" spans="1:3" ht="82.5" customHeight="1">
      <c r="A9" s="1353" t="s">
        <v>1727</v>
      </c>
      <c r="B9" s="1354"/>
      <c r="C9" s="1340" t="s">
        <v>1721</v>
      </c>
    </row>
    <row r="10" spans="1:3" ht="114.75" customHeight="1">
      <c r="A10" s="1353" t="s">
        <v>1728</v>
      </c>
      <c r="B10" s="1354"/>
      <c r="C10" s="1340" t="s">
        <v>1721</v>
      </c>
    </row>
  </sheetData>
  <mergeCells count="5">
    <mergeCell ref="A1:C1"/>
    <mergeCell ref="A2:B2"/>
    <mergeCell ref="A6:B6"/>
    <mergeCell ref="A7:B7"/>
    <mergeCell ref="A8:B8"/>
  </mergeCells>
  <phoneticPr fontId="51" type="noConversion"/>
  <pageMargins left="0.78740157480314998" right="0.35433070866141703" top="0.511811023622047" bottom="0.11811023622047198" header="0.511811023622047" footer="0.511811023622047"/>
  <pageSetup paperSize="9" orientation="portrait" r:id="rId1"/>
</worksheet>
</file>

<file path=xl/worksheets/sheet1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89"/>
  <dimension ref="A1:C7"/>
  <sheetViews>
    <sheetView workbookViewId="0">
      <selection sqref="A1:C1"/>
    </sheetView>
  </sheetViews>
  <sheetFormatPr defaultRowHeight="27" customHeight="1"/>
  <cols>
    <col min="1" max="1" width="19.69921875" style="1361" customWidth="1"/>
    <col min="2" max="2" width="80.09765625" style="1362" customWidth="1"/>
    <col min="3" max="3" width="13.3984375" style="1352" customWidth="1"/>
    <col min="4" max="256" width="9" style="1352"/>
    <col min="257" max="257" width="19.69921875" style="1352" customWidth="1"/>
    <col min="258" max="258" width="80.09765625" style="1352" customWidth="1"/>
    <col min="259" max="259" width="13.3984375" style="1352" customWidth="1"/>
    <col min="260" max="512" width="9" style="1352"/>
    <col min="513" max="513" width="19.69921875" style="1352" customWidth="1"/>
    <col min="514" max="514" width="80.09765625" style="1352" customWidth="1"/>
    <col min="515" max="515" width="13.3984375" style="1352" customWidth="1"/>
    <col min="516" max="768" width="9" style="1352"/>
    <col min="769" max="769" width="19.69921875" style="1352" customWidth="1"/>
    <col min="770" max="770" width="80.09765625" style="1352" customWidth="1"/>
    <col min="771" max="771" width="13.3984375" style="1352" customWidth="1"/>
    <col min="772" max="1024" width="9" style="1352"/>
    <col min="1025" max="1025" width="19.69921875" style="1352" customWidth="1"/>
    <col min="1026" max="1026" width="80.09765625" style="1352" customWidth="1"/>
    <col min="1027" max="1027" width="13.3984375" style="1352" customWidth="1"/>
    <col min="1028" max="1280" width="9" style="1352"/>
    <col min="1281" max="1281" width="19.69921875" style="1352" customWidth="1"/>
    <col min="1282" max="1282" width="80.09765625" style="1352" customWidth="1"/>
    <col min="1283" max="1283" width="13.3984375" style="1352" customWidth="1"/>
    <col min="1284" max="1536" width="9" style="1352"/>
    <col min="1537" max="1537" width="19.69921875" style="1352" customWidth="1"/>
    <col min="1538" max="1538" width="80.09765625" style="1352" customWidth="1"/>
    <col min="1539" max="1539" width="13.3984375" style="1352" customWidth="1"/>
    <col min="1540" max="1792" width="9" style="1352"/>
    <col min="1793" max="1793" width="19.69921875" style="1352" customWidth="1"/>
    <col min="1794" max="1794" width="80.09765625" style="1352" customWidth="1"/>
    <col min="1795" max="1795" width="13.3984375" style="1352" customWidth="1"/>
    <col min="1796" max="2048" width="9" style="1352"/>
    <col min="2049" max="2049" width="19.69921875" style="1352" customWidth="1"/>
    <col min="2050" max="2050" width="80.09765625" style="1352" customWidth="1"/>
    <col min="2051" max="2051" width="13.3984375" style="1352" customWidth="1"/>
    <col min="2052" max="2304" width="9" style="1352"/>
    <col min="2305" max="2305" width="19.69921875" style="1352" customWidth="1"/>
    <col min="2306" max="2306" width="80.09765625" style="1352" customWidth="1"/>
    <col min="2307" max="2307" width="13.3984375" style="1352" customWidth="1"/>
    <col min="2308" max="2560" width="9" style="1352"/>
    <col min="2561" max="2561" width="19.69921875" style="1352" customWidth="1"/>
    <col min="2562" max="2562" width="80.09765625" style="1352" customWidth="1"/>
    <col min="2563" max="2563" width="13.3984375" style="1352" customWidth="1"/>
    <col min="2564" max="2816" width="9" style="1352"/>
    <col min="2817" max="2817" width="19.69921875" style="1352" customWidth="1"/>
    <col min="2818" max="2818" width="80.09765625" style="1352" customWidth="1"/>
    <col min="2819" max="2819" width="13.3984375" style="1352" customWidth="1"/>
    <col min="2820" max="3072" width="9" style="1352"/>
    <col min="3073" max="3073" width="19.69921875" style="1352" customWidth="1"/>
    <col min="3074" max="3074" width="80.09765625" style="1352" customWidth="1"/>
    <col min="3075" max="3075" width="13.3984375" style="1352" customWidth="1"/>
    <col min="3076" max="3328" width="9" style="1352"/>
    <col min="3329" max="3329" width="19.69921875" style="1352" customWidth="1"/>
    <col min="3330" max="3330" width="80.09765625" style="1352" customWidth="1"/>
    <col min="3331" max="3331" width="13.3984375" style="1352" customWidth="1"/>
    <col min="3332" max="3584" width="9" style="1352"/>
    <col min="3585" max="3585" width="19.69921875" style="1352" customWidth="1"/>
    <col min="3586" max="3586" width="80.09765625" style="1352" customWidth="1"/>
    <col min="3587" max="3587" width="13.3984375" style="1352" customWidth="1"/>
    <col min="3588" max="3840" width="9" style="1352"/>
    <col min="3841" max="3841" width="19.69921875" style="1352" customWidth="1"/>
    <col min="3842" max="3842" width="80.09765625" style="1352" customWidth="1"/>
    <col min="3843" max="3843" width="13.3984375" style="1352" customWidth="1"/>
    <col min="3844" max="4096" width="9" style="1352"/>
    <col min="4097" max="4097" width="19.69921875" style="1352" customWidth="1"/>
    <col min="4098" max="4098" width="80.09765625" style="1352" customWidth="1"/>
    <col min="4099" max="4099" width="13.3984375" style="1352" customWidth="1"/>
    <col min="4100" max="4352" width="9" style="1352"/>
    <col min="4353" max="4353" width="19.69921875" style="1352" customWidth="1"/>
    <col min="4354" max="4354" width="80.09765625" style="1352" customWidth="1"/>
    <col min="4355" max="4355" width="13.3984375" style="1352" customWidth="1"/>
    <col min="4356" max="4608" width="9" style="1352"/>
    <col min="4609" max="4609" width="19.69921875" style="1352" customWidth="1"/>
    <col min="4610" max="4610" width="80.09765625" style="1352" customWidth="1"/>
    <col min="4611" max="4611" width="13.3984375" style="1352" customWidth="1"/>
    <col min="4612" max="4864" width="9" style="1352"/>
    <col min="4865" max="4865" width="19.69921875" style="1352" customWidth="1"/>
    <col min="4866" max="4866" width="80.09765625" style="1352" customWidth="1"/>
    <col min="4867" max="4867" width="13.3984375" style="1352" customWidth="1"/>
    <col min="4868" max="5120" width="9" style="1352"/>
    <col min="5121" max="5121" width="19.69921875" style="1352" customWidth="1"/>
    <col min="5122" max="5122" width="80.09765625" style="1352" customWidth="1"/>
    <col min="5123" max="5123" width="13.3984375" style="1352" customWidth="1"/>
    <col min="5124" max="5376" width="9" style="1352"/>
    <col min="5377" max="5377" width="19.69921875" style="1352" customWidth="1"/>
    <col min="5378" max="5378" width="80.09765625" style="1352" customWidth="1"/>
    <col min="5379" max="5379" width="13.3984375" style="1352" customWidth="1"/>
    <col min="5380" max="5632" width="9" style="1352"/>
    <col min="5633" max="5633" width="19.69921875" style="1352" customWidth="1"/>
    <col min="5634" max="5634" width="80.09765625" style="1352" customWidth="1"/>
    <col min="5635" max="5635" width="13.3984375" style="1352" customWidth="1"/>
    <col min="5636" max="5888" width="9" style="1352"/>
    <col min="5889" max="5889" width="19.69921875" style="1352" customWidth="1"/>
    <col min="5890" max="5890" width="80.09765625" style="1352" customWidth="1"/>
    <col min="5891" max="5891" width="13.3984375" style="1352" customWidth="1"/>
    <col min="5892" max="6144" width="9" style="1352"/>
    <col min="6145" max="6145" width="19.69921875" style="1352" customWidth="1"/>
    <col min="6146" max="6146" width="80.09765625" style="1352" customWidth="1"/>
    <col min="6147" max="6147" width="13.3984375" style="1352" customWidth="1"/>
    <col min="6148" max="6400" width="9" style="1352"/>
    <col min="6401" max="6401" width="19.69921875" style="1352" customWidth="1"/>
    <col min="6402" max="6402" width="80.09765625" style="1352" customWidth="1"/>
    <col min="6403" max="6403" width="13.3984375" style="1352" customWidth="1"/>
    <col min="6404" max="6656" width="9" style="1352"/>
    <col min="6657" max="6657" width="19.69921875" style="1352" customWidth="1"/>
    <col min="6658" max="6658" width="80.09765625" style="1352" customWidth="1"/>
    <col min="6659" max="6659" width="13.3984375" style="1352" customWidth="1"/>
    <col min="6660" max="6912" width="9" style="1352"/>
    <col min="6913" max="6913" width="19.69921875" style="1352" customWidth="1"/>
    <col min="6914" max="6914" width="80.09765625" style="1352" customWidth="1"/>
    <col min="6915" max="6915" width="13.3984375" style="1352" customWidth="1"/>
    <col min="6916" max="7168" width="9" style="1352"/>
    <col min="7169" max="7169" width="19.69921875" style="1352" customWidth="1"/>
    <col min="7170" max="7170" width="80.09765625" style="1352" customWidth="1"/>
    <col min="7171" max="7171" width="13.3984375" style="1352" customWidth="1"/>
    <col min="7172" max="7424" width="9" style="1352"/>
    <col min="7425" max="7425" width="19.69921875" style="1352" customWidth="1"/>
    <col min="7426" max="7426" width="80.09765625" style="1352" customWidth="1"/>
    <col min="7427" max="7427" width="13.3984375" style="1352" customWidth="1"/>
    <col min="7428" max="7680" width="9" style="1352"/>
    <col min="7681" max="7681" width="19.69921875" style="1352" customWidth="1"/>
    <col min="7682" max="7682" width="80.09765625" style="1352" customWidth="1"/>
    <col min="7683" max="7683" width="13.3984375" style="1352" customWidth="1"/>
    <col min="7684" max="7936" width="9" style="1352"/>
    <col min="7937" max="7937" width="19.69921875" style="1352" customWidth="1"/>
    <col min="7938" max="7938" width="80.09765625" style="1352" customWidth="1"/>
    <col min="7939" max="7939" width="13.3984375" style="1352" customWidth="1"/>
    <col min="7940" max="8192" width="9" style="1352"/>
    <col min="8193" max="8193" width="19.69921875" style="1352" customWidth="1"/>
    <col min="8194" max="8194" width="80.09765625" style="1352" customWidth="1"/>
    <col min="8195" max="8195" width="13.3984375" style="1352" customWidth="1"/>
    <col min="8196" max="8448" width="9" style="1352"/>
    <col min="8449" max="8449" width="19.69921875" style="1352" customWidth="1"/>
    <col min="8450" max="8450" width="80.09765625" style="1352" customWidth="1"/>
    <col min="8451" max="8451" width="13.3984375" style="1352" customWidth="1"/>
    <col min="8452" max="8704" width="9" style="1352"/>
    <col min="8705" max="8705" width="19.69921875" style="1352" customWidth="1"/>
    <col min="8706" max="8706" width="80.09765625" style="1352" customWidth="1"/>
    <col min="8707" max="8707" width="13.3984375" style="1352" customWidth="1"/>
    <col min="8708" max="8960" width="9" style="1352"/>
    <col min="8961" max="8961" width="19.69921875" style="1352" customWidth="1"/>
    <col min="8962" max="8962" width="80.09765625" style="1352" customWidth="1"/>
    <col min="8963" max="8963" width="13.3984375" style="1352" customWidth="1"/>
    <col min="8964" max="9216" width="9" style="1352"/>
    <col min="9217" max="9217" width="19.69921875" style="1352" customWidth="1"/>
    <col min="9218" max="9218" width="80.09765625" style="1352" customWidth="1"/>
    <col min="9219" max="9219" width="13.3984375" style="1352" customWidth="1"/>
    <col min="9220" max="9472" width="9" style="1352"/>
    <col min="9473" max="9473" width="19.69921875" style="1352" customWidth="1"/>
    <col min="9474" max="9474" width="80.09765625" style="1352" customWidth="1"/>
    <col min="9475" max="9475" width="13.3984375" style="1352" customWidth="1"/>
    <col min="9476" max="9728" width="9" style="1352"/>
    <col min="9729" max="9729" width="19.69921875" style="1352" customWidth="1"/>
    <col min="9730" max="9730" width="80.09765625" style="1352" customWidth="1"/>
    <col min="9731" max="9731" width="13.3984375" style="1352" customWidth="1"/>
    <col min="9732" max="9984" width="9" style="1352"/>
    <col min="9985" max="9985" width="19.69921875" style="1352" customWidth="1"/>
    <col min="9986" max="9986" width="80.09765625" style="1352" customWidth="1"/>
    <col min="9987" max="9987" width="13.3984375" style="1352" customWidth="1"/>
    <col min="9988" max="10240" width="9" style="1352"/>
    <col min="10241" max="10241" width="19.69921875" style="1352" customWidth="1"/>
    <col min="10242" max="10242" width="80.09765625" style="1352" customWidth="1"/>
    <col min="10243" max="10243" width="13.3984375" style="1352" customWidth="1"/>
    <col min="10244" max="10496" width="9" style="1352"/>
    <col min="10497" max="10497" width="19.69921875" style="1352" customWidth="1"/>
    <col min="10498" max="10498" width="80.09765625" style="1352" customWidth="1"/>
    <col min="10499" max="10499" width="13.3984375" style="1352" customWidth="1"/>
    <col min="10500" max="10752" width="9" style="1352"/>
    <col min="10753" max="10753" width="19.69921875" style="1352" customWidth="1"/>
    <col min="10754" max="10754" width="80.09765625" style="1352" customWidth="1"/>
    <col min="10755" max="10755" width="13.3984375" style="1352" customWidth="1"/>
    <col min="10756" max="11008" width="9" style="1352"/>
    <col min="11009" max="11009" width="19.69921875" style="1352" customWidth="1"/>
    <col min="11010" max="11010" width="80.09765625" style="1352" customWidth="1"/>
    <col min="11011" max="11011" width="13.3984375" style="1352" customWidth="1"/>
    <col min="11012" max="11264" width="9" style="1352"/>
    <col min="11265" max="11265" width="19.69921875" style="1352" customWidth="1"/>
    <col min="11266" max="11266" width="80.09765625" style="1352" customWidth="1"/>
    <col min="11267" max="11267" width="13.3984375" style="1352" customWidth="1"/>
    <col min="11268" max="11520" width="9" style="1352"/>
    <col min="11521" max="11521" width="19.69921875" style="1352" customWidth="1"/>
    <col min="11522" max="11522" width="80.09765625" style="1352" customWidth="1"/>
    <col min="11523" max="11523" width="13.3984375" style="1352" customWidth="1"/>
    <col min="11524" max="11776" width="9" style="1352"/>
    <col min="11777" max="11777" width="19.69921875" style="1352" customWidth="1"/>
    <col min="11778" max="11778" width="80.09765625" style="1352" customWidth="1"/>
    <col min="11779" max="11779" width="13.3984375" style="1352" customWidth="1"/>
    <col min="11780" max="12032" width="9" style="1352"/>
    <col min="12033" max="12033" width="19.69921875" style="1352" customWidth="1"/>
    <col min="12034" max="12034" width="80.09765625" style="1352" customWidth="1"/>
    <col min="12035" max="12035" width="13.3984375" style="1352" customWidth="1"/>
    <col min="12036" max="12288" width="9" style="1352"/>
    <col min="12289" max="12289" width="19.69921875" style="1352" customWidth="1"/>
    <col min="12290" max="12290" width="80.09765625" style="1352" customWidth="1"/>
    <col min="12291" max="12291" width="13.3984375" style="1352" customWidth="1"/>
    <col min="12292" max="12544" width="9" style="1352"/>
    <col min="12545" max="12545" width="19.69921875" style="1352" customWidth="1"/>
    <col min="12546" max="12546" width="80.09765625" style="1352" customWidth="1"/>
    <col min="12547" max="12547" width="13.3984375" style="1352" customWidth="1"/>
    <col min="12548" max="12800" width="9" style="1352"/>
    <col min="12801" max="12801" width="19.69921875" style="1352" customWidth="1"/>
    <col min="12802" max="12802" width="80.09765625" style="1352" customWidth="1"/>
    <col min="12803" max="12803" width="13.3984375" style="1352" customWidth="1"/>
    <col min="12804" max="13056" width="9" style="1352"/>
    <col min="13057" max="13057" width="19.69921875" style="1352" customWidth="1"/>
    <col min="13058" max="13058" width="80.09765625" style="1352" customWidth="1"/>
    <col min="13059" max="13059" width="13.3984375" style="1352" customWidth="1"/>
    <col min="13060" max="13312" width="9" style="1352"/>
    <col min="13313" max="13313" width="19.69921875" style="1352" customWidth="1"/>
    <col min="13314" max="13314" width="80.09765625" style="1352" customWidth="1"/>
    <col min="13315" max="13315" width="13.3984375" style="1352" customWidth="1"/>
    <col min="13316" max="13568" width="9" style="1352"/>
    <col min="13569" max="13569" width="19.69921875" style="1352" customWidth="1"/>
    <col min="13570" max="13570" width="80.09765625" style="1352" customWidth="1"/>
    <col min="13571" max="13571" width="13.3984375" style="1352" customWidth="1"/>
    <col min="13572" max="13824" width="9" style="1352"/>
    <col min="13825" max="13825" width="19.69921875" style="1352" customWidth="1"/>
    <col min="13826" max="13826" width="80.09765625" style="1352" customWidth="1"/>
    <col min="13827" max="13827" width="13.3984375" style="1352" customWidth="1"/>
    <col min="13828" max="14080" width="9" style="1352"/>
    <col min="14081" max="14081" width="19.69921875" style="1352" customWidth="1"/>
    <col min="14082" max="14082" width="80.09765625" style="1352" customWidth="1"/>
    <col min="14083" max="14083" width="13.3984375" style="1352" customWidth="1"/>
    <col min="14084" max="14336" width="9" style="1352"/>
    <col min="14337" max="14337" width="19.69921875" style="1352" customWidth="1"/>
    <col min="14338" max="14338" width="80.09765625" style="1352" customWidth="1"/>
    <col min="14339" max="14339" width="13.3984375" style="1352" customWidth="1"/>
    <col min="14340" max="14592" width="9" style="1352"/>
    <col min="14593" max="14593" width="19.69921875" style="1352" customWidth="1"/>
    <col min="14594" max="14594" width="80.09765625" style="1352" customWidth="1"/>
    <col min="14595" max="14595" width="13.3984375" style="1352" customWidth="1"/>
    <col min="14596" max="14848" width="9" style="1352"/>
    <col min="14849" max="14849" width="19.69921875" style="1352" customWidth="1"/>
    <col min="14850" max="14850" width="80.09765625" style="1352" customWidth="1"/>
    <col min="14851" max="14851" width="13.3984375" style="1352" customWidth="1"/>
    <col min="14852" max="15104" width="9" style="1352"/>
    <col min="15105" max="15105" width="19.69921875" style="1352" customWidth="1"/>
    <col min="15106" max="15106" width="80.09765625" style="1352" customWidth="1"/>
    <col min="15107" max="15107" width="13.3984375" style="1352" customWidth="1"/>
    <col min="15108" max="15360" width="9" style="1352"/>
    <col min="15361" max="15361" width="19.69921875" style="1352" customWidth="1"/>
    <col min="15362" max="15362" width="80.09765625" style="1352" customWidth="1"/>
    <col min="15363" max="15363" width="13.3984375" style="1352" customWidth="1"/>
    <col min="15364" max="15616" width="9" style="1352"/>
    <col min="15617" max="15617" width="19.69921875" style="1352" customWidth="1"/>
    <col min="15618" max="15618" width="80.09765625" style="1352" customWidth="1"/>
    <col min="15619" max="15619" width="13.3984375" style="1352" customWidth="1"/>
    <col min="15620" max="15872" width="9" style="1352"/>
    <col min="15873" max="15873" width="19.69921875" style="1352" customWidth="1"/>
    <col min="15874" max="15874" width="80.09765625" style="1352" customWidth="1"/>
    <col min="15875" max="15875" width="13.3984375" style="1352" customWidth="1"/>
    <col min="15876" max="16128" width="9" style="1352"/>
    <col min="16129" max="16129" width="19.69921875" style="1352" customWidth="1"/>
    <col min="16130" max="16130" width="80.09765625" style="1352" customWidth="1"/>
    <col min="16131" max="16131" width="13.3984375" style="1352" customWidth="1"/>
    <col min="16132" max="16384" width="9" style="1352"/>
  </cols>
  <sheetData>
    <row r="1" spans="1:3" ht="27" customHeight="1">
      <c r="A1" s="3835" t="s">
        <v>10108</v>
      </c>
      <c r="B1" s="3835"/>
      <c r="C1" s="3835"/>
    </row>
    <row r="2" spans="1:3" ht="30" customHeight="1">
      <c r="A2" s="3844" t="s">
        <v>1718</v>
      </c>
      <c r="B2" s="3844"/>
      <c r="C2" s="1340" t="s">
        <v>1070</v>
      </c>
    </row>
    <row r="3" spans="1:3" ht="71.25" customHeight="1">
      <c r="A3" s="1353" t="s">
        <v>1720</v>
      </c>
      <c r="B3" s="1359"/>
      <c r="C3" s="1340" t="s">
        <v>1721</v>
      </c>
    </row>
    <row r="4" spans="1:3" ht="72.75" customHeight="1">
      <c r="A4" s="1353" t="s">
        <v>1722</v>
      </c>
      <c r="B4" s="1359"/>
      <c r="C4" s="1340" t="s">
        <v>1721</v>
      </c>
    </row>
    <row r="5" spans="1:3" ht="60.75" customHeight="1">
      <c r="A5" s="1353" t="s">
        <v>1723</v>
      </c>
      <c r="B5" s="1359"/>
      <c r="C5" s="1340" t="s">
        <v>1721</v>
      </c>
    </row>
    <row r="6" spans="1:3" ht="21.75" customHeight="1">
      <c r="A6" s="3844" t="s">
        <v>10107</v>
      </c>
      <c r="B6" s="3844"/>
      <c r="C6" s="1340"/>
    </row>
    <row r="7" spans="1:3" ht="189.75" customHeight="1">
      <c r="A7" s="1360" t="s">
        <v>1729</v>
      </c>
      <c r="B7" s="1359"/>
      <c r="C7" s="1340" t="s">
        <v>1730</v>
      </c>
    </row>
  </sheetData>
  <mergeCells count="3">
    <mergeCell ref="A1:C1"/>
    <mergeCell ref="A2:B2"/>
    <mergeCell ref="A6:B6"/>
  </mergeCells>
  <phoneticPr fontId="51" type="noConversion"/>
  <pageMargins left="0.78740157480314998" right="0.35433070866141703" top="0.511811023622047" bottom="0.11811023622047198" header="0.511811023622047" footer="0.511811023622047"/>
  <pageSetup paperSize="9" orientation="portrait" r:id="rId1"/>
</worksheet>
</file>

<file path=xl/worksheets/sheet1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90"/>
  <dimension ref="A1:C6"/>
  <sheetViews>
    <sheetView workbookViewId="0">
      <selection sqref="A1:C1"/>
    </sheetView>
  </sheetViews>
  <sheetFormatPr defaultRowHeight="14.4"/>
  <cols>
    <col min="1" max="1" width="27.59765625" style="1336" customWidth="1"/>
    <col min="2" max="2" width="73.3984375" style="1364" customWidth="1"/>
    <col min="3" max="3" width="12.8984375" style="1365" customWidth="1"/>
    <col min="4" max="256" width="9" style="1336"/>
    <col min="257" max="257" width="27.59765625" style="1336" customWidth="1"/>
    <col min="258" max="258" width="73.3984375" style="1336" customWidth="1"/>
    <col min="259" max="259" width="12.8984375" style="1336" customWidth="1"/>
    <col min="260" max="512" width="9" style="1336"/>
    <col min="513" max="513" width="27.59765625" style="1336" customWidth="1"/>
    <col min="514" max="514" width="73.3984375" style="1336" customWidth="1"/>
    <col min="515" max="515" width="12.8984375" style="1336" customWidth="1"/>
    <col min="516" max="768" width="9" style="1336"/>
    <col min="769" max="769" width="27.59765625" style="1336" customWidth="1"/>
    <col min="770" max="770" width="73.3984375" style="1336" customWidth="1"/>
    <col min="771" max="771" width="12.8984375" style="1336" customWidth="1"/>
    <col min="772" max="1024" width="9" style="1336"/>
    <col min="1025" max="1025" width="27.59765625" style="1336" customWidth="1"/>
    <col min="1026" max="1026" width="73.3984375" style="1336" customWidth="1"/>
    <col min="1027" max="1027" width="12.8984375" style="1336" customWidth="1"/>
    <col min="1028" max="1280" width="9" style="1336"/>
    <col min="1281" max="1281" width="27.59765625" style="1336" customWidth="1"/>
    <col min="1282" max="1282" width="73.3984375" style="1336" customWidth="1"/>
    <col min="1283" max="1283" width="12.8984375" style="1336" customWidth="1"/>
    <col min="1284" max="1536" width="9" style="1336"/>
    <col min="1537" max="1537" width="27.59765625" style="1336" customWidth="1"/>
    <col min="1538" max="1538" width="73.3984375" style="1336" customWidth="1"/>
    <col min="1539" max="1539" width="12.8984375" style="1336" customWidth="1"/>
    <col min="1540" max="1792" width="9" style="1336"/>
    <col min="1793" max="1793" width="27.59765625" style="1336" customWidth="1"/>
    <col min="1794" max="1794" width="73.3984375" style="1336" customWidth="1"/>
    <col min="1795" max="1795" width="12.8984375" style="1336" customWidth="1"/>
    <col min="1796" max="2048" width="9" style="1336"/>
    <col min="2049" max="2049" width="27.59765625" style="1336" customWidth="1"/>
    <col min="2050" max="2050" width="73.3984375" style="1336" customWidth="1"/>
    <col min="2051" max="2051" width="12.8984375" style="1336" customWidth="1"/>
    <col min="2052" max="2304" width="9" style="1336"/>
    <col min="2305" max="2305" width="27.59765625" style="1336" customWidth="1"/>
    <col min="2306" max="2306" width="73.3984375" style="1336" customWidth="1"/>
    <col min="2307" max="2307" width="12.8984375" style="1336" customWidth="1"/>
    <col min="2308" max="2560" width="9" style="1336"/>
    <col min="2561" max="2561" width="27.59765625" style="1336" customWidth="1"/>
    <col min="2562" max="2562" width="73.3984375" style="1336" customWidth="1"/>
    <col min="2563" max="2563" width="12.8984375" style="1336" customWidth="1"/>
    <col min="2564" max="2816" width="9" style="1336"/>
    <col min="2817" max="2817" width="27.59765625" style="1336" customWidth="1"/>
    <col min="2818" max="2818" width="73.3984375" style="1336" customWidth="1"/>
    <col min="2819" max="2819" width="12.8984375" style="1336" customWidth="1"/>
    <col min="2820" max="3072" width="9" style="1336"/>
    <col min="3073" max="3073" width="27.59765625" style="1336" customWidth="1"/>
    <col min="3074" max="3074" width="73.3984375" style="1336" customWidth="1"/>
    <col min="3075" max="3075" width="12.8984375" style="1336" customWidth="1"/>
    <col min="3076" max="3328" width="9" style="1336"/>
    <col min="3329" max="3329" width="27.59765625" style="1336" customWidth="1"/>
    <col min="3330" max="3330" width="73.3984375" style="1336" customWidth="1"/>
    <col min="3331" max="3331" width="12.8984375" style="1336" customWidth="1"/>
    <col min="3332" max="3584" width="9" style="1336"/>
    <col min="3585" max="3585" width="27.59765625" style="1336" customWidth="1"/>
    <col min="3586" max="3586" width="73.3984375" style="1336" customWidth="1"/>
    <col min="3587" max="3587" width="12.8984375" style="1336" customWidth="1"/>
    <col min="3588" max="3840" width="9" style="1336"/>
    <col min="3841" max="3841" width="27.59765625" style="1336" customWidth="1"/>
    <col min="3842" max="3842" width="73.3984375" style="1336" customWidth="1"/>
    <col min="3843" max="3843" width="12.8984375" style="1336" customWidth="1"/>
    <col min="3844" max="4096" width="9" style="1336"/>
    <col min="4097" max="4097" width="27.59765625" style="1336" customWidth="1"/>
    <col min="4098" max="4098" width="73.3984375" style="1336" customWidth="1"/>
    <col min="4099" max="4099" width="12.8984375" style="1336" customWidth="1"/>
    <col min="4100" max="4352" width="9" style="1336"/>
    <col min="4353" max="4353" width="27.59765625" style="1336" customWidth="1"/>
    <col min="4354" max="4354" width="73.3984375" style="1336" customWidth="1"/>
    <col min="4355" max="4355" width="12.8984375" style="1336" customWidth="1"/>
    <col min="4356" max="4608" width="9" style="1336"/>
    <col min="4609" max="4609" width="27.59765625" style="1336" customWidth="1"/>
    <col min="4610" max="4610" width="73.3984375" style="1336" customWidth="1"/>
    <col min="4611" max="4611" width="12.8984375" style="1336" customWidth="1"/>
    <col min="4612" max="4864" width="9" style="1336"/>
    <col min="4865" max="4865" width="27.59765625" style="1336" customWidth="1"/>
    <col min="4866" max="4866" width="73.3984375" style="1336" customWidth="1"/>
    <col min="4867" max="4867" width="12.8984375" style="1336" customWidth="1"/>
    <col min="4868" max="5120" width="9" style="1336"/>
    <col min="5121" max="5121" width="27.59765625" style="1336" customWidth="1"/>
    <col min="5122" max="5122" width="73.3984375" style="1336" customWidth="1"/>
    <col min="5123" max="5123" width="12.8984375" style="1336" customWidth="1"/>
    <col min="5124" max="5376" width="9" style="1336"/>
    <col min="5377" max="5377" width="27.59765625" style="1336" customWidth="1"/>
    <col min="5378" max="5378" width="73.3984375" style="1336" customWidth="1"/>
    <col min="5379" max="5379" width="12.8984375" style="1336" customWidth="1"/>
    <col min="5380" max="5632" width="9" style="1336"/>
    <col min="5633" max="5633" width="27.59765625" style="1336" customWidth="1"/>
    <col min="5634" max="5634" width="73.3984375" style="1336" customWidth="1"/>
    <col min="5635" max="5635" width="12.8984375" style="1336" customWidth="1"/>
    <col min="5636" max="5888" width="9" style="1336"/>
    <col min="5889" max="5889" width="27.59765625" style="1336" customWidth="1"/>
    <col min="5890" max="5890" width="73.3984375" style="1336" customWidth="1"/>
    <col min="5891" max="5891" width="12.8984375" style="1336" customWidth="1"/>
    <col min="5892" max="6144" width="9" style="1336"/>
    <col min="6145" max="6145" width="27.59765625" style="1336" customWidth="1"/>
    <col min="6146" max="6146" width="73.3984375" style="1336" customWidth="1"/>
    <col min="6147" max="6147" width="12.8984375" style="1336" customWidth="1"/>
    <col min="6148" max="6400" width="9" style="1336"/>
    <col min="6401" max="6401" width="27.59765625" style="1336" customWidth="1"/>
    <col min="6402" max="6402" width="73.3984375" style="1336" customWidth="1"/>
    <col min="6403" max="6403" width="12.8984375" style="1336" customWidth="1"/>
    <col min="6404" max="6656" width="9" style="1336"/>
    <col min="6657" max="6657" width="27.59765625" style="1336" customWidth="1"/>
    <col min="6658" max="6658" width="73.3984375" style="1336" customWidth="1"/>
    <col min="6659" max="6659" width="12.8984375" style="1336" customWidth="1"/>
    <col min="6660" max="6912" width="9" style="1336"/>
    <col min="6913" max="6913" width="27.59765625" style="1336" customWidth="1"/>
    <col min="6914" max="6914" width="73.3984375" style="1336" customWidth="1"/>
    <col min="6915" max="6915" width="12.8984375" style="1336" customWidth="1"/>
    <col min="6916" max="7168" width="9" style="1336"/>
    <col min="7169" max="7169" width="27.59765625" style="1336" customWidth="1"/>
    <col min="7170" max="7170" width="73.3984375" style="1336" customWidth="1"/>
    <col min="7171" max="7171" width="12.8984375" style="1336" customWidth="1"/>
    <col min="7172" max="7424" width="9" style="1336"/>
    <col min="7425" max="7425" width="27.59765625" style="1336" customWidth="1"/>
    <col min="7426" max="7426" width="73.3984375" style="1336" customWidth="1"/>
    <col min="7427" max="7427" width="12.8984375" style="1336" customWidth="1"/>
    <col min="7428" max="7680" width="9" style="1336"/>
    <col min="7681" max="7681" width="27.59765625" style="1336" customWidth="1"/>
    <col min="7682" max="7682" width="73.3984375" style="1336" customWidth="1"/>
    <col min="7683" max="7683" width="12.8984375" style="1336" customWidth="1"/>
    <col min="7684" max="7936" width="9" style="1336"/>
    <col min="7937" max="7937" width="27.59765625" style="1336" customWidth="1"/>
    <col min="7938" max="7938" width="73.3984375" style="1336" customWidth="1"/>
    <col min="7939" max="7939" width="12.8984375" style="1336" customWidth="1"/>
    <col min="7940" max="8192" width="9" style="1336"/>
    <col min="8193" max="8193" width="27.59765625" style="1336" customWidth="1"/>
    <col min="8194" max="8194" width="73.3984375" style="1336" customWidth="1"/>
    <col min="8195" max="8195" width="12.8984375" style="1336" customWidth="1"/>
    <col min="8196" max="8448" width="9" style="1336"/>
    <col min="8449" max="8449" width="27.59765625" style="1336" customWidth="1"/>
    <col min="8450" max="8450" width="73.3984375" style="1336" customWidth="1"/>
    <col min="8451" max="8451" width="12.8984375" style="1336" customWidth="1"/>
    <col min="8452" max="8704" width="9" style="1336"/>
    <col min="8705" max="8705" width="27.59765625" style="1336" customWidth="1"/>
    <col min="8706" max="8706" width="73.3984375" style="1336" customWidth="1"/>
    <col min="8707" max="8707" width="12.8984375" style="1336" customWidth="1"/>
    <col min="8708" max="8960" width="9" style="1336"/>
    <col min="8961" max="8961" width="27.59765625" style="1336" customWidth="1"/>
    <col min="8962" max="8962" width="73.3984375" style="1336" customWidth="1"/>
    <col min="8963" max="8963" width="12.8984375" style="1336" customWidth="1"/>
    <col min="8964" max="9216" width="9" style="1336"/>
    <col min="9217" max="9217" width="27.59765625" style="1336" customWidth="1"/>
    <col min="9218" max="9218" width="73.3984375" style="1336" customWidth="1"/>
    <col min="9219" max="9219" width="12.8984375" style="1336" customWidth="1"/>
    <col min="9220" max="9472" width="9" style="1336"/>
    <col min="9473" max="9473" width="27.59765625" style="1336" customWidth="1"/>
    <col min="9474" max="9474" width="73.3984375" style="1336" customWidth="1"/>
    <col min="9475" max="9475" width="12.8984375" style="1336" customWidth="1"/>
    <col min="9476" max="9728" width="9" style="1336"/>
    <col min="9729" max="9729" width="27.59765625" style="1336" customWidth="1"/>
    <col min="9730" max="9730" width="73.3984375" style="1336" customWidth="1"/>
    <col min="9731" max="9731" width="12.8984375" style="1336" customWidth="1"/>
    <col min="9732" max="9984" width="9" style="1336"/>
    <col min="9985" max="9985" width="27.59765625" style="1336" customWidth="1"/>
    <col min="9986" max="9986" width="73.3984375" style="1336" customWidth="1"/>
    <col min="9987" max="9987" width="12.8984375" style="1336" customWidth="1"/>
    <col min="9988" max="10240" width="9" style="1336"/>
    <col min="10241" max="10241" width="27.59765625" style="1336" customWidth="1"/>
    <col min="10242" max="10242" width="73.3984375" style="1336" customWidth="1"/>
    <col min="10243" max="10243" width="12.8984375" style="1336" customWidth="1"/>
    <col min="10244" max="10496" width="9" style="1336"/>
    <col min="10497" max="10497" width="27.59765625" style="1336" customWidth="1"/>
    <col min="10498" max="10498" width="73.3984375" style="1336" customWidth="1"/>
    <col min="10499" max="10499" width="12.8984375" style="1336" customWidth="1"/>
    <col min="10500" max="10752" width="9" style="1336"/>
    <col min="10753" max="10753" width="27.59765625" style="1336" customWidth="1"/>
    <col min="10754" max="10754" width="73.3984375" style="1336" customWidth="1"/>
    <col min="10755" max="10755" width="12.8984375" style="1336" customWidth="1"/>
    <col min="10756" max="11008" width="9" style="1336"/>
    <col min="11009" max="11009" width="27.59765625" style="1336" customWidth="1"/>
    <col min="11010" max="11010" width="73.3984375" style="1336" customWidth="1"/>
    <col min="11011" max="11011" width="12.8984375" style="1336" customWidth="1"/>
    <col min="11012" max="11264" width="9" style="1336"/>
    <col min="11265" max="11265" width="27.59765625" style="1336" customWidth="1"/>
    <col min="11266" max="11266" width="73.3984375" style="1336" customWidth="1"/>
    <col min="11267" max="11267" width="12.8984375" style="1336" customWidth="1"/>
    <col min="11268" max="11520" width="9" style="1336"/>
    <col min="11521" max="11521" width="27.59765625" style="1336" customWidth="1"/>
    <col min="11522" max="11522" width="73.3984375" style="1336" customWidth="1"/>
    <col min="11523" max="11523" width="12.8984375" style="1336" customWidth="1"/>
    <col min="11524" max="11776" width="9" style="1336"/>
    <col min="11777" max="11777" width="27.59765625" style="1336" customWidth="1"/>
    <col min="11778" max="11778" width="73.3984375" style="1336" customWidth="1"/>
    <col min="11779" max="11779" width="12.8984375" style="1336" customWidth="1"/>
    <col min="11780" max="12032" width="9" style="1336"/>
    <col min="12033" max="12033" width="27.59765625" style="1336" customWidth="1"/>
    <col min="12034" max="12034" width="73.3984375" style="1336" customWidth="1"/>
    <col min="12035" max="12035" width="12.8984375" style="1336" customWidth="1"/>
    <col min="12036" max="12288" width="9" style="1336"/>
    <col min="12289" max="12289" width="27.59765625" style="1336" customWidth="1"/>
    <col min="12290" max="12290" width="73.3984375" style="1336" customWidth="1"/>
    <col min="12291" max="12291" width="12.8984375" style="1336" customWidth="1"/>
    <col min="12292" max="12544" width="9" style="1336"/>
    <col min="12545" max="12545" width="27.59765625" style="1336" customWidth="1"/>
    <col min="12546" max="12546" width="73.3984375" style="1336" customWidth="1"/>
    <col min="12547" max="12547" width="12.8984375" style="1336" customWidth="1"/>
    <col min="12548" max="12800" width="9" style="1336"/>
    <col min="12801" max="12801" width="27.59765625" style="1336" customWidth="1"/>
    <col min="12802" max="12802" width="73.3984375" style="1336" customWidth="1"/>
    <col min="12803" max="12803" width="12.8984375" style="1336" customWidth="1"/>
    <col min="12804" max="13056" width="9" style="1336"/>
    <col min="13057" max="13057" width="27.59765625" style="1336" customWidth="1"/>
    <col min="13058" max="13058" width="73.3984375" style="1336" customWidth="1"/>
    <col min="13059" max="13059" width="12.8984375" style="1336" customWidth="1"/>
    <col min="13060" max="13312" width="9" style="1336"/>
    <col min="13313" max="13313" width="27.59765625" style="1336" customWidth="1"/>
    <col min="13314" max="13314" width="73.3984375" style="1336" customWidth="1"/>
    <col min="13315" max="13315" width="12.8984375" style="1336" customWidth="1"/>
    <col min="13316" max="13568" width="9" style="1336"/>
    <col min="13569" max="13569" width="27.59765625" style="1336" customWidth="1"/>
    <col min="13570" max="13570" width="73.3984375" style="1336" customWidth="1"/>
    <col min="13571" max="13571" width="12.8984375" style="1336" customWidth="1"/>
    <col min="13572" max="13824" width="9" style="1336"/>
    <col min="13825" max="13825" width="27.59765625" style="1336" customWidth="1"/>
    <col min="13826" max="13826" width="73.3984375" style="1336" customWidth="1"/>
    <col min="13827" max="13827" width="12.8984375" style="1336" customWidth="1"/>
    <col min="13828" max="14080" width="9" style="1336"/>
    <col min="14081" max="14081" width="27.59765625" style="1336" customWidth="1"/>
    <col min="14082" max="14082" width="73.3984375" style="1336" customWidth="1"/>
    <col min="14083" max="14083" width="12.8984375" style="1336" customWidth="1"/>
    <col min="14084" max="14336" width="9" style="1336"/>
    <col min="14337" max="14337" width="27.59765625" style="1336" customWidth="1"/>
    <col min="14338" max="14338" width="73.3984375" style="1336" customWidth="1"/>
    <col min="14339" max="14339" width="12.8984375" style="1336" customWidth="1"/>
    <col min="14340" max="14592" width="9" style="1336"/>
    <col min="14593" max="14593" width="27.59765625" style="1336" customWidth="1"/>
    <col min="14594" max="14594" width="73.3984375" style="1336" customWidth="1"/>
    <col min="14595" max="14595" width="12.8984375" style="1336" customWidth="1"/>
    <col min="14596" max="14848" width="9" style="1336"/>
    <col min="14849" max="14849" width="27.59765625" style="1336" customWidth="1"/>
    <col min="14850" max="14850" width="73.3984375" style="1336" customWidth="1"/>
    <col min="14851" max="14851" width="12.8984375" style="1336" customWidth="1"/>
    <col min="14852" max="15104" width="9" style="1336"/>
    <col min="15105" max="15105" width="27.59765625" style="1336" customWidth="1"/>
    <col min="15106" max="15106" width="73.3984375" style="1336" customWidth="1"/>
    <col min="15107" max="15107" width="12.8984375" style="1336" customWidth="1"/>
    <col min="15108" max="15360" width="9" style="1336"/>
    <col min="15361" max="15361" width="27.59765625" style="1336" customWidth="1"/>
    <col min="15362" max="15362" width="73.3984375" style="1336" customWidth="1"/>
    <col min="15363" max="15363" width="12.8984375" style="1336" customWidth="1"/>
    <col min="15364" max="15616" width="9" style="1336"/>
    <col min="15617" max="15617" width="27.59765625" style="1336" customWidth="1"/>
    <col min="15618" max="15618" width="73.3984375" style="1336" customWidth="1"/>
    <col min="15619" max="15619" width="12.8984375" style="1336" customWidth="1"/>
    <col min="15620" max="15872" width="9" style="1336"/>
    <col min="15873" max="15873" width="27.59765625" style="1336" customWidth="1"/>
    <col min="15874" max="15874" width="73.3984375" style="1336" customWidth="1"/>
    <col min="15875" max="15875" width="12.8984375" style="1336" customWidth="1"/>
    <col min="15876" max="16128" width="9" style="1336"/>
    <col min="16129" max="16129" width="27.59765625" style="1336" customWidth="1"/>
    <col min="16130" max="16130" width="73.3984375" style="1336" customWidth="1"/>
    <col min="16131" max="16131" width="12.8984375" style="1336" customWidth="1"/>
    <col min="16132" max="16384" width="9" style="1336"/>
  </cols>
  <sheetData>
    <row r="1" spans="1:3" ht="26.25" customHeight="1">
      <c r="A1" s="3845" t="s">
        <v>10111</v>
      </c>
      <c r="B1" s="3845"/>
      <c r="C1" s="3845"/>
    </row>
    <row r="2" spans="1:3" s="1352" customFormat="1" ht="24.75" customHeight="1">
      <c r="A2" s="3844" t="s">
        <v>1718</v>
      </c>
      <c r="B2" s="3844"/>
      <c r="C2" s="1340"/>
    </row>
    <row r="3" spans="1:3" ht="101.25" customHeight="1">
      <c r="A3" s="1353" t="s">
        <v>1720</v>
      </c>
      <c r="B3" s="1485" t="str">
        <f>"     贵单位已按《会计法》和《"&amp;基本情况!B38&amp;"》等法律法规及其补充规定的要求制定了适合公司的会计制度和财务管理制度，并制定了较为明确的会计凭证、会计账簿和会计报告的处理程序。现有内部控制制度基本能够适应贵单位管理的要求，能够对编制真实、公允的财务报表提供合理的保证，能够对贵单位各项业务活动的良好运行及国家有关法律法规和单位内部规章制度的贯彻执行提供合理保证。"</f>
        <v xml:space="preserve">     贵单位已按《会计法》和《小企业会计准则》等法律法规及其补充规定的要求制定了适合公司的会计制度和财务管理制度，并制定了较为明确的会计凭证、会计账簿和会计报告的处理程序。现有内部控制制度基本能够适应贵单位管理的要求，能够对编制真实、公允的财务报表提供合理的保证，能够对贵单位各项业务活动的良好运行及国家有关法律法规和单位内部规章制度的贯彻执行提供合理保证。</v>
      </c>
      <c r="C3" s="1340" t="s">
        <v>1721</v>
      </c>
    </row>
    <row r="4" spans="1:3" s="1352" customFormat="1" ht="101.25" customHeight="1">
      <c r="A4" s="1353" t="s">
        <v>1722</v>
      </c>
      <c r="B4" s="1363" t="s">
        <v>1731</v>
      </c>
      <c r="C4" s="1340" t="s">
        <v>1721</v>
      </c>
    </row>
    <row r="5" spans="1:3" s="1352" customFormat="1" ht="101.25" customHeight="1">
      <c r="A5" s="1355" t="s">
        <v>1723</v>
      </c>
      <c r="B5" s="1363" t="s">
        <v>10109</v>
      </c>
      <c r="C5" s="1340" t="s">
        <v>1721</v>
      </c>
    </row>
    <row r="6" spans="1:3" s="1352" customFormat="1" ht="48" customHeight="1">
      <c r="A6" s="3846" t="s">
        <v>10110</v>
      </c>
      <c r="B6" s="3847"/>
      <c r="C6" s="1356" t="s">
        <v>1725</v>
      </c>
    </row>
  </sheetData>
  <mergeCells count="3">
    <mergeCell ref="A1:C1"/>
    <mergeCell ref="A2:B2"/>
    <mergeCell ref="A6:B6"/>
  </mergeCells>
  <phoneticPr fontId="51" type="noConversion"/>
  <pageMargins left="0.78740157480314998" right="0.35433070866141703" top="0.511811023622047" bottom="0.11811023622047198" header="0.511811023622047" footer="0.511811023622047"/>
  <pageSetup paperSize="9" orientation="portrait" r:id="rId1"/>
</worksheet>
</file>

<file path=xl/worksheets/sheet1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91"/>
  <dimension ref="A1:C7"/>
  <sheetViews>
    <sheetView workbookViewId="0">
      <selection sqref="A1:B1"/>
    </sheetView>
  </sheetViews>
  <sheetFormatPr defaultRowHeight="14.4"/>
  <cols>
    <col min="1" max="1" width="18.5" style="1336" customWidth="1"/>
    <col min="2" max="2" width="74.5" style="1369" customWidth="1"/>
    <col min="3" max="3" width="13.09765625" style="1365" customWidth="1"/>
    <col min="4" max="256" width="9" style="1336"/>
    <col min="257" max="257" width="18.5" style="1336" customWidth="1"/>
    <col min="258" max="258" width="74.5" style="1336" customWidth="1"/>
    <col min="259" max="259" width="13.09765625" style="1336" customWidth="1"/>
    <col min="260" max="512" width="9" style="1336"/>
    <col min="513" max="513" width="18.5" style="1336" customWidth="1"/>
    <col min="514" max="514" width="74.5" style="1336" customWidth="1"/>
    <col min="515" max="515" width="13.09765625" style="1336" customWidth="1"/>
    <col min="516" max="768" width="9" style="1336"/>
    <col min="769" max="769" width="18.5" style="1336" customWidth="1"/>
    <col min="770" max="770" width="74.5" style="1336" customWidth="1"/>
    <col min="771" max="771" width="13.09765625" style="1336" customWidth="1"/>
    <col min="772" max="1024" width="9" style="1336"/>
    <col min="1025" max="1025" width="18.5" style="1336" customWidth="1"/>
    <col min="1026" max="1026" width="74.5" style="1336" customWidth="1"/>
    <col min="1027" max="1027" width="13.09765625" style="1336" customWidth="1"/>
    <col min="1028" max="1280" width="9" style="1336"/>
    <col min="1281" max="1281" width="18.5" style="1336" customWidth="1"/>
    <col min="1282" max="1282" width="74.5" style="1336" customWidth="1"/>
    <col min="1283" max="1283" width="13.09765625" style="1336" customWidth="1"/>
    <col min="1284" max="1536" width="9" style="1336"/>
    <col min="1537" max="1537" width="18.5" style="1336" customWidth="1"/>
    <col min="1538" max="1538" width="74.5" style="1336" customWidth="1"/>
    <col min="1539" max="1539" width="13.09765625" style="1336" customWidth="1"/>
    <col min="1540" max="1792" width="9" style="1336"/>
    <col min="1793" max="1793" width="18.5" style="1336" customWidth="1"/>
    <col min="1794" max="1794" width="74.5" style="1336" customWidth="1"/>
    <col min="1795" max="1795" width="13.09765625" style="1336" customWidth="1"/>
    <col min="1796" max="2048" width="9" style="1336"/>
    <col min="2049" max="2049" width="18.5" style="1336" customWidth="1"/>
    <col min="2050" max="2050" width="74.5" style="1336" customWidth="1"/>
    <col min="2051" max="2051" width="13.09765625" style="1336" customWidth="1"/>
    <col min="2052" max="2304" width="9" style="1336"/>
    <col min="2305" max="2305" width="18.5" style="1336" customWidth="1"/>
    <col min="2306" max="2306" width="74.5" style="1336" customWidth="1"/>
    <col min="2307" max="2307" width="13.09765625" style="1336" customWidth="1"/>
    <col min="2308" max="2560" width="9" style="1336"/>
    <col min="2561" max="2561" width="18.5" style="1336" customWidth="1"/>
    <col min="2562" max="2562" width="74.5" style="1336" customWidth="1"/>
    <col min="2563" max="2563" width="13.09765625" style="1336" customWidth="1"/>
    <col min="2564" max="2816" width="9" style="1336"/>
    <col min="2817" max="2817" width="18.5" style="1336" customWidth="1"/>
    <col min="2818" max="2818" width="74.5" style="1336" customWidth="1"/>
    <col min="2819" max="2819" width="13.09765625" style="1336" customWidth="1"/>
    <col min="2820" max="3072" width="9" style="1336"/>
    <col min="3073" max="3073" width="18.5" style="1336" customWidth="1"/>
    <col min="3074" max="3074" width="74.5" style="1336" customWidth="1"/>
    <col min="3075" max="3075" width="13.09765625" style="1336" customWidth="1"/>
    <col min="3076" max="3328" width="9" style="1336"/>
    <col min="3329" max="3329" width="18.5" style="1336" customWidth="1"/>
    <col min="3330" max="3330" width="74.5" style="1336" customWidth="1"/>
    <col min="3331" max="3331" width="13.09765625" style="1336" customWidth="1"/>
    <col min="3332" max="3584" width="9" style="1336"/>
    <col min="3585" max="3585" width="18.5" style="1336" customWidth="1"/>
    <col min="3586" max="3586" width="74.5" style="1336" customWidth="1"/>
    <col min="3587" max="3587" width="13.09765625" style="1336" customWidth="1"/>
    <col min="3588" max="3840" width="9" style="1336"/>
    <col min="3841" max="3841" width="18.5" style="1336" customWidth="1"/>
    <col min="3842" max="3842" width="74.5" style="1336" customWidth="1"/>
    <col min="3843" max="3843" width="13.09765625" style="1336" customWidth="1"/>
    <col min="3844" max="4096" width="9" style="1336"/>
    <col min="4097" max="4097" width="18.5" style="1336" customWidth="1"/>
    <col min="4098" max="4098" width="74.5" style="1336" customWidth="1"/>
    <col min="4099" max="4099" width="13.09765625" style="1336" customWidth="1"/>
    <col min="4100" max="4352" width="9" style="1336"/>
    <col min="4353" max="4353" width="18.5" style="1336" customWidth="1"/>
    <col min="4354" max="4354" width="74.5" style="1336" customWidth="1"/>
    <col min="4355" max="4355" width="13.09765625" style="1336" customWidth="1"/>
    <col min="4356" max="4608" width="9" style="1336"/>
    <col min="4609" max="4609" width="18.5" style="1336" customWidth="1"/>
    <col min="4610" max="4610" width="74.5" style="1336" customWidth="1"/>
    <col min="4611" max="4611" width="13.09765625" style="1336" customWidth="1"/>
    <col min="4612" max="4864" width="9" style="1336"/>
    <col min="4865" max="4865" width="18.5" style="1336" customWidth="1"/>
    <col min="4866" max="4866" width="74.5" style="1336" customWidth="1"/>
    <col min="4867" max="4867" width="13.09765625" style="1336" customWidth="1"/>
    <col min="4868" max="5120" width="9" style="1336"/>
    <col min="5121" max="5121" width="18.5" style="1336" customWidth="1"/>
    <col min="5122" max="5122" width="74.5" style="1336" customWidth="1"/>
    <col min="5123" max="5123" width="13.09765625" style="1336" customWidth="1"/>
    <col min="5124" max="5376" width="9" style="1336"/>
    <col min="5377" max="5377" width="18.5" style="1336" customWidth="1"/>
    <col min="5378" max="5378" width="74.5" style="1336" customWidth="1"/>
    <col min="5379" max="5379" width="13.09765625" style="1336" customWidth="1"/>
    <col min="5380" max="5632" width="9" style="1336"/>
    <col min="5633" max="5633" width="18.5" style="1336" customWidth="1"/>
    <col min="5634" max="5634" width="74.5" style="1336" customWidth="1"/>
    <col min="5635" max="5635" width="13.09765625" style="1336" customWidth="1"/>
    <col min="5636" max="5888" width="9" style="1336"/>
    <col min="5889" max="5889" width="18.5" style="1336" customWidth="1"/>
    <col min="5890" max="5890" width="74.5" style="1336" customWidth="1"/>
    <col min="5891" max="5891" width="13.09765625" style="1336" customWidth="1"/>
    <col min="5892" max="6144" width="9" style="1336"/>
    <col min="6145" max="6145" width="18.5" style="1336" customWidth="1"/>
    <col min="6146" max="6146" width="74.5" style="1336" customWidth="1"/>
    <col min="6147" max="6147" width="13.09765625" style="1336" customWidth="1"/>
    <col min="6148" max="6400" width="9" style="1336"/>
    <col min="6401" max="6401" width="18.5" style="1336" customWidth="1"/>
    <col min="6402" max="6402" width="74.5" style="1336" customWidth="1"/>
    <col min="6403" max="6403" width="13.09765625" style="1336" customWidth="1"/>
    <col min="6404" max="6656" width="9" style="1336"/>
    <col min="6657" max="6657" width="18.5" style="1336" customWidth="1"/>
    <col min="6658" max="6658" width="74.5" style="1336" customWidth="1"/>
    <col min="6659" max="6659" width="13.09765625" style="1336" customWidth="1"/>
    <col min="6660" max="6912" width="9" style="1336"/>
    <col min="6913" max="6913" width="18.5" style="1336" customWidth="1"/>
    <col min="6914" max="6914" width="74.5" style="1336" customWidth="1"/>
    <col min="6915" max="6915" width="13.09765625" style="1336" customWidth="1"/>
    <col min="6916" max="7168" width="9" style="1336"/>
    <col min="7169" max="7169" width="18.5" style="1336" customWidth="1"/>
    <col min="7170" max="7170" width="74.5" style="1336" customWidth="1"/>
    <col min="7171" max="7171" width="13.09765625" style="1336" customWidth="1"/>
    <col min="7172" max="7424" width="9" style="1336"/>
    <col min="7425" max="7425" width="18.5" style="1336" customWidth="1"/>
    <col min="7426" max="7426" width="74.5" style="1336" customWidth="1"/>
    <col min="7427" max="7427" width="13.09765625" style="1336" customWidth="1"/>
    <col min="7428" max="7680" width="9" style="1336"/>
    <col min="7681" max="7681" width="18.5" style="1336" customWidth="1"/>
    <col min="7682" max="7682" width="74.5" style="1336" customWidth="1"/>
    <col min="7683" max="7683" width="13.09765625" style="1336" customWidth="1"/>
    <col min="7684" max="7936" width="9" style="1336"/>
    <col min="7937" max="7937" width="18.5" style="1336" customWidth="1"/>
    <col min="7938" max="7938" width="74.5" style="1336" customWidth="1"/>
    <col min="7939" max="7939" width="13.09765625" style="1336" customWidth="1"/>
    <col min="7940" max="8192" width="9" style="1336"/>
    <col min="8193" max="8193" width="18.5" style="1336" customWidth="1"/>
    <col min="8194" max="8194" width="74.5" style="1336" customWidth="1"/>
    <col min="8195" max="8195" width="13.09765625" style="1336" customWidth="1"/>
    <col min="8196" max="8448" width="9" style="1336"/>
    <col min="8449" max="8449" width="18.5" style="1336" customWidth="1"/>
    <col min="8450" max="8450" width="74.5" style="1336" customWidth="1"/>
    <col min="8451" max="8451" width="13.09765625" style="1336" customWidth="1"/>
    <col min="8452" max="8704" width="9" style="1336"/>
    <col min="8705" max="8705" width="18.5" style="1336" customWidth="1"/>
    <col min="8706" max="8706" width="74.5" style="1336" customWidth="1"/>
    <col min="8707" max="8707" width="13.09765625" style="1336" customWidth="1"/>
    <col min="8708" max="8960" width="9" style="1336"/>
    <col min="8961" max="8961" width="18.5" style="1336" customWidth="1"/>
    <col min="8962" max="8962" width="74.5" style="1336" customWidth="1"/>
    <col min="8963" max="8963" width="13.09765625" style="1336" customWidth="1"/>
    <col min="8964" max="9216" width="9" style="1336"/>
    <col min="9217" max="9217" width="18.5" style="1336" customWidth="1"/>
    <col min="9218" max="9218" width="74.5" style="1336" customWidth="1"/>
    <col min="9219" max="9219" width="13.09765625" style="1336" customWidth="1"/>
    <col min="9220" max="9472" width="9" style="1336"/>
    <col min="9473" max="9473" width="18.5" style="1336" customWidth="1"/>
    <col min="9474" max="9474" width="74.5" style="1336" customWidth="1"/>
    <col min="9475" max="9475" width="13.09765625" style="1336" customWidth="1"/>
    <col min="9476" max="9728" width="9" style="1336"/>
    <col min="9729" max="9729" width="18.5" style="1336" customWidth="1"/>
    <col min="9730" max="9730" width="74.5" style="1336" customWidth="1"/>
    <col min="9731" max="9731" width="13.09765625" style="1336" customWidth="1"/>
    <col min="9732" max="9984" width="9" style="1336"/>
    <col min="9985" max="9985" width="18.5" style="1336" customWidth="1"/>
    <col min="9986" max="9986" width="74.5" style="1336" customWidth="1"/>
    <col min="9987" max="9987" width="13.09765625" style="1336" customWidth="1"/>
    <col min="9988" max="10240" width="9" style="1336"/>
    <col min="10241" max="10241" width="18.5" style="1336" customWidth="1"/>
    <col min="10242" max="10242" width="74.5" style="1336" customWidth="1"/>
    <col min="10243" max="10243" width="13.09765625" style="1336" customWidth="1"/>
    <col min="10244" max="10496" width="9" style="1336"/>
    <col min="10497" max="10497" width="18.5" style="1336" customWidth="1"/>
    <col min="10498" max="10498" width="74.5" style="1336" customWidth="1"/>
    <col min="10499" max="10499" width="13.09765625" style="1336" customWidth="1"/>
    <col min="10500" max="10752" width="9" style="1336"/>
    <col min="10753" max="10753" width="18.5" style="1336" customWidth="1"/>
    <col min="10754" max="10754" width="74.5" style="1336" customWidth="1"/>
    <col min="10755" max="10755" width="13.09765625" style="1336" customWidth="1"/>
    <col min="10756" max="11008" width="9" style="1336"/>
    <col min="11009" max="11009" width="18.5" style="1336" customWidth="1"/>
    <col min="11010" max="11010" width="74.5" style="1336" customWidth="1"/>
    <col min="11011" max="11011" width="13.09765625" style="1336" customWidth="1"/>
    <col min="11012" max="11264" width="9" style="1336"/>
    <col min="11265" max="11265" width="18.5" style="1336" customWidth="1"/>
    <col min="11266" max="11266" width="74.5" style="1336" customWidth="1"/>
    <col min="11267" max="11267" width="13.09765625" style="1336" customWidth="1"/>
    <col min="11268" max="11520" width="9" style="1336"/>
    <col min="11521" max="11521" width="18.5" style="1336" customWidth="1"/>
    <col min="11522" max="11522" width="74.5" style="1336" customWidth="1"/>
    <col min="11523" max="11523" width="13.09765625" style="1336" customWidth="1"/>
    <col min="11524" max="11776" width="9" style="1336"/>
    <col min="11777" max="11777" width="18.5" style="1336" customWidth="1"/>
    <col min="11778" max="11778" width="74.5" style="1336" customWidth="1"/>
    <col min="11779" max="11779" width="13.09765625" style="1336" customWidth="1"/>
    <col min="11780" max="12032" width="9" style="1336"/>
    <col min="12033" max="12033" width="18.5" style="1336" customWidth="1"/>
    <col min="12034" max="12034" width="74.5" style="1336" customWidth="1"/>
    <col min="12035" max="12035" width="13.09765625" style="1336" customWidth="1"/>
    <col min="12036" max="12288" width="9" style="1336"/>
    <col min="12289" max="12289" width="18.5" style="1336" customWidth="1"/>
    <col min="12290" max="12290" width="74.5" style="1336" customWidth="1"/>
    <col min="12291" max="12291" width="13.09765625" style="1336" customWidth="1"/>
    <col min="12292" max="12544" width="9" style="1336"/>
    <col min="12545" max="12545" width="18.5" style="1336" customWidth="1"/>
    <col min="12546" max="12546" width="74.5" style="1336" customWidth="1"/>
    <col min="12547" max="12547" width="13.09765625" style="1336" customWidth="1"/>
    <col min="12548" max="12800" width="9" style="1336"/>
    <col min="12801" max="12801" width="18.5" style="1336" customWidth="1"/>
    <col min="12802" max="12802" width="74.5" style="1336" customWidth="1"/>
    <col min="12803" max="12803" width="13.09765625" style="1336" customWidth="1"/>
    <col min="12804" max="13056" width="9" style="1336"/>
    <col min="13057" max="13057" width="18.5" style="1336" customWidth="1"/>
    <col min="13058" max="13058" width="74.5" style="1336" customWidth="1"/>
    <col min="13059" max="13059" width="13.09765625" style="1336" customWidth="1"/>
    <col min="13060" max="13312" width="9" style="1336"/>
    <col min="13313" max="13313" width="18.5" style="1336" customWidth="1"/>
    <col min="13314" max="13314" width="74.5" style="1336" customWidth="1"/>
    <col min="13315" max="13315" width="13.09765625" style="1336" customWidth="1"/>
    <col min="13316" max="13568" width="9" style="1336"/>
    <col min="13569" max="13569" width="18.5" style="1336" customWidth="1"/>
    <col min="13570" max="13570" width="74.5" style="1336" customWidth="1"/>
    <col min="13571" max="13571" width="13.09765625" style="1336" customWidth="1"/>
    <col min="13572" max="13824" width="9" style="1336"/>
    <col min="13825" max="13825" width="18.5" style="1336" customWidth="1"/>
    <col min="13826" max="13826" width="74.5" style="1336" customWidth="1"/>
    <col min="13827" max="13827" width="13.09765625" style="1336" customWidth="1"/>
    <col min="13828" max="14080" width="9" style="1336"/>
    <col min="14081" max="14081" width="18.5" style="1336" customWidth="1"/>
    <col min="14082" max="14082" width="74.5" style="1336" customWidth="1"/>
    <col min="14083" max="14083" width="13.09765625" style="1336" customWidth="1"/>
    <col min="14084" max="14336" width="9" style="1336"/>
    <col min="14337" max="14337" width="18.5" style="1336" customWidth="1"/>
    <col min="14338" max="14338" width="74.5" style="1336" customWidth="1"/>
    <col min="14339" max="14339" width="13.09765625" style="1336" customWidth="1"/>
    <col min="14340" max="14592" width="9" style="1336"/>
    <col min="14593" max="14593" width="18.5" style="1336" customWidth="1"/>
    <col min="14594" max="14594" width="74.5" style="1336" customWidth="1"/>
    <col min="14595" max="14595" width="13.09765625" style="1336" customWidth="1"/>
    <col min="14596" max="14848" width="9" style="1336"/>
    <col min="14849" max="14849" width="18.5" style="1336" customWidth="1"/>
    <col min="14850" max="14850" width="74.5" style="1336" customWidth="1"/>
    <col min="14851" max="14851" width="13.09765625" style="1336" customWidth="1"/>
    <col min="14852" max="15104" width="9" style="1336"/>
    <col min="15105" max="15105" width="18.5" style="1336" customWidth="1"/>
    <col min="15106" max="15106" width="74.5" style="1336" customWidth="1"/>
    <col min="15107" max="15107" width="13.09765625" style="1336" customWidth="1"/>
    <col min="15108" max="15360" width="9" style="1336"/>
    <col min="15361" max="15361" width="18.5" style="1336" customWidth="1"/>
    <col min="15362" max="15362" width="74.5" style="1336" customWidth="1"/>
    <col min="15363" max="15363" width="13.09765625" style="1336" customWidth="1"/>
    <col min="15364" max="15616" width="9" style="1336"/>
    <col min="15617" max="15617" width="18.5" style="1336" customWidth="1"/>
    <col min="15618" max="15618" width="74.5" style="1336" customWidth="1"/>
    <col min="15619" max="15619" width="13.09765625" style="1336" customWidth="1"/>
    <col min="15620" max="15872" width="9" style="1336"/>
    <col min="15873" max="15873" width="18.5" style="1336" customWidth="1"/>
    <col min="15874" max="15874" width="74.5" style="1336" customWidth="1"/>
    <col min="15875" max="15875" width="13.09765625" style="1336" customWidth="1"/>
    <col min="15876" max="16128" width="9" style="1336"/>
    <col min="16129" max="16129" width="18.5" style="1336" customWidth="1"/>
    <col min="16130" max="16130" width="74.5" style="1336" customWidth="1"/>
    <col min="16131" max="16131" width="13.09765625" style="1336" customWidth="1"/>
    <col min="16132" max="16384" width="9" style="1336"/>
  </cols>
  <sheetData>
    <row r="1" spans="1:3" ht="20.399999999999999">
      <c r="A1" s="3848" t="s">
        <v>10113</v>
      </c>
      <c r="B1" s="3848"/>
    </row>
    <row r="2" spans="1:3" s="1361" customFormat="1" ht="15.75" customHeight="1">
      <c r="A2" s="3840" t="s">
        <v>1718</v>
      </c>
      <c r="B2" s="3841"/>
      <c r="C2" s="1340" t="s">
        <v>1070</v>
      </c>
    </row>
    <row r="3" spans="1:3" s="1367" customFormat="1" ht="75.75" customHeight="1">
      <c r="A3" s="1353" t="s">
        <v>1720</v>
      </c>
      <c r="B3" s="1354"/>
      <c r="C3" s="1366" t="s">
        <v>1721</v>
      </c>
    </row>
    <row r="4" spans="1:3" s="1367" customFormat="1" ht="87" customHeight="1">
      <c r="A4" s="1353" t="s">
        <v>1722</v>
      </c>
      <c r="B4" s="1354"/>
      <c r="C4" s="1366" t="s">
        <v>1721</v>
      </c>
    </row>
    <row r="5" spans="1:3" s="1367" customFormat="1" ht="84" customHeight="1">
      <c r="A5" s="1355" t="s">
        <v>1723</v>
      </c>
      <c r="B5" s="1354"/>
      <c r="C5" s="1366" t="s">
        <v>1721</v>
      </c>
    </row>
    <row r="6" spans="1:3" s="1367" customFormat="1" ht="21" customHeight="1">
      <c r="A6" s="3849" t="s">
        <v>10112</v>
      </c>
      <c r="B6" s="3850"/>
      <c r="C6" s="1340"/>
    </row>
    <row r="7" spans="1:3" s="1367" customFormat="1" ht="162" customHeight="1">
      <c r="A7" s="1368" t="s">
        <v>1732</v>
      </c>
      <c r="B7" s="1354"/>
      <c r="C7" s="1340" t="s">
        <v>1733</v>
      </c>
    </row>
  </sheetData>
  <mergeCells count="3">
    <mergeCell ref="A1:B1"/>
    <mergeCell ref="A2:B2"/>
    <mergeCell ref="A6:B6"/>
  </mergeCells>
  <phoneticPr fontId="51" type="noConversion"/>
  <pageMargins left="0.78740157480314998" right="0.35433070866141703" top="0.511811023622047" bottom="0.11811023622047198" header="0.511811023622047" footer="0.511811023622047"/>
  <pageSetup paperSize="9" orientation="portrait" r:id="rId1"/>
</worksheet>
</file>

<file path=xl/worksheets/sheet1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92"/>
  <dimension ref="A1:E97"/>
  <sheetViews>
    <sheetView workbookViewId="0">
      <selection activeCell="A11" sqref="A11:B11"/>
    </sheetView>
  </sheetViews>
  <sheetFormatPr defaultRowHeight="12"/>
  <cols>
    <col min="1" max="1" width="20.3984375" style="1370" customWidth="1"/>
    <col min="2" max="2" width="13.8984375" style="1370" customWidth="1"/>
    <col min="3" max="3" width="37" style="1370" customWidth="1"/>
    <col min="4" max="4" width="23.19921875" style="1370" customWidth="1"/>
    <col min="5" max="5" width="25" style="1377" customWidth="1"/>
    <col min="6" max="256" width="9" style="1370"/>
    <col min="257" max="257" width="20.3984375" style="1370" customWidth="1"/>
    <col min="258" max="258" width="13.8984375" style="1370" customWidth="1"/>
    <col min="259" max="259" width="37" style="1370" customWidth="1"/>
    <col min="260" max="260" width="23.19921875" style="1370" customWidth="1"/>
    <col min="261" max="261" width="25" style="1370" customWidth="1"/>
    <col min="262" max="512" width="9" style="1370"/>
    <col min="513" max="513" width="20.3984375" style="1370" customWidth="1"/>
    <col min="514" max="514" width="13.8984375" style="1370" customWidth="1"/>
    <col min="515" max="515" width="37" style="1370" customWidth="1"/>
    <col min="516" max="516" width="23.19921875" style="1370" customWidth="1"/>
    <col min="517" max="517" width="25" style="1370" customWidth="1"/>
    <col min="518" max="768" width="9" style="1370"/>
    <col min="769" max="769" width="20.3984375" style="1370" customWidth="1"/>
    <col min="770" max="770" width="13.8984375" style="1370" customWidth="1"/>
    <col min="771" max="771" width="37" style="1370" customWidth="1"/>
    <col min="772" max="772" width="23.19921875" style="1370" customWidth="1"/>
    <col min="773" max="773" width="25" style="1370" customWidth="1"/>
    <col min="774" max="1024" width="9" style="1370"/>
    <col min="1025" max="1025" width="20.3984375" style="1370" customWidth="1"/>
    <col min="1026" max="1026" width="13.8984375" style="1370" customWidth="1"/>
    <col min="1027" max="1027" width="37" style="1370" customWidth="1"/>
    <col min="1028" max="1028" width="23.19921875" style="1370" customWidth="1"/>
    <col min="1029" max="1029" width="25" style="1370" customWidth="1"/>
    <col min="1030" max="1280" width="9" style="1370"/>
    <col min="1281" max="1281" width="20.3984375" style="1370" customWidth="1"/>
    <col min="1282" max="1282" width="13.8984375" style="1370" customWidth="1"/>
    <col min="1283" max="1283" width="37" style="1370" customWidth="1"/>
    <col min="1284" max="1284" width="23.19921875" style="1370" customWidth="1"/>
    <col min="1285" max="1285" width="25" style="1370" customWidth="1"/>
    <col min="1286" max="1536" width="9" style="1370"/>
    <col min="1537" max="1537" width="20.3984375" style="1370" customWidth="1"/>
    <col min="1538" max="1538" width="13.8984375" style="1370" customWidth="1"/>
    <col min="1539" max="1539" width="37" style="1370" customWidth="1"/>
    <col min="1540" max="1540" width="23.19921875" style="1370" customWidth="1"/>
    <col min="1541" max="1541" width="25" style="1370" customWidth="1"/>
    <col min="1542" max="1792" width="9" style="1370"/>
    <col min="1793" max="1793" width="20.3984375" style="1370" customWidth="1"/>
    <col min="1794" max="1794" width="13.8984375" style="1370" customWidth="1"/>
    <col min="1795" max="1795" width="37" style="1370" customWidth="1"/>
    <col min="1796" max="1796" width="23.19921875" style="1370" customWidth="1"/>
    <col min="1797" max="1797" width="25" style="1370" customWidth="1"/>
    <col min="1798" max="2048" width="9" style="1370"/>
    <col min="2049" max="2049" width="20.3984375" style="1370" customWidth="1"/>
    <col min="2050" max="2050" width="13.8984375" style="1370" customWidth="1"/>
    <col min="2051" max="2051" width="37" style="1370" customWidth="1"/>
    <col min="2052" max="2052" width="23.19921875" style="1370" customWidth="1"/>
    <col min="2053" max="2053" width="25" style="1370" customWidth="1"/>
    <col min="2054" max="2304" width="9" style="1370"/>
    <col min="2305" max="2305" width="20.3984375" style="1370" customWidth="1"/>
    <col min="2306" max="2306" width="13.8984375" style="1370" customWidth="1"/>
    <col min="2307" max="2307" width="37" style="1370" customWidth="1"/>
    <col min="2308" max="2308" width="23.19921875" style="1370" customWidth="1"/>
    <col min="2309" max="2309" width="25" style="1370" customWidth="1"/>
    <col min="2310" max="2560" width="9" style="1370"/>
    <col min="2561" max="2561" width="20.3984375" style="1370" customWidth="1"/>
    <col min="2562" max="2562" width="13.8984375" style="1370" customWidth="1"/>
    <col min="2563" max="2563" width="37" style="1370" customWidth="1"/>
    <col min="2564" max="2564" width="23.19921875" style="1370" customWidth="1"/>
    <col min="2565" max="2565" width="25" style="1370" customWidth="1"/>
    <col min="2566" max="2816" width="9" style="1370"/>
    <col min="2817" max="2817" width="20.3984375" style="1370" customWidth="1"/>
    <col min="2818" max="2818" width="13.8984375" style="1370" customWidth="1"/>
    <col min="2819" max="2819" width="37" style="1370" customWidth="1"/>
    <col min="2820" max="2820" width="23.19921875" style="1370" customWidth="1"/>
    <col min="2821" max="2821" width="25" style="1370" customWidth="1"/>
    <col min="2822" max="3072" width="9" style="1370"/>
    <col min="3073" max="3073" width="20.3984375" style="1370" customWidth="1"/>
    <col min="3074" max="3074" width="13.8984375" style="1370" customWidth="1"/>
    <col min="3075" max="3075" width="37" style="1370" customWidth="1"/>
    <col min="3076" max="3076" width="23.19921875" style="1370" customWidth="1"/>
    <col min="3077" max="3077" width="25" style="1370" customWidth="1"/>
    <col min="3078" max="3328" width="9" style="1370"/>
    <col min="3329" max="3329" width="20.3984375" style="1370" customWidth="1"/>
    <col min="3330" max="3330" width="13.8984375" style="1370" customWidth="1"/>
    <col min="3331" max="3331" width="37" style="1370" customWidth="1"/>
    <col min="3332" max="3332" width="23.19921875" style="1370" customWidth="1"/>
    <col min="3333" max="3333" width="25" style="1370" customWidth="1"/>
    <col min="3334" max="3584" width="9" style="1370"/>
    <col min="3585" max="3585" width="20.3984375" style="1370" customWidth="1"/>
    <col min="3586" max="3586" width="13.8984375" style="1370" customWidth="1"/>
    <col min="3587" max="3587" width="37" style="1370" customWidth="1"/>
    <col min="3588" max="3588" width="23.19921875" style="1370" customWidth="1"/>
    <col min="3589" max="3589" width="25" style="1370" customWidth="1"/>
    <col min="3590" max="3840" width="9" style="1370"/>
    <col min="3841" max="3841" width="20.3984375" style="1370" customWidth="1"/>
    <col min="3842" max="3842" width="13.8984375" style="1370" customWidth="1"/>
    <col min="3843" max="3843" width="37" style="1370" customWidth="1"/>
    <col min="3844" max="3844" width="23.19921875" style="1370" customWidth="1"/>
    <col min="3845" max="3845" width="25" style="1370" customWidth="1"/>
    <col min="3846" max="4096" width="9" style="1370"/>
    <col min="4097" max="4097" width="20.3984375" style="1370" customWidth="1"/>
    <col min="4098" max="4098" width="13.8984375" style="1370" customWidth="1"/>
    <col min="4099" max="4099" width="37" style="1370" customWidth="1"/>
    <col min="4100" max="4100" width="23.19921875" style="1370" customWidth="1"/>
    <col min="4101" max="4101" width="25" style="1370" customWidth="1"/>
    <col min="4102" max="4352" width="9" style="1370"/>
    <col min="4353" max="4353" width="20.3984375" style="1370" customWidth="1"/>
    <col min="4354" max="4354" width="13.8984375" style="1370" customWidth="1"/>
    <col min="4355" max="4355" width="37" style="1370" customWidth="1"/>
    <col min="4356" max="4356" width="23.19921875" style="1370" customWidth="1"/>
    <col min="4357" max="4357" width="25" style="1370" customWidth="1"/>
    <col min="4358" max="4608" width="9" style="1370"/>
    <col min="4609" max="4609" width="20.3984375" style="1370" customWidth="1"/>
    <col min="4610" max="4610" width="13.8984375" style="1370" customWidth="1"/>
    <col min="4611" max="4611" width="37" style="1370" customWidth="1"/>
    <col min="4612" max="4612" width="23.19921875" style="1370" customWidth="1"/>
    <col min="4613" max="4613" width="25" style="1370" customWidth="1"/>
    <col min="4614" max="4864" width="9" style="1370"/>
    <col min="4865" max="4865" width="20.3984375" style="1370" customWidth="1"/>
    <col min="4866" max="4866" width="13.8984375" style="1370" customWidth="1"/>
    <col min="4867" max="4867" width="37" style="1370" customWidth="1"/>
    <col min="4868" max="4868" width="23.19921875" style="1370" customWidth="1"/>
    <col min="4869" max="4869" width="25" style="1370" customWidth="1"/>
    <col min="4870" max="5120" width="9" style="1370"/>
    <col min="5121" max="5121" width="20.3984375" style="1370" customWidth="1"/>
    <col min="5122" max="5122" width="13.8984375" style="1370" customWidth="1"/>
    <col min="5123" max="5123" width="37" style="1370" customWidth="1"/>
    <col min="5124" max="5124" width="23.19921875" style="1370" customWidth="1"/>
    <col min="5125" max="5125" width="25" style="1370" customWidth="1"/>
    <col min="5126" max="5376" width="9" style="1370"/>
    <col min="5377" max="5377" width="20.3984375" style="1370" customWidth="1"/>
    <col min="5378" max="5378" width="13.8984375" style="1370" customWidth="1"/>
    <col min="5379" max="5379" width="37" style="1370" customWidth="1"/>
    <col min="5380" max="5380" width="23.19921875" style="1370" customWidth="1"/>
    <col min="5381" max="5381" width="25" style="1370" customWidth="1"/>
    <col min="5382" max="5632" width="9" style="1370"/>
    <col min="5633" max="5633" width="20.3984375" style="1370" customWidth="1"/>
    <col min="5634" max="5634" width="13.8984375" style="1370" customWidth="1"/>
    <col min="5635" max="5635" width="37" style="1370" customWidth="1"/>
    <col min="5636" max="5636" width="23.19921875" style="1370" customWidth="1"/>
    <col min="5637" max="5637" width="25" style="1370" customWidth="1"/>
    <col min="5638" max="5888" width="9" style="1370"/>
    <col min="5889" max="5889" width="20.3984375" style="1370" customWidth="1"/>
    <col min="5890" max="5890" width="13.8984375" style="1370" customWidth="1"/>
    <col min="5891" max="5891" width="37" style="1370" customWidth="1"/>
    <col min="5892" max="5892" width="23.19921875" style="1370" customWidth="1"/>
    <col min="5893" max="5893" width="25" style="1370" customWidth="1"/>
    <col min="5894" max="6144" width="9" style="1370"/>
    <col min="6145" max="6145" width="20.3984375" style="1370" customWidth="1"/>
    <col min="6146" max="6146" width="13.8984375" style="1370" customWidth="1"/>
    <col min="6147" max="6147" width="37" style="1370" customWidth="1"/>
    <col min="6148" max="6148" width="23.19921875" style="1370" customWidth="1"/>
    <col min="6149" max="6149" width="25" style="1370" customWidth="1"/>
    <col min="6150" max="6400" width="9" style="1370"/>
    <col min="6401" max="6401" width="20.3984375" style="1370" customWidth="1"/>
    <col min="6402" max="6402" width="13.8984375" style="1370" customWidth="1"/>
    <col min="6403" max="6403" width="37" style="1370" customWidth="1"/>
    <col min="6404" max="6404" width="23.19921875" style="1370" customWidth="1"/>
    <col min="6405" max="6405" width="25" style="1370" customWidth="1"/>
    <col min="6406" max="6656" width="9" style="1370"/>
    <col min="6657" max="6657" width="20.3984375" style="1370" customWidth="1"/>
    <col min="6658" max="6658" width="13.8984375" style="1370" customWidth="1"/>
    <col min="6659" max="6659" width="37" style="1370" customWidth="1"/>
    <col min="6660" max="6660" width="23.19921875" style="1370" customWidth="1"/>
    <col min="6661" max="6661" width="25" style="1370" customWidth="1"/>
    <col min="6662" max="6912" width="9" style="1370"/>
    <col min="6913" max="6913" width="20.3984375" style="1370" customWidth="1"/>
    <col min="6914" max="6914" width="13.8984375" style="1370" customWidth="1"/>
    <col min="6915" max="6915" width="37" style="1370" customWidth="1"/>
    <col min="6916" max="6916" width="23.19921875" style="1370" customWidth="1"/>
    <col min="6917" max="6917" width="25" style="1370" customWidth="1"/>
    <col min="6918" max="7168" width="9" style="1370"/>
    <col min="7169" max="7169" width="20.3984375" style="1370" customWidth="1"/>
    <col min="7170" max="7170" width="13.8984375" style="1370" customWidth="1"/>
    <col min="7171" max="7171" width="37" style="1370" customWidth="1"/>
    <col min="7172" max="7172" width="23.19921875" style="1370" customWidth="1"/>
    <col min="7173" max="7173" width="25" style="1370" customWidth="1"/>
    <col min="7174" max="7424" width="9" style="1370"/>
    <col min="7425" max="7425" width="20.3984375" style="1370" customWidth="1"/>
    <col min="7426" max="7426" width="13.8984375" style="1370" customWidth="1"/>
    <col min="7427" max="7427" width="37" style="1370" customWidth="1"/>
    <col min="7428" max="7428" width="23.19921875" style="1370" customWidth="1"/>
    <col min="7429" max="7429" width="25" style="1370" customWidth="1"/>
    <col min="7430" max="7680" width="9" style="1370"/>
    <col min="7681" max="7681" width="20.3984375" style="1370" customWidth="1"/>
    <col min="7682" max="7682" width="13.8984375" style="1370" customWidth="1"/>
    <col min="7683" max="7683" width="37" style="1370" customWidth="1"/>
    <col min="7684" max="7684" width="23.19921875" style="1370" customWidth="1"/>
    <col min="7685" max="7685" width="25" style="1370" customWidth="1"/>
    <col min="7686" max="7936" width="9" style="1370"/>
    <col min="7937" max="7937" width="20.3984375" style="1370" customWidth="1"/>
    <col min="7938" max="7938" width="13.8984375" style="1370" customWidth="1"/>
    <col min="7939" max="7939" width="37" style="1370" customWidth="1"/>
    <col min="7940" max="7940" width="23.19921875" style="1370" customWidth="1"/>
    <col min="7941" max="7941" width="25" style="1370" customWidth="1"/>
    <col min="7942" max="8192" width="9" style="1370"/>
    <col min="8193" max="8193" width="20.3984375" style="1370" customWidth="1"/>
    <col min="8194" max="8194" width="13.8984375" style="1370" customWidth="1"/>
    <col min="8195" max="8195" width="37" style="1370" customWidth="1"/>
    <col min="8196" max="8196" width="23.19921875" style="1370" customWidth="1"/>
    <col min="8197" max="8197" width="25" style="1370" customWidth="1"/>
    <col min="8198" max="8448" width="9" style="1370"/>
    <col min="8449" max="8449" width="20.3984375" style="1370" customWidth="1"/>
    <col min="8450" max="8450" width="13.8984375" style="1370" customWidth="1"/>
    <col min="8451" max="8451" width="37" style="1370" customWidth="1"/>
    <col min="8452" max="8452" width="23.19921875" style="1370" customWidth="1"/>
    <col min="8453" max="8453" width="25" style="1370" customWidth="1"/>
    <col min="8454" max="8704" width="9" style="1370"/>
    <col min="8705" max="8705" width="20.3984375" style="1370" customWidth="1"/>
    <col min="8706" max="8706" width="13.8984375" style="1370" customWidth="1"/>
    <col min="8707" max="8707" width="37" style="1370" customWidth="1"/>
    <col min="8708" max="8708" width="23.19921875" style="1370" customWidth="1"/>
    <col min="8709" max="8709" width="25" style="1370" customWidth="1"/>
    <col min="8710" max="8960" width="9" style="1370"/>
    <col min="8961" max="8961" width="20.3984375" style="1370" customWidth="1"/>
    <col min="8962" max="8962" width="13.8984375" style="1370" customWidth="1"/>
    <col min="8963" max="8963" width="37" style="1370" customWidth="1"/>
    <col min="8964" max="8964" width="23.19921875" style="1370" customWidth="1"/>
    <col min="8965" max="8965" width="25" style="1370" customWidth="1"/>
    <col min="8966" max="9216" width="9" style="1370"/>
    <col min="9217" max="9217" width="20.3984375" style="1370" customWidth="1"/>
    <col min="9218" max="9218" width="13.8984375" style="1370" customWidth="1"/>
    <col min="9219" max="9219" width="37" style="1370" customWidth="1"/>
    <col min="9220" max="9220" width="23.19921875" style="1370" customWidth="1"/>
    <col min="9221" max="9221" width="25" style="1370" customWidth="1"/>
    <col min="9222" max="9472" width="9" style="1370"/>
    <col min="9473" max="9473" width="20.3984375" style="1370" customWidth="1"/>
    <col min="9474" max="9474" width="13.8984375" style="1370" customWidth="1"/>
    <col min="9475" max="9475" width="37" style="1370" customWidth="1"/>
    <col min="9476" max="9476" width="23.19921875" style="1370" customWidth="1"/>
    <col min="9477" max="9477" width="25" style="1370" customWidth="1"/>
    <col min="9478" max="9728" width="9" style="1370"/>
    <col min="9729" max="9729" width="20.3984375" style="1370" customWidth="1"/>
    <col min="9730" max="9730" width="13.8984375" style="1370" customWidth="1"/>
    <col min="9731" max="9731" width="37" style="1370" customWidth="1"/>
    <col min="9732" max="9732" width="23.19921875" style="1370" customWidth="1"/>
    <col min="9733" max="9733" width="25" style="1370" customWidth="1"/>
    <col min="9734" max="9984" width="9" style="1370"/>
    <col min="9985" max="9985" width="20.3984375" style="1370" customWidth="1"/>
    <col min="9986" max="9986" width="13.8984375" style="1370" customWidth="1"/>
    <col min="9987" max="9987" width="37" style="1370" customWidth="1"/>
    <col min="9988" max="9988" width="23.19921875" style="1370" customWidth="1"/>
    <col min="9989" max="9989" width="25" style="1370" customWidth="1"/>
    <col min="9990" max="10240" width="9" style="1370"/>
    <col min="10241" max="10241" width="20.3984375" style="1370" customWidth="1"/>
    <col min="10242" max="10242" width="13.8984375" style="1370" customWidth="1"/>
    <col min="10243" max="10243" width="37" style="1370" customWidth="1"/>
    <col min="10244" max="10244" width="23.19921875" style="1370" customWidth="1"/>
    <col min="10245" max="10245" width="25" style="1370" customWidth="1"/>
    <col min="10246" max="10496" width="9" style="1370"/>
    <col min="10497" max="10497" width="20.3984375" style="1370" customWidth="1"/>
    <col min="10498" max="10498" width="13.8984375" style="1370" customWidth="1"/>
    <col min="10499" max="10499" width="37" style="1370" customWidth="1"/>
    <col min="10500" max="10500" width="23.19921875" style="1370" customWidth="1"/>
    <col min="10501" max="10501" width="25" style="1370" customWidth="1"/>
    <col min="10502" max="10752" width="9" style="1370"/>
    <col min="10753" max="10753" width="20.3984375" style="1370" customWidth="1"/>
    <col min="10754" max="10754" width="13.8984375" style="1370" customWidth="1"/>
    <col min="10755" max="10755" width="37" style="1370" customWidth="1"/>
    <col min="10756" max="10756" width="23.19921875" style="1370" customWidth="1"/>
    <col min="10757" max="10757" width="25" style="1370" customWidth="1"/>
    <col min="10758" max="11008" width="9" style="1370"/>
    <col min="11009" max="11009" width="20.3984375" style="1370" customWidth="1"/>
    <col min="11010" max="11010" width="13.8984375" style="1370" customWidth="1"/>
    <col min="11011" max="11011" width="37" style="1370" customWidth="1"/>
    <col min="11012" max="11012" width="23.19921875" style="1370" customWidth="1"/>
    <col min="11013" max="11013" width="25" style="1370" customWidth="1"/>
    <col min="11014" max="11264" width="9" style="1370"/>
    <col min="11265" max="11265" width="20.3984375" style="1370" customWidth="1"/>
    <col min="11266" max="11266" width="13.8984375" style="1370" customWidth="1"/>
    <col min="11267" max="11267" width="37" style="1370" customWidth="1"/>
    <col min="11268" max="11268" width="23.19921875" style="1370" customWidth="1"/>
    <col min="11269" max="11269" width="25" style="1370" customWidth="1"/>
    <col min="11270" max="11520" width="9" style="1370"/>
    <col min="11521" max="11521" width="20.3984375" style="1370" customWidth="1"/>
    <col min="11522" max="11522" width="13.8984375" style="1370" customWidth="1"/>
    <col min="11523" max="11523" width="37" style="1370" customWidth="1"/>
    <col min="11524" max="11524" width="23.19921875" style="1370" customWidth="1"/>
    <col min="11525" max="11525" width="25" style="1370" customWidth="1"/>
    <col min="11526" max="11776" width="9" style="1370"/>
    <col min="11777" max="11777" width="20.3984375" style="1370" customWidth="1"/>
    <col min="11778" max="11778" width="13.8984375" style="1370" customWidth="1"/>
    <col min="11779" max="11779" width="37" style="1370" customWidth="1"/>
    <col min="11780" max="11780" width="23.19921875" style="1370" customWidth="1"/>
    <col min="11781" max="11781" width="25" style="1370" customWidth="1"/>
    <col min="11782" max="12032" width="9" style="1370"/>
    <col min="12033" max="12033" width="20.3984375" style="1370" customWidth="1"/>
    <col min="12034" max="12034" width="13.8984375" style="1370" customWidth="1"/>
    <col min="12035" max="12035" width="37" style="1370" customWidth="1"/>
    <col min="12036" max="12036" width="23.19921875" style="1370" customWidth="1"/>
    <col min="12037" max="12037" width="25" style="1370" customWidth="1"/>
    <col min="12038" max="12288" width="9" style="1370"/>
    <col min="12289" max="12289" width="20.3984375" style="1370" customWidth="1"/>
    <col min="12290" max="12290" width="13.8984375" style="1370" customWidth="1"/>
    <col min="12291" max="12291" width="37" style="1370" customWidth="1"/>
    <col min="12292" max="12292" width="23.19921875" style="1370" customWidth="1"/>
    <col min="12293" max="12293" width="25" style="1370" customWidth="1"/>
    <col min="12294" max="12544" width="9" style="1370"/>
    <col min="12545" max="12545" width="20.3984375" style="1370" customWidth="1"/>
    <col min="12546" max="12546" width="13.8984375" style="1370" customWidth="1"/>
    <col min="12547" max="12547" width="37" style="1370" customWidth="1"/>
    <col min="12548" max="12548" width="23.19921875" style="1370" customWidth="1"/>
    <col min="12549" max="12549" width="25" style="1370" customWidth="1"/>
    <col min="12550" max="12800" width="9" style="1370"/>
    <col min="12801" max="12801" width="20.3984375" style="1370" customWidth="1"/>
    <col min="12802" max="12802" width="13.8984375" style="1370" customWidth="1"/>
    <col min="12803" max="12803" width="37" style="1370" customWidth="1"/>
    <col min="12804" max="12804" width="23.19921875" style="1370" customWidth="1"/>
    <col min="12805" max="12805" width="25" style="1370" customWidth="1"/>
    <col min="12806" max="13056" width="9" style="1370"/>
    <col min="13057" max="13057" width="20.3984375" style="1370" customWidth="1"/>
    <col min="13058" max="13058" width="13.8984375" style="1370" customWidth="1"/>
    <col min="13059" max="13059" width="37" style="1370" customWidth="1"/>
    <col min="13060" max="13060" width="23.19921875" style="1370" customWidth="1"/>
    <col min="13061" max="13061" width="25" style="1370" customWidth="1"/>
    <col min="13062" max="13312" width="9" style="1370"/>
    <col min="13313" max="13313" width="20.3984375" style="1370" customWidth="1"/>
    <col min="13314" max="13314" width="13.8984375" style="1370" customWidth="1"/>
    <col min="13315" max="13315" width="37" style="1370" customWidth="1"/>
    <col min="13316" max="13316" width="23.19921875" style="1370" customWidth="1"/>
    <col min="13317" max="13317" width="25" style="1370" customWidth="1"/>
    <col min="13318" max="13568" width="9" style="1370"/>
    <col min="13569" max="13569" width="20.3984375" style="1370" customWidth="1"/>
    <col min="13570" max="13570" width="13.8984375" style="1370" customWidth="1"/>
    <col min="13571" max="13571" width="37" style="1370" customWidth="1"/>
    <col min="13572" max="13572" width="23.19921875" style="1370" customWidth="1"/>
    <col min="13573" max="13573" width="25" style="1370" customWidth="1"/>
    <col min="13574" max="13824" width="9" style="1370"/>
    <col min="13825" max="13825" width="20.3984375" style="1370" customWidth="1"/>
    <col min="13826" max="13826" width="13.8984375" style="1370" customWidth="1"/>
    <col min="13827" max="13827" width="37" style="1370" customWidth="1"/>
    <col min="13828" max="13828" width="23.19921875" style="1370" customWidth="1"/>
    <col min="13829" max="13829" width="25" style="1370" customWidth="1"/>
    <col min="13830" max="14080" width="9" style="1370"/>
    <col min="14081" max="14081" width="20.3984375" style="1370" customWidth="1"/>
    <col min="14082" max="14082" width="13.8984375" style="1370" customWidth="1"/>
    <col min="14083" max="14083" width="37" style="1370" customWidth="1"/>
    <col min="14084" max="14084" width="23.19921875" style="1370" customWidth="1"/>
    <col min="14085" max="14085" width="25" style="1370" customWidth="1"/>
    <col min="14086" max="14336" width="9" style="1370"/>
    <col min="14337" max="14337" width="20.3984375" style="1370" customWidth="1"/>
    <col min="14338" max="14338" width="13.8984375" style="1370" customWidth="1"/>
    <col min="14339" max="14339" width="37" style="1370" customWidth="1"/>
    <col min="14340" max="14340" width="23.19921875" style="1370" customWidth="1"/>
    <col min="14341" max="14341" width="25" style="1370" customWidth="1"/>
    <col min="14342" max="14592" width="9" style="1370"/>
    <col min="14593" max="14593" width="20.3984375" style="1370" customWidth="1"/>
    <col min="14594" max="14594" width="13.8984375" style="1370" customWidth="1"/>
    <col min="14595" max="14595" width="37" style="1370" customWidth="1"/>
    <col min="14596" max="14596" width="23.19921875" style="1370" customWidth="1"/>
    <col min="14597" max="14597" width="25" style="1370" customWidth="1"/>
    <col min="14598" max="14848" width="9" style="1370"/>
    <col min="14849" max="14849" width="20.3984375" style="1370" customWidth="1"/>
    <col min="14850" max="14850" width="13.8984375" style="1370" customWidth="1"/>
    <col min="14851" max="14851" width="37" style="1370" customWidth="1"/>
    <col min="14852" max="14852" width="23.19921875" style="1370" customWidth="1"/>
    <col min="14853" max="14853" width="25" style="1370" customWidth="1"/>
    <col min="14854" max="15104" width="9" style="1370"/>
    <col min="15105" max="15105" width="20.3984375" style="1370" customWidth="1"/>
    <col min="15106" max="15106" width="13.8984375" style="1370" customWidth="1"/>
    <col min="15107" max="15107" width="37" style="1370" customWidth="1"/>
    <col min="15108" max="15108" width="23.19921875" style="1370" customWidth="1"/>
    <col min="15109" max="15109" width="25" style="1370" customWidth="1"/>
    <col min="15110" max="15360" width="9" style="1370"/>
    <col min="15361" max="15361" width="20.3984375" style="1370" customWidth="1"/>
    <col min="15362" max="15362" width="13.8984375" style="1370" customWidth="1"/>
    <col min="15363" max="15363" width="37" style="1370" customWidth="1"/>
    <col min="15364" max="15364" width="23.19921875" style="1370" customWidth="1"/>
    <col min="15365" max="15365" width="25" style="1370" customWidth="1"/>
    <col min="15366" max="15616" width="9" style="1370"/>
    <col min="15617" max="15617" width="20.3984375" style="1370" customWidth="1"/>
    <col min="15618" max="15618" width="13.8984375" style="1370" customWidth="1"/>
    <col min="15619" max="15619" width="37" style="1370" customWidth="1"/>
    <col min="15620" max="15620" width="23.19921875" style="1370" customWidth="1"/>
    <col min="15621" max="15621" width="25" style="1370" customWidth="1"/>
    <col min="15622" max="15872" width="9" style="1370"/>
    <col min="15873" max="15873" width="20.3984375" style="1370" customWidth="1"/>
    <col min="15874" max="15874" width="13.8984375" style="1370" customWidth="1"/>
    <col min="15875" max="15875" width="37" style="1370" customWidth="1"/>
    <col min="15876" max="15876" width="23.19921875" style="1370" customWidth="1"/>
    <col min="15877" max="15877" width="25" style="1370" customWidth="1"/>
    <col min="15878" max="16128" width="9" style="1370"/>
    <col min="16129" max="16129" width="20.3984375" style="1370" customWidth="1"/>
    <col min="16130" max="16130" width="13.8984375" style="1370" customWidth="1"/>
    <col min="16131" max="16131" width="37" style="1370" customWidth="1"/>
    <col min="16132" max="16132" width="23.19921875" style="1370" customWidth="1"/>
    <col min="16133" max="16133" width="25" style="1370" customWidth="1"/>
    <col min="16134" max="16384" width="9" style="1370"/>
  </cols>
  <sheetData>
    <row r="1" spans="1:5" ht="25.5" customHeight="1">
      <c r="A1" s="3871" t="s">
        <v>1734</v>
      </c>
      <c r="B1" s="3871"/>
      <c r="C1" s="3871"/>
      <c r="D1" s="3871"/>
      <c r="E1" s="3871"/>
    </row>
    <row r="2" spans="1:5" ht="22.5" customHeight="1">
      <c r="A2" s="3846" t="s">
        <v>1735</v>
      </c>
      <c r="B2" s="3851"/>
      <c r="C2" s="3851"/>
      <c r="D2" s="3847"/>
      <c r="E2" s="1371" t="s">
        <v>833</v>
      </c>
    </row>
    <row r="3" spans="1:5" ht="22.5" customHeight="1">
      <c r="A3" s="3858" t="s">
        <v>1736</v>
      </c>
      <c r="B3" s="3858"/>
      <c r="C3" s="3859" t="str">
        <f>TEXT(基本情况!B45,"yyyy-mm-dd")</f>
        <v>1900-01-00</v>
      </c>
      <c r="D3" s="3859"/>
      <c r="E3" s="1371" t="s">
        <v>1737</v>
      </c>
    </row>
    <row r="4" spans="1:5" ht="22.5" customHeight="1">
      <c r="A4" s="3858" t="s">
        <v>1738</v>
      </c>
      <c r="B4" s="3858"/>
      <c r="C4" s="3859">
        <f>基本情况!B31</f>
        <v>0</v>
      </c>
      <c r="D4" s="3859"/>
      <c r="E4" s="1371" t="s">
        <v>1695</v>
      </c>
    </row>
    <row r="5" spans="1:5" ht="22.5" customHeight="1">
      <c r="A5" s="3858" t="s">
        <v>1739</v>
      </c>
      <c r="B5" s="3858"/>
      <c r="C5" s="3859">
        <f>基本情况!B32</f>
        <v>0</v>
      </c>
      <c r="D5" s="3859"/>
      <c r="E5" s="1371" t="s">
        <v>1695</v>
      </c>
    </row>
    <row r="6" spans="1:5" ht="22.5" customHeight="1">
      <c r="A6" s="3858" t="s">
        <v>1740</v>
      </c>
      <c r="B6" s="3858"/>
      <c r="C6" s="3859">
        <f>基本情况!B35</f>
        <v>0</v>
      </c>
      <c r="D6" s="3859"/>
      <c r="E6" s="1371" t="s">
        <v>1695</v>
      </c>
    </row>
    <row r="7" spans="1:5" ht="22.5" customHeight="1">
      <c r="A7" s="3858" t="s">
        <v>6791</v>
      </c>
      <c r="B7" s="3858"/>
      <c r="C7" s="3859">
        <f>ROUND(基本情况!B57/10000,2)</f>
        <v>0</v>
      </c>
      <c r="D7" s="3859"/>
      <c r="E7" s="1371" t="s">
        <v>1695</v>
      </c>
    </row>
    <row r="8" spans="1:5" ht="22.5" customHeight="1">
      <c r="A8" s="3858" t="s">
        <v>6792</v>
      </c>
      <c r="B8" s="3858"/>
      <c r="C8" s="3859">
        <f>ROUND(基本情况!B58/10000,2)</f>
        <v>0</v>
      </c>
      <c r="D8" s="3859"/>
      <c r="E8" s="1371" t="s">
        <v>1695</v>
      </c>
    </row>
    <row r="9" spans="1:5" ht="26.25" customHeight="1">
      <c r="A9" s="3858" t="s">
        <v>1741</v>
      </c>
      <c r="B9" s="3858"/>
      <c r="C9" s="3859" t="str">
        <f>LEFT(基本情况!B41,3)</f>
        <v>0</v>
      </c>
      <c r="D9" s="3859"/>
      <c r="E9" s="1371" t="s">
        <v>1742</v>
      </c>
    </row>
    <row r="10" spans="1:5" ht="22.5" customHeight="1">
      <c r="A10" s="3858" t="s">
        <v>1743</v>
      </c>
      <c r="B10" s="3858"/>
      <c r="C10" s="3859">
        <f>基本情况!B46</f>
        <v>0</v>
      </c>
      <c r="D10" s="3859"/>
      <c r="E10" s="1371" t="s">
        <v>1695</v>
      </c>
    </row>
    <row r="11" spans="1:5" ht="30" customHeight="1">
      <c r="A11" s="3858" t="s">
        <v>1744</v>
      </c>
      <c r="B11" s="3858"/>
      <c r="C11" s="3859" t="str">
        <f>LEFT(基本情况!B42)</f>
        <v>0</v>
      </c>
      <c r="D11" s="3859"/>
      <c r="E11" s="1371" t="s">
        <v>1742</v>
      </c>
    </row>
    <row r="12" spans="1:5" ht="22.5" customHeight="1">
      <c r="A12" s="3860" t="s">
        <v>1745</v>
      </c>
      <c r="B12" s="3860"/>
      <c r="C12" s="3861"/>
      <c r="D12" s="3861"/>
      <c r="E12" s="1371" t="s">
        <v>1703</v>
      </c>
    </row>
    <row r="13" spans="1:5" ht="22.5" customHeight="1">
      <c r="A13" s="3846" t="s">
        <v>1746</v>
      </c>
      <c r="B13" s="3851"/>
      <c r="C13" s="3851"/>
      <c r="D13" s="3847"/>
      <c r="E13" s="1371"/>
    </row>
    <row r="14" spans="1:5" ht="58.5" customHeight="1">
      <c r="A14" s="3858" t="s">
        <v>1747</v>
      </c>
      <c r="B14" s="3858"/>
      <c r="C14" s="3862" t="str">
        <f>A000000企业基础信息表!B11</f>
        <v>小企业会计准则</v>
      </c>
      <c r="D14" s="3863"/>
      <c r="E14" s="1356" t="s">
        <v>1748</v>
      </c>
    </row>
    <row r="15" spans="1:5" ht="42.75" customHeight="1">
      <c r="A15" s="1372" t="s">
        <v>1749</v>
      </c>
      <c r="B15" s="1373" t="str">
        <f>[0]!本年度&amp;"-"&amp;[0]!起始月&amp;"-"&amp;[0]!起始日</f>
        <v>2016-01-01</v>
      </c>
      <c r="C15" s="1372" t="s">
        <v>1750</v>
      </c>
      <c r="D15" s="1374" t="str">
        <f>[0]!本年度&amp;"-"&amp;[0]!截止月&amp;"-"&amp;[0]!截止日</f>
        <v>2016-12-31</v>
      </c>
      <c r="E15" s="1356" t="s">
        <v>1751</v>
      </c>
    </row>
    <row r="16" spans="1:5" ht="118.5" customHeight="1">
      <c r="A16" s="3864" t="s">
        <v>1752</v>
      </c>
      <c r="B16" s="3865"/>
      <c r="C16" s="3853" t="str">
        <f>"以权责发生制为记账原则，以历史成本为计价基础。其中：记帐本位币：以"&amp;A000000企业基础信息表!B13&amp;"为记账本位币； 存货核算方法: 存货按"&amp;A000000企业基础信息表!B15&amp;"核算；固定资产及折旧核算方法：固定资产以历史成本计价、折旧采用"&amp;A000000企业基础信息表!B14&amp;"方法核算；坏帐准备计提方法及比例："&amp;A000000企业基础信息表!B16&amp;"；所得税计算方法："&amp;A000000企业基础信息表!B17&amp;"。"</f>
        <v>以权责发生制为记账原则，以历史成本为计价基础。其中：记帐本位币：以人民币为记账本位币； 存货核算方法: 存货按月末一次加权平均法核算；固定资产及折旧核算方法：固定资产以历史成本计价、折旧采用平均年限法方法核算；坏帐准备计提方法及比例：直接核销法；所得税计算方法：应付税款法。</v>
      </c>
      <c r="D16" s="3853"/>
      <c r="E16" s="1356" t="s">
        <v>1753</v>
      </c>
    </row>
    <row r="17" spans="1:5" ht="30.75" customHeight="1">
      <c r="A17" s="3866" t="s">
        <v>1754</v>
      </c>
      <c r="B17" s="3867"/>
      <c r="C17" s="3867"/>
      <c r="D17" s="3868"/>
      <c r="E17" s="1375" t="s">
        <v>1755</v>
      </c>
    </row>
    <row r="18" spans="1:5" ht="72" customHeight="1">
      <c r="A18" s="3866" t="s">
        <v>1756</v>
      </c>
      <c r="B18" s="3868"/>
      <c r="C18" s="3869"/>
      <c r="D18" s="3870"/>
      <c r="E18" s="1371" t="s">
        <v>1703</v>
      </c>
    </row>
    <row r="19" spans="1:5" ht="42.75" customHeight="1">
      <c r="A19" s="3855" t="s">
        <v>1757</v>
      </c>
      <c r="B19" s="3856"/>
      <c r="C19" s="3856"/>
      <c r="D19" s="3857"/>
      <c r="E19" s="1375" t="s">
        <v>1758</v>
      </c>
    </row>
    <row r="20" spans="1:5" ht="19.5" customHeight="1">
      <c r="A20" s="3846" t="s">
        <v>1759</v>
      </c>
      <c r="B20" s="3851"/>
      <c r="C20" s="3851"/>
      <c r="D20" s="3847"/>
      <c r="E20" s="1371"/>
    </row>
    <row r="21" spans="1:5" ht="35.25" customHeight="1">
      <c r="A21" s="1308" t="s">
        <v>829</v>
      </c>
      <c r="B21" s="1309" t="s">
        <v>830</v>
      </c>
      <c r="C21" s="1309" t="s">
        <v>831</v>
      </c>
      <c r="D21" s="1309" t="s">
        <v>832</v>
      </c>
      <c r="E21" s="1371" t="s">
        <v>833</v>
      </c>
    </row>
    <row r="22" spans="1:5" ht="69" customHeight="1">
      <c r="A22" s="1308" t="s">
        <v>820</v>
      </c>
      <c r="B22" s="1376" t="str">
        <f>基本情况!B60</f>
        <v>否</v>
      </c>
      <c r="C22" s="1376" t="str">
        <f>基本情况!C60</f>
        <v>0</v>
      </c>
      <c r="D22" s="1376">
        <f>基本情况!D60</f>
        <v>0</v>
      </c>
      <c r="E22" s="1307" t="s">
        <v>7424</v>
      </c>
    </row>
    <row r="23" spans="1:5" ht="69" customHeight="1">
      <c r="A23" s="1308" t="s">
        <v>822</v>
      </c>
      <c r="B23" s="1376" t="str">
        <f>基本情况!B61</f>
        <v>否</v>
      </c>
      <c r="C23" s="1376" t="str">
        <f>基本情况!C61</f>
        <v>0</v>
      </c>
      <c r="D23" s="1376">
        <f>基本情况!D61</f>
        <v>0</v>
      </c>
      <c r="E23" s="1371" t="s">
        <v>823</v>
      </c>
    </row>
    <row r="24" spans="1:5" ht="69" customHeight="1">
      <c r="A24" s="1308" t="s">
        <v>824</v>
      </c>
      <c r="B24" s="1376" t="str">
        <f>基本情况!B62</f>
        <v>否</v>
      </c>
      <c r="C24" s="1376" t="str">
        <f>基本情况!C62</f>
        <v>0</v>
      </c>
      <c r="D24" s="1376">
        <f>基本情况!D62</f>
        <v>0</v>
      </c>
      <c r="E24" s="1371" t="s">
        <v>825</v>
      </c>
    </row>
    <row r="25" spans="1:5" ht="69" customHeight="1">
      <c r="A25" s="1308" t="s">
        <v>826</v>
      </c>
      <c r="B25" s="1376" t="str">
        <f>基本情况!B63</f>
        <v>否</v>
      </c>
      <c r="C25" s="1376" t="str">
        <f>基本情况!C63</f>
        <v>0</v>
      </c>
      <c r="D25" s="1376">
        <f>基本情况!D63</f>
        <v>0</v>
      </c>
      <c r="E25" s="1371" t="s">
        <v>827</v>
      </c>
    </row>
    <row r="26" spans="1:5" ht="296.25" customHeight="1">
      <c r="A26" s="1308" t="s">
        <v>83</v>
      </c>
      <c r="B26" s="1376" t="str">
        <f>基本情况!B64</f>
        <v>是</v>
      </c>
      <c r="C26" s="3852" t="str">
        <f>基本情况!C64</f>
        <v>1、本报告仅供贵单位向主管税务机关办理企业所得税年度纳税申报时使用，不作其他用途。因使用不当造成的后果，与执行本审核业务的税务师事务所及其注册税务师无关。</v>
      </c>
      <c r="D26" s="3853"/>
      <c r="E26" s="1371" t="s">
        <v>828</v>
      </c>
    </row>
    <row r="27" spans="1:5" ht="10.5" customHeight="1"/>
    <row r="28" spans="1:5" ht="10.5" customHeight="1"/>
    <row r="29" spans="1:5" ht="10.5" customHeight="1"/>
    <row r="30" spans="1:5" ht="5.25" customHeight="1"/>
    <row r="31" spans="1:5" ht="17.25" customHeight="1">
      <c r="A31" s="3854" t="s">
        <v>1760</v>
      </c>
      <c r="B31" s="3854"/>
      <c r="C31" s="3854"/>
      <c r="D31" s="3854"/>
      <c r="E31" s="3854"/>
    </row>
    <row r="32" spans="1:5" ht="21" customHeight="1">
      <c r="A32" s="2801" t="s">
        <v>719</v>
      </c>
      <c r="B32" s="2801"/>
      <c r="D32" s="2801" t="s">
        <v>720</v>
      </c>
      <c r="E32" s="2801"/>
    </row>
    <row r="33" spans="1:5" ht="21" customHeight="1">
      <c r="A33" s="1378">
        <v>100</v>
      </c>
      <c r="B33" s="1379" t="s">
        <v>1761</v>
      </c>
      <c r="D33" s="1378" t="s">
        <v>721</v>
      </c>
      <c r="E33" s="1379" t="s">
        <v>1762</v>
      </c>
    </row>
    <row r="34" spans="1:5" ht="21" customHeight="1">
      <c r="A34" s="1378">
        <v>110</v>
      </c>
      <c r="B34" s="1379" t="s">
        <v>1763</v>
      </c>
      <c r="D34" s="1378" t="s">
        <v>1601</v>
      </c>
      <c r="E34" s="1379" t="s">
        <v>1764</v>
      </c>
    </row>
    <row r="35" spans="1:5" ht="21" customHeight="1">
      <c r="A35" s="1378">
        <v>120</v>
      </c>
      <c r="B35" s="1379" t="s">
        <v>1765</v>
      </c>
      <c r="D35" s="1378" t="s">
        <v>1617</v>
      </c>
      <c r="E35" s="1379" t="s">
        <v>1766</v>
      </c>
    </row>
    <row r="36" spans="1:5" ht="21" customHeight="1">
      <c r="A36" s="1378">
        <v>130</v>
      </c>
      <c r="B36" s="1379" t="s">
        <v>1767</v>
      </c>
      <c r="D36" s="1378" t="s">
        <v>722</v>
      </c>
      <c r="E36" s="1379" t="s">
        <v>1768</v>
      </c>
    </row>
    <row r="37" spans="1:5" ht="21" customHeight="1">
      <c r="A37" s="1378">
        <v>140</v>
      </c>
      <c r="B37" s="1379" t="s">
        <v>1769</v>
      </c>
      <c r="D37" s="1378" t="s">
        <v>506</v>
      </c>
      <c r="E37" s="1379" t="s">
        <v>1770</v>
      </c>
    </row>
    <row r="38" spans="1:5" ht="21" customHeight="1">
      <c r="A38" s="1378">
        <v>141</v>
      </c>
      <c r="B38" s="1379" t="s">
        <v>1771</v>
      </c>
      <c r="D38" s="1378" t="s">
        <v>723</v>
      </c>
      <c r="E38" s="1379" t="s">
        <v>1772</v>
      </c>
    </row>
    <row r="39" spans="1:5" ht="21" customHeight="1">
      <c r="A39" s="1378">
        <v>142</v>
      </c>
      <c r="B39" s="1379" t="s">
        <v>1773</v>
      </c>
      <c r="D39" s="1378" t="s">
        <v>1609</v>
      </c>
      <c r="E39" s="1379" t="s">
        <v>1774</v>
      </c>
    </row>
    <row r="40" spans="1:5" ht="21" customHeight="1">
      <c r="A40" s="1378">
        <v>143</v>
      </c>
      <c r="B40" s="1379" t="s">
        <v>1775</v>
      </c>
      <c r="D40" s="1378" t="s">
        <v>724</v>
      </c>
      <c r="E40" s="1379" t="s">
        <v>1776</v>
      </c>
    </row>
    <row r="41" spans="1:5" ht="21" customHeight="1">
      <c r="A41" s="1378">
        <v>149</v>
      </c>
      <c r="B41" s="1379" t="s">
        <v>1777</v>
      </c>
      <c r="D41" s="1378" t="s">
        <v>725</v>
      </c>
      <c r="E41" s="1379" t="s">
        <v>1778</v>
      </c>
    </row>
    <row r="42" spans="1:5" ht="21" customHeight="1">
      <c r="A42" s="1378">
        <v>150</v>
      </c>
      <c r="B42" s="1379" t="s">
        <v>1779</v>
      </c>
      <c r="D42" s="1378" t="s">
        <v>726</v>
      </c>
      <c r="E42" s="1379" t="s">
        <v>1780</v>
      </c>
    </row>
    <row r="43" spans="1:5" ht="21" customHeight="1">
      <c r="A43" s="1378">
        <v>151</v>
      </c>
      <c r="B43" s="1379" t="s">
        <v>1781</v>
      </c>
      <c r="D43" s="1378" t="s">
        <v>727</v>
      </c>
      <c r="E43" s="1379" t="s">
        <v>1782</v>
      </c>
    </row>
    <row r="44" spans="1:5" ht="21" customHeight="1">
      <c r="A44" s="1378">
        <v>159</v>
      </c>
      <c r="B44" s="1379" t="s">
        <v>1656</v>
      </c>
      <c r="D44" s="1378" t="s">
        <v>728</v>
      </c>
      <c r="E44" s="1379" t="s">
        <v>1655</v>
      </c>
    </row>
    <row r="45" spans="1:5" ht="21" customHeight="1">
      <c r="A45" s="1378">
        <v>160</v>
      </c>
      <c r="B45" s="1379" t="s">
        <v>1783</v>
      </c>
      <c r="D45" s="1378" t="s">
        <v>729</v>
      </c>
      <c r="E45" s="1379" t="s">
        <v>1784</v>
      </c>
    </row>
    <row r="46" spans="1:5" ht="21" customHeight="1">
      <c r="A46" s="1378">
        <v>170</v>
      </c>
      <c r="B46" s="1379" t="s">
        <v>1785</v>
      </c>
      <c r="D46" s="1378" t="s">
        <v>730</v>
      </c>
      <c r="E46" s="1379" t="s">
        <v>1786</v>
      </c>
    </row>
    <row r="47" spans="1:5" ht="21" customHeight="1">
      <c r="A47" s="1378">
        <v>171</v>
      </c>
      <c r="B47" s="1379" t="s">
        <v>1787</v>
      </c>
      <c r="D47" s="1378" t="s">
        <v>731</v>
      </c>
      <c r="E47" s="1379" t="s">
        <v>1788</v>
      </c>
    </row>
    <row r="48" spans="1:5" ht="21" customHeight="1">
      <c r="A48" s="1378">
        <v>172</v>
      </c>
      <c r="B48" s="1379" t="s">
        <v>1789</v>
      </c>
      <c r="D48" s="1378" t="s">
        <v>732</v>
      </c>
      <c r="E48" s="1379" t="s">
        <v>1790</v>
      </c>
    </row>
    <row r="49" spans="1:5" ht="21" customHeight="1">
      <c r="A49" s="1378">
        <v>173</v>
      </c>
      <c r="B49" s="1379" t="s">
        <v>1791</v>
      </c>
      <c r="D49" s="1378" t="s">
        <v>733</v>
      </c>
      <c r="E49" s="1379" t="s">
        <v>1792</v>
      </c>
    </row>
    <row r="50" spans="1:5" ht="21" customHeight="1">
      <c r="A50" s="1378">
        <v>174</v>
      </c>
      <c r="B50" s="1379" t="s">
        <v>1793</v>
      </c>
      <c r="D50" s="1378" t="s">
        <v>734</v>
      </c>
      <c r="E50" s="1379" t="s">
        <v>1794</v>
      </c>
    </row>
    <row r="51" spans="1:5" ht="21" customHeight="1">
      <c r="A51" s="1378">
        <v>175</v>
      </c>
      <c r="B51" s="1379" t="s">
        <v>1795</v>
      </c>
      <c r="D51" s="1378" t="s">
        <v>1613</v>
      </c>
      <c r="E51" s="1379" t="s">
        <v>1796</v>
      </c>
    </row>
    <row r="52" spans="1:5" ht="21" customHeight="1">
      <c r="A52" s="1378">
        <v>190</v>
      </c>
      <c r="B52" s="1379" t="s">
        <v>1797</v>
      </c>
      <c r="D52" s="1378" t="s">
        <v>1605</v>
      </c>
      <c r="E52" s="1379" t="s">
        <v>1798</v>
      </c>
    </row>
    <row r="53" spans="1:5" ht="21" customHeight="1">
      <c r="A53" s="1378">
        <v>200</v>
      </c>
      <c r="B53" s="1379" t="s">
        <v>1799</v>
      </c>
    </row>
    <row r="54" spans="1:5" ht="21" customHeight="1">
      <c r="A54" s="1378">
        <v>210</v>
      </c>
      <c r="B54" s="1379" t="s">
        <v>1800</v>
      </c>
    </row>
    <row r="55" spans="1:5" ht="21" customHeight="1">
      <c r="A55" s="1378">
        <v>220</v>
      </c>
      <c r="B55" s="1379" t="s">
        <v>1801</v>
      </c>
    </row>
    <row r="56" spans="1:5" ht="21" customHeight="1">
      <c r="A56" s="1378">
        <v>230</v>
      </c>
      <c r="B56" s="1379" t="s">
        <v>1802</v>
      </c>
    </row>
    <row r="57" spans="1:5" ht="21" customHeight="1">
      <c r="A57" s="1378">
        <v>240</v>
      </c>
      <c r="B57" s="1379" t="s">
        <v>1803</v>
      </c>
    </row>
    <row r="58" spans="1:5" ht="21" customHeight="1">
      <c r="A58" s="1378">
        <v>250</v>
      </c>
      <c r="B58" s="1379" t="s">
        <v>1804</v>
      </c>
    </row>
    <row r="59" spans="1:5" ht="21" customHeight="1">
      <c r="A59" s="1378">
        <v>251</v>
      </c>
      <c r="B59" s="1379" t="s">
        <v>1805</v>
      </c>
    </row>
    <row r="60" spans="1:5" ht="21" customHeight="1">
      <c r="A60" s="1378">
        <v>252</v>
      </c>
      <c r="B60" s="1379" t="s">
        <v>1806</v>
      </c>
    </row>
    <row r="61" spans="1:5" ht="21" customHeight="1">
      <c r="A61" s="1378">
        <v>253</v>
      </c>
      <c r="B61" s="1379" t="s">
        <v>1807</v>
      </c>
    </row>
    <row r="62" spans="1:5" ht="21" customHeight="1">
      <c r="A62" s="1378">
        <v>254</v>
      </c>
      <c r="B62" s="1379" t="s">
        <v>1808</v>
      </c>
    </row>
    <row r="63" spans="1:5" ht="21" customHeight="1">
      <c r="A63" s="1378">
        <v>259</v>
      </c>
      <c r="B63" s="1379" t="s">
        <v>1809</v>
      </c>
    </row>
    <row r="64" spans="1:5" ht="21" customHeight="1">
      <c r="A64" s="1378">
        <v>300</v>
      </c>
      <c r="B64" s="1379" t="s">
        <v>1810</v>
      </c>
    </row>
    <row r="65" spans="1:2" ht="21" customHeight="1">
      <c r="A65" s="1378">
        <v>310</v>
      </c>
      <c r="B65" s="1379" t="s">
        <v>1811</v>
      </c>
    </row>
    <row r="66" spans="1:2" ht="21" customHeight="1">
      <c r="A66" s="1378">
        <v>320</v>
      </c>
      <c r="B66" s="1379" t="s">
        <v>1812</v>
      </c>
    </row>
    <row r="67" spans="1:2" ht="21" customHeight="1">
      <c r="A67" s="1378">
        <v>330</v>
      </c>
      <c r="B67" s="1379" t="s">
        <v>1813</v>
      </c>
    </row>
    <row r="68" spans="1:2" ht="21" customHeight="1">
      <c r="A68" s="1378">
        <v>340</v>
      </c>
      <c r="B68" s="1379" t="s">
        <v>1814</v>
      </c>
    </row>
    <row r="69" spans="1:2" ht="21" customHeight="1">
      <c r="A69" s="1378">
        <v>350</v>
      </c>
      <c r="B69" s="1379" t="s">
        <v>1815</v>
      </c>
    </row>
    <row r="70" spans="1:2" ht="21" customHeight="1">
      <c r="A70" s="1378">
        <v>351</v>
      </c>
      <c r="B70" s="1379" t="s">
        <v>1816</v>
      </c>
    </row>
    <row r="71" spans="1:2" ht="21" customHeight="1">
      <c r="A71" s="1378">
        <v>352</v>
      </c>
      <c r="B71" s="1379" t="s">
        <v>1817</v>
      </c>
    </row>
    <row r="72" spans="1:2" ht="21" customHeight="1">
      <c r="A72" s="1378">
        <v>353</v>
      </c>
      <c r="B72" s="1379" t="s">
        <v>1818</v>
      </c>
    </row>
    <row r="73" spans="1:2" ht="21" customHeight="1">
      <c r="A73" s="1378">
        <v>354</v>
      </c>
      <c r="B73" s="1379" t="s">
        <v>1819</v>
      </c>
    </row>
    <row r="74" spans="1:2" ht="21" customHeight="1">
      <c r="A74" s="1378">
        <v>359</v>
      </c>
      <c r="B74" s="1379" t="s">
        <v>1820</v>
      </c>
    </row>
    <row r="75" spans="1:2" ht="21" customHeight="1">
      <c r="A75" s="1378">
        <v>400</v>
      </c>
      <c r="B75" s="1379" t="s">
        <v>1821</v>
      </c>
    </row>
    <row r="76" spans="1:2" ht="21" customHeight="1">
      <c r="A76" s="1378">
        <v>410</v>
      </c>
      <c r="B76" s="1379" t="s">
        <v>1822</v>
      </c>
    </row>
    <row r="77" spans="1:2" ht="21" customHeight="1">
      <c r="A77" s="1378">
        <v>411</v>
      </c>
      <c r="B77" s="1379" t="s">
        <v>1823</v>
      </c>
    </row>
    <row r="78" spans="1:2" ht="21" customHeight="1">
      <c r="A78" s="1378">
        <v>412</v>
      </c>
      <c r="B78" s="1379" t="s">
        <v>1824</v>
      </c>
    </row>
    <row r="79" spans="1:2" ht="21" customHeight="1">
      <c r="A79" s="1378">
        <v>413</v>
      </c>
      <c r="B79" s="1379" t="s">
        <v>1825</v>
      </c>
    </row>
    <row r="80" spans="1:2" ht="21" customHeight="1">
      <c r="A80" s="1378">
        <v>420</v>
      </c>
      <c r="B80" s="1379" t="s">
        <v>1826</v>
      </c>
    </row>
    <row r="81" spans="1:2" ht="21" customHeight="1">
      <c r="A81" s="1378">
        <v>421</v>
      </c>
      <c r="B81" s="1379" t="s">
        <v>1827</v>
      </c>
    </row>
    <row r="82" spans="1:2" ht="21" customHeight="1">
      <c r="A82" s="1378">
        <v>422</v>
      </c>
      <c r="B82" s="1379" t="s">
        <v>1828</v>
      </c>
    </row>
    <row r="83" spans="1:2" ht="21" customHeight="1">
      <c r="A83" s="1378">
        <v>423</v>
      </c>
      <c r="B83" s="1379" t="s">
        <v>1829</v>
      </c>
    </row>
    <row r="84" spans="1:2" ht="21" customHeight="1">
      <c r="A84" s="1378">
        <v>430</v>
      </c>
      <c r="B84" s="1379" t="s">
        <v>1484</v>
      </c>
    </row>
    <row r="85" spans="1:2" ht="21" customHeight="1">
      <c r="A85" s="1378">
        <v>431</v>
      </c>
      <c r="B85" s="1379" t="s">
        <v>1830</v>
      </c>
    </row>
    <row r="86" spans="1:2" ht="21" customHeight="1">
      <c r="A86" s="1378">
        <v>432</v>
      </c>
      <c r="B86" s="1379" t="s">
        <v>1831</v>
      </c>
    </row>
    <row r="87" spans="1:2" ht="21" customHeight="1">
      <c r="A87" s="1378">
        <v>433</v>
      </c>
      <c r="B87" s="1379" t="s">
        <v>1832</v>
      </c>
    </row>
    <row r="88" spans="1:2" ht="21" customHeight="1">
      <c r="A88" s="1378">
        <v>500</v>
      </c>
      <c r="B88" s="1379" t="s">
        <v>1833</v>
      </c>
    </row>
    <row r="89" spans="1:2" ht="21" customHeight="1">
      <c r="A89" s="1378">
        <v>510</v>
      </c>
      <c r="B89" s="1379" t="s">
        <v>1834</v>
      </c>
    </row>
    <row r="90" spans="1:2" ht="21" customHeight="1">
      <c r="A90" s="1378">
        <v>520</v>
      </c>
      <c r="B90" s="1379" t="s">
        <v>1835</v>
      </c>
    </row>
    <row r="91" spans="1:2" ht="21" customHeight="1">
      <c r="A91" s="1378">
        <v>521</v>
      </c>
      <c r="B91" s="1379" t="s">
        <v>1836</v>
      </c>
    </row>
    <row r="92" spans="1:2" ht="21" customHeight="1">
      <c r="A92" s="1378">
        <v>522</v>
      </c>
      <c r="B92" s="1379" t="s">
        <v>1837</v>
      </c>
    </row>
    <row r="93" spans="1:2" ht="21" customHeight="1">
      <c r="A93" s="1378">
        <v>523</v>
      </c>
      <c r="B93" s="1379" t="s">
        <v>1838</v>
      </c>
    </row>
    <row r="94" spans="1:2" ht="21" customHeight="1">
      <c r="A94" s="1378">
        <v>530</v>
      </c>
      <c r="B94" s="1379" t="s">
        <v>1839</v>
      </c>
    </row>
    <row r="95" spans="1:2" ht="21" customHeight="1">
      <c r="A95" s="1378">
        <v>540</v>
      </c>
      <c r="B95" s="1379" t="s">
        <v>1840</v>
      </c>
    </row>
    <row r="96" spans="1:2" ht="21" customHeight="1">
      <c r="A96" s="1378">
        <v>550</v>
      </c>
      <c r="B96" s="1379" t="s">
        <v>1841</v>
      </c>
    </row>
    <row r="97" spans="1:2" ht="21" customHeight="1">
      <c r="A97" s="1378">
        <v>560</v>
      </c>
      <c r="B97" s="1379" t="s">
        <v>1842</v>
      </c>
    </row>
  </sheetData>
  <mergeCells count="36">
    <mergeCell ref="A1:E1"/>
    <mergeCell ref="A2:D2"/>
    <mergeCell ref="A3:B3"/>
    <mergeCell ref="C3:D3"/>
    <mergeCell ref="A4:B4"/>
    <mergeCell ref="C4:D4"/>
    <mergeCell ref="A5:B5"/>
    <mergeCell ref="C5:D5"/>
    <mergeCell ref="A6:B6"/>
    <mergeCell ref="C6:D6"/>
    <mergeCell ref="A7:B7"/>
    <mergeCell ref="C7:D7"/>
    <mergeCell ref="A8:B8"/>
    <mergeCell ref="C8:D8"/>
    <mergeCell ref="A9:B9"/>
    <mergeCell ref="C9:D9"/>
    <mergeCell ref="A10:B10"/>
    <mergeCell ref="C10:D10"/>
    <mergeCell ref="A19:D19"/>
    <mergeCell ref="A11:B11"/>
    <mergeCell ref="C11:D11"/>
    <mergeCell ref="A12:B12"/>
    <mergeCell ref="C12:D12"/>
    <mergeCell ref="A13:D13"/>
    <mergeCell ref="A14:B14"/>
    <mergeCell ref="C14:D14"/>
    <mergeCell ref="A16:B16"/>
    <mergeCell ref="C16:D16"/>
    <mergeCell ref="A17:D17"/>
    <mergeCell ref="A18:B18"/>
    <mergeCell ref="C18:D18"/>
    <mergeCell ref="A20:D20"/>
    <mergeCell ref="C26:D26"/>
    <mergeCell ref="A31:E31"/>
    <mergeCell ref="A32:B32"/>
    <mergeCell ref="D32:E32"/>
  </mergeCells>
  <phoneticPr fontId="51" type="noConversion"/>
  <pageMargins left="0.78740157480314998" right="0.35433070866141703" top="0.511811023622047" bottom="0.11811023622047198" header="0.511811023622047" footer="0.511811023622047"/>
  <pageSetup paperSize="9" orientation="portrait" r:id="rId1"/>
</worksheet>
</file>

<file path=xl/worksheets/sheet1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93"/>
  <dimension ref="A1:H25"/>
  <sheetViews>
    <sheetView workbookViewId="0">
      <selection activeCell="C10" sqref="C10"/>
    </sheetView>
  </sheetViews>
  <sheetFormatPr defaultRowHeight="27.75" customHeight="1"/>
  <cols>
    <col min="1" max="2" width="25.5" style="1390" customWidth="1"/>
    <col min="3" max="3" width="25.5" style="1391" customWidth="1"/>
    <col min="4" max="4" width="25.5" style="1390" customWidth="1"/>
    <col min="5" max="256" width="9" style="1381"/>
    <col min="257" max="260" width="25.5" style="1381" customWidth="1"/>
    <col min="261" max="512" width="9" style="1381"/>
    <col min="513" max="516" width="25.5" style="1381" customWidth="1"/>
    <col min="517" max="768" width="9" style="1381"/>
    <col min="769" max="772" width="25.5" style="1381" customWidth="1"/>
    <col min="773" max="1024" width="9" style="1381"/>
    <col min="1025" max="1028" width="25.5" style="1381" customWidth="1"/>
    <col min="1029" max="1280" width="9" style="1381"/>
    <col min="1281" max="1284" width="25.5" style="1381" customWidth="1"/>
    <col min="1285" max="1536" width="9" style="1381"/>
    <col min="1537" max="1540" width="25.5" style="1381" customWidth="1"/>
    <col min="1541" max="1792" width="9" style="1381"/>
    <col min="1793" max="1796" width="25.5" style="1381" customWidth="1"/>
    <col min="1797" max="2048" width="9" style="1381"/>
    <col min="2049" max="2052" width="25.5" style="1381" customWidth="1"/>
    <col min="2053" max="2304" width="9" style="1381"/>
    <col min="2305" max="2308" width="25.5" style="1381" customWidth="1"/>
    <col min="2309" max="2560" width="9" style="1381"/>
    <col min="2561" max="2564" width="25.5" style="1381" customWidth="1"/>
    <col min="2565" max="2816" width="9" style="1381"/>
    <col min="2817" max="2820" width="25.5" style="1381" customWidth="1"/>
    <col min="2821" max="3072" width="9" style="1381"/>
    <col min="3073" max="3076" width="25.5" style="1381" customWidth="1"/>
    <col min="3077" max="3328" width="9" style="1381"/>
    <col min="3329" max="3332" width="25.5" style="1381" customWidth="1"/>
    <col min="3333" max="3584" width="9" style="1381"/>
    <col min="3585" max="3588" width="25.5" style="1381" customWidth="1"/>
    <col min="3589" max="3840" width="9" style="1381"/>
    <col min="3841" max="3844" width="25.5" style="1381" customWidth="1"/>
    <col min="3845" max="4096" width="9" style="1381"/>
    <col min="4097" max="4100" width="25.5" style="1381" customWidth="1"/>
    <col min="4101" max="4352" width="9" style="1381"/>
    <col min="4353" max="4356" width="25.5" style="1381" customWidth="1"/>
    <col min="4357" max="4608" width="9" style="1381"/>
    <col min="4609" max="4612" width="25.5" style="1381" customWidth="1"/>
    <col min="4613" max="4864" width="9" style="1381"/>
    <col min="4865" max="4868" width="25.5" style="1381" customWidth="1"/>
    <col min="4869" max="5120" width="9" style="1381"/>
    <col min="5121" max="5124" width="25.5" style="1381" customWidth="1"/>
    <col min="5125" max="5376" width="9" style="1381"/>
    <col min="5377" max="5380" width="25.5" style="1381" customWidth="1"/>
    <col min="5381" max="5632" width="9" style="1381"/>
    <col min="5633" max="5636" width="25.5" style="1381" customWidth="1"/>
    <col min="5637" max="5888" width="9" style="1381"/>
    <col min="5889" max="5892" width="25.5" style="1381" customWidth="1"/>
    <col min="5893" max="6144" width="9" style="1381"/>
    <col min="6145" max="6148" width="25.5" style="1381" customWidth="1"/>
    <col min="6149" max="6400" width="9" style="1381"/>
    <col min="6401" max="6404" width="25.5" style="1381" customWidth="1"/>
    <col min="6405" max="6656" width="9" style="1381"/>
    <col min="6657" max="6660" width="25.5" style="1381" customWidth="1"/>
    <col min="6661" max="6912" width="9" style="1381"/>
    <col min="6913" max="6916" width="25.5" style="1381" customWidth="1"/>
    <col min="6917" max="7168" width="9" style="1381"/>
    <col min="7169" max="7172" width="25.5" style="1381" customWidth="1"/>
    <col min="7173" max="7424" width="9" style="1381"/>
    <col min="7425" max="7428" width="25.5" style="1381" customWidth="1"/>
    <col min="7429" max="7680" width="9" style="1381"/>
    <col min="7681" max="7684" width="25.5" style="1381" customWidth="1"/>
    <col min="7685" max="7936" width="9" style="1381"/>
    <col min="7937" max="7940" width="25.5" style="1381" customWidth="1"/>
    <col min="7941" max="8192" width="9" style="1381"/>
    <col min="8193" max="8196" width="25.5" style="1381" customWidth="1"/>
    <col min="8197" max="8448" width="9" style="1381"/>
    <col min="8449" max="8452" width="25.5" style="1381" customWidth="1"/>
    <col min="8453" max="8704" width="9" style="1381"/>
    <col min="8705" max="8708" width="25.5" style="1381" customWidth="1"/>
    <col min="8709" max="8960" width="9" style="1381"/>
    <col min="8961" max="8964" width="25.5" style="1381" customWidth="1"/>
    <col min="8965" max="9216" width="9" style="1381"/>
    <col min="9217" max="9220" width="25.5" style="1381" customWidth="1"/>
    <col min="9221" max="9472" width="9" style="1381"/>
    <col min="9473" max="9476" width="25.5" style="1381" customWidth="1"/>
    <col min="9477" max="9728" width="9" style="1381"/>
    <col min="9729" max="9732" width="25.5" style="1381" customWidth="1"/>
    <col min="9733" max="9984" width="9" style="1381"/>
    <col min="9985" max="9988" width="25.5" style="1381" customWidth="1"/>
    <col min="9989" max="10240" width="9" style="1381"/>
    <col min="10241" max="10244" width="25.5" style="1381" customWidth="1"/>
    <col min="10245" max="10496" width="9" style="1381"/>
    <col min="10497" max="10500" width="25.5" style="1381" customWidth="1"/>
    <col min="10501" max="10752" width="9" style="1381"/>
    <col min="10753" max="10756" width="25.5" style="1381" customWidth="1"/>
    <col min="10757" max="11008" width="9" style="1381"/>
    <col min="11009" max="11012" width="25.5" style="1381" customWidth="1"/>
    <col min="11013" max="11264" width="9" style="1381"/>
    <col min="11265" max="11268" width="25.5" style="1381" customWidth="1"/>
    <col min="11269" max="11520" width="9" style="1381"/>
    <col min="11521" max="11524" width="25.5" style="1381" customWidth="1"/>
    <col min="11525" max="11776" width="9" style="1381"/>
    <col min="11777" max="11780" width="25.5" style="1381" customWidth="1"/>
    <col min="11781" max="12032" width="9" style="1381"/>
    <col min="12033" max="12036" width="25.5" style="1381" customWidth="1"/>
    <col min="12037" max="12288" width="9" style="1381"/>
    <col min="12289" max="12292" width="25.5" style="1381" customWidth="1"/>
    <col min="12293" max="12544" width="9" style="1381"/>
    <col min="12545" max="12548" width="25.5" style="1381" customWidth="1"/>
    <col min="12549" max="12800" width="9" style="1381"/>
    <col min="12801" max="12804" width="25.5" style="1381" customWidth="1"/>
    <col min="12805" max="13056" width="9" style="1381"/>
    <col min="13057" max="13060" width="25.5" style="1381" customWidth="1"/>
    <col min="13061" max="13312" width="9" style="1381"/>
    <col min="13313" max="13316" width="25.5" style="1381" customWidth="1"/>
    <col min="13317" max="13568" width="9" style="1381"/>
    <col min="13569" max="13572" width="25.5" style="1381" customWidth="1"/>
    <col min="13573" max="13824" width="9" style="1381"/>
    <col min="13825" max="13828" width="25.5" style="1381" customWidth="1"/>
    <col min="13829" max="14080" width="9" style="1381"/>
    <col min="14081" max="14084" width="25.5" style="1381" customWidth="1"/>
    <col min="14085" max="14336" width="9" style="1381"/>
    <col min="14337" max="14340" width="25.5" style="1381" customWidth="1"/>
    <col min="14341" max="14592" width="9" style="1381"/>
    <col min="14593" max="14596" width="25.5" style="1381" customWidth="1"/>
    <col min="14597" max="14848" width="9" style="1381"/>
    <col min="14849" max="14852" width="25.5" style="1381" customWidth="1"/>
    <col min="14853" max="15104" width="9" style="1381"/>
    <col min="15105" max="15108" width="25.5" style="1381" customWidth="1"/>
    <col min="15109" max="15360" width="9" style="1381"/>
    <col min="15361" max="15364" width="25.5" style="1381" customWidth="1"/>
    <col min="15365" max="15616" width="9" style="1381"/>
    <col min="15617" max="15620" width="25.5" style="1381" customWidth="1"/>
    <col min="15621" max="15872" width="9" style="1381"/>
    <col min="15873" max="15876" width="25.5" style="1381" customWidth="1"/>
    <col min="15877" max="16128" width="9" style="1381"/>
    <col min="16129" max="16132" width="25.5" style="1381" customWidth="1"/>
    <col min="16133" max="16384" width="9" style="1381"/>
  </cols>
  <sheetData>
    <row r="1" spans="1:5" s="1370" customFormat="1" ht="25.5" customHeight="1">
      <c r="A1" s="3872" t="s">
        <v>1843</v>
      </c>
      <c r="B1" s="3872"/>
      <c r="C1" s="3872"/>
      <c r="D1" s="3872"/>
      <c r="E1" s="1380"/>
    </row>
    <row r="2" spans="1:5" ht="23.25" customHeight="1">
      <c r="A2" s="3873" t="s">
        <v>1844</v>
      </c>
      <c r="B2" s="3874"/>
      <c r="C2" s="3874"/>
      <c r="D2" s="3874"/>
    </row>
    <row r="3" spans="1:5" ht="23.25" customHeight="1">
      <c r="A3" s="3874"/>
      <c r="B3" s="3874"/>
      <c r="C3" s="3874"/>
      <c r="D3" s="3874"/>
    </row>
    <row r="4" spans="1:5" ht="23.25" customHeight="1">
      <c r="A4" s="3874"/>
      <c r="B4" s="3874"/>
      <c r="C4" s="3874"/>
      <c r="D4" s="3874"/>
    </row>
    <row r="5" spans="1:5" ht="23.25" customHeight="1">
      <c r="A5" s="3874"/>
      <c r="B5" s="3874"/>
      <c r="C5" s="3874"/>
      <c r="D5" s="3874"/>
    </row>
    <row r="6" spans="1:5" ht="23.25" customHeight="1">
      <c r="A6" s="3874"/>
      <c r="B6" s="3874"/>
      <c r="C6" s="3874"/>
      <c r="D6" s="3874"/>
    </row>
    <row r="7" spans="1:5" ht="27.75" customHeight="1">
      <c r="A7" s="3875" t="s">
        <v>1845</v>
      </c>
      <c r="B7" s="3875"/>
      <c r="C7" s="3875"/>
      <c r="D7" s="3875"/>
    </row>
    <row r="8" spans="1:5" ht="27.75" customHeight="1">
      <c r="A8" s="1382" t="s">
        <v>1846</v>
      </c>
      <c r="B8" s="1382" t="s">
        <v>557</v>
      </c>
      <c r="C8" s="1383" t="s">
        <v>1847</v>
      </c>
      <c r="D8" s="1384" t="s">
        <v>1070</v>
      </c>
    </row>
    <row r="9" spans="1:5" ht="27.75" customHeight="1">
      <c r="A9" s="1385"/>
      <c r="B9" s="1385"/>
      <c r="C9" s="1386"/>
      <c r="D9" s="1385"/>
    </row>
    <row r="10" spans="1:5" ht="27.75" customHeight="1">
      <c r="A10" s="1385"/>
      <c r="B10" s="1385"/>
      <c r="C10" s="1386"/>
      <c r="D10" s="1385"/>
    </row>
    <row r="11" spans="1:5" ht="27.75" customHeight="1">
      <c r="A11" s="1385"/>
      <c r="B11" s="1385"/>
      <c r="C11" s="1386"/>
      <c r="D11" s="1385"/>
    </row>
    <row r="12" spans="1:5" ht="27.75" customHeight="1">
      <c r="A12" s="1385"/>
      <c r="B12" s="1385"/>
      <c r="C12" s="1386"/>
      <c r="D12" s="1385"/>
    </row>
    <row r="13" spans="1:5" ht="27.75" customHeight="1">
      <c r="A13" s="1385"/>
      <c r="B13" s="1385"/>
      <c r="C13" s="1386"/>
      <c r="D13" s="1385"/>
    </row>
    <row r="14" spans="1:5" ht="27.75" customHeight="1">
      <c r="A14" s="1385"/>
      <c r="B14" s="1385"/>
      <c r="C14" s="1386"/>
      <c r="D14" s="1385"/>
    </row>
    <row r="15" spans="1:5" ht="27.75" customHeight="1">
      <c r="A15" s="1385"/>
      <c r="B15" s="1385"/>
      <c r="C15" s="1386"/>
      <c r="D15" s="1385"/>
    </row>
    <row r="16" spans="1:5" ht="27.75" customHeight="1">
      <c r="A16" s="1385"/>
      <c r="B16" s="1385"/>
      <c r="C16" s="1386"/>
      <c r="D16" s="1385"/>
    </row>
    <row r="17" spans="1:8" ht="27.75" customHeight="1">
      <c r="A17" s="1385"/>
      <c r="B17" s="1385"/>
      <c r="C17" s="1386"/>
      <c r="D17" s="1385"/>
    </row>
    <row r="18" spans="1:8" ht="27.75" customHeight="1">
      <c r="A18" s="1385"/>
      <c r="B18" s="1385"/>
      <c r="C18" s="1386"/>
      <c r="D18" s="1385"/>
    </row>
    <row r="19" spans="1:8" ht="27.75" customHeight="1">
      <c r="A19" s="1385"/>
      <c r="B19" s="1385"/>
      <c r="C19" s="1386"/>
      <c r="D19" s="1385"/>
    </row>
    <row r="20" spans="1:8" ht="27.75" customHeight="1">
      <c r="A20" s="1387"/>
      <c r="B20" s="1387"/>
      <c r="C20" s="1388"/>
      <c r="D20" s="1387"/>
    </row>
    <row r="21" spans="1:8" ht="27.75" customHeight="1">
      <c r="A21" s="1387"/>
      <c r="B21" s="1387"/>
      <c r="C21" s="1388"/>
      <c r="D21" s="1387"/>
      <c r="E21" s="1389"/>
      <c r="F21" s="1389"/>
      <c r="G21" s="1389"/>
      <c r="H21" s="1389"/>
    </row>
    <row r="22" spans="1:8" ht="27.75" customHeight="1">
      <c r="A22" s="1387"/>
      <c r="B22" s="1387"/>
      <c r="C22" s="1388"/>
      <c r="D22" s="1387"/>
      <c r="E22" s="1389"/>
      <c r="F22" s="1389"/>
      <c r="G22" s="1389"/>
      <c r="H22" s="1389"/>
    </row>
    <row r="23" spans="1:8" ht="27.75" customHeight="1">
      <c r="A23" s="1387"/>
      <c r="B23" s="1387"/>
      <c r="C23" s="1388"/>
      <c r="D23" s="1387"/>
      <c r="E23" s="1389"/>
      <c r="F23" s="1389"/>
      <c r="G23" s="1389"/>
      <c r="H23" s="1389"/>
    </row>
    <row r="24" spans="1:8" ht="27.75" customHeight="1">
      <c r="A24" s="1387"/>
      <c r="B24" s="1387"/>
      <c r="C24" s="1388"/>
      <c r="D24" s="1387"/>
    </row>
    <row r="25" spans="1:8" ht="27.75" customHeight="1">
      <c r="A25" s="1387"/>
      <c r="B25" s="1387"/>
      <c r="C25" s="1388"/>
      <c r="D25" s="1387"/>
    </row>
  </sheetData>
  <mergeCells count="3">
    <mergeCell ref="A1:D1"/>
    <mergeCell ref="A2:D6"/>
    <mergeCell ref="A7:D7"/>
  </mergeCells>
  <phoneticPr fontId="51" type="noConversion"/>
  <pageMargins left="0.78740157480314998" right="0.35433070866141703" top="0.511811023622047" bottom="0.11811023622047198" header="0.511811023622047" footer="0.511811023622047"/>
  <pageSetup paperSize="9" orientation="portrait" r:id="rId1"/>
</worksheet>
</file>

<file path=xl/worksheets/sheet1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94">
    <tabColor rgb="FFFF0000"/>
  </sheetPr>
  <dimension ref="A1:E23"/>
  <sheetViews>
    <sheetView workbookViewId="0">
      <selection activeCell="C11" sqref="C11"/>
    </sheetView>
  </sheetViews>
  <sheetFormatPr defaultRowHeight="27.75" customHeight="1"/>
  <cols>
    <col min="1" max="1" width="25.5" style="1396" customWidth="1"/>
    <col min="2" max="4" width="19.69921875" style="1397" customWidth="1"/>
    <col min="5" max="5" width="19.69921875" style="1390" customWidth="1"/>
    <col min="6" max="256" width="9" style="1381"/>
    <col min="257" max="257" width="25.5" style="1381" customWidth="1"/>
    <col min="258" max="261" width="19.69921875" style="1381" customWidth="1"/>
    <col min="262" max="512" width="9" style="1381"/>
    <col min="513" max="513" width="25.5" style="1381" customWidth="1"/>
    <col min="514" max="517" width="19.69921875" style="1381" customWidth="1"/>
    <col min="518" max="768" width="9" style="1381"/>
    <col min="769" max="769" width="25.5" style="1381" customWidth="1"/>
    <col min="770" max="773" width="19.69921875" style="1381" customWidth="1"/>
    <col min="774" max="1024" width="9" style="1381"/>
    <col min="1025" max="1025" width="25.5" style="1381" customWidth="1"/>
    <col min="1026" max="1029" width="19.69921875" style="1381" customWidth="1"/>
    <col min="1030" max="1280" width="9" style="1381"/>
    <col min="1281" max="1281" width="25.5" style="1381" customWidth="1"/>
    <col min="1282" max="1285" width="19.69921875" style="1381" customWidth="1"/>
    <col min="1286" max="1536" width="9" style="1381"/>
    <col min="1537" max="1537" width="25.5" style="1381" customWidth="1"/>
    <col min="1538" max="1541" width="19.69921875" style="1381" customWidth="1"/>
    <col min="1542" max="1792" width="9" style="1381"/>
    <col min="1793" max="1793" width="25.5" style="1381" customWidth="1"/>
    <col min="1794" max="1797" width="19.69921875" style="1381" customWidth="1"/>
    <col min="1798" max="2048" width="9" style="1381"/>
    <col min="2049" max="2049" width="25.5" style="1381" customWidth="1"/>
    <col min="2050" max="2053" width="19.69921875" style="1381" customWidth="1"/>
    <col min="2054" max="2304" width="9" style="1381"/>
    <col min="2305" max="2305" width="25.5" style="1381" customWidth="1"/>
    <col min="2306" max="2309" width="19.69921875" style="1381" customWidth="1"/>
    <col min="2310" max="2560" width="9" style="1381"/>
    <col min="2561" max="2561" width="25.5" style="1381" customWidth="1"/>
    <col min="2562" max="2565" width="19.69921875" style="1381" customWidth="1"/>
    <col min="2566" max="2816" width="9" style="1381"/>
    <col min="2817" max="2817" width="25.5" style="1381" customWidth="1"/>
    <col min="2818" max="2821" width="19.69921875" style="1381" customWidth="1"/>
    <col min="2822" max="3072" width="9" style="1381"/>
    <col min="3073" max="3073" width="25.5" style="1381" customWidth="1"/>
    <col min="3074" max="3077" width="19.69921875" style="1381" customWidth="1"/>
    <col min="3078" max="3328" width="9" style="1381"/>
    <col min="3329" max="3329" width="25.5" style="1381" customWidth="1"/>
    <col min="3330" max="3333" width="19.69921875" style="1381" customWidth="1"/>
    <col min="3334" max="3584" width="9" style="1381"/>
    <col min="3585" max="3585" width="25.5" style="1381" customWidth="1"/>
    <col min="3586" max="3589" width="19.69921875" style="1381" customWidth="1"/>
    <col min="3590" max="3840" width="9" style="1381"/>
    <col min="3841" max="3841" width="25.5" style="1381" customWidth="1"/>
    <col min="3842" max="3845" width="19.69921875" style="1381" customWidth="1"/>
    <col min="3846" max="4096" width="9" style="1381"/>
    <col min="4097" max="4097" width="25.5" style="1381" customWidth="1"/>
    <col min="4098" max="4101" width="19.69921875" style="1381" customWidth="1"/>
    <col min="4102" max="4352" width="9" style="1381"/>
    <col min="4353" max="4353" width="25.5" style="1381" customWidth="1"/>
    <col min="4354" max="4357" width="19.69921875" style="1381" customWidth="1"/>
    <col min="4358" max="4608" width="9" style="1381"/>
    <col min="4609" max="4609" width="25.5" style="1381" customWidth="1"/>
    <col min="4610" max="4613" width="19.69921875" style="1381" customWidth="1"/>
    <col min="4614" max="4864" width="9" style="1381"/>
    <col min="4865" max="4865" width="25.5" style="1381" customWidth="1"/>
    <col min="4866" max="4869" width="19.69921875" style="1381" customWidth="1"/>
    <col min="4870" max="5120" width="9" style="1381"/>
    <col min="5121" max="5121" width="25.5" style="1381" customWidth="1"/>
    <col min="5122" max="5125" width="19.69921875" style="1381" customWidth="1"/>
    <col min="5126" max="5376" width="9" style="1381"/>
    <col min="5377" max="5377" width="25.5" style="1381" customWidth="1"/>
    <col min="5378" max="5381" width="19.69921875" style="1381" customWidth="1"/>
    <col min="5382" max="5632" width="9" style="1381"/>
    <col min="5633" max="5633" width="25.5" style="1381" customWidth="1"/>
    <col min="5634" max="5637" width="19.69921875" style="1381" customWidth="1"/>
    <col min="5638" max="5888" width="9" style="1381"/>
    <col min="5889" max="5889" width="25.5" style="1381" customWidth="1"/>
    <col min="5890" max="5893" width="19.69921875" style="1381" customWidth="1"/>
    <col min="5894" max="6144" width="9" style="1381"/>
    <col min="6145" max="6145" width="25.5" style="1381" customWidth="1"/>
    <col min="6146" max="6149" width="19.69921875" style="1381" customWidth="1"/>
    <col min="6150" max="6400" width="9" style="1381"/>
    <col min="6401" max="6401" width="25.5" style="1381" customWidth="1"/>
    <col min="6402" max="6405" width="19.69921875" style="1381" customWidth="1"/>
    <col min="6406" max="6656" width="9" style="1381"/>
    <col min="6657" max="6657" width="25.5" style="1381" customWidth="1"/>
    <col min="6658" max="6661" width="19.69921875" style="1381" customWidth="1"/>
    <col min="6662" max="6912" width="9" style="1381"/>
    <col min="6913" max="6913" width="25.5" style="1381" customWidth="1"/>
    <col min="6914" max="6917" width="19.69921875" style="1381" customWidth="1"/>
    <col min="6918" max="7168" width="9" style="1381"/>
    <col min="7169" max="7169" width="25.5" style="1381" customWidth="1"/>
    <col min="7170" max="7173" width="19.69921875" style="1381" customWidth="1"/>
    <col min="7174" max="7424" width="9" style="1381"/>
    <col min="7425" max="7425" width="25.5" style="1381" customWidth="1"/>
    <col min="7426" max="7429" width="19.69921875" style="1381" customWidth="1"/>
    <col min="7430" max="7680" width="9" style="1381"/>
    <col min="7681" max="7681" width="25.5" style="1381" customWidth="1"/>
    <col min="7682" max="7685" width="19.69921875" style="1381" customWidth="1"/>
    <col min="7686" max="7936" width="9" style="1381"/>
    <col min="7937" max="7937" width="25.5" style="1381" customWidth="1"/>
    <col min="7938" max="7941" width="19.69921875" style="1381" customWidth="1"/>
    <col min="7942" max="8192" width="9" style="1381"/>
    <col min="8193" max="8193" width="25.5" style="1381" customWidth="1"/>
    <col min="8194" max="8197" width="19.69921875" style="1381" customWidth="1"/>
    <col min="8198" max="8448" width="9" style="1381"/>
    <col min="8449" max="8449" width="25.5" style="1381" customWidth="1"/>
    <col min="8450" max="8453" width="19.69921875" style="1381" customWidth="1"/>
    <col min="8454" max="8704" width="9" style="1381"/>
    <col min="8705" max="8705" width="25.5" style="1381" customWidth="1"/>
    <col min="8706" max="8709" width="19.69921875" style="1381" customWidth="1"/>
    <col min="8710" max="8960" width="9" style="1381"/>
    <col min="8961" max="8961" width="25.5" style="1381" customWidth="1"/>
    <col min="8962" max="8965" width="19.69921875" style="1381" customWidth="1"/>
    <col min="8966" max="9216" width="9" style="1381"/>
    <col min="9217" max="9217" width="25.5" style="1381" customWidth="1"/>
    <col min="9218" max="9221" width="19.69921875" style="1381" customWidth="1"/>
    <col min="9222" max="9472" width="9" style="1381"/>
    <col min="9473" max="9473" width="25.5" style="1381" customWidth="1"/>
    <col min="9474" max="9477" width="19.69921875" style="1381" customWidth="1"/>
    <col min="9478" max="9728" width="9" style="1381"/>
    <col min="9729" max="9729" width="25.5" style="1381" customWidth="1"/>
    <col min="9730" max="9733" width="19.69921875" style="1381" customWidth="1"/>
    <col min="9734" max="9984" width="9" style="1381"/>
    <col min="9985" max="9985" width="25.5" style="1381" customWidth="1"/>
    <col min="9986" max="9989" width="19.69921875" style="1381" customWidth="1"/>
    <col min="9990" max="10240" width="9" style="1381"/>
    <col min="10241" max="10241" width="25.5" style="1381" customWidth="1"/>
    <col min="10242" max="10245" width="19.69921875" style="1381" customWidth="1"/>
    <col min="10246" max="10496" width="9" style="1381"/>
    <col min="10497" max="10497" width="25.5" style="1381" customWidth="1"/>
    <col min="10498" max="10501" width="19.69921875" style="1381" customWidth="1"/>
    <col min="10502" max="10752" width="9" style="1381"/>
    <col min="10753" max="10753" width="25.5" style="1381" customWidth="1"/>
    <col min="10754" max="10757" width="19.69921875" style="1381" customWidth="1"/>
    <col min="10758" max="11008" width="9" style="1381"/>
    <col min="11009" max="11009" width="25.5" style="1381" customWidth="1"/>
    <col min="11010" max="11013" width="19.69921875" style="1381" customWidth="1"/>
    <col min="11014" max="11264" width="9" style="1381"/>
    <col min="11265" max="11265" width="25.5" style="1381" customWidth="1"/>
    <col min="11266" max="11269" width="19.69921875" style="1381" customWidth="1"/>
    <col min="11270" max="11520" width="9" style="1381"/>
    <col min="11521" max="11521" width="25.5" style="1381" customWidth="1"/>
    <col min="11522" max="11525" width="19.69921875" style="1381" customWidth="1"/>
    <col min="11526" max="11776" width="9" style="1381"/>
    <col min="11777" max="11777" width="25.5" style="1381" customWidth="1"/>
    <col min="11778" max="11781" width="19.69921875" style="1381" customWidth="1"/>
    <col min="11782" max="12032" width="9" style="1381"/>
    <col min="12033" max="12033" width="25.5" style="1381" customWidth="1"/>
    <col min="12034" max="12037" width="19.69921875" style="1381" customWidth="1"/>
    <col min="12038" max="12288" width="9" style="1381"/>
    <col min="12289" max="12289" width="25.5" style="1381" customWidth="1"/>
    <col min="12290" max="12293" width="19.69921875" style="1381" customWidth="1"/>
    <col min="12294" max="12544" width="9" style="1381"/>
    <col min="12545" max="12545" width="25.5" style="1381" customWidth="1"/>
    <col min="12546" max="12549" width="19.69921875" style="1381" customWidth="1"/>
    <col min="12550" max="12800" width="9" style="1381"/>
    <col min="12801" max="12801" width="25.5" style="1381" customWidth="1"/>
    <col min="12802" max="12805" width="19.69921875" style="1381" customWidth="1"/>
    <col min="12806" max="13056" width="9" style="1381"/>
    <col min="13057" max="13057" width="25.5" style="1381" customWidth="1"/>
    <col min="13058" max="13061" width="19.69921875" style="1381" customWidth="1"/>
    <col min="13062" max="13312" width="9" style="1381"/>
    <col min="13313" max="13313" width="25.5" style="1381" customWidth="1"/>
    <col min="13314" max="13317" width="19.69921875" style="1381" customWidth="1"/>
    <col min="13318" max="13568" width="9" style="1381"/>
    <col min="13569" max="13569" width="25.5" style="1381" customWidth="1"/>
    <col min="13570" max="13573" width="19.69921875" style="1381" customWidth="1"/>
    <col min="13574" max="13824" width="9" style="1381"/>
    <col min="13825" max="13825" width="25.5" style="1381" customWidth="1"/>
    <col min="13826" max="13829" width="19.69921875" style="1381" customWidth="1"/>
    <col min="13830" max="14080" width="9" style="1381"/>
    <col min="14081" max="14081" width="25.5" style="1381" customWidth="1"/>
    <col min="14082" max="14085" width="19.69921875" style="1381" customWidth="1"/>
    <col min="14086" max="14336" width="9" style="1381"/>
    <col min="14337" max="14337" width="25.5" style="1381" customWidth="1"/>
    <col min="14338" max="14341" width="19.69921875" style="1381" customWidth="1"/>
    <col min="14342" max="14592" width="9" style="1381"/>
    <col min="14593" max="14593" width="25.5" style="1381" customWidth="1"/>
    <col min="14594" max="14597" width="19.69921875" style="1381" customWidth="1"/>
    <col min="14598" max="14848" width="9" style="1381"/>
    <col min="14849" max="14849" width="25.5" style="1381" customWidth="1"/>
    <col min="14850" max="14853" width="19.69921875" style="1381" customWidth="1"/>
    <col min="14854" max="15104" width="9" style="1381"/>
    <col min="15105" max="15105" width="25.5" style="1381" customWidth="1"/>
    <col min="15106" max="15109" width="19.69921875" style="1381" customWidth="1"/>
    <col min="15110" max="15360" width="9" style="1381"/>
    <col min="15361" max="15361" width="25.5" style="1381" customWidth="1"/>
    <col min="15362" max="15365" width="19.69921875" style="1381" customWidth="1"/>
    <col min="15366" max="15616" width="9" style="1381"/>
    <col min="15617" max="15617" width="25.5" style="1381" customWidth="1"/>
    <col min="15618" max="15621" width="19.69921875" style="1381" customWidth="1"/>
    <col min="15622" max="15872" width="9" style="1381"/>
    <col min="15873" max="15873" width="25.5" style="1381" customWidth="1"/>
    <col min="15874" max="15877" width="19.69921875" style="1381" customWidth="1"/>
    <col min="15878" max="16128" width="9" style="1381"/>
    <col min="16129" max="16129" width="25.5" style="1381" customWidth="1"/>
    <col min="16130" max="16133" width="19.69921875" style="1381" customWidth="1"/>
    <col min="16134" max="16384" width="9" style="1381"/>
  </cols>
  <sheetData>
    <row r="1" spans="1:5" s="1370" customFormat="1" ht="25.5" customHeight="1">
      <c r="A1" s="3876" t="s">
        <v>1848</v>
      </c>
      <c r="B1" s="3876"/>
      <c r="C1" s="3876"/>
      <c r="D1" s="3876"/>
      <c r="E1" s="3876"/>
    </row>
    <row r="2" spans="1:5" ht="23.25" customHeight="1">
      <c r="A2" s="3877" t="s">
        <v>7425</v>
      </c>
      <c r="B2" s="3878"/>
      <c r="C2" s="3878"/>
      <c r="D2" s="3878"/>
      <c r="E2" s="3878"/>
    </row>
    <row r="3" spans="1:5" ht="24" customHeight="1">
      <c r="A3" s="3878"/>
      <c r="B3" s="3878"/>
      <c r="C3" s="3878"/>
      <c r="D3" s="3878"/>
      <c r="E3" s="3878"/>
    </row>
    <row r="4" spans="1:5" ht="21" customHeight="1">
      <c r="A4" s="3878"/>
      <c r="B4" s="3878"/>
      <c r="C4" s="3878"/>
      <c r="D4" s="3878"/>
      <c r="E4" s="3878"/>
    </row>
    <row r="5" spans="1:5" ht="27.75" customHeight="1">
      <c r="A5" s="3879" t="s">
        <v>1849</v>
      </c>
      <c r="B5" s="3879"/>
      <c r="C5" s="3879"/>
      <c r="D5" s="3879"/>
      <c r="E5" s="3879"/>
    </row>
    <row r="6" spans="1:5" ht="40.5" customHeight="1">
      <c r="A6" s="1392" t="s">
        <v>1850</v>
      </c>
      <c r="B6" s="1393" t="s">
        <v>1851</v>
      </c>
      <c r="C6" s="1393" t="s">
        <v>1852</v>
      </c>
      <c r="D6" s="2559" t="s">
        <v>7426</v>
      </c>
      <c r="E6" s="1392" t="s">
        <v>1853</v>
      </c>
    </row>
    <row r="7" spans="1:5" ht="40.5" customHeight="1">
      <c r="A7" s="1394" t="s">
        <v>1693</v>
      </c>
      <c r="B7" s="1386" t="s">
        <v>1693</v>
      </c>
      <c r="C7" s="1386" t="s">
        <v>1693</v>
      </c>
      <c r="D7" s="1386" t="s">
        <v>1693</v>
      </c>
      <c r="E7" s="1387" t="s">
        <v>1693</v>
      </c>
    </row>
    <row r="8" spans="1:5" ht="40.5" customHeight="1">
      <c r="A8" s="1394"/>
      <c r="B8" s="1386"/>
      <c r="C8" s="1386"/>
      <c r="D8" s="1386"/>
      <c r="E8" s="1387"/>
    </row>
    <row r="9" spans="1:5" ht="40.5" customHeight="1">
      <c r="A9" s="1394"/>
      <c r="B9" s="1386"/>
      <c r="C9" s="1386"/>
      <c r="D9" s="1386"/>
      <c r="E9" s="1387"/>
    </row>
    <row r="10" spans="1:5" ht="40.5" customHeight="1">
      <c r="A10" s="1394"/>
      <c r="B10" s="1386"/>
      <c r="C10" s="1386"/>
      <c r="D10" s="1386"/>
      <c r="E10" s="1387"/>
    </row>
    <row r="11" spans="1:5" ht="40.5" customHeight="1">
      <c r="A11" s="1394"/>
      <c r="B11" s="1386"/>
      <c r="C11" s="1386"/>
      <c r="D11" s="1386"/>
      <c r="E11" s="1387"/>
    </row>
    <row r="12" spans="1:5" ht="40.5" customHeight="1">
      <c r="A12" s="1394"/>
      <c r="B12" s="1386"/>
      <c r="C12" s="1386"/>
      <c r="D12" s="1386"/>
      <c r="E12" s="1387"/>
    </row>
    <row r="13" spans="1:5" ht="40.5" customHeight="1">
      <c r="A13" s="1394"/>
      <c r="B13" s="1386"/>
      <c r="C13" s="1386"/>
      <c r="D13" s="1386"/>
      <c r="E13" s="1387"/>
    </row>
    <row r="14" spans="1:5" ht="40.5" customHeight="1">
      <c r="A14" s="1394"/>
      <c r="B14" s="1386"/>
      <c r="C14" s="1386"/>
      <c r="D14" s="1386"/>
      <c r="E14" s="1387"/>
    </row>
    <row r="15" spans="1:5" ht="40.5" customHeight="1">
      <c r="A15" s="1394"/>
      <c r="B15" s="1386"/>
      <c r="C15" s="1386"/>
      <c r="D15" s="1386"/>
      <c r="E15" s="1387"/>
    </row>
    <row r="16" spans="1:5" ht="40.5" customHeight="1">
      <c r="A16" s="1394"/>
      <c r="B16" s="1386"/>
      <c r="C16" s="1386"/>
      <c r="D16" s="1386"/>
      <c r="E16" s="1387"/>
    </row>
    <row r="17" spans="1:5" ht="40.5" customHeight="1">
      <c r="A17" s="1394"/>
      <c r="B17" s="1386"/>
      <c r="C17" s="1386"/>
      <c r="D17" s="1386"/>
      <c r="E17" s="1387"/>
    </row>
    <row r="18" spans="1:5" ht="40.5" customHeight="1">
      <c r="A18" s="1395"/>
      <c r="B18" s="1388"/>
      <c r="C18" s="1388"/>
      <c r="D18" s="1388"/>
      <c r="E18" s="1387"/>
    </row>
    <row r="19" spans="1:5" ht="40.5" customHeight="1">
      <c r="A19" s="1395"/>
      <c r="B19" s="1388"/>
      <c r="C19" s="1388"/>
      <c r="D19" s="1388"/>
      <c r="E19" s="1387"/>
    </row>
    <row r="20" spans="1:5" ht="40.5" customHeight="1">
      <c r="A20" s="1395"/>
      <c r="B20" s="1388"/>
      <c r="C20" s="1388"/>
      <c r="D20" s="1388"/>
      <c r="E20" s="1387"/>
    </row>
    <row r="21" spans="1:5" ht="40.5" customHeight="1">
      <c r="A21" s="1395"/>
      <c r="B21" s="1388"/>
      <c r="C21" s="1388"/>
      <c r="D21" s="1388"/>
      <c r="E21" s="1387"/>
    </row>
    <row r="22" spans="1:5" ht="40.5" customHeight="1">
      <c r="A22" s="1395"/>
      <c r="B22" s="1388"/>
      <c r="C22" s="1388"/>
      <c r="D22" s="1388"/>
      <c r="E22" s="1387"/>
    </row>
    <row r="23" spans="1:5" ht="40.5" customHeight="1">
      <c r="A23" s="1395"/>
      <c r="B23" s="1388"/>
      <c r="C23" s="1388"/>
      <c r="D23" s="1388"/>
      <c r="E23" s="1387"/>
    </row>
  </sheetData>
  <mergeCells count="3">
    <mergeCell ref="A1:E1"/>
    <mergeCell ref="A2:E4"/>
    <mergeCell ref="A5:E5"/>
  </mergeCells>
  <phoneticPr fontId="51" type="noConversion"/>
  <pageMargins left="0.78740157480314998" right="0.35433070866141703" top="0.511811023622047" bottom="0.11811023622047198" header="0.511811023622047" footer="0.511811023622047"/>
  <pageSetup paperSize="9" orientation="portrait" r:id="rId1"/>
</worksheet>
</file>

<file path=xl/worksheets/sheet12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114"/>
  <dimension ref="A1:G49"/>
  <sheetViews>
    <sheetView workbookViewId="0">
      <selection activeCell="F48" sqref="F48"/>
    </sheetView>
  </sheetViews>
  <sheetFormatPr defaultColWidth="8.8984375" defaultRowHeight="12"/>
  <cols>
    <col min="1" max="1" width="8.5" style="1521" bestFit="1" customWidth="1"/>
    <col min="2" max="2" width="60.19921875" style="1517" customWidth="1"/>
    <col min="3" max="3" width="11.69921875" style="1521" bestFit="1" customWidth="1"/>
    <col min="4" max="5" width="8.8984375" style="1517"/>
    <col min="6" max="6" width="13" style="1517" customWidth="1"/>
    <col min="7" max="7" width="14.5" style="1517" customWidth="1"/>
    <col min="8" max="256" width="8.8984375" style="1517"/>
    <col min="257" max="257" width="8.5" style="1517" bestFit="1" customWidth="1"/>
    <col min="258" max="258" width="60.19921875" style="1517" customWidth="1"/>
    <col min="259" max="259" width="10.09765625" style="1517" customWidth="1"/>
    <col min="260" max="512" width="8.8984375" style="1517"/>
    <col min="513" max="513" width="8.5" style="1517" bestFit="1" customWidth="1"/>
    <col min="514" max="514" width="60.19921875" style="1517" customWidth="1"/>
    <col min="515" max="515" width="10.09765625" style="1517" customWidth="1"/>
    <col min="516" max="768" width="8.8984375" style="1517"/>
    <col min="769" max="769" width="8.5" style="1517" bestFit="1" customWidth="1"/>
    <col min="770" max="770" width="60.19921875" style="1517" customWidth="1"/>
    <col min="771" max="771" width="10.09765625" style="1517" customWidth="1"/>
    <col min="772" max="1024" width="8.8984375" style="1517"/>
    <col min="1025" max="1025" width="8.5" style="1517" bestFit="1" customWidth="1"/>
    <col min="1026" max="1026" width="60.19921875" style="1517" customWidth="1"/>
    <col min="1027" max="1027" width="10.09765625" style="1517" customWidth="1"/>
    <col min="1028" max="1280" width="8.8984375" style="1517"/>
    <col min="1281" max="1281" width="8.5" style="1517" bestFit="1" customWidth="1"/>
    <col min="1282" max="1282" width="60.19921875" style="1517" customWidth="1"/>
    <col min="1283" max="1283" width="10.09765625" style="1517" customWidth="1"/>
    <col min="1284" max="1536" width="8.8984375" style="1517"/>
    <col min="1537" max="1537" width="8.5" style="1517" bestFit="1" customWidth="1"/>
    <col min="1538" max="1538" width="60.19921875" style="1517" customWidth="1"/>
    <col min="1539" max="1539" width="10.09765625" style="1517" customWidth="1"/>
    <col min="1540" max="1792" width="8.8984375" style="1517"/>
    <col min="1793" max="1793" width="8.5" style="1517" bestFit="1" customWidth="1"/>
    <col min="1794" max="1794" width="60.19921875" style="1517" customWidth="1"/>
    <col min="1795" max="1795" width="10.09765625" style="1517" customWidth="1"/>
    <col min="1796" max="2048" width="8.8984375" style="1517"/>
    <col min="2049" max="2049" width="8.5" style="1517" bestFit="1" customWidth="1"/>
    <col min="2050" max="2050" width="60.19921875" style="1517" customWidth="1"/>
    <col min="2051" max="2051" width="10.09765625" style="1517" customWidth="1"/>
    <col min="2052" max="2304" width="8.8984375" style="1517"/>
    <col min="2305" max="2305" width="8.5" style="1517" bestFit="1" customWidth="1"/>
    <col min="2306" max="2306" width="60.19921875" style="1517" customWidth="1"/>
    <col min="2307" max="2307" width="10.09765625" style="1517" customWidth="1"/>
    <col min="2308" max="2560" width="8.8984375" style="1517"/>
    <col min="2561" max="2561" width="8.5" style="1517" bestFit="1" customWidth="1"/>
    <col min="2562" max="2562" width="60.19921875" style="1517" customWidth="1"/>
    <col min="2563" max="2563" width="10.09765625" style="1517" customWidth="1"/>
    <col min="2564" max="2816" width="8.8984375" style="1517"/>
    <col min="2817" max="2817" width="8.5" style="1517" bestFit="1" customWidth="1"/>
    <col min="2818" max="2818" width="60.19921875" style="1517" customWidth="1"/>
    <col min="2819" max="2819" width="10.09765625" style="1517" customWidth="1"/>
    <col min="2820" max="3072" width="8.8984375" style="1517"/>
    <col min="3073" max="3073" width="8.5" style="1517" bestFit="1" customWidth="1"/>
    <col min="3074" max="3074" width="60.19921875" style="1517" customWidth="1"/>
    <col min="3075" max="3075" width="10.09765625" style="1517" customWidth="1"/>
    <col min="3076" max="3328" width="8.8984375" style="1517"/>
    <col min="3329" max="3329" width="8.5" style="1517" bestFit="1" customWidth="1"/>
    <col min="3330" max="3330" width="60.19921875" style="1517" customWidth="1"/>
    <col min="3331" max="3331" width="10.09765625" style="1517" customWidth="1"/>
    <col min="3332" max="3584" width="8.8984375" style="1517"/>
    <col min="3585" max="3585" width="8.5" style="1517" bestFit="1" customWidth="1"/>
    <col min="3586" max="3586" width="60.19921875" style="1517" customWidth="1"/>
    <col min="3587" max="3587" width="10.09765625" style="1517" customWidth="1"/>
    <col min="3588" max="3840" width="8.8984375" style="1517"/>
    <col min="3841" max="3841" width="8.5" style="1517" bestFit="1" customWidth="1"/>
    <col min="3842" max="3842" width="60.19921875" style="1517" customWidth="1"/>
    <col min="3843" max="3843" width="10.09765625" style="1517" customWidth="1"/>
    <col min="3844" max="4096" width="8.8984375" style="1517"/>
    <col min="4097" max="4097" width="8.5" style="1517" bestFit="1" customWidth="1"/>
    <col min="4098" max="4098" width="60.19921875" style="1517" customWidth="1"/>
    <col min="4099" max="4099" width="10.09765625" style="1517" customWidth="1"/>
    <col min="4100" max="4352" width="8.8984375" style="1517"/>
    <col min="4353" max="4353" width="8.5" style="1517" bestFit="1" customWidth="1"/>
    <col min="4354" max="4354" width="60.19921875" style="1517" customWidth="1"/>
    <col min="4355" max="4355" width="10.09765625" style="1517" customWidth="1"/>
    <col min="4356" max="4608" width="8.8984375" style="1517"/>
    <col min="4609" max="4609" width="8.5" style="1517" bestFit="1" customWidth="1"/>
    <col min="4610" max="4610" width="60.19921875" style="1517" customWidth="1"/>
    <col min="4611" max="4611" width="10.09765625" style="1517" customWidth="1"/>
    <col min="4612" max="4864" width="8.8984375" style="1517"/>
    <col min="4865" max="4865" width="8.5" style="1517" bestFit="1" customWidth="1"/>
    <col min="4866" max="4866" width="60.19921875" style="1517" customWidth="1"/>
    <col min="4867" max="4867" width="10.09765625" style="1517" customWidth="1"/>
    <col min="4868" max="5120" width="8.8984375" style="1517"/>
    <col min="5121" max="5121" width="8.5" style="1517" bestFit="1" customWidth="1"/>
    <col min="5122" max="5122" width="60.19921875" style="1517" customWidth="1"/>
    <col min="5123" max="5123" width="10.09765625" style="1517" customWidth="1"/>
    <col min="5124" max="5376" width="8.8984375" style="1517"/>
    <col min="5377" max="5377" width="8.5" style="1517" bestFit="1" customWidth="1"/>
    <col min="5378" max="5378" width="60.19921875" style="1517" customWidth="1"/>
    <col min="5379" max="5379" width="10.09765625" style="1517" customWidth="1"/>
    <col min="5380" max="5632" width="8.8984375" style="1517"/>
    <col min="5633" max="5633" width="8.5" style="1517" bestFit="1" customWidth="1"/>
    <col min="5634" max="5634" width="60.19921875" style="1517" customWidth="1"/>
    <col min="5635" max="5635" width="10.09765625" style="1517" customWidth="1"/>
    <col min="5636" max="5888" width="8.8984375" style="1517"/>
    <col min="5889" max="5889" width="8.5" style="1517" bestFit="1" customWidth="1"/>
    <col min="5890" max="5890" width="60.19921875" style="1517" customWidth="1"/>
    <col min="5891" max="5891" width="10.09765625" style="1517" customWidth="1"/>
    <col min="5892" max="6144" width="8.8984375" style="1517"/>
    <col min="6145" max="6145" width="8.5" style="1517" bestFit="1" customWidth="1"/>
    <col min="6146" max="6146" width="60.19921875" style="1517" customWidth="1"/>
    <col min="6147" max="6147" width="10.09765625" style="1517" customWidth="1"/>
    <col min="6148" max="6400" width="8.8984375" style="1517"/>
    <col min="6401" max="6401" width="8.5" style="1517" bestFit="1" customWidth="1"/>
    <col min="6402" max="6402" width="60.19921875" style="1517" customWidth="1"/>
    <col min="6403" max="6403" width="10.09765625" style="1517" customWidth="1"/>
    <col min="6404" max="6656" width="8.8984375" style="1517"/>
    <col min="6657" max="6657" width="8.5" style="1517" bestFit="1" customWidth="1"/>
    <col min="6658" max="6658" width="60.19921875" style="1517" customWidth="1"/>
    <col min="6659" max="6659" width="10.09765625" style="1517" customWidth="1"/>
    <col min="6660" max="6912" width="8.8984375" style="1517"/>
    <col min="6913" max="6913" width="8.5" style="1517" bestFit="1" customWidth="1"/>
    <col min="6914" max="6914" width="60.19921875" style="1517" customWidth="1"/>
    <col min="6915" max="6915" width="10.09765625" style="1517" customWidth="1"/>
    <col min="6916" max="7168" width="8.8984375" style="1517"/>
    <col min="7169" max="7169" width="8.5" style="1517" bestFit="1" customWidth="1"/>
    <col min="7170" max="7170" width="60.19921875" style="1517" customWidth="1"/>
    <col min="7171" max="7171" width="10.09765625" style="1517" customWidth="1"/>
    <col min="7172" max="7424" width="8.8984375" style="1517"/>
    <col min="7425" max="7425" width="8.5" style="1517" bestFit="1" customWidth="1"/>
    <col min="7426" max="7426" width="60.19921875" style="1517" customWidth="1"/>
    <col min="7427" max="7427" width="10.09765625" style="1517" customWidth="1"/>
    <col min="7428" max="7680" width="8.8984375" style="1517"/>
    <col min="7681" max="7681" width="8.5" style="1517" bestFit="1" customWidth="1"/>
    <col min="7682" max="7682" width="60.19921875" style="1517" customWidth="1"/>
    <col min="7683" max="7683" width="10.09765625" style="1517" customWidth="1"/>
    <col min="7684" max="7936" width="8.8984375" style="1517"/>
    <col min="7937" max="7937" width="8.5" style="1517" bestFit="1" customWidth="1"/>
    <col min="7938" max="7938" width="60.19921875" style="1517" customWidth="1"/>
    <col min="7939" max="7939" width="10.09765625" style="1517" customWidth="1"/>
    <col min="7940" max="8192" width="8.8984375" style="1517"/>
    <col min="8193" max="8193" width="8.5" style="1517" bestFit="1" customWidth="1"/>
    <col min="8194" max="8194" width="60.19921875" style="1517" customWidth="1"/>
    <col min="8195" max="8195" width="10.09765625" style="1517" customWidth="1"/>
    <col min="8196" max="8448" width="8.8984375" style="1517"/>
    <col min="8449" max="8449" width="8.5" style="1517" bestFit="1" customWidth="1"/>
    <col min="8450" max="8450" width="60.19921875" style="1517" customWidth="1"/>
    <col min="8451" max="8451" width="10.09765625" style="1517" customWidth="1"/>
    <col min="8452" max="8704" width="8.8984375" style="1517"/>
    <col min="8705" max="8705" width="8.5" style="1517" bestFit="1" customWidth="1"/>
    <col min="8706" max="8706" width="60.19921875" style="1517" customWidth="1"/>
    <col min="8707" max="8707" width="10.09765625" style="1517" customWidth="1"/>
    <col min="8708" max="8960" width="8.8984375" style="1517"/>
    <col min="8961" max="8961" width="8.5" style="1517" bestFit="1" customWidth="1"/>
    <col min="8962" max="8962" width="60.19921875" style="1517" customWidth="1"/>
    <col min="8963" max="8963" width="10.09765625" style="1517" customWidth="1"/>
    <col min="8964" max="9216" width="8.8984375" style="1517"/>
    <col min="9217" max="9217" width="8.5" style="1517" bestFit="1" customWidth="1"/>
    <col min="9218" max="9218" width="60.19921875" style="1517" customWidth="1"/>
    <col min="9219" max="9219" width="10.09765625" style="1517" customWidth="1"/>
    <col min="9220" max="9472" width="8.8984375" style="1517"/>
    <col min="9473" max="9473" width="8.5" style="1517" bestFit="1" customWidth="1"/>
    <col min="9474" max="9474" width="60.19921875" style="1517" customWidth="1"/>
    <col min="9475" max="9475" width="10.09765625" style="1517" customWidth="1"/>
    <col min="9476" max="9728" width="8.8984375" style="1517"/>
    <col min="9729" max="9729" width="8.5" style="1517" bestFit="1" customWidth="1"/>
    <col min="9730" max="9730" width="60.19921875" style="1517" customWidth="1"/>
    <col min="9731" max="9731" width="10.09765625" style="1517" customWidth="1"/>
    <col min="9732" max="9984" width="8.8984375" style="1517"/>
    <col min="9985" max="9985" width="8.5" style="1517" bestFit="1" customWidth="1"/>
    <col min="9986" max="9986" width="60.19921875" style="1517" customWidth="1"/>
    <col min="9987" max="9987" width="10.09765625" style="1517" customWidth="1"/>
    <col min="9988" max="10240" width="8.8984375" style="1517"/>
    <col min="10241" max="10241" width="8.5" style="1517" bestFit="1" customWidth="1"/>
    <col min="10242" max="10242" width="60.19921875" style="1517" customWidth="1"/>
    <col min="10243" max="10243" width="10.09765625" style="1517" customWidth="1"/>
    <col min="10244" max="10496" width="8.8984375" style="1517"/>
    <col min="10497" max="10497" width="8.5" style="1517" bestFit="1" customWidth="1"/>
    <col min="10498" max="10498" width="60.19921875" style="1517" customWidth="1"/>
    <col min="10499" max="10499" width="10.09765625" style="1517" customWidth="1"/>
    <col min="10500" max="10752" width="8.8984375" style="1517"/>
    <col min="10753" max="10753" width="8.5" style="1517" bestFit="1" customWidth="1"/>
    <col min="10754" max="10754" width="60.19921875" style="1517" customWidth="1"/>
    <col min="10755" max="10755" width="10.09765625" style="1517" customWidth="1"/>
    <col min="10756" max="11008" width="8.8984375" style="1517"/>
    <col min="11009" max="11009" width="8.5" style="1517" bestFit="1" customWidth="1"/>
    <col min="11010" max="11010" width="60.19921875" style="1517" customWidth="1"/>
    <col min="11011" max="11011" width="10.09765625" style="1517" customWidth="1"/>
    <col min="11012" max="11264" width="8.8984375" style="1517"/>
    <col min="11265" max="11265" width="8.5" style="1517" bestFit="1" customWidth="1"/>
    <col min="11266" max="11266" width="60.19921875" style="1517" customWidth="1"/>
    <col min="11267" max="11267" width="10.09765625" style="1517" customWidth="1"/>
    <col min="11268" max="11520" width="8.8984375" style="1517"/>
    <col min="11521" max="11521" width="8.5" style="1517" bestFit="1" customWidth="1"/>
    <col min="11522" max="11522" width="60.19921875" style="1517" customWidth="1"/>
    <col min="11523" max="11523" width="10.09765625" style="1517" customWidth="1"/>
    <col min="11524" max="11776" width="8.8984375" style="1517"/>
    <col min="11777" max="11777" width="8.5" style="1517" bestFit="1" customWidth="1"/>
    <col min="11778" max="11778" width="60.19921875" style="1517" customWidth="1"/>
    <col min="11779" max="11779" width="10.09765625" style="1517" customWidth="1"/>
    <col min="11780" max="12032" width="8.8984375" style="1517"/>
    <col min="12033" max="12033" width="8.5" style="1517" bestFit="1" customWidth="1"/>
    <col min="12034" max="12034" width="60.19921875" style="1517" customWidth="1"/>
    <col min="12035" max="12035" width="10.09765625" style="1517" customWidth="1"/>
    <col min="12036" max="12288" width="8.8984375" style="1517"/>
    <col min="12289" max="12289" width="8.5" style="1517" bestFit="1" customWidth="1"/>
    <col min="12290" max="12290" width="60.19921875" style="1517" customWidth="1"/>
    <col min="12291" max="12291" width="10.09765625" style="1517" customWidth="1"/>
    <col min="12292" max="12544" width="8.8984375" style="1517"/>
    <col min="12545" max="12545" width="8.5" style="1517" bestFit="1" customWidth="1"/>
    <col min="12546" max="12546" width="60.19921875" style="1517" customWidth="1"/>
    <col min="12547" max="12547" width="10.09765625" style="1517" customWidth="1"/>
    <col min="12548" max="12800" width="8.8984375" style="1517"/>
    <col min="12801" max="12801" width="8.5" style="1517" bestFit="1" customWidth="1"/>
    <col min="12802" max="12802" width="60.19921875" style="1517" customWidth="1"/>
    <col min="12803" max="12803" width="10.09765625" style="1517" customWidth="1"/>
    <col min="12804" max="13056" width="8.8984375" style="1517"/>
    <col min="13057" max="13057" width="8.5" style="1517" bestFit="1" customWidth="1"/>
    <col min="13058" max="13058" width="60.19921875" style="1517" customWidth="1"/>
    <col min="13059" max="13059" width="10.09765625" style="1517" customWidth="1"/>
    <col min="13060" max="13312" width="8.8984375" style="1517"/>
    <col min="13313" max="13313" width="8.5" style="1517" bestFit="1" customWidth="1"/>
    <col min="13314" max="13314" width="60.19921875" style="1517" customWidth="1"/>
    <col min="13315" max="13315" width="10.09765625" style="1517" customWidth="1"/>
    <col min="13316" max="13568" width="8.8984375" style="1517"/>
    <col min="13569" max="13569" width="8.5" style="1517" bestFit="1" customWidth="1"/>
    <col min="13570" max="13570" width="60.19921875" style="1517" customWidth="1"/>
    <col min="13571" max="13571" width="10.09765625" style="1517" customWidth="1"/>
    <col min="13572" max="13824" width="8.8984375" style="1517"/>
    <col min="13825" max="13825" width="8.5" style="1517" bestFit="1" customWidth="1"/>
    <col min="13826" max="13826" width="60.19921875" style="1517" customWidth="1"/>
    <col min="13827" max="13827" width="10.09765625" style="1517" customWidth="1"/>
    <col min="13828" max="14080" width="8.8984375" style="1517"/>
    <col min="14081" max="14081" width="8.5" style="1517" bestFit="1" customWidth="1"/>
    <col min="14082" max="14082" width="60.19921875" style="1517" customWidth="1"/>
    <col min="14083" max="14083" width="10.09765625" style="1517" customWidth="1"/>
    <col min="14084" max="14336" width="8.8984375" style="1517"/>
    <col min="14337" max="14337" width="8.5" style="1517" bestFit="1" customWidth="1"/>
    <col min="14338" max="14338" width="60.19921875" style="1517" customWidth="1"/>
    <col min="14339" max="14339" width="10.09765625" style="1517" customWidth="1"/>
    <col min="14340" max="14592" width="8.8984375" style="1517"/>
    <col min="14593" max="14593" width="8.5" style="1517" bestFit="1" customWidth="1"/>
    <col min="14594" max="14594" width="60.19921875" style="1517" customWidth="1"/>
    <col min="14595" max="14595" width="10.09765625" style="1517" customWidth="1"/>
    <col min="14596" max="14848" width="8.8984375" style="1517"/>
    <col min="14849" max="14849" width="8.5" style="1517" bestFit="1" customWidth="1"/>
    <col min="14850" max="14850" width="60.19921875" style="1517" customWidth="1"/>
    <col min="14851" max="14851" width="10.09765625" style="1517" customWidth="1"/>
    <col min="14852" max="15104" width="8.8984375" style="1517"/>
    <col min="15105" max="15105" width="8.5" style="1517" bestFit="1" customWidth="1"/>
    <col min="15106" max="15106" width="60.19921875" style="1517" customWidth="1"/>
    <col min="15107" max="15107" width="10.09765625" style="1517" customWidth="1"/>
    <col min="15108" max="15360" width="8.8984375" style="1517"/>
    <col min="15361" max="15361" width="8.5" style="1517" bestFit="1" customWidth="1"/>
    <col min="15362" max="15362" width="60.19921875" style="1517" customWidth="1"/>
    <col min="15363" max="15363" width="10.09765625" style="1517" customWidth="1"/>
    <col min="15364" max="15616" width="8.8984375" style="1517"/>
    <col min="15617" max="15617" width="8.5" style="1517" bestFit="1" customWidth="1"/>
    <col min="15618" max="15618" width="60.19921875" style="1517" customWidth="1"/>
    <col min="15619" max="15619" width="10.09765625" style="1517" customWidth="1"/>
    <col min="15620" max="15872" width="8.8984375" style="1517"/>
    <col min="15873" max="15873" width="8.5" style="1517" bestFit="1" customWidth="1"/>
    <col min="15874" max="15874" width="60.19921875" style="1517" customWidth="1"/>
    <col min="15875" max="15875" width="10.09765625" style="1517" customWidth="1"/>
    <col min="15876" max="16128" width="8.8984375" style="1517"/>
    <col min="16129" max="16129" width="8.5" style="1517" bestFit="1" customWidth="1"/>
    <col min="16130" max="16130" width="60.19921875" style="1517" customWidth="1"/>
    <col min="16131" max="16131" width="10.09765625" style="1517" customWidth="1"/>
    <col min="16132" max="16384" width="8.8984375" style="1517"/>
  </cols>
  <sheetData>
    <row r="1" spans="1:7" ht="25.5" customHeight="1">
      <c r="A1" s="3880" t="s">
        <v>5972</v>
      </c>
      <c r="B1" s="3880"/>
      <c r="C1" s="3880"/>
    </row>
    <row r="2" spans="1:7" ht="23.25" customHeight="1">
      <c r="A2" s="2570" t="s">
        <v>7427</v>
      </c>
      <c r="B2" s="2570" t="s">
        <v>2476</v>
      </c>
      <c r="C2" s="2571" t="s">
        <v>2477</v>
      </c>
    </row>
    <row r="3" spans="1:7" ht="14.25" customHeight="1">
      <c r="A3" s="2571" t="s">
        <v>2559</v>
      </c>
      <c r="B3" s="2111" t="s">
        <v>2478</v>
      </c>
      <c r="C3" s="1999" t="s">
        <v>1078</v>
      </c>
    </row>
    <row r="4" spans="1:7" ht="14.25" customHeight="1">
      <c r="A4" s="2571" t="s">
        <v>2479</v>
      </c>
      <c r="B4" s="2111" t="s">
        <v>2480</v>
      </c>
      <c r="C4" s="1999" t="s">
        <v>1078</v>
      </c>
    </row>
    <row r="5" spans="1:7" ht="14.25" customHeight="1">
      <c r="A5" s="2571" t="s">
        <v>6602</v>
      </c>
      <c r="B5" s="2111" t="s">
        <v>2481</v>
      </c>
      <c r="C5" s="1999" t="str">
        <f>F5</f>
        <v>否</v>
      </c>
      <c r="F5" s="1517" t="str">
        <f>IF(OR(A101010一般企业收入明细表!C4&lt;&gt;0,A101010一般企业收入明细表!C19&lt;&gt;0),"是","否")</f>
        <v>否</v>
      </c>
      <c r="G5" s="1517" t="str">
        <f t="shared" ref="G5:G43" si="0">IF(F5="是","否","是")</f>
        <v>是</v>
      </c>
    </row>
    <row r="6" spans="1:7" ht="14.25" customHeight="1">
      <c r="A6" s="2571" t="s">
        <v>2482</v>
      </c>
      <c r="B6" s="2111" t="s">
        <v>2483</v>
      </c>
      <c r="C6" s="1999" t="str">
        <f t="shared" ref="C6:C48" si="1">F6</f>
        <v>否</v>
      </c>
      <c r="F6" s="1517" t="str">
        <f>IF(OR(A101020金融企业收入明细表!C4&lt;&gt;0,A101020金融企业收入明细表!C38&lt;&gt;0),"是","否")</f>
        <v>否</v>
      </c>
      <c r="G6" s="1517" t="str">
        <f t="shared" si="0"/>
        <v>是</v>
      </c>
    </row>
    <row r="7" spans="1:7" ht="14.25" customHeight="1">
      <c r="A7" s="2571" t="s">
        <v>2484</v>
      </c>
      <c r="B7" s="2111" t="s">
        <v>2485</v>
      </c>
      <c r="C7" s="1999" t="str">
        <f t="shared" si="1"/>
        <v>否</v>
      </c>
      <c r="F7" s="1517" t="str">
        <f>IF(OR(A102010一般企业成本支出明细表!C4&lt;&gt;0,A102010一般企业成本支出明细表!C19&lt;&gt;0),"是","否")</f>
        <v>否</v>
      </c>
      <c r="G7" s="1517" t="str">
        <f t="shared" si="0"/>
        <v>是</v>
      </c>
    </row>
    <row r="8" spans="1:7" ht="14.25" customHeight="1">
      <c r="A8" s="2571" t="s">
        <v>2486</v>
      </c>
      <c r="B8" s="2111" t="s">
        <v>2487</v>
      </c>
      <c r="C8" s="1999" t="str">
        <f t="shared" si="1"/>
        <v>否</v>
      </c>
      <c r="F8" s="1517" t="str">
        <f>IF(OR(A102020金融企业支出明细表!C4&lt;&gt;0,A102020金融企业支出明细表!C36&lt;&gt;0),"是","否")</f>
        <v>否</v>
      </c>
      <c r="G8" s="1517" t="str">
        <f t="shared" si="0"/>
        <v>是</v>
      </c>
    </row>
    <row r="9" spans="1:7" ht="14.25" customHeight="1">
      <c r="A9" s="2571" t="s">
        <v>2488</v>
      </c>
      <c r="B9" s="2111" t="s">
        <v>2489</v>
      </c>
      <c r="C9" s="1999" t="str">
        <f t="shared" si="1"/>
        <v>否</v>
      </c>
      <c r="F9" s="1517" t="str">
        <f>IF(OR(A103000事业单位、民间非营利组织收入、支出明细表!C4&lt;&gt;0,A103000事业单位、民间非营利组织收入、支出明细表!C13&lt;&gt;0,A103000事业单位、民间非营利组织收入、支出明细表!C27&lt;&gt;0),"是","否")</f>
        <v>否</v>
      </c>
      <c r="G9" s="1517" t="str">
        <f t="shared" si="0"/>
        <v>是</v>
      </c>
    </row>
    <row r="10" spans="1:7" ht="14.25" customHeight="1">
      <c r="A10" s="2571" t="s">
        <v>2490</v>
      </c>
      <c r="B10" s="2111" t="s">
        <v>2491</v>
      </c>
      <c r="C10" s="1999" t="str">
        <f t="shared" si="1"/>
        <v>否</v>
      </c>
      <c r="F10" s="1517" t="str">
        <f>IF(OR(A104000期间费用明细表!C29&lt;&gt;0,A104000期间费用明细表!E29&lt;&gt;0,A104000期间费用明细表!G29&lt;&gt;0),"是","否")</f>
        <v>否</v>
      </c>
      <c r="G10" s="1517" t="str">
        <f t="shared" si="0"/>
        <v>是</v>
      </c>
    </row>
    <row r="11" spans="1:7" ht="14.25" customHeight="1">
      <c r="A11" s="2571" t="s">
        <v>2492</v>
      </c>
      <c r="B11" s="2111" t="s">
        <v>2493</v>
      </c>
      <c r="C11" s="1999" t="str">
        <f t="shared" ca="1" si="1"/>
        <v>否</v>
      </c>
      <c r="F11" s="1517" t="str">
        <f ca="1">IF(OR(A105000纳税调整项目明细表!E5&lt;&gt;0,A105000纳税调整项目明细表!F5&lt;&gt;0,A105000纳税调整项目明细表!E16&lt;&gt;0,A105000纳税调整项目明细表!F16&lt;&gt;0,A105000纳税调整项目明细表!E34&lt;&gt;0,A105000纳税调整项目明细表!F34&lt;&gt;0,A105000纳税调整项目明细表!E39&lt;&gt;0,A105000纳税调整项目明细表!F39&lt;&gt;0,A105000纳税调整项目明细表!E44&lt;&gt;0,A105000纳税调整项目明细表!F44&lt;&gt;0,A105000纳税调整项目明细表!E45&lt;&gt;0,A105000纳税调整项目明细表!F45&lt;&gt;0,A105000纳税调整项目明细表!E46&lt;&gt;0,A105000纳税调整项目明细表!F46&lt;&gt;0),"是","否")</f>
        <v>否</v>
      </c>
      <c r="G11" s="1517" t="str">
        <f t="shared" ca="1" si="0"/>
        <v>是</v>
      </c>
    </row>
    <row r="12" spans="1:7" ht="14.25" customHeight="1">
      <c r="A12" s="2571" t="s">
        <v>2494</v>
      </c>
      <c r="B12" s="2111" t="s">
        <v>2495</v>
      </c>
      <c r="C12" s="1999" t="str">
        <f t="shared" si="1"/>
        <v>否</v>
      </c>
      <c r="F12" s="1517" t="str">
        <f>IF(OR(A105010视同销售和房地产开发企业特定业务纳税调整明细表!D5&lt;&gt;0,A105010视同销售和房地产开发企业特定业务纳税调整明细表!D15&lt;&gt;0,A105010视同销售和房地产开发企业特定业务纳税调整明细表!D25&lt;&gt;0),"是","否")</f>
        <v>否</v>
      </c>
      <c r="G12" s="1517" t="str">
        <f t="shared" si="0"/>
        <v>是</v>
      </c>
    </row>
    <row r="13" spans="1:7" ht="14.25" customHeight="1">
      <c r="A13" s="2571" t="s">
        <v>2496</v>
      </c>
      <c r="B13" s="2111" t="s">
        <v>2497</v>
      </c>
      <c r="C13" s="1999" t="str">
        <f t="shared" si="1"/>
        <v>否</v>
      </c>
      <c r="F13" s="1517" t="str">
        <f>IF(OR(A105020未按权责发生制确认收入纳税调整明细表!D19&lt;&gt;0,A105020未按权责发生制确认收入纳税调整明细表!F19&lt;&gt;0,A105020未按权责发生制确认收入纳税调整明细表!H19&lt;&gt;0),"是","否")</f>
        <v>否</v>
      </c>
      <c r="G13" s="1517" t="str">
        <f t="shared" si="0"/>
        <v>是</v>
      </c>
    </row>
    <row r="14" spans="1:7" ht="14.25" customHeight="1">
      <c r="A14" s="2571" t="s">
        <v>2498</v>
      </c>
      <c r="B14" s="2111" t="s">
        <v>2499</v>
      </c>
      <c r="C14" s="1999" t="str">
        <f t="shared" si="1"/>
        <v>否</v>
      </c>
      <c r="F14" s="1517" t="str">
        <f>IF(OR(A105030投资收益纳税调整明细表!C15&lt;&gt;0,A105030投资收益纳税调整明细表!D15&lt;&gt;0,A105030投资收益纳税调整明细表!J15&lt;&gt;0,A105030投资收益纳税调整明细表!K15&lt;&gt;0),"是","否")</f>
        <v>否</v>
      </c>
      <c r="G14" s="1517" t="str">
        <f t="shared" si="0"/>
        <v>是</v>
      </c>
    </row>
    <row r="15" spans="1:7" ht="14.25" customHeight="1">
      <c r="A15" s="2571" t="s">
        <v>2500</v>
      </c>
      <c r="B15" s="2111" t="s">
        <v>2501</v>
      </c>
      <c r="C15" s="1999" t="str">
        <f t="shared" si="1"/>
        <v>否</v>
      </c>
      <c r="F15" s="1517" t="str">
        <f>IF(OR(A105040专项用途财政性资金纳税调整表!D13&lt;&gt;0,A105040专项用途财政性资金纳税调整表!L13&lt;&gt;0),"是","否")</f>
        <v>否</v>
      </c>
      <c r="G15" s="1517" t="str">
        <f t="shared" si="0"/>
        <v>是</v>
      </c>
    </row>
    <row r="16" spans="1:7" ht="14.25" customHeight="1">
      <c r="A16" s="2571" t="s">
        <v>2502</v>
      </c>
      <c r="B16" s="2111" t="s">
        <v>2503</v>
      </c>
      <c r="C16" s="1999" t="str">
        <f t="shared" si="1"/>
        <v>否</v>
      </c>
      <c r="F16" s="1517" t="str">
        <f>IF(A105050职工薪酬纳税调整明细表!C17&lt;&gt;0,"是","否")</f>
        <v>否</v>
      </c>
      <c r="G16" s="1517" t="str">
        <f t="shared" si="0"/>
        <v>是</v>
      </c>
    </row>
    <row r="17" spans="1:7" ht="14.25" customHeight="1">
      <c r="A17" s="2571" t="s">
        <v>2504</v>
      </c>
      <c r="B17" s="2111" t="s">
        <v>2505</v>
      </c>
      <c r="C17" s="1999" t="str">
        <f t="shared" si="1"/>
        <v>否</v>
      </c>
      <c r="F17" s="1517" t="str">
        <f>IF(OR(A105060广告费和业务宣传费跨年度纳税调整明细表!C4&lt;&gt;0,A105060广告费和业务宣传费跨年度纳税调整明细表!C11&lt;&gt;0,A105060广告费和业务宣传费跨年度纳税调整明细表!C15&lt;&gt;0),"是","否")</f>
        <v>否</v>
      </c>
      <c r="G17" s="1517" t="str">
        <f t="shared" si="0"/>
        <v>是</v>
      </c>
    </row>
    <row r="18" spans="1:7" ht="14.25" customHeight="1">
      <c r="A18" s="2571" t="s">
        <v>2506</v>
      </c>
      <c r="B18" s="2111" t="s">
        <v>2507</v>
      </c>
      <c r="C18" s="1999" t="str">
        <f t="shared" si="1"/>
        <v>否</v>
      </c>
      <c r="F18" s="1517" t="str">
        <f>IF(A105070捐赠支出纳税调整明细表!C25+A105070捐赠支出纳税调整明细表!G25&lt;&gt;0,"是","否")</f>
        <v>否</v>
      </c>
      <c r="G18" s="1517" t="str">
        <f t="shared" si="0"/>
        <v>是</v>
      </c>
    </row>
    <row r="19" spans="1:7" ht="14.25" customHeight="1">
      <c r="A19" s="2571" t="s">
        <v>2508</v>
      </c>
      <c r="B19" s="2111" t="s">
        <v>2509</v>
      </c>
      <c r="C19" s="1999" t="str">
        <f t="shared" ca="1" si="1"/>
        <v>否</v>
      </c>
      <c r="F19" s="1517" t="str">
        <f ca="1">IF(OR(A105080资产折旧、摊销情况及纳税调整明细表!C32+A105080资产折旧、摊销情况及纳税调整明细表!D32+A105080资产折旧、摊销情况及纳税调整明细表!E32&lt;&gt;0,A105080资产折旧、摊销情况及纳税调整明细表!F32+A105080资产折旧、摊销情况及纳税调整明细表!G32+A105080资产折旧、摊销情况及纳税调整明细表!H32+A105080资产折旧、摊销情况及纳税调整明细表!I32+A105080资产折旧、摊销情况及纳税调整明细表!J32&lt;&gt;0,A105080资产折旧、摊销情况及纳税调整明细表!K32&lt;&gt;0),"是","否")</f>
        <v>否</v>
      </c>
      <c r="G19" s="1517" t="str">
        <f t="shared" ca="1" si="0"/>
        <v>是</v>
      </c>
    </row>
    <row r="20" spans="1:7" ht="14.25" customHeight="1">
      <c r="A20" s="2571" t="s">
        <v>2510</v>
      </c>
      <c r="B20" s="2111" t="s">
        <v>2511</v>
      </c>
      <c r="C20" s="1999" t="str">
        <f t="shared" si="1"/>
        <v>否</v>
      </c>
      <c r="F20" s="1517" t="str">
        <f>IF(A105081固定资产加速折旧、扣除明细表!D19+A105081固定资产加速折旧、扣除明细表!F19+A105081固定资产加速折旧、扣除明细表!H19+A105081固定资产加速折旧、扣除明细表!J19+A105081固定资产加速折旧、扣除明细表!L19+A105081固定资产加速折旧、扣除明细表!N19+A105081固定资产加速折旧、扣除明细表!P19+A105081固定资产加速折旧、扣除明细表!D33+A105081固定资产加速折旧、扣除明细表!F33+A105081固定资产加速折旧、扣除明细表!H33+A105081固定资产加速折旧、扣除明细表!J33+A105081固定资产加速折旧、扣除明细表!L33+A105081固定资产加速折旧、扣除明细表!N33+A105081固定资产加速折旧、扣除明细表!P33&lt;&gt;0,"是","否")</f>
        <v>否</v>
      </c>
      <c r="G20" s="1517" t="str">
        <f t="shared" si="0"/>
        <v>是</v>
      </c>
    </row>
    <row r="21" spans="1:7" ht="14.25" customHeight="1">
      <c r="A21" s="2571" t="s">
        <v>2512</v>
      </c>
      <c r="B21" s="2111" t="s">
        <v>2513</v>
      </c>
      <c r="C21" s="1999" t="str">
        <f t="shared" si="1"/>
        <v>否</v>
      </c>
      <c r="F21" s="1517" t="str">
        <f>IF(OR(A105090资产损失税前扣除及纳税调整明细表!C18&lt;&gt;0,A105090资产损失税前扣除及纳税调整明细表!D18&lt;&gt;0,A105090资产损失税前扣除及纳税调整明细表!E18&lt;&gt;0),"是","否")</f>
        <v>否</v>
      </c>
      <c r="G21" s="1517" t="str">
        <f t="shared" si="0"/>
        <v>是</v>
      </c>
    </row>
    <row r="22" spans="1:7" ht="14.25" customHeight="1">
      <c r="A22" s="2571" t="s">
        <v>2514</v>
      </c>
      <c r="B22" s="2111" t="s">
        <v>2515</v>
      </c>
      <c r="C22" s="1999" t="str">
        <f t="shared" si="1"/>
        <v>否</v>
      </c>
      <c r="F22" s="1517" t="str">
        <f>IF(OR('A105091资产损失（专项申报）税前扣除及纳税调整明细表'!C25&lt;&gt;0,'A105091资产损失（专项申报）税前扣除及纳税调整明细表'!D25&lt;&gt;0,'A105091资产损失（专项申报）税前扣除及纳税调整明细表'!E25&lt;&gt;0,'A105091资产损失（专项申报）税前扣除及纳税调整明细表'!F25&lt;&gt;0,'A105091资产损失（专项申报）税前扣除及纳税调整明细表'!H25&lt;&gt;0),"是","否")</f>
        <v>否</v>
      </c>
      <c r="G22" s="1517" t="str">
        <f t="shared" si="0"/>
        <v>是</v>
      </c>
    </row>
    <row r="23" spans="1:7" ht="14.25" customHeight="1">
      <c r="A23" s="2571" t="s">
        <v>2516</v>
      </c>
      <c r="B23" s="2111" t="s">
        <v>2517</v>
      </c>
      <c r="C23" s="1999" t="str">
        <f t="shared" si="1"/>
        <v>否</v>
      </c>
      <c r="F23" s="1517" t="str">
        <f>IF(OR(A105100企业重组纳税调整明细表!C19&lt;&gt;0,A105100企业重组纳税调整明细表!D19&lt;&gt;0,A105100企业重组纳税调整明细表!F19&lt;&gt;0,A105100企业重组纳税调整明细表!G19&lt;&gt;0),"是","否")</f>
        <v>否</v>
      </c>
      <c r="G23" s="1517" t="str">
        <f t="shared" si="0"/>
        <v>是</v>
      </c>
    </row>
    <row r="24" spans="1:7" ht="14.25" customHeight="1">
      <c r="A24" s="2571" t="s">
        <v>2518</v>
      </c>
      <c r="B24" s="2111" t="s">
        <v>2519</v>
      </c>
      <c r="C24" s="1999" t="str">
        <f t="shared" si="1"/>
        <v>否</v>
      </c>
      <c r="F24" s="1517" t="str">
        <f>IF(OR(A105110政策性搬迁纳税调整明细表!C4&lt;&gt;0,A105110政策性搬迁纳税调整明细表!C12&lt;&gt;0,A105110政策性搬迁纳税调整明细表!C21&lt;&gt;0,A105110政策性搬迁纳税调整明细表!C25&lt;&gt;0,A105110政策性搬迁纳税调整明细表!C26&lt;&gt;0),"是","否")</f>
        <v>否</v>
      </c>
      <c r="G24" s="1517" t="str">
        <f t="shared" si="0"/>
        <v>是</v>
      </c>
    </row>
    <row r="25" spans="1:7" ht="14.25" customHeight="1">
      <c r="A25" s="2571" t="s">
        <v>2520</v>
      </c>
      <c r="B25" s="2111" t="s">
        <v>2521</v>
      </c>
      <c r="C25" s="1999" t="str">
        <f t="shared" si="1"/>
        <v>否</v>
      </c>
      <c r="F25" s="1517" t="str">
        <f>IF(A105120特殊行业准备金纳税调整明细表!C34&lt;&gt;0,"是","否")</f>
        <v>否</v>
      </c>
      <c r="G25" s="1517" t="str">
        <f t="shared" si="0"/>
        <v>是</v>
      </c>
    </row>
    <row r="26" spans="1:7" ht="14.25" customHeight="1">
      <c r="A26" s="2571" t="s">
        <v>2522</v>
      </c>
      <c r="B26" s="2111" t="s">
        <v>2523</v>
      </c>
      <c r="C26" s="1999" t="s">
        <v>1078</v>
      </c>
      <c r="F26" s="1517" t="str">
        <f ca="1">IF(OR(A106000企业所得税弥补亏损明细表!L11&lt;&gt;0,A106000企业所得税弥补亏损明细表!D6&lt;0,A106000企业所得税弥补亏损明细表!D7&lt;0,A106000企业所得税弥补亏损明细表!D8&lt;0,A106000企业所得税弥补亏损明细表!D9&lt;0,A106000企业所得税弥补亏损明细表!D10&lt;0,A106000企业所得税弥补亏损明细表!D11&lt;0),"是","否")</f>
        <v>否</v>
      </c>
      <c r="G26" s="1517" t="str">
        <f t="shared" ca="1" si="0"/>
        <v>是</v>
      </c>
    </row>
    <row r="27" spans="1:7" ht="14.25" customHeight="1">
      <c r="A27" s="2571" t="s">
        <v>2524</v>
      </c>
      <c r="B27" s="2111" t="s">
        <v>2525</v>
      </c>
      <c r="C27" s="1999" t="str">
        <f t="shared" si="1"/>
        <v>否</v>
      </c>
      <c r="F27" s="1517" t="str">
        <f>IF(A107010免税、减计收入及加计扣除优惠明细表!C30&lt;&gt;0,"是","否")</f>
        <v>否</v>
      </c>
      <c r="G27" s="1517" t="str">
        <f t="shared" si="0"/>
        <v>是</v>
      </c>
    </row>
    <row r="28" spans="1:7" ht="14.25" customHeight="1">
      <c r="A28" s="2571" t="s">
        <v>2526</v>
      </c>
      <c r="B28" s="2572" t="s">
        <v>2527</v>
      </c>
      <c r="C28" s="1999" t="str">
        <f t="shared" si="1"/>
        <v>否</v>
      </c>
      <c r="F28" s="1517" t="str">
        <f>IF(SUM(A107011股息红利优惠明细表!B6:B14)&lt;&gt;0,"是","否")</f>
        <v>否</v>
      </c>
      <c r="G28" s="1517" t="str">
        <f t="shared" si="0"/>
        <v>是</v>
      </c>
    </row>
    <row r="29" spans="1:7" ht="14.25" customHeight="1">
      <c r="A29" s="2571" t="s">
        <v>2528</v>
      </c>
      <c r="B29" s="2111" t="s">
        <v>2529</v>
      </c>
      <c r="C29" s="1999" t="str">
        <f t="shared" si="1"/>
        <v>否</v>
      </c>
      <c r="F29" s="1517" t="str">
        <f>IF(SUM(A107012综合利用资源生产产品取得的收入优惠明细表!B6:B14)&lt;&gt;0,"是","否")</f>
        <v>否</v>
      </c>
      <c r="G29" s="1517" t="str">
        <f t="shared" si="0"/>
        <v>是</v>
      </c>
    </row>
    <row r="30" spans="1:7" ht="14.25" customHeight="1">
      <c r="A30" s="2571" t="s">
        <v>2530</v>
      </c>
      <c r="B30" s="2111" t="s">
        <v>2531</v>
      </c>
      <c r="C30" s="1999" t="str">
        <f t="shared" si="1"/>
        <v>否</v>
      </c>
      <c r="F30" s="1517" t="str">
        <f>IF(OR(A107013金融保险等机构取得涉农利息保费收入优惠明细表!C5&lt;&gt;0,A107013金融保险等机构取得涉农利息保费收入优惠明细表!C8&lt;&gt;0,A107013金融保险等机构取得涉农利息保费收入优惠明细表!C14&lt;&gt;0),"是","否")</f>
        <v>否</v>
      </c>
      <c r="G30" s="1517" t="str">
        <f t="shared" si="0"/>
        <v>是</v>
      </c>
    </row>
    <row r="31" spans="1:7" ht="14.25" customHeight="1">
      <c r="A31" s="2571" t="s">
        <v>2532</v>
      </c>
      <c r="B31" s="2111" t="s">
        <v>2533</v>
      </c>
      <c r="C31" s="1999" t="str">
        <f t="shared" si="1"/>
        <v>否</v>
      </c>
      <c r="F31" s="1517" t="str">
        <f>IF(SUM(A107014研发费用加计扣除优惠明细表!T16)&lt;&gt;0,"是","否")</f>
        <v>否</v>
      </c>
      <c r="G31" s="1517" t="str">
        <f t="shared" si="0"/>
        <v>是</v>
      </c>
    </row>
    <row r="32" spans="1:7" ht="14.25" customHeight="1">
      <c r="A32" s="2571" t="s">
        <v>2534</v>
      </c>
      <c r="B32" s="2111" t="s">
        <v>2535</v>
      </c>
      <c r="C32" s="1999" t="str">
        <f t="shared" si="1"/>
        <v>否</v>
      </c>
      <c r="F32" s="1517" t="str">
        <f>IF(OR(A107020所得减免优惠明细表!C44&lt;&gt;0,A107020所得减免优惠明细表!H44&lt;&gt;0,A107020所得减免优惠明细表!I44&lt;&gt;0),"是","否")</f>
        <v>否</v>
      </c>
      <c r="G32" s="1517" t="str">
        <f t="shared" si="0"/>
        <v>是</v>
      </c>
    </row>
    <row r="33" spans="1:7" ht="14.25" customHeight="1">
      <c r="A33" s="2571" t="s">
        <v>2536</v>
      </c>
      <c r="B33" s="2111" t="s">
        <v>2537</v>
      </c>
      <c r="C33" s="1999" t="str">
        <f t="shared" si="1"/>
        <v>否</v>
      </c>
      <c r="F33" s="1517" t="str">
        <f>IF(OR(A107030抵扣应纳税所得额明细表!C9&lt;&gt;0,A107030抵扣应纳税所得额明细表!C17&lt;&gt;0),"是","否")</f>
        <v>否</v>
      </c>
      <c r="G33" s="1517" t="str">
        <f t="shared" si="0"/>
        <v>是</v>
      </c>
    </row>
    <row r="34" spans="1:7" ht="14.25" customHeight="1">
      <c r="A34" s="2571" t="s">
        <v>2538</v>
      </c>
      <c r="B34" s="2111" t="s">
        <v>2539</v>
      </c>
      <c r="C34" s="1999" t="str">
        <f t="shared" si="1"/>
        <v>否</v>
      </c>
      <c r="F34" s="1517" t="str">
        <f>IF(A107040减免所得税优惠明细表!D53&lt;&gt;0,"是","否")</f>
        <v>否</v>
      </c>
      <c r="G34" s="1517" t="str">
        <f t="shared" si="0"/>
        <v>是</v>
      </c>
    </row>
    <row r="35" spans="1:7" ht="14.25" customHeight="1">
      <c r="A35" s="2571" t="s">
        <v>2540</v>
      </c>
      <c r="B35" s="2111" t="s">
        <v>2541</v>
      </c>
      <c r="C35" s="1999" t="str">
        <f t="shared" si="1"/>
        <v>否</v>
      </c>
      <c r="F35" s="1517" t="str">
        <f>IF(A107041高新技术企业优惠情况及明细表!D4&lt;&gt;0,"是","否")</f>
        <v>否</v>
      </c>
      <c r="G35" s="1517" t="str">
        <f t="shared" si="0"/>
        <v>是</v>
      </c>
    </row>
    <row r="36" spans="1:7" ht="14.25" customHeight="1">
      <c r="A36" s="2571" t="s">
        <v>2542</v>
      </c>
      <c r="B36" s="2111" t="s">
        <v>2543</v>
      </c>
      <c r="C36" s="1999" t="str">
        <f t="shared" si="1"/>
        <v>否</v>
      </c>
      <c r="F36" s="1517" t="str">
        <f>IF(SUM(A107042软件、集成电路企业优惠情况及明细表!E6:E10)&lt;&gt;0,"是","否")</f>
        <v>否</v>
      </c>
      <c r="G36" s="1517" t="str">
        <f t="shared" si="0"/>
        <v>是</v>
      </c>
    </row>
    <row r="37" spans="1:7" ht="14.25" customHeight="1">
      <c r="A37" s="2571" t="s">
        <v>2544</v>
      </c>
      <c r="B37" s="2111" t="s">
        <v>2545</v>
      </c>
      <c r="C37" s="1999" t="str">
        <f t="shared" si="1"/>
        <v>否</v>
      </c>
      <c r="F37" s="1517" t="str">
        <f>IF(SUM(A107050税额抵免优惠明细表!E6:E11)&lt;&gt;0,"是","否")</f>
        <v>否</v>
      </c>
      <c r="G37" s="1517" t="str">
        <f t="shared" si="0"/>
        <v>是</v>
      </c>
    </row>
    <row r="38" spans="1:7" ht="14.25" customHeight="1">
      <c r="A38" s="2571" t="s">
        <v>2546</v>
      </c>
      <c r="B38" s="2111" t="s">
        <v>2547</v>
      </c>
      <c r="C38" s="1999" t="str">
        <f t="shared" si="1"/>
        <v>否</v>
      </c>
      <c r="F38" s="1517" t="str">
        <f>IF(SUM(A108000境外所得税收抵免明细表!B6:B14)&lt;&gt;0,"是","否")</f>
        <v>否</v>
      </c>
      <c r="G38" s="1517" t="str">
        <f t="shared" si="0"/>
        <v>是</v>
      </c>
    </row>
    <row r="39" spans="1:7" ht="14.25" customHeight="1">
      <c r="A39" s="2571" t="s">
        <v>2548</v>
      </c>
      <c r="B39" s="2572" t="s">
        <v>2549</v>
      </c>
      <c r="C39" s="1999" t="str">
        <f t="shared" si="1"/>
        <v>否</v>
      </c>
      <c r="F39" s="1517" t="str">
        <f>IF(SUM(A108010境外所得纳税调整后所得明细表!B6:B14)&lt;&gt;0,"是","否")</f>
        <v>否</v>
      </c>
      <c r="G39" s="1517" t="str">
        <f t="shared" si="0"/>
        <v>是</v>
      </c>
    </row>
    <row r="40" spans="1:7" ht="14.25" customHeight="1">
      <c r="A40" s="2571" t="s">
        <v>2550</v>
      </c>
      <c r="B40" s="2111" t="s">
        <v>2551</v>
      </c>
      <c r="C40" s="1999" t="str">
        <f t="shared" si="1"/>
        <v>否</v>
      </c>
      <c r="F40" s="1517" t="str">
        <f>IF(SUM(A108020境外分支机构弥补亏损明细表!B9:B17)&lt;&gt;0,"是","否")</f>
        <v>否</v>
      </c>
      <c r="G40" s="1517" t="str">
        <f t="shared" si="0"/>
        <v>是</v>
      </c>
    </row>
    <row r="41" spans="1:7" ht="14.25" customHeight="1">
      <c r="A41" s="2571" t="s">
        <v>2552</v>
      </c>
      <c r="B41" s="2111" t="s">
        <v>2553</v>
      </c>
      <c r="C41" s="1999" t="str">
        <f t="shared" si="1"/>
        <v>否</v>
      </c>
      <c r="F41" s="1517" t="str">
        <f>IF(SUM(A108030跨年度结转抵免境外所得税明细表!B6:B14)&lt;&gt;0,"是","否")</f>
        <v>否</v>
      </c>
      <c r="G41" s="1517" t="str">
        <f t="shared" si="0"/>
        <v>是</v>
      </c>
    </row>
    <row r="42" spans="1:7" ht="14.25" customHeight="1">
      <c r="A42" s="2571" t="s">
        <v>2554</v>
      </c>
      <c r="B42" s="2111" t="s">
        <v>2555</v>
      </c>
      <c r="C42" s="1999" t="str">
        <f t="shared" si="1"/>
        <v>否</v>
      </c>
      <c r="F42" s="1517" t="str">
        <f>IF(OR(A109000跨地区经营汇总纳税企业年度分摊企业所得税明细表!C4&lt;&gt;0,A109000跨地区经营汇总纳税企业年度分摊企业所得税明细表!C7&lt;&gt;0,A109000跨地区经营汇总纳税企业年度分摊企业所得税明细表!C8&lt;&gt;0),"是","否")</f>
        <v>否</v>
      </c>
      <c r="G42" s="1517" t="str">
        <f t="shared" si="0"/>
        <v>是</v>
      </c>
    </row>
    <row r="43" spans="1:7" ht="14.25" customHeight="1">
      <c r="A43" s="2571" t="s">
        <v>2556</v>
      </c>
      <c r="B43" s="2112" t="s">
        <v>2557</v>
      </c>
      <c r="C43" s="1999" t="str">
        <f t="shared" si="1"/>
        <v>否</v>
      </c>
      <c r="F43" s="1517" t="str">
        <f>IF(OR(A109010企业所得税汇总纳税分支机构所得税分配表!A6&lt;&gt;0,A109010企业所得税汇总纳税分支机构所得税分配表!H6&lt;&gt;0,SUM(A109010企业所得税汇总纳税分支机构所得税分配表!B9:B22)&lt;&gt;0),"是","否")</f>
        <v>否</v>
      </c>
      <c r="G43" s="1517" t="str">
        <f t="shared" si="0"/>
        <v>是</v>
      </c>
    </row>
    <row r="44" spans="1:7" ht="14.25" customHeight="1">
      <c r="A44" s="2571"/>
      <c r="B44" s="2112" t="s">
        <v>10290</v>
      </c>
      <c r="C44" s="1999" t="str">
        <f t="shared" si="1"/>
        <v>否</v>
      </c>
      <c r="F44" s="1517" t="s">
        <v>414</v>
      </c>
    </row>
    <row r="45" spans="1:7" ht="14.25" customHeight="1">
      <c r="A45" s="2571"/>
      <c r="B45" s="2112" t="s">
        <v>7422</v>
      </c>
      <c r="C45" s="1999" t="str">
        <f t="shared" si="1"/>
        <v>否</v>
      </c>
      <c r="F45" s="1517" t="s">
        <v>414</v>
      </c>
    </row>
    <row r="46" spans="1:7" ht="14.25" customHeight="1">
      <c r="A46" s="2571"/>
      <c r="B46" s="2112" t="s">
        <v>10291</v>
      </c>
      <c r="C46" s="1999" t="str">
        <f t="shared" si="1"/>
        <v>否</v>
      </c>
      <c r="F46" s="1517" t="s">
        <v>414</v>
      </c>
    </row>
    <row r="47" spans="1:7" ht="14.25" customHeight="1">
      <c r="A47" s="2571"/>
      <c r="B47" s="2112" t="s">
        <v>10294</v>
      </c>
      <c r="C47" s="1999" t="str">
        <f t="shared" si="1"/>
        <v>否</v>
      </c>
      <c r="F47" s="1517" t="s">
        <v>414</v>
      </c>
    </row>
    <row r="48" spans="1:7" ht="14.25" customHeight="1">
      <c r="A48" s="2571"/>
      <c r="B48" s="4118" t="s">
        <v>10293</v>
      </c>
      <c r="C48" s="1999" t="str">
        <f t="shared" si="1"/>
        <v>否</v>
      </c>
      <c r="F48" s="1517" t="str">
        <f>IF(研发项目可加计扣除研究开发费用情况归集表!D79&lt;&gt;0,"是","否")</f>
        <v>否</v>
      </c>
    </row>
    <row r="49" spans="1:3" ht="14.25" customHeight="1">
      <c r="A49" s="3476" t="s">
        <v>2558</v>
      </c>
      <c r="B49" s="3476"/>
      <c r="C49" s="3476"/>
    </row>
  </sheetData>
  <dataConsolidate/>
  <mergeCells count="2">
    <mergeCell ref="A1:C1"/>
    <mergeCell ref="A49:C49"/>
  </mergeCells>
  <phoneticPr fontId="51" type="noConversion"/>
  <dataValidations count="40">
    <dataValidation type="list" allowBlank="1" showInputMessage="1" showErrorMessage="1" sqref="WVK983050:WVK983088 IY5:IY48 SU5:SU48 ACQ5:ACQ48 AMM5:AMM48 AWI5:AWI48 BGE5:BGE48 BQA5:BQA48 BZW5:BZW48 CJS5:CJS48 CTO5:CTO48 DDK5:DDK48 DNG5:DNG48 DXC5:DXC48 EGY5:EGY48 EQU5:EQU48 FAQ5:FAQ48 FKM5:FKM48 FUI5:FUI48 GEE5:GEE48 GOA5:GOA48 GXW5:GXW48 HHS5:HHS48 HRO5:HRO48 IBK5:IBK48 ILG5:ILG48 IVC5:IVC48 JEY5:JEY48 JOU5:JOU48 JYQ5:JYQ48 KIM5:KIM48 KSI5:KSI48 LCE5:LCE48 LMA5:LMA48 LVW5:LVW48 MFS5:MFS48 MPO5:MPO48 MZK5:MZK48 NJG5:NJG48 NTC5:NTC48 OCY5:OCY48 OMU5:OMU48 OWQ5:OWQ48 PGM5:PGM48 PQI5:PQI48 QAE5:QAE48 QKA5:QKA48 QTW5:QTW48 RDS5:RDS48 RNO5:RNO48 RXK5:RXK48 SHG5:SHG48 SRC5:SRC48 TAY5:TAY48 TKU5:TKU48 TUQ5:TUQ48 UEM5:UEM48 UOI5:UOI48 UYE5:UYE48 VIA5:VIA48 VRW5:VRW48 WBS5:WBS48 WLO5:WLO48 WVK5:WVK48 C65546:C65584 IY65546:IY65584 SU65546:SU65584 ACQ65546:ACQ65584 AMM65546:AMM65584 AWI65546:AWI65584 BGE65546:BGE65584 BQA65546:BQA65584 BZW65546:BZW65584 CJS65546:CJS65584 CTO65546:CTO65584 DDK65546:DDK65584 DNG65546:DNG65584 DXC65546:DXC65584 EGY65546:EGY65584 EQU65546:EQU65584 FAQ65546:FAQ65584 FKM65546:FKM65584 FUI65546:FUI65584 GEE65546:GEE65584 GOA65546:GOA65584 GXW65546:GXW65584 HHS65546:HHS65584 HRO65546:HRO65584 IBK65546:IBK65584 ILG65546:ILG65584 IVC65546:IVC65584 JEY65546:JEY65584 JOU65546:JOU65584 JYQ65546:JYQ65584 KIM65546:KIM65584 KSI65546:KSI65584 LCE65546:LCE65584 LMA65546:LMA65584 LVW65546:LVW65584 MFS65546:MFS65584 MPO65546:MPO65584 MZK65546:MZK65584 NJG65546:NJG65584 NTC65546:NTC65584 OCY65546:OCY65584 OMU65546:OMU65584 OWQ65546:OWQ65584 PGM65546:PGM65584 PQI65546:PQI65584 QAE65546:QAE65584 QKA65546:QKA65584 QTW65546:QTW65584 RDS65546:RDS65584 RNO65546:RNO65584 RXK65546:RXK65584 SHG65546:SHG65584 SRC65546:SRC65584 TAY65546:TAY65584 TKU65546:TKU65584 TUQ65546:TUQ65584 UEM65546:UEM65584 UOI65546:UOI65584 UYE65546:UYE65584 VIA65546:VIA65584 VRW65546:VRW65584 WBS65546:WBS65584 WLO65546:WLO65584 WVK65546:WVK65584 C131082:C131120 IY131082:IY131120 SU131082:SU131120 ACQ131082:ACQ131120 AMM131082:AMM131120 AWI131082:AWI131120 BGE131082:BGE131120 BQA131082:BQA131120 BZW131082:BZW131120 CJS131082:CJS131120 CTO131082:CTO131120 DDK131082:DDK131120 DNG131082:DNG131120 DXC131082:DXC131120 EGY131082:EGY131120 EQU131082:EQU131120 FAQ131082:FAQ131120 FKM131082:FKM131120 FUI131082:FUI131120 GEE131082:GEE131120 GOA131082:GOA131120 GXW131082:GXW131120 HHS131082:HHS131120 HRO131082:HRO131120 IBK131082:IBK131120 ILG131082:ILG131120 IVC131082:IVC131120 JEY131082:JEY131120 JOU131082:JOU131120 JYQ131082:JYQ131120 KIM131082:KIM131120 KSI131082:KSI131120 LCE131082:LCE131120 LMA131082:LMA131120 LVW131082:LVW131120 MFS131082:MFS131120 MPO131082:MPO131120 MZK131082:MZK131120 NJG131082:NJG131120 NTC131082:NTC131120 OCY131082:OCY131120 OMU131082:OMU131120 OWQ131082:OWQ131120 PGM131082:PGM131120 PQI131082:PQI131120 QAE131082:QAE131120 QKA131082:QKA131120 QTW131082:QTW131120 RDS131082:RDS131120 RNO131082:RNO131120 RXK131082:RXK131120 SHG131082:SHG131120 SRC131082:SRC131120 TAY131082:TAY131120 TKU131082:TKU131120 TUQ131082:TUQ131120 UEM131082:UEM131120 UOI131082:UOI131120 UYE131082:UYE131120 VIA131082:VIA131120 VRW131082:VRW131120 WBS131082:WBS131120 WLO131082:WLO131120 WVK131082:WVK131120 C196618:C196656 IY196618:IY196656 SU196618:SU196656 ACQ196618:ACQ196656 AMM196618:AMM196656 AWI196618:AWI196656 BGE196618:BGE196656 BQA196618:BQA196656 BZW196618:BZW196656 CJS196618:CJS196656 CTO196618:CTO196656 DDK196618:DDK196656 DNG196618:DNG196656 DXC196618:DXC196656 EGY196618:EGY196656 EQU196618:EQU196656 FAQ196618:FAQ196656 FKM196618:FKM196656 FUI196618:FUI196656 GEE196618:GEE196656 GOA196618:GOA196656 GXW196618:GXW196656 HHS196618:HHS196656 HRO196618:HRO196656 IBK196618:IBK196656 ILG196618:ILG196656 IVC196618:IVC196656 JEY196618:JEY196656 JOU196618:JOU196656 JYQ196618:JYQ196656 KIM196618:KIM196656 KSI196618:KSI196656 LCE196618:LCE196656 LMA196618:LMA196656 LVW196618:LVW196656 MFS196618:MFS196656 MPO196618:MPO196656 MZK196618:MZK196656 NJG196618:NJG196656 NTC196618:NTC196656 OCY196618:OCY196656 OMU196618:OMU196656 OWQ196618:OWQ196656 PGM196618:PGM196656 PQI196618:PQI196656 QAE196618:QAE196656 QKA196618:QKA196656 QTW196618:QTW196656 RDS196618:RDS196656 RNO196618:RNO196656 RXK196618:RXK196656 SHG196618:SHG196656 SRC196618:SRC196656 TAY196618:TAY196656 TKU196618:TKU196656 TUQ196618:TUQ196656 UEM196618:UEM196656 UOI196618:UOI196656 UYE196618:UYE196656 VIA196618:VIA196656 VRW196618:VRW196656 WBS196618:WBS196656 WLO196618:WLO196656 WVK196618:WVK196656 C262154:C262192 IY262154:IY262192 SU262154:SU262192 ACQ262154:ACQ262192 AMM262154:AMM262192 AWI262154:AWI262192 BGE262154:BGE262192 BQA262154:BQA262192 BZW262154:BZW262192 CJS262154:CJS262192 CTO262154:CTO262192 DDK262154:DDK262192 DNG262154:DNG262192 DXC262154:DXC262192 EGY262154:EGY262192 EQU262154:EQU262192 FAQ262154:FAQ262192 FKM262154:FKM262192 FUI262154:FUI262192 GEE262154:GEE262192 GOA262154:GOA262192 GXW262154:GXW262192 HHS262154:HHS262192 HRO262154:HRO262192 IBK262154:IBK262192 ILG262154:ILG262192 IVC262154:IVC262192 JEY262154:JEY262192 JOU262154:JOU262192 JYQ262154:JYQ262192 KIM262154:KIM262192 KSI262154:KSI262192 LCE262154:LCE262192 LMA262154:LMA262192 LVW262154:LVW262192 MFS262154:MFS262192 MPO262154:MPO262192 MZK262154:MZK262192 NJG262154:NJG262192 NTC262154:NTC262192 OCY262154:OCY262192 OMU262154:OMU262192 OWQ262154:OWQ262192 PGM262154:PGM262192 PQI262154:PQI262192 QAE262154:QAE262192 QKA262154:QKA262192 QTW262154:QTW262192 RDS262154:RDS262192 RNO262154:RNO262192 RXK262154:RXK262192 SHG262154:SHG262192 SRC262154:SRC262192 TAY262154:TAY262192 TKU262154:TKU262192 TUQ262154:TUQ262192 UEM262154:UEM262192 UOI262154:UOI262192 UYE262154:UYE262192 VIA262154:VIA262192 VRW262154:VRW262192 WBS262154:WBS262192 WLO262154:WLO262192 WVK262154:WVK262192 C327690:C327728 IY327690:IY327728 SU327690:SU327728 ACQ327690:ACQ327728 AMM327690:AMM327728 AWI327690:AWI327728 BGE327690:BGE327728 BQA327690:BQA327728 BZW327690:BZW327728 CJS327690:CJS327728 CTO327690:CTO327728 DDK327690:DDK327728 DNG327690:DNG327728 DXC327690:DXC327728 EGY327690:EGY327728 EQU327690:EQU327728 FAQ327690:FAQ327728 FKM327690:FKM327728 FUI327690:FUI327728 GEE327690:GEE327728 GOA327690:GOA327728 GXW327690:GXW327728 HHS327690:HHS327728 HRO327690:HRO327728 IBK327690:IBK327728 ILG327690:ILG327728 IVC327690:IVC327728 JEY327690:JEY327728 JOU327690:JOU327728 JYQ327690:JYQ327728 KIM327690:KIM327728 KSI327690:KSI327728 LCE327690:LCE327728 LMA327690:LMA327728 LVW327690:LVW327728 MFS327690:MFS327728 MPO327690:MPO327728 MZK327690:MZK327728 NJG327690:NJG327728 NTC327690:NTC327728 OCY327690:OCY327728 OMU327690:OMU327728 OWQ327690:OWQ327728 PGM327690:PGM327728 PQI327690:PQI327728 QAE327690:QAE327728 QKA327690:QKA327728 QTW327690:QTW327728 RDS327690:RDS327728 RNO327690:RNO327728 RXK327690:RXK327728 SHG327690:SHG327728 SRC327690:SRC327728 TAY327690:TAY327728 TKU327690:TKU327728 TUQ327690:TUQ327728 UEM327690:UEM327728 UOI327690:UOI327728 UYE327690:UYE327728 VIA327690:VIA327728 VRW327690:VRW327728 WBS327690:WBS327728 WLO327690:WLO327728 WVK327690:WVK327728 C393226:C393264 IY393226:IY393264 SU393226:SU393264 ACQ393226:ACQ393264 AMM393226:AMM393264 AWI393226:AWI393264 BGE393226:BGE393264 BQA393226:BQA393264 BZW393226:BZW393264 CJS393226:CJS393264 CTO393226:CTO393264 DDK393226:DDK393264 DNG393226:DNG393264 DXC393226:DXC393264 EGY393226:EGY393264 EQU393226:EQU393264 FAQ393226:FAQ393264 FKM393226:FKM393264 FUI393226:FUI393264 GEE393226:GEE393264 GOA393226:GOA393264 GXW393226:GXW393264 HHS393226:HHS393264 HRO393226:HRO393264 IBK393226:IBK393264 ILG393226:ILG393264 IVC393226:IVC393264 JEY393226:JEY393264 JOU393226:JOU393264 JYQ393226:JYQ393264 KIM393226:KIM393264 KSI393226:KSI393264 LCE393226:LCE393264 LMA393226:LMA393264 LVW393226:LVW393264 MFS393226:MFS393264 MPO393226:MPO393264 MZK393226:MZK393264 NJG393226:NJG393264 NTC393226:NTC393264 OCY393226:OCY393264 OMU393226:OMU393264 OWQ393226:OWQ393264 PGM393226:PGM393264 PQI393226:PQI393264 QAE393226:QAE393264 QKA393226:QKA393264 QTW393226:QTW393264 RDS393226:RDS393264 RNO393226:RNO393264 RXK393226:RXK393264 SHG393226:SHG393264 SRC393226:SRC393264 TAY393226:TAY393264 TKU393226:TKU393264 TUQ393226:TUQ393264 UEM393226:UEM393264 UOI393226:UOI393264 UYE393226:UYE393264 VIA393226:VIA393264 VRW393226:VRW393264 WBS393226:WBS393264 WLO393226:WLO393264 WVK393226:WVK393264 C458762:C458800 IY458762:IY458800 SU458762:SU458800 ACQ458762:ACQ458800 AMM458762:AMM458800 AWI458762:AWI458800 BGE458762:BGE458800 BQA458762:BQA458800 BZW458762:BZW458800 CJS458762:CJS458800 CTO458762:CTO458800 DDK458762:DDK458800 DNG458762:DNG458800 DXC458762:DXC458800 EGY458762:EGY458800 EQU458762:EQU458800 FAQ458762:FAQ458800 FKM458762:FKM458800 FUI458762:FUI458800 GEE458762:GEE458800 GOA458762:GOA458800 GXW458762:GXW458800 HHS458762:HHS458800 HRO458762:HRO458800 IBK458762:IBK458800 ILG458762:ILG458800 IVC458762:IVC458800 JEY458762:JEY458800 JOU458762:JOU458800 JYQ458762:JYQ458800 KIM458762:KIM458800 KSI458762:KSI458800 LCE458762:LCE458800 LMA458762:LMA458800 LVW458762:LVW458800 MFS458762:MFS458800 MPO458762:MPO458800 MZK458762:MZK458800 NJG458762:NJG458800 NTC458762:NTC458800 OCY458762:OCY458800 OMU458762:OMU458800 OWQ458762:OWQ458800 PGM458762:PGM458800 PQI458762:PQI458800 QAE458762:QAE458800 QKA458762:QKA458800 QTW458762:QTW458800 RDS458762:RDS458800 RNO458762:RNO458800 RXK458762:RXK458800 SHG458762:SHG458800 SRC458762:SRC458800 TAY458762:TAY458800 TKU458762:TKU458800 TUQ458762:TUQ458800 UEM458762:UEM458800 UOI458762:UOI458800 UYE458762:UYE458800 VIA458762:VIA458800 VRW458762:VRW458800 WBS458762:WBS458800 WLO458762:WLO458800 WVK458762:WVK458800 C524298:C524336 IY524298:IY524336 SU524298:SU524336 ACQ524298:ACQ524336 AMM524298:AMM524336 AWI524298:AWI524336 BGE524298:BGE524336 BQA524298:BQA524336 BZW524298:BZW524336 CJS524298:CJS524336 CTO524298:CTO524336 DDK524298:DDK524336 DNG524298:DNG524336 DXC524298:DXC524336 EGY524298:EGY524336 EQU524298:EQU524336 FAQ524298:FAQ524336 FKM524298:FKM524336 FUI524298:FUI524336 GEE524298:GEE524336 GOA524298:GOA524336 GXW524298:GXW524336 HHS524298:HHS524336 HRO524298:HRO524336 IBK524298:IBK524336 ILG524298:ILG524336 IVC524298:IVC524336 JEY524298:JEY524336 JOU524298:JOU524336 JYQ524298:JYQ524336 KIM524298:KIM524336 KSI524298:KSI524336 LCE524298:LCE524336 LMA524298:LMA524336 LVW524298:LVW524336 MFS524298:MFS524336 MPO524298:MPO524336 MZK524298:MZK524336 NJG524298:NJG524336 NTC524298:NTC524336 OCY524298:OCY524336 OMU524298:OMU524336 OWQ524298:OWQ524336 PGM524298:PGM524336 PQI524298:PQI524336 QAE524298:QAE524336 QKA524298:QKA524336 QTW524298:QTW524336 RDS524298:RDS524336 RNO524298:RNO524336 RXK524298:RXK524336 SHG524298:SHG524336 SRC524298:SRC524336 TAY524298:TAY524336 TKU524298:TKU524336 TUQ524298:TUQ524336 UEM524298:UEM524336 UOI524298:UOI524336 UYE524298:UYE524336 VIA524298:VIA524336 VRW524298:VRW524336 WBS524298:WBS524336 WLO524298:WLO524336 WVK524298:WVK524336 C589834:C589872 IY589834:IY589872 SU589834:SU589872 ACQ589834:ACQ589872 AMM589834:AMM589872 AWI589834:AWI589872 BGE589834:BGE589872 BQA589834:BQA589872 BZW589834:BZW589872 CJS589834:CJS589872 CTO589834:CTO589872 DDK589834:DDK589872 DNG589834:DNG589872 DXC589834:DXC589872 EGY589834:EGY589872 EQU589834:EQU589872 FAQ589834:FAQ589872 FKM589834:FKM589872 FUI589834:FUI589872 GEE589834:GEE589872 GOA589834:GOA589872 GXW589834:GXW589872 HHS589834:HHS589872 HRO589834:HRO589872 IBK589834:IBK589872 ILG589834:ILG589872 IVC589834:IVC589872 JEY589834:JEY589872 JOU589834:JOU589872 JYQ589834:JYQ589872 KIM589834:KIM589872 KSI589834:KSI589872 LCE589834:LCE589872 LMA589834:LMA589872 LVW589834:LVW589872 MFS589834:MFS589872 MPO589834:MPO589872 MZK589834:MZK589872 NJG589834:NJG589872 NTC589834:NTC589872 OCY589834:OCY589872 OMU589834:OMU589872 OWQ589834:OWQ589872 PGM589834:PGM589872 PQI589834:PQI589872 QAE589834:QAE589872 QKA589834:QKA589872 QTW589834:QTW589872 RDS589834:RDS589872 RNO589834:RNO589872 RXK589834:RXK589872 SHG589834:SHG589872 SRC589834:SRC589872 TAY589834:TAY589872 TKU589834:TKU589872 TUQ589834:TUQ589872 UEM589834:UEM589872 UOI589834:UOI589872 UYE589834:UYE589872 VIA589834:VIA589872 VRW589834:VRW589872 WBS589834:WBS589872 WLO589834:WLO589872 WVK589834:WVK589872 C655370:C655408 IY655370:IY655408 SU655370:SU655408 ACQ655370:ACQ655408 AMM655370:AMM655408 AWI655370:AWI655408 BGE655370:BGE655408 BQA655370:BQA655408 BZW655370:BZW655408 CJS655370:CJS655408 CTO655370:CTO655408 DDK655370:DDK655408 DNG655370:DNG655408 DXC655370:DXC655408 EGY655370:EGY655408 EQU655370:EQU655408 FAQ655370:FAQ655408 FKM655370:FKM655408 FUI655370:FUI655408 GEE655370:GEE655408 GOA655370:GOA655408 GXW655370:GXW655408 HHS655370:HHS655408 HRO655370:HRO655408 IBK655370:IBK655408 ILG655370:ILG655408 IVC655370:IVC655408 JEY655370:JEY655408 JOU655370:JOU655408 JYQ655370:JYQ655408 KIM655370:KIM655408 KSI655370:KSI655408 LCE655370:LCE655408 LMA655370:LMA655408 LVW655370:LVW655408 MFS655370:MFS655408 MPO655370:MPO655408 MZK655370:MZK655408 NJG655370:NJG655408 NTC655370:NTC655408 OCY655370:OCY655408 OMU655370:OMU655408 OWQ655370:OWQ655408 PGM655370:PGM655408 PQI655370:PQI655408 QAE655370:QAE655408 QKA655370:QKA655408 QTW655370:QTW655408 RDS655370:RDS655408 RNO655370:RNO655408 RXK655370:RXK655408 SHG655370:SHG655408 SRC655370:SRC655408 TAY655370:TAY655408 TKU655370:TKU655408 TUQ655370:TUQ655408 UEM655370:UEM655408 UOI655370:UOI655408 UYE655370:UYE655408 VIA655370:VIA655408 VRW655370:VRW655408 WBS655370:WBS655408 WLO655370:WLO655408 WVK655370:WVK655408 C720906:C720944 IY720906:IY720944 SU720906:SU720944 ACQ720906:ACQ720944 AMM720906:AMM720944 AWI720906:AWI720944 BGE720906:BGE720944 BQA720906:BQA720944 BZW720906:BZW720944 CJS720906:CJS720944 CTO720906:CTO720944 DDK720906:DDK720944 DNG720906:DNG720944 DXC720906:DXC720944 EGY720906:EGY720944 EQU720906:EQU720944 FAQ720906:FAQ720944 FKM720906:FKM720944 FUI720906:FUI720944 GEE720906:GEE720944 GOA720906:GOA720944 GXW720906:GXW720944 HHS720906:HHS720944 HRO720906:HRO720944 IBK720906:IBK720944 ILG720906:ILG720944 IVC720906:IVC720944 JEY720906:JEY720944 JOU720906:JOU720944 JYQ720906:JYQ720944 KIM720906:KIM720944 KSI720906:KSI720944 LCE720906:LCE720944 LMA720906:LMA720944 LVW720906:LVW720944 MFS720906:MFS720944 MPO720906:MPO720944 MZK720906:MZK720944 NJG720906:NJG720944 NTC720906:NTC720944 OCY720906:OCY720944 OMU720906:OMU720944 OWQ720906:OWQ720944 PGM720906:PGM720944 PQI720906:PQI720944 QAE720906:QAE720944 QKA720906:QKA720944 QTW720906:QTW720944 RDS720906:RDS720944 RNO720906:RNO720944 RXK720906:RXK720944 SHG720906:SHG720944 SRC720906:SRC720944 TAY720906:TAY720944 TKU720906:TKU720944 TUQ720906:TUQ720944 UEM720906:UEM720944 UOI720906:UOI720944 UYE720906:UYE720944 VIA720906:VIA720944 VRW720906:VRW720944 WBS720906:WBS720944 WLO720906:WLO720944 WVK720906:WVK720944 C786442:C786480 IY786442:IY786480 SU786442:SU786480 ACQ786442:ACQ786480 AMM786442:AMM786480 AWI786442:AWI786480 BGE786442:BGE786480 BQA786442:BQA786480 BZW786442:BZW786480 CJS786442:CJS786480 CTO786442:CTO786480 DDK786442:DDK786480 DNG786442:DNG786480 DXC786442:DXC786480 EGY786442:EGY786480 EQU786442:EQU786480 FAQ786442:FAQ786480 FKM786442:FKM786480 FUI786442:FUI786480 GEE786442:GEE786480 GOA786442:GOA786480 GXW786442:GXW786480 HHS786442:HHS786480 HRO786442:HRO786480 IBK786442:IBK786480 ILG786442:ILG786480 IVC786442:IVC786480 JEY786442:JEY786480 JOU786442:JOU786480 JYQ786442:JYQ786480 KIM786442:KIM786480 KSI786442:KSI786480 LCE786442:LCE786480 LMA786442:LMA786480 LVW786442:LVW786480 MFS786442:MFS786480 MPO786442:MPO786480 MZK786442:MZK786480 NJG786442:NJG786480 NTC786442:NTC786480 OCY786442:OCY786480 OMU786442:OMU786480 OWQ786442:OWQ786480 PGM786442:PGM786480 PQI786442:PQI786480 QAE786442:QAE786480 QKA786442:QKA786480 QTW786442:QTW786480 RDS786442:RDS786480 RNO786442:RNO786480 RXK786442:RXK786480 SHG786442:SHG786480 SRC786442:SRC786480 TAY786442:TAY786480 TKU786442:TKU786480 TUQ786442:TUQ786480 UEM786442:UEM786480 UOI786442:UOI786480 UYE786442:UYE786480 VIA786442:VIA786480 VRW786442:VRW786480 WBS786442:WBS786480 WLO786442:WLO786480 WVK786442:WVK786480 C851978:C852016 IY851978:IY852016 SU851978:SU852016 ACQ851978:ACQ852016 AMM851978:AMM852016 AWI851978:AWI852016 BGE851978:BGE852016 BQA851978:BQA852016 BZW851978:BZW852016 CJS851978:CJS852016 CTO851978:CTO852016 DDK851978:DDK852016 DNG851978:DNG852016 DXC851978:DXC852016 EGY851978:EGY852016 EQU851978:EQU852016 FAQ851978:FAQ852016 FKM851978:FKM852016 FUI851978:FUI852016 GEE851978:GEE852016 GOA851978:GOA852016 GXW851978:GXW852016 HHS851978:HHS852016 HRO851978:HRO852016 IBK851978:IBK852016 ILG851978:ILG852016 IVC851978:IVC852016 JEY851978:JEY852016 JOU851978:JOU852016 JYQ851978:JYQ852016 KIM851978:KIM852016 KSI851978:KSI852016 LCE851978:LCE852016 LMA851978:LMA852016 LVW851978:LVW852016 MFS851978:MFS852016 MPO851978:MPO852016 MZK851978:MZK852016 NJG851978:NJG852016 NTC851978:NTC852016 OCY851978:OCY852016 OMU851978:OMU852016 OWQ851978:OWQ852016 PGM851978:PGM852016 PQI851978:PQI852016 QAE851978:QAE852016 QKA851978:QKA852016 QTW851978:QTW852016 RDS851978:RDS852016 RNO851978:RNO852016 RXK851978:RXK852016 SHG851978:SHG852016 SRC851978:SRC852016 TAY851978:TAY852016 TKU851978:TKU852016 TUQ851978:TUQ852016 UEM851978:UEM852016 UOI851978:UOI852016 UYE851978:UYE852016 VIA851978:VIA852016 VRW851978:VRW852016 WBS851978:WBS852016 WLO851978:WLO852016 WVK851978:WVK852016 C917514:C917552 IY917514:IY917552 SU917514:SU917552 ACQ917514:ACQ917552 AMM917514:AMM917552 AWI917514:AWI917552 BGE917514:BGE917552 BQA917514:BQA917552 BZW917514:BZW917552 CJS917514:CJS917552 CTO917514:CTO917552 DDK917514:DDK917552 DNG917514:DNG917552 DXC917514:DXC917552 EGY917514:EGY917552 EQU917514:EQU917552 FAQ917514:FAQ917552 FKM917514:FKM917552 FUI917514:FUI917552 GEE917514:GEE917552 GOA917514:GOA917552 GXW917514:GXW917552 HHS917514:HHS917552 HRO917514:HRO917552 IBK917514:IBK917552 ILG917514:ILG917552 IVC917514:IVC917552 JEY917514:JEY917552 JOU917514:JOU917552 JYQ917514:JYQ917552 KIM917514:KIM917552 KSI917514:KSI917552 LCE917514:LCE917552 LMA917514:LMA917552 LVW917514:LVW917552 MFS917514:MFS917552 MPO917514:MPO917552 MZK917514:MZK917552 NJG917514:NJG917552 NTC917514:NTC917552 OCY917514:OCY917552 OMU917514:OMU917552 OWQ917514:OWQ917552 PGM917514:PGM917552 PQI917514:PQI917552 QAE917514:QAE917552 QKA917514:QKA917552 QTW917514:QTW917552 RDS917514:RDS917552 RNO917514:RNO917552 RXK917514:RXK917552 SHG917514:SHG917552 SRC917514:SRC917552 TAY917514:TAY917552 TKU917514:TKU917552 TUQ917514:TUQ917552 UEM917514:UEM917552 UOI917514:UOI917552 UYE917514:UYE917552 VIA917514:VIA917552 VRW917514:VRW917552 WBS917514:WBS917552 WLO917514:WLO917552 WVK917514:WVK917552 C983050:C983088 IY983050:IY983088 SU983050:SU983088 ACQ983050:ACQ983088 AMM983050:AMM983088 AWI983050:AWI983088 BGE983050:BGE983088 BQA983050:BQA983088 BZW983050:BZW983088 CJS983050:CJS983088 CTO983050:CTO983088 DDK983050:DDK983088 DNG983050:DNG983088 DXC983050:DXC983088 EGY983050:EGY983088 EQU983050:EQU983088 FAQ983050:FAQ983088 FKM983050:FKM983088 FUI983050:FUI983088 GEE983050:GEE983088 GOA983050:GOA983088 GXW983050:GXW983088 HHS983050:HHS983088 HRO983050:HRO983088 IBK983050:IBK983088 ILG983050:ILG983088 IVC983050:IVC983088 JEY983050:JEY983088 JOU983050:JOU983088 JYQ983050:JYQ983088 KIM983050:KIM983088 KSI983050:KSI983088 LCE983050:LCE983088 LMA983050:LMA983088 LVW983050:LVW983088 MFS983050:MFS983088 MPO983050:MPO983088 MZK983050:MZK983088 NJG983050:NJG983088 NTC983050:NTC983088 OCY983050:OCY983088 OMU983050:OMU983088 OWQ983050:OWQ983088 PGM983050:PGM983088 PQI983050:PQI983088 QAE983050:QAE983088 QKA983050:QKA983088 QTW983050:QTW983088 RDS983050:RDS983088 RNO983050:RNO983088 RXK983050:RXK983088 SHG983050:SHG983088 SRC983050:SRC983088 TAY983050:TAY983088 TKU983050:TKU983088 TUQ983050:TUQ983088 UEM983050:UEM983088 UOI983050:UOI983088 UYE983050:UYE983088 VIA983050:VIA983088 VRW983050:VRW983088 WBS983050:WBS983088 WLO983050:WLO983088">
      <formula1>"是,否"</formula1>
    </dataValidation>
    <dataValidation type="list" allowBlank="1" showInputMessage="1" showErrorMessage="1" sqref="C5">
      <formula1>$F$5:$G$5</formula1>
    </dataValidation>
    <dataValidation type="list" allowBlank="1" showInputMessage="1" showErrorMessage="1" sqref="C6">
      <formula1>$F$6:$G$6</formula1>
    </dataValidation>
    <dataValidation type="list" allowBlank="1" showInputMessage="1" showErrorMessage="1" sqref="C7">
      <formula1>$F$7:$G$7</formula1>
    </dataValidation>
    <dataValidation type="list" allowBlank="1" showInputMessage="1" showErrorMessage="1" sqref="C9">
      <formula1>$F$9:$G$9</formula1>
    </dataValidation>
    <dataValidation type="list" allowBlank="1" showInputMessage="1" showErrorMessage="1" sqref="C8">
      <formula1>$F$8:$G$8</formula1>
    </dataValidation>
    <dataValidation type="list" allowBlank="1" showInputMessage="1" showErrorMessage="1" sqref="C10">
      <formula1>$F$10:$G$10</formula1>
    </dataValidation>
    <dataValidation type="list" allowBlank="1" showInputMessage="1" showErrorMessage="1" sqref="C11">
      <formula1>$F$11:$G$11</formula1>
    </dataValidation>
    <dataValidation type="list" allowBlank="1" showInputMessage="1" showErrorMessage="1" sqref="C12">
      <formula1>$F$12:$G$12</formula1>
    </dataValidation>
    <dataValidation type="list" allowBlank="1" showInputMessage="1" showErrorMessage="1" sqref="C13">
      <formula1>$F$13:$G$13</formula1>
    </dataValidation>
    <dataValidation type="list" allowBlank="1" showInputMessage="1" showErrorMessage="1" sqref="C14">
      <formula1>$F$14:$G$14</formula1>
    </dataValidation>
    <dataValidation type="list" allowBlank="1" showInputMessage="1" showErrorMessage="1" sqref="C15">
      <formula1>$F$15:$G$15</formula1>
    </dataValidation>
    <dataValidation type="list" allowBlank="1" showInputMessage="1" showErrorMessage="1" sqref="C16">
      <formula1>$F$16:$G$16</formula1>
    </dataValidation>
    <dataValidation type="list" allowBlank="1" showInputMessage="1" showErrorMessage="1" sqref="C17">
      <formula1>$F$17:$G$17</formula1>
    </dataValidation>
    <dataValidation type="list" allowBlank="1" showInputMessage="1" showErrorMessage="1" sqref="C18">
      <formula1>$F$18:$G$18</formula1>
    </dataValidation>
    <dataValidation type="list" allowBlank="1" showInputMessage="1" showErrorMessage="1" sqref="C19">
      <formula1>$F$19:$G$19</formula1>
    </dataValidation>
    <dataValidation type="list" allowBlank="1" showInputMessage="1" showErrorMessage="1" sqref="C20">
      <formula1>$F$20:$G$20</formula1>
    </dataValidation>
    <dataValidation type="list" allowBlank="1" showInputMessage="1" showErrorMessage="1" sqref="C21">
      <formula1>$F$21:$G$21</formula1>
    </dataValidation>
    <dataValidation type="list" allowBlank="1" showInputMessage="1" showErrorMessage="1" sqref="C23">
      <formula1>$F$23:$G$23</formula1>
    </dataValidation>
    <dataValidation type="list" allowBlank="1" showInputMessage="1" showErrorMessage="1" sqref="C24">
      <formula1>$F$24:$G$24</formula1>
    </dataValidation>
    <dataValidation type="list" allowBlank="1" showInputMessage="1" showErrorMessage="1" sqref="C25">
      <formula1>$F$25:$G$25</formula1>
    </dataValidation>
    <dataValidation type="list" allowBlank="1" showInputMessage="1" showErrorMessage="1" sqref="C26">
      <formula1>$F$26:$G$26</formula1>
    </dataValidation>
    <dataValidation type="list" allowBlank="1" showInputMessage="1" showErrorMessage="1" sqref="C27">
      <formula1>$F$27:$G$27</formula1>
    </dataValidation>
    <dataValidation type="list" allowBlank="1" showInputMessage="1" showErrorMessage="1" sqref="C28">
      <formula1>$F$28:$G$28</formula1>
    </dataValidation>
    <dataValidation type="list" allowBlank="1" showInputMessage="1" showErrorMessage="1" sqref="C29">
      <formula1>$F$29:$G$29</formula1>
    </dataValidation>
    <dataValidation type="list" allowBlank="1" showInputMessage="1" showErrorMessage="1" sqref="C30">
      <formula1>$F$30:$G$30</formula1>
    </dataValidation>
    <dataValidation type="list" allowBlank="1" showInputMessage="1" showErrorMessage="1" sqref="C31">
      <formula1>$F$31:$G$31</formula1>
    </dataValidation>
    <dataValidation type="list" allowBlank="1" showInputMessage="1" showErrorMessage="1" sqref="C32">
      <formula1>$F$32:$G$32</formula1>
    </dataValidation>
    <dataValidation type="list" allowBlank="1" showInputMessage="1" showErrorMessage="1" sqref="C33">
      <formula1>$F$33:$G$33</formula1>
    </dataValidation>
    <dataValidation type="list" allowBlank="1" showInputMessage="1" showErrorMessage="1" sqref="C34">
      <formula1>$F$34:$G$34</formula1>
    </dataValidation>
    <dataValidation type="list" allowBlank="1" showInputMessage="1" showErrorMessage="1" sqref="C35">
      <formula1>$F$35:$G$35</formula1>
    </dataValidation>
    <dataValidation type="list" allowBlank="1" showInputMessage="1" showErrorMessage="1" sqref="C36">
      <formula1>$F$36:$G$36</formula1>
    </dataValidation>
    <dataValidation type="list" allowBlank="1" showInputMessage="1" showErrorMessage="1" sqref="C37">
      <formula1>$F$37:$G$37</formula1>
    </dataValidation>
    <dataValidation type="list" allowBlank="1" showInputMessage="1" showErrorMessage="1" sqref="C38">
      <formula1>$F$38:$G$38</formula1>
    </dataValidation>
    <dataValidation type="list" allowBlank="1" showInputMessage="1" showErrorMessage="1" sqref="C39">
      <formula1>$F$39:$G$39</formula1>
    </dataValidation>
    <dataValidation type="list" allowBlank="1" showInputMessage="1" showErrorMessage="1" sqref="C40">
      <formula1>$F$40:$G$40</formula1>
    </dataValidation>
    <dataValidation type="list" allowBlank="1" showInputMessage="1" showErrorMessage="1" sqref="C41">
      <formula1>$F$41:$G$41</formula1>
    </dataValidation>
    <dataValidation type="list" allowBlank="1" showInputMessage="1" showErrorMessage="1" sqref="C42">
      <formula1>$F$42:$G$42</formula1>
    </dataValidation>
    <dataValidation type="list" allowBlank="1" showInputMessage="1" showErrorMessage="1" sqref="C43:C48">
      <formula1>$F$43:$G$43</formula1>
    </dataValidation>
    <dataValidation type="list" allowBlank="1" showInputMessage="1" showErrorMessage="1" sqref="C22">
      <formula1>$F$22:$G$22</formula1>
    </dataValidation>
  </dataValidations>
  <hyperlinks>
    <hyperlink ref="B3" location="A000000企业基础信息表!A1" display="企业基础信息表"/>
    <hyperlink ref="B4" location="'A100000中华人民共和国企业所得税年度纳税申报表（A类）'!A1" display="中华人民共和国企业所得税年度纳税申报表（A类）"/>
    <hyperlink ref="B5" location="A101010一般企业收入明细表!A1" display="    一般企业收入明细表"/>
    <hyperlink ref="B6" location="A101020金融企业收入明细表!A1" display="    金融企业收入明细表"/>
    <hyperlink ref="B7" location="A102010一般企业成本支出明细表!A1" display="    一般企业成本支出明细表"/>
    <hyperlink ref="B8" location="A102020金融企业支出明细表!A1" display="    金融企业支出明细表"/>
    <hyperlink ref="B9" location="A103000事业单位、民间非营利组织收入、支出明细表!A1" display="    事业单位、民间非营利组织收入、支出明细表"/>
    <hyperlink ref="B10" location="A104000期间费用明细表!A1" display="    期间费用明细表"/>
    <hyperlink ref="B11" location="A105000纳税调整项目明细表!A1" display="    纳税调整项目明细表"/>
    <hyperlink ref="B12" location="A105010视同销售和房地产开发企业特定业务纳税调整明细表!A1" display="        视同销售和房地产开发企业特定业务纳税调整明细表"/>
    <hyperlink ref="B13" location="A105020未按权责发生制确认收入纳税调整明细表!A1" display="        未按权责发生制确认收入纳税调整明细表"/>
    <hyperlink ref="B14" location="A105030投资收益纳税调整明细表!A1" display="        投资收益纳税调整明细表"/>
    <hyperlink ref="B15" location="A105040专项用途财政性资金纳税调整表!A1" display="        专项用途财政性资金纳税调整明细表"/>
    <hyperlink ref="B16" location="A105050职工薪酬纳税调整明细表!A1" display="        职工薪酬纳税调整明细表"/>
    <hyperlink ref="B17" location="A105060广告费和业务宣传费跨年度纳税调整明细表!A1" display="        广告费和业务宣传费跨年度纳税调整明细表"/>
    <hyperlink ref="B18" location="A105070捐赠支出纳税调整明细表!A1" display="        捐赠支出纳税调整明细表"/>
    <hyperlink ref="B19" location="A105080资产折旧、摊销情况及纳税调整明细表!A1" display="        资产折旧、摊销情况及纳税调整明细表"/>
    <hyperlink ref="B20" location="A105081固定资产加速折旧、扣除明细表!A1" display="            固定资产加速折旧、扣除明细表"/>
    <hyperlink ref="B21" location="A105090资产损失税前扣除及纳税调整明细表!A1" display="        资产损失税前扣除及纳税调整明细表"/>
    <hyperlink ref="B22" location="'A105091资产损失（专项申报）税前扣除及纳税调整明细表'!A1" display="            资产损失（专项申报）税前扣除及纳税调整明细表"/>
    <hyperlink ref="B43" location="A109010企业所得税汇总纳税分支机构所得税分配表!A1" display="        企业所得税汇总纳税分支机构所得税分配表"/>
    <hyperlink ref="B42" location="A109000跨地区经营汇总纳税企业年度分摊企业所得税明细表!A1" display="    跨地区经营汇总纳税企业年度分摊企业所得税明细表"/>
    <hyperlink ref="B41" location="A108030跨年度结转抵免境外所得税明细表!A1" display="        跨年度结转抵免境外所得税明细表"/>
    <hyperlink ref="B40" location="A108020境外分支机构弥补亏损明细表!A1" display="        境外分支机构弥补亏损明细表"/>
    <hyperlink ref="B38" location="A108000境外所得税收抵免明细表!A1" display="    境外所得税收抵免明细表"/>
    <hyperlink ref="B39" location="A108010境外所得纳税调整后所得明细表!A1" display="        境外所得纳税调整后所得明细表"/>
    <hyperlink ref="B37" location="A107050税额抵免优惠明细表!A1" display="    税额抵免优惠明细表"/>
    <hyperlink ref="B36" location="A107042软件、集成电路企业优惠情况及明细表!A1" display="        软件、集成电路企业优惠情况及明细表"/>
    <hyperlink ref="B35" location="A107041高新技术企业优惠情况及明细表!A1" display="        高新技术企业优惠情况及明细表"/>
    <hyperlink ref="B34" location="A107040减免所得税优惠明细表!A1" display="    减免所得税优惠明细表"/>
    <hyperlink ref="B33" location="A107030抵扣应纳税所得额明细表!A1" display="    抵扣应纳税所得额明细表"/>
    <hyperlink ref="B32" location="A107020所得减免优惠明细表!A1" display="    所得减免优惠明细表"/>
    <hyperlink ref="B31" location="A107014研发费用加计扣除优惠明细表!A1" display="        研发费用加计扣除优惠明细表"/>
    <hyperlink ref="B30" location="A107013金融保险等机构取得涉农利息保费收入优惠明细表!A1" display="        金融、保险等机构取得的涉农利息、保费收入优惠明细表"/>
    <hyperlink ref="B29" location="A107012综合利用资源生产产品取得的收入优惠明细表!A1" display="        综合利用资源生产产品取得的收入优惠明细表"/>
    <hyperlink ref="B27" location="A107010免税、减计收入及加计扣除优惠明细表!A1" display="    免税、减计收入及加计扣除优惠明细表"/>
    <hyperlink ref="B26" location="A106000企业所得税弥补亏损明细表!A1" display="    企业所得税弥补亏损明细表"/>
    <hyperlink ref="B25" location="A105120特殊行业准备金纳税调整明细表!A1" display="        特殊行业准备金纳税调整明细表"/>
    <hyperlink ref="B24" location="A105110政策性搬迁纳税调整明细表!A1" display="        政策性搬迁纳税调整明细表"/>
    <hyperlink ref="B23" location="A105100企业重组纳税调整明细表!A1" display="        企业重组纳税调整明细表"/>
    <hyperlink ref="B28" location="A107011股息红利优惠明细表!A1" display="        符合条件的居民企业之间的股息、红利等权益性投资收益优惠明细表"/>
    <hyperlink ref="B48" location="研发项目可加计扣除研究开发费用情况归集表!A1" tooltip="#研发项目可加计扣除研究开发费用情况归集表!A1" display="研发项目可加计扣除研究开发费用情况归集表"/>
  </hyperlinks>
  <printOptions horizontalCentered="1"/>
  <pageMargins left="0.78740157480314998" right="0.35433070866141703" top="0.511811023622047" bottom="0.11811023622047198" header="0.511811023622047" footer="0.511811023622047"/>
  <pageSetup paperSize="9" orientation="portrait" r:id="rId1"/>
  <headerFooter alignWithMargins="0"/>
  <legacyDrawing r:id="rId2"/>
</worksheet>
</file>

<file path=xl/worksheets/sheet1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15">
    <pageSetUpPr fitToPage="1"/>
  </sheetPr>
  <dimension ref="A1:O1981"/>
  <sheetViews>
    <sheetView zoomScaleNormal="100" workbookViewId="0">
      <selection activeCell="G25" sqref="G25"/>
    </sheetView>
  </sheetViews>
  <sheetFormatPr defaultRowHeight="15.6"/>
  <cols>
    <col min="1" max="1" width="19.19921875" style="172" customWidth="1"/>
    <col min="2" max="2" width="20.5" style="172" customWidth="1"/>
    <col min="3" max="3" width="25.09765625" style="172" customWidth="1"/>
    <col min="4" max="4" width="13" style="172" customWidth="1"/>
    <col min="5" max="5" width="12" style="172" customWidth="1"/>
    <col min="6" max="6" width="16.69921875" style="172" customWidth="1"/>
    <col min="7" max="10" width="9" style="172"/>
    <col min="11" max="11" width="12.8984375" style="172" customWidth="1"/>
    <col min="12" max="256" width="9" style="172"/>
    <col min="257" max="257" width="19.19921875" style="172" customWidth="1"/>
    <col min="258" max="258" width="20.5" style="172" customWidth="1"/>
    <col min="259" max="259" width="11.69921875" style="172" customWidth="1"/>
    <col min="260" max="260" width="13" style="172" customWidth="1"/>
    <col min="261" max="261" width="12" style="172" customWidth="1"/>
    <col min="262" max="262" width="16.69921875" style="172" customWidth="1"/>
    <col min="263" max="266" width="9" style="172"/>
    <col min="267" max="267" width="29.69921875" style="172" customWidth="1"/>
    <col min="268" max="512" width="9" style="172"/>
    <col min="513" max="513" width="19.19921875" style="172" customWidth="1"/>
    <col min="514" max="514" width="20.5" style="172" customWidth="1"/>
    <col min="515" max="515" width="11.69921875" style="172" customWidth="1"/>
    <col min="516" max="516" width="13" style="172" customWidth="1"/>
    <col min="517" max="517" width="12" style="172" customWidth="1"/>
    <col min="518" max="518" width="16.69921875" style="172" customWidth="1"/>
    <col min="519" max="522" width="9" style="172"/>
    <col min="523" max="523" width="29.69921875" style="172" customWidth="1"/>
    <col min="524" max="768" width="9" style="172"/>
    <col min="769" max="769" width="19.19921875" style="172" customWidth="1"/>
    <col min="770" max="770" width="20.5" style="172" customWidth="1"/>
    <col min="771" max="771" width="11.69921875" style="172" customWidth="1"/>
    <col min="772" max="772" width="13" style="172" customWidth="1"/>
    <col min="773" max="773" width="12" style="172" customWidth="1"/>
    <col min="774" max="774" width="16.69921875" style="172" customWidth="1"/>
    <col min="775" max="778" width="9" style="172"/>
    <col min="779" max="779" width="29.69921875" style="172" customWidth="1"/>
    <col min="780" max="1024" width="9" style="172"/>
    <col min="1025" max="1025" width="19.19921875" style="172" customWidth="1"/>
    <col min="1026" max="1026" width="20.5" style="172" customWidth="1"/>
    <col min="1027" max="1027" width="11.69921875" style="172" customWidth="1"/>
    <col min="1028" max="1028" width="13" style="172" customWidth="1"/>
    <col min="1029" max="1029" width="12" style="172" customWidth="1"/>
    <col min="1030" max="1030" width="16.69921875" style="172" customWidth="1"/>
    <col min="1031" max="1034" width="9" style="172"/>
    <col min="1035" max="1035" width="29.69921875" style="172" customWidth="1"/>
    <col min="1036" max="1280" width="9" style="172"/>
    <col min="1281" max="1281" width="19.19921875" style="172" customWidth="1"/>
    <col min="1282" max="1282" width="20.5" style="172" customWidth="1"/>
    <col min="1283" max="1283" width="11.69921875" style="172" customWidth="1"/>
    <col min="1284" max="1284" width="13" style="172" customWidth="1"/>
    <col min="1285" max="1285" width="12" style="172" customWidth="1"/>
    <col min="1286" max="1286" width="16.69921875" style="172" customWidth="1"/>
    <col min="1287" max="1290" width="9" style="172"/>
    <col min="1291" max="1291" width="29.69921875" style="172" customWidth="1"/>
    <col min="1292" max="1536" width="9" style="172"/>
    <col min="1537" max="1537" width="19.19921875" style="172" customWidth="1"/>
    <col min="1538" max="1538" width="20.5" style="172" customWidth="1"/>
    <col min="1539" max="1539" width="11.69921875" style="172" customWidth="1"/>
    <col min="1540" max="1540" width="13" style="172" customWidth="1"/>
    <col min="1541" max="1541" width="12" style="172" customWidth="1"/>
    <col min="1542" max="1542" width="16.69921875" style="172" customWidth="1"/>
    <col min="1543" max="1546" width="9" style="172"/>
    <col min="1547" max="1547" width="29.69921875" style="172" customWidth="1"/>
    <col min="1548" max="1792" width="9" style="172"/>
    <col min="1793" max="1793" width="19.19921875" style="172" customWidth="1"/>
    <col min="1794" max="1794" width="20.5" style="172" customWidth="1"/>
    <col min="1795" max="1795" width="11.69921875" style="172" customWidth="1"/>
    <col min="1796" max="1796" width="13" style="172" customWidth="1"/>
    <col min="1797" max="1797" width="12" style="172" customWidth="1"/>
    <col min="1798" max="1798" width="16.69921875" style="172" customWidth="1"/>
    <col min="1799" max="1802" width="9" style="172"/>
    <col min="1803" max="1803" width="29.69921875" style="172" customWidth="1"/>
    <col min="1804" max="2048" width="9" style="172"/>
    <col min="2049" max="2049" width="19.19921875" style="172" customWidth="1"/>
    <col min="2050" max="2050" width="20.5" style="172" customWidth="1"/>
    <col min="2051" max="2051" width="11.69921875" style="172" customWidth="1"/>
    <col min="2052" max="2052" width="13" style="172" customWidth="1"/>
    <col min="2053" max="2053" width="12" style="172" customWidth="1"/>
    <col min="2054" max="2054" width="16.69921875" style="172" customWidth="1"/>
    <col min="2055" max="2058" width="9" style="172"/>
    <col min="2059" max="2059" width="29.69921875" style="172" customWidth="1"/>
    <col min="2060" max="2304" width="9" style="172"/>
    <col min="2305" max="2305" width="19.19921875" style="172" customWidth="1"/>
    <col min="2306" max="2306" width="20.5" style="172" customWidth="1"/>
    <col min="2307" max="2307" width="11.69921875" style="172" customWidth="1"/>
    <col min="2308" max="2308" width="13" style="172" customWidth="1"/>
    <col min="2309" max="2309" width="12" style="172" customWidth="1"/>
    <col min="2310" max="2310" width="16.69921875" style="172" customWidth="1"/>
    <col min="2311" max="2314" width="9" style="172"/>
    <col min="2315" max="2315" width="29.69921875" style="172" customWidth="1"/>
    <col min="2316" max="2560" width="9" style="172"/>
    <col min="2561" max="2561" width="19.19921875" style="172" customWidth="1"/>
    <col min="2562" max="2562" width="20.5" style="172" customWidth="1"/>
    <col min="2563" max="2563" width="11.69921875" style="172" customWidth="1"/>
    <col min="2564" max="2564" width="13" style="172" customWidth="1"/>
    <col min="2565" max="2565" width="12" style="172" customWidth="1"/>
    <col min="2566" max="2566" width="16.69921875" style="172" customWidth="1"/>
    <col min="2567" max="2570" width="9" style="172"/>
    <col min="2571" max="2571" width="29.69921875" style="172" customWidth="1"/>
    <col min="2572" max="2816" width="9" style="172"/>
    <col min="2817" max="2817" width="19.19921875" style="172" customWidth="1"/>
    <col min="2818" max="2818" width="20.5" style="172" customWidth="1"/>
    <col min="2819" max="2819" width="11.69921875" style="172" customWidth="1"/>
    <col min="2820" max="2820" width="13" style="172" customWidth="1"/>
    <col min="2821" max="2821" width="12" style="172" customWidth="1"/>
    <col min="2822" max="2822" width="16.69921875" style="172" customWidth="1"/>
    <col min="2823" max="2826" width="9" style="172"/>
    <col min="2827" max="2827" width="29.69921875" style="172" customWidth="1"/>
    <col min="2828" max="3072" width="9" style="172"/>
    <col min="3073" max="3073" width="19.19921875" style="172" customWidth="1"/>
    <col min="3074" max="3074" width="20.5" style="172" customWidth="1"/>
    <col min="3075" max="3075" width="11.69921875" style="172" customWidth="1"/>
    <col min="3076" max="3076" width="13" style="172" customWidth="1"/>
    <col min="3077" max="3077" width="12" style="172" customWidth="1"/>
    <col min="3078" max="3078" width="16.69921875" style="172" customWidth="1"/>
    <col min="3079" max="3082" width="9" style="172"/>
    <col min="3083" max="3083" width="29.69921875" style="172" customWidth="1"/>
    <col min="3084" max="3328" width="9" style="172"/>
    <col min="3329" max="3329" width="19.19921875" style="172" customWidth="1"/>
    <col min="3330" max="3330" width="20.5" style="172" customWidth="1"/>
    <col min="3331" max="3331" width="11.69921875" style="172" customWidth="1"/>
    <col min="3332" max="3332" width="13" style="172" customWidth="1"/>
    <col min="3333" max="3333" width="12" style="172" customWidth="1"/>
    <col min="3334" max="3334" width="16.69921875" style="172" customWidth="1"/>
    <col min="3335" max="3338" width="9" style="172"/>
    <col min="3339" max="3339" width="29.69921875" style="172" customWidth="1"/>
    <col min="3340" max="3584" width="9" style="172"/>
    <col min="3585" max="3585" width="19.19921875" style="172" customWidth="1"/>
    <col min="3586" max="3586" width="20.5" style="172" customWidth="1"/>
    <col min="3587" max="3587" width="11.69921875" style="172" customWidth="1"/>
    <col min="3588" max="3588" width="13" style="172" customWidth="1"/>
    <col min="3589" max="3589" width="12" style="172" customWidth="1"/>
    <col min="3590" max="3590" width="16.69921875" style="172" customWidth="1"/>
    <col min="3591" max="3594" width="9" style="172"/>
    <col min="3595" max="3595" width="29.69921875" style="172" customWidth="1"/>
    <col min="3596" max="3840" width="9" style="172"/>
    <col min="3841" max="3841" width="19.19921875" style="172" customWidth="1"/>
    <col min="3842" max="3842" width="20.5" style="172" customWidth="1"/>
    <col min="3843" max="3843" width="11.69921875" style="172" customWidth="1"/>
    <col min="3844" max="3844" width="13" style="172" customWidth="1"/>
    <col min="3845" max="3845" width="12" style="172" customWidth="1"/>
    <col min="3846" max="3846" width="16.69921875" style="172" customWidth="1"/>
    <col min="3847" max="3850" width="9" style="172"/>
    <col min="3851" max="3851" width="29.69921875" style="172" customWidth="1"/>
    <col min="3852" max="4096" width="9" style="172"/>
    <col min="4097" max="4097" width="19.19921875" style="172" customWidth="1"/>
    <col min="4098" max="4098" width="20.5" style="172" customWidth="1"/>
    <col min="4099" max="4099" width="11.69921875" style="172" customWidth="1"/>
    <col min="4100" max="4100" width="13" style="172" customWidth="1"/>
    <col min="4101" max="4101" width="12" style="172" customWidth="1"/>
    <col min="4102" max="4102" width="16.69921875" style="172" customWidth="1"/>
    <col min="4103" max="4106" width="9" style="172"/>
    <col min="4107" max="4107" width="29.69921875" style="172" customWidth="1"/>
    <col min="4108" max="4352" width="9" style="172"/>
    <col min="4353" max="4353" width="19.19921875" style="172" customWidth="1"/>
    <col min="4354" max="4354" width="20.5" style="172" customWidth="1"/>
    <col min="4355" max="4355" width="11.69921875" style="172" customWidth="1"/>
    <col min="4356" max="4356" width="13" style="172" customWidth="1"/>
    <col min="4357" max="4357" width="12" style="172" customWidth="1"/>
    <col min="4358" max="4358" width="16.69921875" style="172" customWidth="1"/>
    <col min="4359" max="4362" width="9" style="172"/>
    <col min="4363" max="4363" width="29.69921875" style="172" customWidth="1"/>
    <col min="4364" max="4608" width="9" style="172"/>
    <col min="4609" max="4609" width="19.19921875" style="172" customWidth="1"/>
    <col min="4610" max="4610" width="20.5" style="172" customWidth="1"/>
    <col min="4611" max="4611" width="11.69921875" style="172" customWidth="1"/>
    <col min="4612" max="4612" width="13" style="172" customWidth="1"/>
    <col min="4613" max="4613" width="12" style="172" customWidth="1"/>
    <col min="4614" max="4614" width="16.69921875" style="172" customWidth="1"/>
    <col min="4615" max="4618" width="9" style="172"/>
    <col min="4619" max="4619" width="29.69921875" style="172" customWidth="1"/>
    <col min="4620" max="4864" width="9" style="172"/>
    <col min="4865" max="4865" width="19.19921875" style="172" customWidth="1"/>
    <col min="4866" max="4866" width="20.5" style="172" customWidth="1"/>
    <col min="4867" max="4867" width="11.69921875" style="172" customWidth="1"/>
    <col min="4868" max="4868" width="13" style="172" customWidth="1"/>
    <col min="4869" max="4869" width="12" style="172" customWidth="1"/>
    <col min="4870" max="4870" width="16.69921875" style="172" customWidth="1"/>
    <col min="4871" max="4874" width="9" style="172"/>
    <col min="4875" max="4875" width="29.69921875" style="172" customWidth="1"/>
    <col min="4876" max="5120" width="9" style="172"/>
    <col min="5121" max="5121" width="19.19921875" style="172" customWidth="1"/>
    <col min="5122" max="5122" width="20.5" style="172" customWidth="1"/>
    <col min="5123" max="5123" width="11.69921875" style="172" customWidth="1"/>
    <col min="5124" max="5124" width="13" style="172" customWidth="1"/>
    <col min="5125" max="5125" width="12" style="172" customWidth="1"/>
    <col min="5126" max="5126" width="16.69921875" style="172" customWidth="1"/>
    <col min="5127" max="5130" width="9" style="172"/>
    <col min="5131" max="5131" width="29.69921875" style="172" customWidth="1"/>
    <col min="5132" max="5376" width="9" style="172"/>
    <col min="5377" max="5377" width="19.19921875" style="172" customWidth="1"/>
    <col min="5378" max="5378" width="20.5" style="172" customWidth="1"/>
    <col min="5379" max="5379" width="11.69921875" style="172" customWidth="1"/>
    <col min="5380" max="5380" width="13" style="172" customWidth="1"/>
    <col min="5381" max="5381" width="12" style="172" customWidth="1"/>
    <col min="5382" max="5382" width="16.69921875" style="172" customWidth="1"/>
    <col min="5383" max="5386" width="9" style="172"/>
    <col min="5387" max="5387" width="29.69921875" style="172" customWidth="1"/>
    <col min="5388" max="5632" width="9" style="172"/>
    <col min="5633" max="5633" width="19.19921875" style="172" customWidth="1"/>
    <col min="5634" max="5634" width="20.5" style="172" customWidth="1"/>
    <col min="5635" max="5635" width="11.69921875" style="172" customWidth="1"/>
    <col min="5636" max="5636" width="13" style="172" customWidth="1"/>
    <col min="5637" max="5637" width="12" style="172" customWidth="1"/>
    <col min="5638" max="5638" width="16.69921875" style="172" customWidth="1"/>
    <col min="5639" max="5642" width="9" style="172"/>
    <col min="5643" max="5643" width="29.69921875" style="172" customWidth="1"/>
    <col min="5644" max="5888" width="9" style="172"/>
    <col min="5889" max="5889" width="19.19921875" style="172" customWidth="1"/>
    <col min="5890" max="5890" width="20.5" style="172" customWidth="1"/>
    <col min="5891" max="5891" width="11.69921875" style="172" customWidth="1"/>
    <col min="5892" max="5892" width="13" style="172" customWidth="1"/>
    <col min="5893" max="5893" width="12" style="172" customWidth="1"/>
    <col min="5894" max="5894" width="16.69921875" style="172" customWidth="1"/>
    <col min="5895" max="5898" width="9" style="172"/>
    <col min="5899" max="5899" width="29.69921875" style="172" customWidth="1"/>
    <col min="5900" max="6144" width="9" style="172"/>
    <col min="6145" max="6145" width="19.19921875" style="172" customWidth="1"/>
    <col min="6146" max="6146" width="20.5" style="172" customWidth="1"/>
    <col min="6147" max="6147" width="11.69921875" style="172" customWidth="1"/>
    <col min="6148" max="6148" width="13" style="172" customWidth="1"/>
    <col min="6149" max="6149" width="12" style="172" customWidth="1"/>
    <col min="6150" max="6150" width="16.69921875" style="172" customWidth="1"/>
    <col min="6151" max="6154" width="9" style="172"/>
    <col min="6155" max="6155" width="29.69921875" style="172" customWidth="1"/>
    <col min="6156" max="6400" width="9" style="172"/>
    <col min="6401" max="6401" width="19.19921875" style="172" customWidth="1"/>
    <col min="6402" max="6402" width="20.5" style="172" customWidth="1"/>
    <col min="6403" max="6403" width="11.69921875" style="172" customWidth="1"/>
    <col min="6404" max="6404" width="13" style="172" customWidth="1"/>
    <col min="6405" max="6405" width="12" style="172" customWidth="1"/>
    <col min="6406" max="6406" width="16.69921875" style="172" customWidth="1"/>
    <col min="6407" max="6410" width="9" style="172"/>
    <col min="6411" max="6411" width="29.69921875" style="172" customWidth="1"/>
    <col min="6412" max="6656" width="9" style="172"/>
    <col min="6657" max="6657" width="19.19921875" style="172" customWidth="1"/>
    <col min="6658" max="6658" width="20.5" style="172" customWidth="1"/>
    <col min="6659" max="6659" width="11.69921875" style="172" customWidth="1"/>
    <col min="6660" max="6660" width="13" style="172" customWidth="1"/>
    <col min="6661" max="6661" width="12" style="172" customWidth="1"/>
    <col min="6662" max="6662" width="16.69921875" style="172" customWidth="1"/>
    <col min="6663" max="6666" width="9" style="172"/>
    <col min="6667" max="6667" width="29.69921875" style="172" customWidth="1"/>
    <col min="6668" max="6912" width="9" style="172"/>
    <col min="6913" max="6913" width="19.19921875" style="172" customWidth="1"/>
    <col min="6914" max="6914" width="20.5" style="172" customWidth="1"/>
    <col min="6915" max="6915" width="11.69921875" style="172" customWidth="1"/>
    <col min="6916" max="6916" width="13" style="172" customWidth="1"/>
    <col min="6917" max="6917" width="12" style="172" customWidth="1"/>
    <col min="6918" max="6918" width="16.69921875" style="172" customWidth="1"/>
    <col min="6919" max="6922" width="9" style="172"/>
    <col min="6923" max="6923" width="29.69921875" style="172" customWidth="1"/>
    <col min="6924" max="7168" width="9" style="172"/>
    <col min="7169" max="7169" width="19.19921875" style="172" customWidth="1"/>
    <col min="7170" max="7170" width="20.5" style="172" customWidth="1"/>
    <col min="7171" max="7171" width="11.69921875" style="172" customWidth="1"/>
    <col min="7172" max="7172" width="13" style="172" customWidth="1"/>
    <col min="7173" max="7173" width="12" style="172" customWidth="1"/>
    <col min="7174" max="7174" width="16.69921875" style="172" customWidth="1"/>
    <col min="7175" max="7178" width="9" style="172"/>
    <col min="7179" max="7179" width="29.69921875" style="172" customWidth="1"/>
    <col min="7180" max="7424" width="9" style="172"/>
    <col min="7425" max="7425" width="19.19921875" style="172" customWidth="1"/>
    <col min="7426" max="7426" width="20.5" style="172" customWidth="1"/>
    <col min="7427" max="7427" width="11.69921875" style="172" customWidth="1"/>
    <col min="7428" max="7428" width="13" style="172" customWidth="1"/>
    <col min="7429" max="7429" width="12" style="172" customWidth="1"/>
    <col min="7430" max="7430" width="16.69921875" style="172" customWidth="1"/>
    <col min="7431" max="7434" width="9" style="172"/>
    <col min="7435" max="7435" width="29.69921875" style="172" customWidth="1"/>
    <col min="7436" max="7680" width="9" style="172"/>
    <col min="7681" max="7681" width="19.19921875" style="172" customWidth="1"/>
    <col min="7682" max="7682" width="20.5" style="172" customWidth="1"/>
    <col min="7683" max="7683" width="11.69921875" style="172" customWidth="1"/>
    <col min="7684" max="7684" width="13" style="172" customWidth="1"/>
    <col min="7685" max="7685" width="12" style="172" customWidth="1"/>
    <col min="7686" max="7686" width="16.69921875" style="172" customWidth="1"/>
    <col min="7687" max="7690" width="9" style="172"/>
    <col min="7691" max="7691" width="29.69921875" style="172" customWidth="1"/>
    <col min="7692" max="7936" width="9" style="172"/>
    <col min="7937" max="7937" width="19.19921875" style="172" customWidth="1"/>
    <col min="7938" max="7938" width="20.5" style="172" customWidth="1"/>
    <col min="7939" max="7939" width="11.69921875" style="172" customWidth="1"/>
    <col min="7940" max="7940" width="13" style="172" customWidth="1"/>
    <col min="7941" max="7941" width="12" style="172" customWidth="1"/>
    <col min="7942" max="7942" width="16.69921875" style="172" customWidth="1"/>
    <col min="7943" max="7946" width="9" style="172"/>
    <col min="7947" max="7947" width="29.69921875" style="172" customWidth="1"/>
    <col min="7948" max="8192" width="9" style="172"/>
    <col min="8193" max="8193" width="19.19921875" style="172" customWidth="1"/>
    <col min="8194" max="8194" width="20.5" style="172" customWidth="1"/>
    <col min="8195" max="8195" width="11.69921875" style="172" customWidth="1"/>
    <col min="8196" max="8196" width="13" style="172" customWidth="1"/>
    <col min="8197" max="8197" width="12" style="172" customWidth="1"/>
    <col min="8198" max="8198" width="16.69921875" style="172" customWidth="1"/>
    <col min="8199" max="8202" width="9" style="172"/>
    <col min="8203" max="8203" width="29.69921875" style="172" customWidth="1"/>
    <col min="8204" max="8448" width="9" style="172"/>
    <col min="8449" max="8449" width="19.19921875" style="172" customWidth="1"/>
    <col min="8450" max="8450" width="20.5" style="172" customWidth="1"/>
    <col min="8451" max="8451" width="11.69921875" style="172" customWidth="1"/>
    <col min="8452" max="8452" width="13" style="172" customWidth="1"/>
    <col min="8453" max="8453" width="12" style="172" customWidth="1"/>
    <col min="8454" max="8454" width="16.69921875" style="172" customWidth="1"/>
    <col min="8455" max="8458" width="9" style="172"/>
    <col min="8459" max="8459" width="29.69921875" style="172" customWidth="1"/>
    <col min="8460" max="8704" width="9" style="172"/>
    <col min="8705" max="8705" width="19.19921875" style="172" customWidth="1"/>
    <col min="8706" max="8706" width="20.5" style="172" customWidth="1"/>
    <col min="8707" max="8707" width="11.69921875" style="172" customWidth="1"/>
    <col min="8708" max="8708" width="13" style="172" customWidth="1"/>
    <col min="8709" max="8709" width="12" style="172" customWidth="1"/>
    <col min="8710" max="8710" width="16.69921875" style="172" customWidth="1"/>
    <col min="8711" max="8714" width="9" style="172"/>
    <col min="8715" max="8715" width="29.69921875" style="172" customWidth="1"/>
    <col min="8716" max="8960" width="9" style="172"/>
    <col min="8961" max="8961" width="19.19921875" style="172" customWidth="1"/>
    <col min="8962" max="8962" width="20.5" style="172" customWidth="1"/>
    <col min="8963" max="8963" width="11.69921875" style="172" customWidth="1"/>
    <col min="8964" max="8964" width="13" style="172" customWidth="1"/>
    <col min="8965" max="8965" width="12" style="172" customWidth="1"/>
    <col min="8966" max="8966" width="16.69921875" style="172" customWidth="1"/>
    <col min="8967" max="8970" width="9" style="172"/>
    <col min="8971" max="8971" width="29.69921875" style="172" customWidth="1"/>
    <col min="8972" max="9216" width="9" style="172"/>
    <col min="9217" max="9217" width="19.19921875" style="172" customWidth="1"/>
    <col min="9218" max="9218" width="20.5" style="172" customWidth="1"/>
    <col min="9219" max="9219" width="11.69921875" style="172" customWidth="1"/>
    <col min="9220" max="9220" width="13" style="172" customWidth="1"/>
    <col min="9221" max="9221" width="12" style="172" customWidth="1"/>
    <col min="9222" max="9222" width="16.69921875" style="172" customWidth="1"/>
    <col min="9223" max="9226" width="9" style="172"/>
    <col min="9227" max="9227" width="29.69921875" style="172" customWidth="1"/>
    <col min="9228" max="9472" width="9" style="172"/>
    <col min="9473" max="9473" width="19.19921875" style="172" customWidth="1"/>
    <col min="9474" max="9474" width="20.5" style="172" customWidth="1"/>
    <col min="9475" max="9475" width="11.69921875" style="172" customWidth="1"/>
    <col min="9476" max="9476" width="13" style="172" customWidth="1"/>
    <col min="9477" max="9477" width="12" style="172" customWidth="1"/>
    <col min="9478" max="9478" width="16.69921875" style="172" customWidth="1"/>
    <col min="9479" max="9482" width="9" style="172"/>
    <col min="9483" max="9483" width="29.69921875" style="172" customWidth="1"/>
    <col min="9484" max="9728" width="9" style="172"/>
    <col min="9729" max="9729" width="19.19921875" style="172" customWidth="1"/>
    <col min="9730" max="9730" width="20.5" style="172" customWidth="1"/>
    <col min="9731" max="9731" width="11.69921875" style="172" customWidth="1"/>
    <col min="9732" max="9732" width="13" style="172" customWidth="1"/>
    <col min="9733" max="9733" width="12" style="172" customWidth="1"/>
    <col min="9734" max="9734" width="16.69921875" style="172" customWidth="1"/>
    <col min="9735" max="9738" width="9" style="172"/>
    <col min="9739" max="9739" width="29.69921875" style="172" customWidth="1"/>
    <col min="9740" max="9984" width="9" style="172"/>
    <col min="9985" max="9985" width="19.19921875" style="172" customWidth="1"/>
    <col min="9986" max="9986" width="20.5" style="172" customWidth="1"/>
    <col min="9987" max="9987" width="11.69921875" style="172" customWidth="1"/>
    <col min="9988" max="9988" width="13" style="172" customWidth="1"/>
    <col min="9989" max="9989" width="12" style="172" customWidth="1"/>
    <col min="9990" max="9990" width="16.69921875" style="172" customWidth="1"/>
    <col min="9991" max="9994" width="9" style="172"/>
    <col min="9995" max="9995" width="29.69921875" style="172" customWidth="1"/>
    <col min="9996" max="10240" width="9" style="172"/>
    <col min="10241" max="10241" width="19.19921875" style="172" customWidth="1"/>
    <col min="10242" max="10242" width="20.5" style="172" customWidth="1"/>
    <col min="10243" max="10243" width="11.69921875" style="172" customWidth="1"/>
    <col min="10244" max="10244" width="13" style="172" customWidth="1"/>
    <col min="10245" max="10245" width="12" style="172" customWidth="1"/>
    <col min="10246" max="10246" width="16.69921875" style="172" customWidth="1"/>
    <col min="10247" max="10250" width="9" style="172"/>
    <col min="10251" max="10251" width="29.69921875" style="172" customWidth="1"/>
    <col min="10252" max="10496" width="9" style="172"/>
    <col min="10497" max="10497" width="19.19921875" style="172" customWidth="1"/>
    <col min="10498" max="10498" width="20.5" style="172" customWidth="1"/>
    <col min="10499" max="10499" width="11.69921875" style="172" customWidth="1"/>
    <col min="10500" max="10500" width="13" style="172" customWidth="1"/>
    <col min="10501" max="10501" width="12" style="172" customWidth="1"/>
    <col min="10502" max="10502" width="16.69921875" style="172" customWidth="1"/>
    <col min="10503" max="10506" width="9" style="172"/>
    <col min="10507" max="10507" width="29.69921875" style="172" customWidth="1"/>
    <col min="10508" max="10752" width="9" style="172"/>
    <col min="10753" max="10753" width="19.19921875" style="172" customWidth="1"/>
    <col min="10754" max="10754" width="20.5" style="172" customWidth="1"/>
    <col min="10755" max="10755" width="11.69921875" style="172" customWidth="1"/>
    <col min="10756" max="10756" width="13" style="172" customWidth="1"/>
    <col min="10757" max="10757" width="12" style="172" customWidth="1"/>
    <col min="10758" max="10758" width="16.69921875" style="172" customWidth="1"/>
    <col min="10759" max="10762" width="9" style="172"/>
    <col min="10763" max="10763" width="29.69921875" style="172" customWidth="1"/>
    <col min="10764" max="11008" width="9" style="172"/>
    <col min="11009" max="11009" width="19.19921875" style="172" customWidth="1"/>
    <col min="11010" max="11010" width="20.5" style="172" customWidth="1"/>
    <col min="11011" max="11011" width="11.69921875" style="172" customWidth="1"/>
    <col min="11012" max="11012" width="13" style="172" customWidth="1"/>
    <col min="11013" max="11013" width="12" style="172" customWidth="1"/>
    <col min="11014" max="11014" width="16.69921875" style="172" customWidth="1"/>
    <col min="11015" max="11018" width="9" style="172"/>
    <col min="11019" max="11019" width="29.69921875" style="172" customWidth="1"/>
    <col min="11020" max="11264" width="9" style="172"/>
    <col min="11265" max="11265" width="19.19921875" style="172" customWidth="1"/>
    <col min="11266" max="11266" width="20.5" style="172" customWidth="1"/>
    <col min="11267" max="11267" width="11.69921875" style="172" customWidth="1"/>
    <col min="11268" max="11268" width="13" style="172" customWidth="1"/>
    <col min="11269" max="11269" width="12" style="172" customWidth="1"/>
    <col min="11270" max="11270" width="16.69921875" style="172" customWidth="1"/>
    <col min="11271" max="11274" width="9" style="172"/>
    <col min="11275" max="11275" width="29.69921875" style="172" customWidth="1"/>
    <col min="11276" max="11520" width="9" style="172"/>
    <col min="11521" max="11521" width="19.19921875" style="172" customWidth="1"/>
    <col min="11522" max="11522" width="20.5" style="172" customWidth="1"/>
    <col min="11523" max="11523" width="11.69921875" style="172" customWidth="1"/>
    <col min="11524" max="11524" width="13" style="172" customWidth="1"/>
    <col min="11525" max="11525" width="12" style="172" customWidth="1"/>
    <col min="11526" max="11526" width="16.69921875" style="172" customWidth="1"/>
    <col min="11527" max="11530" width="9" style="172"/>
    <col min="11531" max="11531" width="29.69921875" style="172" customWidth="1"/>
    <col min="11532" max="11776" width="9" style="172"/>
    <col min="11777" max="11777" width="19.19921875" style="172" customWidth="1"/>
    <col min="11778" max="11778" width="20.5" style="172" customWidth="1"/>
    <col min="11779" max="11779" width="11.69921875" style="172" customWidth="1"/>
    <col min="11780" max="11780" width="13" style="172" customWidth="1"/>
    <col min="11781" max="11781" width="12" style="172" customWidth="1"/>
    <col min="11782" max="11782" width="16.69921875" style="172" customWidth="1"/>
    <col min="11783" max="11786" width="9" style="172"/>
    <col min="11787" max="11787" width="29.69921875" style="172" customWidth="1"/>
    <col min="11788" max="12032" width="9" style="172"/>
    <col min="12033" max="12033" width="19.19921875" style="172" customWidth="1"/>
    <col min="12034" max="12034" width="20.5" style="172" customWidth="1"/>
    <col min="12035" max="12035" width="11.69921875" style="172" customWidth="1"/>
    <col min="12036" max="12036" width="13" style="172" customWidth="1"/>
    <col min="12037" max="12037" width="12" style="172" customWidth="1"/>
    <col min="12038" max="12038" width="16.69921875" style="172" customWidth="1"/>
    <col min="12039" max="12042" width="9" style="172"/>
    <col min="12043" max="12043" width="29.69921875" style="172" customWidth="1"/>
    <col min="12044" max="12288" width="9" style="172"/>
    <col min="12289" max="12289" width="19.19921875" style="172" customWidth="1"/>
    <col min="12290" max="12290" width="20.5" style="172" customWidth="1"/>
    <col min="12291" max="12291" width="11.69921875" style="172" customWidth="1"/>
    <col min="12292" max="12292" width="13" style="172" customWidth="1"/>
    <col min="12293" max="12293" width="12" style="172" customWidth="1"/>
    <col min="12294" max="12294" width="16.69921875" style="172" customWidth="1"/>
    <col min="12295" max="12298" width="9" style="172"/>
    <col min="12299" max="12299" width="29.69921875" style="172" customWidth="1"/>
    <col min="12300" max="12544" width="9" style="172"/>
    <col min="12545" max="12545" width="19.19921875" style="172" customWidth="1"/>
    <col min="12546" max="12546" width="20.5" style="172" customWidth="1"/>
    <col min="12547" max="12547" width="11.69921875" style="172" customWidth="1"/>
    <col min="12548" max="12548" width="13" style="172" customWidth="1"/>
    <col min="12549" max="12549" width="12" style="172" customWidth="1"/>
    <col min="12550" max="12550" width="16.69921875" style="172" customWidth="1"/>
    <col min="12551" max="12554" width="9" style="172"/>
    <col min="12555" max="12555" width="29.69921875" style="172" customWidth="1"/>
    <col min="12556" max="12800" width="9" style="172"/>
    <col min="12801" max="12801" width="19.19921875" style="172" customWidth="1"/>
    <col min="12802" max="12802" width="20.5" style="172" customWidth="1"/>
    <col min="12803" max="12803" width="11.69921875" style="172" customWidth="1"/>
    <col min="12804" max="12804" width="13" style="172" customWidth="1"/>
    <col min="12805" max="12805" width="12" style="172" customWidth="1"/>
    <col min="12806" max="12806" width="16.69921875" style="172" customWidth="1"/>
    <col min="12807" max="12810" width="9" style="172"/>
    <col min="12811" max="12811" width="29.69921875" style="172" customWidth="1"/>
    <col min="12812" max="13056" width="9" style="172"/>
    <col min="13057" max="13057" width="19.19921875" style="172" customWidth="1"/>
    <col min="13058" max="13058" width="20.5" style="172" customWidth="1"/>
    <col min="13059" max="13059" width="11.69921875" style="172" customWidth="1"/>
    <col min="13060" max="13060" width="13" style="172" customWidth="1"/>
    <col min="13061" max="13061" width="12" style="172" customWidth="1"/>
    <col min="13062" max="13062" width="16.69921875" style="172" customWidth="1"/>
    <col min="13063" max="13066" width="9" style="172"/>
    <col min="13067" max="13067" width="29.69921875" style="172" customWidth="1"/>
    <col min="13068" max="13312" width="9" style="172"/>
    <col min="13313" max="13313" width="19.19921875" style="172" customWidth="1"/>
    <col min="13314" max="13314" width="20.5" style="172" customWidth="1"/>
    <col min="13315" max="13315" width="11.69921875" style="172" customWidth="1"/>
    <col min="13316" max="13316" width="13" style="172" customWidth="1"/>
    <col min="13317" max="13317" width="12" style="172" customWidth="1"/>
    <col min="13318" max="13318" width="16.69921875" style="172" customWidth="1"/>
    <col min="13319" max="13322" width="9" style="172"/>
    <col min="13323" max="13323" width="29.69921875" style="172" customWidth="1"/>
    <col min="13324" max="13568" width="9" style="172"/>
    <col min="13569" max="13569" width="19.19921875" style="172" customWidth="1"/>
    <col min="13570" max="13570" width="20.5" style="172" customWidth="1"/>
    <col min="13571" max="13571" width="11.69921875" style="172" customWidth="1"/>
    <col min="13572" max="13572" width="13" style="172" customWidth="1"/>
    <col min="13573" max="13573" width="12" style="172" customWidth="1"/>
    <col min="13574" max="13574" width="16.69921875" style="172" customWidth="1"/>
    <col min="13575" max="13578" width="9" style="172"/>
    <col min="13579" max="13579" width="29.69921875" style="172" customWidth="1"/>
    <col min="13580" max="13824" width="9" style="172"/>
    <col min="13825" max="13825" width="19.19921875" style="172" customWidth="1"/>
    <col min="13826" max="13826" width="20.5" style="172" customWidth="1"/>
    <col min="13827" max="13827" width="11.69921875" style="172" customWidth="1"/>
    <col min="13828" max="13828" width="13" style="172" customWidth="1"/>
    <col min="13829" max="13829" width="12" style="172" customWidth="1"/>
    <col min="13830" max="13830" width="16.69921875" style="172" customWidth="1"/>
    <col min="13831" max="13834" width="9" style="172"/>
    <col min="13835" max="13835" width="29.69921875" style="172" customWidth="1"/>
    <col min="13836" max="14080" width="9" style="172"/>
    <col min="14081" max="14081" width="19.19921875" style="172" customWidth="1"/>
    <col min="14082" max="14082" width="20.5" style="172" customWidth="1"/>
    <col min="14083" max="14083" width="11.69921875" style="172" customWidth="1"/>
    <col min="14084" max="14084" width="13" style="172" customWidth="1"/>
    <col min="14085" max="14085" width="12" style="172" customWidth="1"/>
    <col min="14086" max="14086" width="16.69921875" style="172" customWidth="1"/>
    <col min="14087" max="14090" width="9" style="172"/>
    <col min="14091" max="14091" width="29.69921875" style="172" customWidth="1"/>
    <col min="14092" max="14336" width="9" style="172"/>
    <col min="14337" max="14337" width="19.19921875" style="172" customWidth="1"/>
    <col min="14338" max="14338" width="20.5" style="172" customWidth="1"/>
    <col min="14339" max="14339" width="11.69921875" style="172" customWidth="1"/>
    <col min="14340" max="14340" width="13" style="172" customWidth="1"/>
    <col min="14341" max="14341" width="12" style="172" customWidth="1"/>
    <col min="14342" max="14342" width="16.69921875" style="172" customWidth="1"/>
    <col min="14343" max="14346" width="9" style="172"/>
    <col min="14347" max="14347" width="29.69921875" style="172" customWidth="1"/>
    <col min="14348" max="14592" width="9" style="172"/>
    <col min="14593" max="14593" width="19.19921875" style="172" customWidth="1"/>
    <col min="14594" max="14594" width="20.5" style="172" customWidth="1"/>
    <col min="14595" max="14595" width="11.69921875" style="172" customWidth="1"/>
    <col min="14596" max="14596" width="13" style="172" customWidth="1"/>
    <col min="14597" max="14597" width="12" style="172" customWidth="1"/>
    <col min="14598" max="14598" width="16.69921875" style="172" customWidth="1"/>
    <col min="14599" max="14602" width="9" style="172"/>
    <col min="14603" max="14603" width="29.69921875" style="172" customWidth="1"/>
    <col min="14604" max="14848" width="9" style="172"/>
    <col min="14849" max="14849" width="19.19921875" style="172" customWidth="1"/>
    <col min="14850" max="14850" width="20.5" style="172" customWidth="1"/>
    <col min="14851" max="14851" width="11.69921875" style="172" customWidth="1"/>
    <col min="14852" max="14852" width="13" style="172" customWidth="1"/>
    <col min="14853" max="14853" width="12" style="172" customWidth="1"/>
    <col min="14854" max="14854" width="16.69921875" style="172" customWidth="1"/>
    <col min="14855" max="14858" width="9" style="172"/>
    <col min="14859" max="14859" width="29.69921875" style="172" customWidth="1"/>
    <col min="14860" max="15104" width="9" style="172"/>
    <col min="15105" max="15105" width="19.19921875" style="172" customWidth="1"/>
    <col min="15106" max="15106" width="20.5" style="172" customWidth="1"/>
    <col min="15107" max="15107" width="11.69921875" style="172" customWidth="1"/>
    <col min="15108" max="15108" width="13" style="172" customWidth="1"/>
    <col min="15109" max="15109" width="12" style="172" customWidth="1"/>
    <col min="15110" max="15110" width="16.69921875" style="172" customWidth="1"/>
    <col min="15111" max="15114" width="9" style="172"/>
    <col min="15115" max="15115" width="29.69921875" style="172" customWidth="1"/>
    <col min="15116" max="15360" width="9" style="172"/>
    <col min="15361" max="15361" width="19.19921875" style="172" customWidth="1"/>
    <col min="15362" max="15362" width="20.5" style="172" customWidth="1"/>
    <col min="15363" max="15363" width="11.69921875" style="172" customWidth="1"/>
    <col min="15364" max="15364" width="13" style="172" customWidth="1"/>
    <col min="15365" max="15365" width="12" style="172" customWidth="1"/>
    <col min="15366" max="15366" width="16.69921875" style="172" customWidth="1"/>
    <col min="15367" max="15370" width="9" style="172"/>
    <col min="15371" max="15371" width="29.69921875" style="172" customWidth="1"/>
    <col min="15372" max="15616" width="9" style="172"/>
    <col min="15617" max="15617" width="19.19921875" style="172" customWidth="1"/>
    <col min="15618" max="15618" width="20.5" style="172" customWidth="1"/>
    <col min="15619" max="15619" width="11.69921875" style="172" customWidth="1"/>
    <col min="15620" max="15620" width="13" style="172" customWidth="1"/>
    <col min="15621" max="15621" width="12" style="172" customWidth="1"/>
    <col min="15622" max="15622" width="16.69921875" style="172" customWidth="1"/>
    <col min="15623" max="15626" width="9" style="172"/>
    <col min="15627" max="15627" width="29.69921875" style="172" customWidth="1"/>
    <col min="15628" max="15872" width="9" style="172"/>
    <col min="15873" max="15873" width="19.19921875" style="172" customWidth="1"/>
    <col min="15874" max="15874" width="20.5" style="172" customWidth="1"/>
    <col min="15875" max="15875" width="11.69921875" style="172" customWidth="1"/>
    <col min="15876" max="15876" width="13" style="172" customWidth="1"/>
    <col min="15877" max="15877" width="12" style="172" customWidth="1"/>
    <col min="15878" max="15878" width="16.69921875" style="172" customWidth="1"/>
    <col min="15879" max="15882" width="9" style="172"/>
    <col min="15883" max="15883" width="29.69921875" style="172" customWidth="1"/>
    <col min="15884" max="16128" width="9" style="172"/>
    <col min="16129" max="16129" width="19.19921875" style="172" customWidth="1"/>
    <col min="16130" max="16130" width="20.5" style="172" customWidth="1"/>
    <col min="16131" max="16131" width="11.69921875" style="172" customWidth="1"/>
    <col min="16132" max="16132" width="13" style="172" customWidth="1"/>
    <col min="16133" max="16133" width="12" style="172" customWidth="1"/>
    <col min="16134" max="16134" width="16.69921875" style="172" customWidth="1"/>
    <col min="16135" max="16138" width="9" style="172"/>
    <col min="16139" max="16139" width="29.69921875" style="172" customWidth="1"/>
    <col min="16140" max="16384" width="9" style="172"/>
  </cols>
  <sheetData>
    <row r="1" spans="1:15" ht="20.100000000000001" customHeight="1">
      <c r="A1" s="3885" t="s">
        <v>2559</v>
      </c>
      <c r="B1" s="3440"/>
      <c r="C1" s="3440"/>
      <c r="D1" s="3440"/>
      <c r="E1" s="3440"/>
      <c r="F1" s="3440"/>
    </row>
    <row r="2" spans="1:15" ht="25.5" customHeight="1">
      <c r="A2" s="3886" t="s">
        <v>2560</v>
      </c>
      <c r="B2" s="3886"/>
      <c r="C2" s="3886"/>
      <c r="D2" s="3886"/>
      <c r="E2" s="3886"/>
      <c r="F2" s="3886"/>
    </row>
    <row r="3" spans="1:15">
      <c r="A3" s="3388" t="s">
        <v>2561</v>
      </c>
      <c r="B3" s="3390"/>
      <c r="C3" s="3887" t="s">
        <v>2562</v>
      </c>
      <c r="D3" s="3888"/>
      <c r="E3" s="3888"/>
      <c r="F3" s="3889"/>
    </row>
    <row r="4" spans="1:15">
      <c r="A4" s="3890" t="s">
        <v>2563</v>
      </c>
      <c r="B4" s="3890"/>
      <c r="C4" s="3890"/>
      <c r="D4" s="3890"/>
      <c r="E4" s="3890"/>
      <c r="F4" s="3890"/>
    </row>
    <row r="5" spans="1:15">
      <c r="A5" s="2039" t="s">
        <v>2564</v>
      </c>
      <c r="B5" s="3883" t="s">
        <v>414</v>
      </c>
      <c r="C5" s="3891"/>
      <c r="D5" s="3891"/>
      <c r="E5" s="3891"/>
      <c r="F5" s="3884"/>
    </row>
    <row r="6" spans="1:15" ht="14.25" customHeight="1">
      <c r="A6" s="2045" t="s">
        <v>2565</v>
      </c>
      <c r="B6" s="2631">
        <f>ROUND(地税、基本情况!B8/10000,2)</f>
        <v>0</v>
      </c>
      <c r="C6" s="3881" t="s">
        <v>2566</v>
      </c>
      <c r="D6" s="3882"/>
      <c r="E6" s="3883" t="s">
        <v>414</v>
      </c>
      <c r="F6" s="3884"/>
    </row>
    <row r="7" spans="1:15" ht="14.25" customHeight="1">
      <c r="A7" s="2045" t="s">
        <v>2567</v>
      </c>
      <c r="B7" s="2647" t="str">
        <f>LEFT(地税、基本情况!F6,4)</f>
        <v/>
      </c>
      <c r="C7" s="3881" t="s">
        <v>6801</v>
      </c>
      <c r="D7" s="3882"/>
      <c r="E7" s="3883" t="s">
        <v>414</v>
      </c>
      <c r="F7" s="3884"/>
    </row>
    <row r="8" spans="1:15" ht="14.25" customHeight="1">
      <c r="A8" s="2039" t="s">
        <v>2568</v>
      </c>
      <c r="B8" s="2632">
        <f ca="1">ROUND(IF(截止月=起始月,0,SUM(OFFSET(社保明细工资人数!J8,VALUE(起始月),0,截止月-起始月,1))+OFFSET(社保明细工资人数!J7,VALUE(起始月),0)/2+OFFSET(社保明细工资人数!J8,VALUE(截止月),0)/2)/(截止月-起始月+1),0)</f>
        <v>0</v>
      </c>
      <c r="C8" s="3476" t="s">
        <v>2569</v>
      </c>
      <c r="D8" s="3476"/>
      <c r="E8" s="3883" t="s">
        <v>414</v>
      </c>
      <c r="F8" s="3884"/>
    </row>
    <row r="9" spans="1:15" ht="14.25" customHeight="1">
      <c r="A9" s="2039" t="s">
        <v>2570</v>
      </c>
      <c r="B9" s="2632">
        <f>ROUND(IF(AND(起始月="01",截止月="12"),(资产负债!C35/2+资产负债!I20+资产负债!D35/2)/IF(资产负债!I20=0,1,12),IF(AND(起始月&lt;&gt;"01",截止月&lt;&gt;"12"),(资产负债!C35/2+资产负债!I20+资产负债!D35/2)/IF(资产负债!I20=0,1/2,截止月-起始月+1.5),IF(截止月&lt;&gt;"12",(资产负债!C35/2+资产负债!I20+资产负债!D35/2)/IF(资产负债!I20=0,1,截止月+1),IF(起始月&lt;&gt;"01",(资产负债!C35/2+资产负债!I20+资产负债!D35/2)/IF(资产负债!I20=0,1/2,截止月-起始月+0.5)))))/10000,2)</f>
        <v>0</v>
      </c>
      <c r="C9" s="3908" t="s">
        <v>2571</v>
      </c>
      <c r="D9" s="3908"/>
      <c r="E9" s="3909" t="s">
        <v>414</v>
      </c>
      <c r="F9" s="3909"/>
    </row>
    <row r="10" spans="1:15" ht="14.25" customHeight="1">
      <c r="A10" s="3892" t="s">
        <v>2572</v>
      </c>
      <c r="B10" s="3893"/>
      <c r="C10" s="3893"/>
      <c r="D10" s="3893"/>
      <c r="E10" s="3893"/>
      <c r="F10" s="3894"/>
    </row>
    <row r="11" spans="1:15" ht="27" customHeight="1">
      <c r="A11" s="2038" t="s">
        <v>2573</v>
      </c>
      <c r="B11" s="3910" t="str">
        <f>基本情况!B38</f>
        <v>小企业会计准则</v>
      </c>
      <c r="C11" s="3911"/>
      <c r="D11" s="3911"/>
      <c r="E11" s="3911"/>
      <c r="F11" s="3912"/>
    </row>
    <row r="12" spans="1:15">
      <c r="A12" s="2039" t="s">
        <v>2574</v>
      </c>
      <c r="B12" s="1522"/>
      <c r="C12" s="3476" t="s">
        <v>2575</v>
      </c>
      <c r="D12" s="3476"/>
      <c r="E12" s="3913"/>
      <c r="F12" s="3913"/>
    </row>
    <row r="13" spans="1:15" ht="23.25" customHeight="1">
      <c r="A13" s="2039" t="s">
        <v>2576</v>
      </c>
      <c r="B13" s="2047" t="s">
        <v>2577</v>
      </c>
      <c r="C13" s="3881" t="s">
        <v>2578</v>
      </c>
      <c r="D13" s="3882"/>
      <c r="E13" s="3887" t="s">
        <v>414</v>
      </c>
      <c r="F13" s="3889"/>
      <c r="H13" s="2002"/>
      <c r="I13" s="2002"/>
      <c r="J13" s="2002"/>
      <c r="K13" s="2002"/>
      <c r="L13" s="2002"/>
      <c r="M13" s="2002"/>
      <c r="N13" s="2002"/>
      <c r="O13" s="2002"/>
    </row>
    <row r="14" spans="1:15" ht="14.25" customHeight="1">
      <c r="A14" s="2045" t="s">
        <v>2579</v>
      </c>
      <c r="B14" s="3899" t="str">
        <f t="array" ref="B14">IFERROR(LEFT(IF(H14,"平均年限法,","")&amp;IF(I14,"工作量法,","")&amp;IF(J14,"双倍余额递减法,","")&amp;IF(K14,"年数总和法,","")&amp;IF(L14,"其它,",""),LEN(IF(H14,"平均年限法,","")&amp;IF(I14,"工作量法,","")&amp;IF(J14,"双倍余额递减法,","")&amp;IF(K14,"年数总和法,","")&amp;IF(L14,"其它,",""))-1),"")</f>
        <v>平均年限法</v>
      </c>
      <c r="C14" s="3900"/>
      <c r="D14" s="3900"/>
      <c r="E14" s="3900"/>
      <c r="F14" s="3901"/>
      <c r="H14" s="2041" t="b">
        <v>1</v>
      </c>
      <c r="I14" s="2041" t="b">
        <v>0</v>
      </c>
      <c r="J14" s="2041" t="b">
        <v>0</v>
      </c>
      <c r="K14" s="2041" t="b">
        <v>0</v>
      </c>
      <c r="L14" s="2041" t="b">
        <v>0</v>
      </c>
      <c r="M14" s="1708"/>
      <c r="N14" s="1708"/>
      <c r="O14" s="1708"/>
    </row>
    <row r="15" spans="1:15" ht="14.25" customHeight="1">
      <c r="A15" s="2045" t="s">
        <v>2580</v>
      </c>
      <c r="B15" s="3902" t="s">
        <v>7688</v>
      </c>
      <c r="C15" s="3903"/>
      <c r="D15" s="3903"/>
      <c r="E15" s="3903"/>
      <c r="F15" s="3904"/>
      <c r="H15" s="2041" t="b" ph="1">
        <v>0</v>
      </c>
      <c r="I15" s="2041" t="b" ph="1">
        <v>0</v>
      </c>
      <c r="J15" s="2041" t="b" ph="1">
        <v>1</v>
      </c>
      <c r="K15" s="2041" t="b" ph="1">
        <v>0</v>
      </c>
      <c r="L15" s="2041" t="b" ph="1">
        <v>0</v>
      </c>
      <c r="M15" s="2041" t="b" ph="1">
        <v>0</v>
      </c>
      <c r="N15" s="2041" t="b" ph="1">
        <v>0</v>
      </c>
      <c r="O15" s="2041" t="b" ph="1">
        <v>0</v>
      </c>
    </row>
    <row r="16" spans="1:15" ht="14.25" customHeight="1">
      <c r="A16" s="2045" t="s">
        <v>2581</v>
      </c>
      <c r="B16" s="3905" t="s">
        <v>7687</v>
      </c>
      <c r="C16" s="3906"/>
      <c r="D16" s="3906"/>
      <c r="E16" s="3906"/>
      <c r="F16" s="3907"/>
      <c r="H16" s="2002"/>
      <c r="I16" s="2002"/>
      <c r="J16" s="2002"/>
      <c r="K16" s="2002"/>
      <c r="L16" s="2002"/>
      <c r="M16" s="2002"/>
      <c r="N16" s="2002"/>
      <c r="O16" s="2002"/>
    </row>
    <row r="17" spans="1:8" ht="14.25" customHeight="1">
      <c r="A17" s="2045" t="s">
        <v>2582</v>
      </c>
      <c r="B17" s="3905" t="s">
        <v>2583</v>
      </c>
      <c r="C17" s="3906"/>
      <c r="D17" s="3906"/>
      <c r="E17" s="3906"/>
      <c r="F17" s="3907"/>
    </row>
    <row r="18" spans="1:8" ht="14.25" customHeight="1">
      <c r="A18" s="3892" t="s">
        <v>2584</v>
      </c>
      <c r="B18" s="3893"/>
      <c r="C18" s="3893"/>
      <c r="D18" s="3893"/>
      <c r="E18" s="3893"/>
      <c r="F18" s="3894"/>
    </row>
    <row r="19" spans="1:8">
      <c r="A19" s="3463" t="s">
        <v>2585</v>
      </c>
      <c r="B19" s="3464"/>
      <c r="C19" s="3464"/>
      <c r="D19" s="3464"/>
      <c r="E19" s="3464"/>
      <c r="F19" s="3895"/>
      <c r="H19" s="1709"/>
    </row>
    <row r="20" spans="1:8">
      <c r="A20" s="2036" t="s">
        <v>2586</v>
      </c>
      <c r="B20" s="2035" t="s">
        <v>2587</v>
      </c>
      <c r="C20" s="2035" t="s">
        <v>1657</v>
      </c>
      <c r="D20" s="2036" t="s">
        <v>2588</v>
      </c>
      <c r="E20" s="2567" t="s">
        <v>7689</v>
      </c>
      <c r="F20" s="2036" t="s">
        <v>2589</v>
      </c>
    </row>
    <row r="21" spans="1:8">
      <c r="A21" s="2628" t="str">
        <f>基本情况!A52</f>
        <v/>
      </c>
      <c r="B21" s="2629" t="s">
        <v>2590</v>
      </c>
      <c r="C21" s="2625"/>
      <c r="D21" s="2624">
        <v>430</v>
      </c>
      <c r="E21" s="2630" t="str">
        <f>IFERROR(ROUND(基本情况!C52*100,2),"")</f>
        <v/>
      </c>
      <c r="F21" s="2624">
        <v>156</v>
      </c>
    </row>
    <row r="22" spans="1:8">
      <c r="A22" s="2628" t="str">
        <f>基本情况!A53</f>
        <v/>
      </c>
      <c r="B22" s="2629"/>
      <c r="C22" s="2625"/>
      <c r="D22" s="2624"/>
      <c r="E22" s="2630" t="str">
        <f>IFERROR(ROUND(基本情况!C53*100,2),"")</f>
        <v/>
      </c>
      <c r="F22" s="2624"/>
    </row>
    <row r="23" spans="1:8">
      <c r="A23" s="2628" t="str">
        <f>基本情况!A54</f>
        <v/>
      </c>
      <c r="B23" s="2629"/>
      <c r="C23" s="2625"/>
      <c r="D23" s="2624"/>
      <c r="E23" s="2630" t="str">
        <f>IFERROR(ROUND(基本情况!C54*100,2),"")</f>
        <v/>
      </c>
      <c r="F23" s="2624"/>
    </row>
    <row r="24" spans="1:8">
      <c r="A24" s="2628" t="str">
        <f>基本情况!A55</f>
        <v/>
      </c>
      <c r="B24" s="2629"/>
      <c r="C24" s="2625"/>
      <c r="D24" s="2624"/>
      <c r="E24" s="2630" t="str">
        <f>IFERROR(ROUND(基本情况!C55*100,2),"")</f>
        <v/>
      </c>
      <c r="F24" s="2624"/>
    </row>
    <row r="25" spans="1:8">
      <c r="A25" s="2628" t="str">
        <f>基本情况!A56</f>
        <v/>
      </c>
      <c r="B25" s="2629"/>
      <c r="C25" s="2625"/>
      <c r="D25" s="2624"/>
      <c r="E25" s="2630" t="str">
        <f>IFERROR(ROUND(基本情况!C56*100,2),"")</f>
        <v/>
      </c>
      <c r="F25" s="2624"/>
    </row>
    <row r="26" spans="1:8">
      <c r="A26" s="3463" t="s">
        <v>2591</v>
      </c>
      <c r="B26" s="3464"/>
      <c r="C26" s="3464"/>
      <c r="D26" s="3464"/>
      <c r="E26" s="3464"/>
      <c r="F26" s="3895"/>
    </row>
    <row r="27" spans="1:8">
      <c r="A27" s="2036" t="s">
        <v>2592</v>
      </c>
      <c r="B27" s="2046" t="s">
        <v>1625</v>
      </c>
      <c r="C27" s="2036" t="s">
        <v>2588</v>
      </c>
      <c r="D27" s="2567" t="s">
        <v>7689</v>
      </c>
      <c r="E27" s="2036" t="s">
        <v>2593</v>
      </c>
      <c r="F27" s="2036" t="s">
        <v>1653</v>
      </c>
    </row>
    <row r="28" spans="1:8">
      <c r="A28" s="2624"/>
      <c r="B28" s="2625"/>
      <c r="C28" s="2626"/>
      <c r="D28" s="2627"/>
      <c r="E28" s="2627"/>
      <c r="F28" s="2624"/>
    </row>
    <row r="29" spans="1:8">
      <c r="A29" s="2624"/>
      <c r="B29" s="2625"/>
      <c r="C29" s="2626"/>
      <c r="D29" s="2627"/>
      <c r="E29" s="2627"/>
      <c r="F29" s="2624"/>
    </row>
    <row r="30" spans="1:8">
      <c r="A30" s="2624"/>
      <c r="B30" s="2625"/>
      <c r="C30" s="2626"/>
      <c r="D30" s="2627"/>
      <c r="E30" s="2627"/>
      <c r="F30" s="2624"/>
    </row>
    <row r="31" spans="1:8">
      <c r="A31" s="2624"/>
      <c r="B31" s="2625"/>
      <c r="C31" s="2626"/>
      <c r="D31" s="2627"/>
      <c r="E31" s="2627"/>
      <c r="F31" s="2624"/>
    </row>
    <row r="32" spans="1:8">
      <c r="A32" s="2624"/>
      <c r="B32" s="2625"/>
      <c r="C32" s="2626"/>
      <c r="D32" s="2627"/>
      <c r="E32" s="2627"/>
      <c r="F32" s="2624"/>
    </row>
    <row r="34" spans="1:6" s="2037" customFormat="1">
      <c r="A34" s="3898" t="s">
        <v>6569</v>
      </c>
      <c r="B34" s="3898"/>
      <c r="C34" s="3898"/>
      <c r="D34" s="3898"/>
      <c r="E34" s="3898"/>
      <c r="F34" s="3898"/>
    </row>
    <row r="35" spans="1:6" s="2037" customFormat="1">
      <c r="A35" s="3898"/>
      <c r="B35" s="3898"/>
      <c r="C35" s="3898"/>
      <c r="D35" s="3898"/>
      <c r="E35" s="3898"/>
      <c r="F35" s="3898"/>
    </row>
    <row r="36" spans="1:6" s="2037" customFormat="1">
      <c r="A36" s="3898" t="s">
        <v>6570</v>
      </c>
      <c r="B36" s="3898"/>
      <c r="C36" s="3898"/>
      <c r="D36" s="3898"/>
      <c r="E36" s="3898"/>
      <c r="F36" s="3898"/>
    </row>
    <row r="37" spans="1:6" s="2037" customFormat="1">
      <c r="A37" s="3898" t="s">
        <v>6571</v>
      </c>
      <c r="B37" s="3898"/>
      <c r="C37" s="3898"/>
      <c r="D37" s="3898"/>
      <c r="E37" s="3898"/>
      <c r="F37" s="3898"/>
    </row>
    <row r="38" spans="1:6" s="2037" customFormat="1">
      <c r="A38" s="3898" t="s">
        <v>6572</v>
      </c>
      <c r="B38" s="3898"/>
      <c r="C38" s="3898"/>
      <c r="D38" s="3898"/>
      <c r="E38" s="3898"/>
      <c r="F38" s="3898"/>
    </row>
    <row r="39" spans="1:6" s="2037" customFormat="1">
      <c r="A39" s="3898" t="s">
        <v>6573</v>
      </c>
      <c r="B39" s="3898"/>
      <c r="C39" s="3898"/>
      <c r="D39" s="3898"/>
      <c r="E39" s="3898"/>
      <c r="F39" s="3898"/>
    </row>
    <row r="40" spans="1:6" s="2037" customFormat="1" ht="28.5" customHeight="1">
      <c r="A40" s="3898" t="s">
        <v>6574</v>
      </c>
      <c r="B40" s="3898"/>
      <c r="C40" s="3898"/>
      <c r="D40" s="3898"/>
      <c r="E40" s="3898"/>
      <c r="F40" s="3898"/>
    </row>
    <row r="41" spans="1:6" s="2037" customFormat="1" ht="72.75" customHeight="1">
      <c r="A41" s="3898" t="s">
        <v>6575</v>
      </c>
      <c r="B41" s="3898"/>
      <c r="C41" s="3898"/>
      <c r="D41" s="3898"/>
      <c r="E41" s="3898"/>
      <c r="F41" s="3898"/>
    </row>
    <row r="42" spans="1:6" s="2037" customFormat="1" ht="28.5" customHeight="1">
      <c r="A42" s="3898" t="s">
        <v>6576</v>
      </c>
      <c r="B42" s="3898"/>
      <c r="C42" s="3898"/>
      <c r="D42" s="3898"/>
      <c r="E42" s="3898"/>
      <c r="F42" s="3898"/>
    </row>
    <row r="43" spans="1:6" s="2037" customFormat="1" ht="63.75" customHeight="1">
      <c r="A43" s="3898" t="s">
        <v>6803</v>
      </c>
      <c r="B43" s="3898"/>
      <c r="C43" s="3898"/>
      <c r="D43" s="3898"/>
      <c r="E43" s="3898"/>
      <c r="F43" s="3898"/>
    </row>
    <row r="44" spans="1:6" s="2037" customFormat="1" ht="42" customHeight="1">
      <c r="A44" s="3898" t="s">
        <v>6577</v>
      </c>
      <c r="B44" s="3898"/>
      <c r="C44" s="3898"/>
      <c r="D44" s="3898"/>
      <c r="E44" s="3898"/>
      <c r="F44" s="3898"/>
    </row>
    <row r="45" spans="1:6" s="2037" customFormat="1">
      <c r="A45" s="3898" t="s">
        <v>6578</v>
      </c>
      <c r="B45" s="3898"/>
      <c r="C45" s="3898"/>
      <c r="D45" s="3898"/>
      <c r="E45" s="3898"/>
      <c r="F45" s="3898"/>
    </row>
    <row r="46" spans="1:6" s="2037" customFormat="1">
      <c r="A46" s="3898" t="s">
        <v>6579</v>
      </c>
      <c r="B46" s="3898"/>
      <c r="C46" s="3898"/>
      <c r="D46" s="3898"/>
      <c r="E46" s="3898"/>
      <c r="F46" s="3898"/>
    </row>
    <row r="47" spans="1:6" s="2037" customFormat="1">
      <c r="A47" s="3898" t="s">
        <v>6580</v>
      </c>
      <c r="B47" s="3898"/>
      <c r="C47" s="3898"/>
      <c r="D47" s="3898"/>
      <c r="E47" s="3898"/>
      <c r="F47" s="3898"/>
    </row>
    <row r="48" spans="1:6" s="2037" customFormat="1">
      <c r="A48" s="3898" t="s">
        <v>6581</v>
      </c>
      <c r="B48" s="3898"/>
      <c r="C48" s="3898"/>
      <c r="D48" s="3898"/>
      <c r="E48" s="3898"/>
      <c r="F48" s="3898"/>
    </row>
    <row r="49" spans="1:6" s="2037" customFormat="1" ht="33.75" customHeight="1">
      <c r="A49" s="3898" t="s">
        <v>6582</v>
      </c>
      <c r="B49" s="3898"/>
      <c r="C49" s="3898"/>
      <c r="D49" s="3898"/>
      <c r="E49" s="3898"/>
      <c r="F49" s="3898"/>
    </row>
    <row r="50" spans="1:6" s="2037" customFormat="1" ht="48.75" customHeight="1">
      <c r="A50" s="3898" t="s">
        <v>6583</v>
      </c>
      <c r="B50" s="3898"/>
      <c r="C50" s="3898"/>
      <c r="D50" s="3898"/>
      <c r="E50" s="3898"/>
      <c r="F50" s="3898"/>
    </row>
    <row r="51" spans="1:6" s="2037" customFormat="1">
      <c r="A51" s="3898" t="s">
        <v>6802</v>
      </c>
      <c r="B51" s="3898"/>
      <c r="C51" s="3898"/>
      <c r="D51" s="3898"/>
      <c r="E51" s="3898"/>
      <c r="F51" s="3898"/>
    </row>
    <row r="52" spans="1:6" s="2037" customFormat="1">
      <c r="A52" s="3898" t="s">
        <v>6584</v>
      </c>
      <c r="B52" s="3898"/>
      <c r="C52" s="3898"/>
      <c r="D52" s="3898"/>
      <c r="E52" s="3898"/>
      <c r="F52" s="3898"/>
    </row>
    <row r="53" spans="1:6" s="2037" customFormat="1" ht="37.5" customHeight="1">
      <c r="A53" s="3898" t="s">
        <v>6585</v>
      </c>
      <c r="B53" s="3898"/>
      <c r="C53" s="3898"/>
      <c r="D53" s="3898"/>
      <c r="E53" s="3898"/>
      <c r="F53" s="3898"/>
    </row>
    <row r="54" spans="1:6" s="2037" customFormat="1">
      <c r="A54" s="3898" t="s">
        <v>6586</v>
      </c>
      <c r="B54" s="3898"/>
      <c r="C54" s="3898"/>
      <c r="D54" s="3898"/>
      <c r="E54" s="3898"/>
      <c r="F54" s="3898"/>
    </row>
    <row r="55" spans="1:6" s="2037" customFormat="1">
      <c r="A55" s="3898" t="s">
        <v>6587</v>
      </c>
      <c r="B55" s="3898"/>
      <c r="C55" s="3898"/>
      <c r="D55" s="3898"/>
      <c r="E55" s="3898"/>
      <c r="F55" s="3898"/>
    </row>
    <row r="56" spans="1:6" s="2037" customFormat="1">
      <c r="A56" s="3898" t="s">
        <v>6588</v>
      </c>
      <c r="B56" s="3898"/>
      <c r="C56" s="3898"/>
      <c r="D56" s="3898"/>
      <c r="E56" s="3898"/>
      <c r="F56" s="3898"/>
    </row>
    <row r="57" spans="1:6" s="2037" customFormat="1">
      <c r="A57" s="3898" t="s">
        <v>6589</v>
      </c>
      <c r="B57" s="3898"/>
      <c r="C57" s="3898"/>
      <c r="D57" s="3898"/>
      <c r="E57" s="3898"/>
      <c r="F57" s="3898"/>
    </row>
    <row r="58" spans="1:6" s="2037" customFormat="1" ht="29.25" customHeight="1">
      <c r="A58" s="3898" t="s">
        <v>6590</v>
      </c>
      <c r="B58" s="3898"/>
      <c r="C58" s="3898"/>
      <c r="D58" s="3898"/>
      <c r="E58" s="3898"/>
      <c r="F58" s="3898"/>
    </row>
    <row r="59" spans="1:6" s="2037" customFormat="1">
      <c r="A59" s="3898" t="s">
        <v>6591</v>
      </c>
      <c r="B59" s="3898"/>
      <c r="C59" s="3898"/>
      <c r="D59" s="3898"/>
      <c r="E59" s="3898"/>
      <c r="F59" s="3898"/>
    </row>
    <row r="60" spans="1:6" s="2037" customFormat="1">
      <c r="A60" s="3898" t="s">
        <v>6592</v>
      </c>
      <c r="B60" s="3898"/>
      <c r="C60" s="3898"/>
      <c r="D60" s="3898"/>
      <c r="E60" s="3898"/>
      <c r="F60" s="3898"/>
    </row>
    <row r="61" spans="1:6" s="2037" customFormat="1">
      <c r="A61" s="3898" t="s">
        <v>6593</v>
      </c>
      <c r="B61" s="3898"/>
      <c r="C61" s="3898"/>
      <c r="D61" s="3898"/>
      <c r="E61" s="3898"/>
      <c r="F61" s="3898"/>
    </row>
    <row r="62" spans="1:6" s="2037" customFormat="1">
      <c r="A62" s="3898" t="s">
        <v>6594</v>
      </c>
      <c r="B62" s="3898"/>
      <c r="C62" s="3898"/>
      <c r="D62" s="3898"/>
      <c r="E62" s="3898"/>
      <c r="F62" s="3898"/>
    </row>
    <row r="63" spans="1:6" s="2037" customFormat="1" ht="57.75" customHeight="1">
      <c r="A63" s="3898" t="s">
        <v>6595</v>
      </c>
      <c r="B63" s="3898"/>
      <c r="C63" s="3898"/>
      <c r="D63" s="3898"/>
      <c r="E63" s="3898"/>
      <c r="F63" s="3898"/>
    </row>
    <row r="64" spans="1:6" s="2037" customFormat="1">
      <c r="A64" s="3898" t="s">
        <v>6596</v>
      </c>
      <c r="B64" s="3898"/>
      <c r="C64" s="3898"/>
      <c r="D64" s="3898"/>
      <c r="E64" s="3898"/>
      <c r="F64" s="3898"/>
    </row>
    <row r="65" spans="1:11" s="2037" customFormat="1" ht="35.25" customHeight="1">
      <c r="A65" s="3898" t="s">
        <v>6597</v>
      </c>
      <c r="B65" s="3898"/>
      <c r="C65" s="3898"/>
      <c r="D65" s="3898"/>
      <c r="E65" s="3898"/>
      <c r="F65" s="3898"/>
    </row>
    <row r="66" spans="1:11" s="2037" customFormat="1"/>
    <row r="68" spans="1:11">
      <c r="A68" s="3896" t="s">
        <v>2594</v>
      </c>
      <c r="B68" s="3897"/>
      <c r="C68" s="3897"/>
      <c r="E68" s="3896" t="s">
        <v>429</v>
      </c>
      <c r="F68" s="3897"/>
      <c r="G68" s="3897"/>
      <c r="I68" s="3896" t="s">
        <v>2588</v>
      </c>
      <c r="J68" s="3897"/>
      <c r="K68" s="3897"/>
    </row>
    <row r="69" spans="1:11">
      <c r="A69" s="1524" t="s">
        <v>1870</v>
      </c>
      <c r="B69" s="3914" t="s">
        <v>1871</v>
      </c>
      <c r="C69" s="3914"/>
      <c r="E69" s="1525" t="s">
        <v>2595</v>
      </c>
      <c r="F69" s="3915" t="s">
        <v>2596</v>
      </c>
      <c r="G69" s="3915"/>
      <c r="I69" s="1525">
        <v>100</v>
      </c>
      <c r="J69" s="3915" t="s">
        <v>1761</v>
      </c>
      <c r="K69" s="3915"/>
    </row>
    <row r="70" spans="1:11">
      <c r="A70" s="1524" t="s">
        <v>1872</v>
      </c>
      <c r="B70" s="3914" t="s">
        <v>1873</v>
      </c>
      <c r="C70" s="3914"/>
      <c r="E70" s="1525" t="s">
        <v>2597</v>
      </c>
      <c r="F70" s="3915" t="s">
        <v>2598</v>
      </c>
      <c r="G70" s="3915"/>
      <c r="I70" s="1525">
        <v>110</v>
      </c>
      <c r="J70" s="3915" t="s">
        <v>1763</v>
      </c>
      <c r="K70" s="3915"/>
    </row>
    <row r="71" spans="1:11">
      <c r="A71" s="1524" t="s">
        <v>1874</v>
      </c>
      <c r="B71" s="3914" t="s">
        <v>1875</v>
      </c>
      <c r="C71" s="3914"/>
      <c r="E71" s="1525" t="s">
        <v>2599</v>
      </c>
      <c r="F71" s="3915" t="s">
        <v>2600</v>
      </c>
      <c r="G71" s="3915"/>
      <c r="I71" s="1525">
        <v>120</v>
      </c>
      <c r="J71" s="3915" t="s">
        <v>1765</v>
      </c>
      <c r="K71" s="3915"/>
    </row>
    <row r="72" spans="1:11">
      <c r="A72" s="1524" t="s">
        <v>1876</v>
      </c>
      <c r="B72" s="1526" t="s">
        <v>1877</v>
      </c>
      <c r="C72" s="1526"/>
      <c r="E72" s="1525" t="s">
        <v>2601</v>
      </c>
      <c r="F72" s="3915" t="s">
        <v>2602</v>
      </c>
      <c r="G72" s="3915"/>
      <c r="I72" s="1525">
        <v>130</v>
      </c>
      <c r="J72" s="3915" t="s">
        <v>1767</v>
      </c>
      <c r="K72" s="3915"/>
    </row>
    <row r="73" spans="1:11">
      <c r="A73" s="1524" t="s">
        <v>1878</v>
      </c>
      <c r="B73" s="3914" t="s">
        <v>1879</v>
      </c>
      <c r="C73" s="3914"/>
      <c r="E73" s="1525" t="s">
        <v>2603</v>
      </c>
      <c r="F73" s="3915" t="s">
        <v>2604</v>
      </c>
      <c r="G73" s="3915"/>
      <c r="I73" s="1525">
        <v>140</v>
      </c>
      <c r="J73" s="3915" t="s">
        <v>1769</v>
      </c>
      <c r="K73" s="3915"/>
    </row>
    <row r="74" spans="1:11">
      <c r="A74" s="1524" t="s">
        <v>1880</v>
      </c>
      <c r="B74" s="3914" t="s">
        <v>1881</v>
      </c>
      <c r="C74" s="3914"/>
      <c r="E74" s="1525" t="s">
        <v>2605</v>
      </c>
      <c r="F74" s="3915" t="s">
        <v>2606</v>
      </c>
      <c r="G74" s="3915"/>
      <c r="I74" s="1525">
        <v>141</v>
      </c>
      <c r="J74" s="3915" t="s">
        <v>1771</v>
      </c>
      <c r="K74" s="3915"/>
    </row>
    <row r="75" spans="1:11">
      <c r="A75" s="1524" t="s">
        <v>1882</v>
      </c>
      <c r="B75" s="3914" t="s">
        <v>1883</v>
      </c>
      <c r="C75" s="3914"/>
      <c r="E75" s="1525" t="s">
        <v>2607</v>
      </c>
      <c r="F75" s="3915" t="s">
        <v>2608</v>
      </c>
      <c r="G75" s="3915"/>
      <c r="I75" s="1525">
        <v>142</v>
      </c>
      <c r="J75" s="3915" t="s">
        <v>1773</v>
      </c>
      <c r="K75" s="3915"/>
    </row>
    <row r="76" spans="1:11">
      <c r="A76" s="1524" t="s">
        <v>1884</v>
      </c>
      <c r="B76" s="3914" t="s">
        <v>1885</v>
      </c>
      <c r="C76" s="3914"/>
      <c r="E76" s="1525" t="s">
        <v>2609</v>
      </c>
      <c r="F76" s="3915" t="s">
        <v>2610</v>
      </c>
      <c r="G76" s="3915"/>
      <c r="I76" s="1525">
        <v>143</v>
      </c>
      <c r="J76" s="3915" t="s">
        <v>1775</v>
      </c>
      <c r="K76" s="3915"/>
    </row>
    <row r="77" spans="1:11">
      <c r="A77" s="1524" t="s">
        <v>1886</v>
      </c>
      <c r="B77" s="3914" t="s">
        <v>1887</v>
      </c>
      <c r="C77" s="3914"/>
      <c r="E77" s="1525" t="s">
        <v>2611</v>
      </c>
      <c r="F77" s="3915" t="s">
        <v>2612</v>
      </c>
      <c r="G77" s="3915"/>
      <c r="I77" s="1525">
        <v>149</v>
      </c>
      <c r="J77" s="3915" t="s">
        <v>1777</v>
      </c>
      <c r="K77" s="3915"/>
    </row>
    <row r="78" spans="1:11">
      <c r="A78" s="1524" t="s">
        <v>1888</v>
      </c>
      <c r="B78" s="3914" t="s">
        <v>1889</v>
      </c>
      <c r="C78" s="3914"/>
      <c r="E78" s="1525" t="s">
        <v>2613</v>
      </c>
      <c r="F78" s="3915" t="s">
        <v>2614</v>
      </c>
      <c r="G78" s="3915"/>
      <c r="I78" s="1525">
        <v>150</v>
      </c>
      <c r="J78" s="3915" t="s">
        <v>1779</v>
      </c>
      <c r="K78" s="3915"/>
    </row>
    <row r="79" spans="1:11">
      <c r="A79" s="1524" t="s">
        <v>1890</v>
      </c>
      <c r="B79" s="3914" t="s">
        <v>1891</v>
      </c>
      <c r="C79" s="3914"/>
      <c r="E79" s="1525" t="s">
        <v>2615</v>
      </c>
      <c r="F79" s="3915" t="s">
        <v>2616</v>
      </c>
      <c r="G79" s="3915"/>
      <c r="I79" s="1525">
        <v>151</v>
      </c>
      <c r="J79" s="3915" t="s">
        <v>1781</v>
      </c>
      <c r="K79" s="3915"/>
    </row>
    <row r="80" spans="1:11">
      <c r="A80" s="1524" t="s">
        <v>1892</v>
      </c>
      <c r="B80" s="3914" t="s">
        <v>1893</v>
      </c>
      <c r="C80" s="3914"/>
      <c r="E80" s="1525" t="s">
        <v>2617</v>
      </c>
      <c r="F80" s="3915" t="s">
        <v>2618</v>
      </c>
      <c r="G80" s="3915"/>
      <c r="I80" s="1525">
        <v>159</v>
      </c>
      <c r="J80" s="3915" t="s">
        <v>1656</v>
      </c>
      <c r="K80" s="3915"/>
    </row>
    <row r="81" spans="1:11">
      <c r="A81" s="1524" t="s">
        <v>1894</v>
      </c>
      <c r="B81" s="3914" t="s">
        <v>1895</v>
      </c>
      <c r="C81" s="3914"/>
      <c r="E81" s="1525" t="s">
        <v>2619</v>
      </c>
      <c r="F81" s="3915" t="s">
        <v>2620</v>
      </c>
      <c r="G81" s="3915"/>
      <c r="I81" s="1525">
        <v>160</v>
      </c>
      <c r="J81" s="3915" t="s">
        <v>1783</v>
      </c>
      <c r="K81" s="3915"/>
    </row>
    <row r="82" spans="1:11">
      <c r="A82" s="1524" t="s">
        <v>1896</v>
      </c>
      <c r="B82" s="3914" t="s">
        <v>1897</v>
      </c>
      <c r="C82" s="3914"/>
      <c r="E82" s="1525" t="s">
        <v>2621</v>
      </c>
      <c r="F82" s="3915" t="s">
        <v>2622</v>
      </c>
      <c r="G82" s="3915"/>
      <c r="I82" s="1525">
        <v>170</v>
      </c>
      <c r="J82" s="3915" t="s">
        <v>1785</v>
      </c>
      <c r="K82" s="3915"/>
    </row>
    <row r="83" spans="1:11">
      <c r="A83" s="1524" t="s">
        <v>1898</v>
      </c>
      <c r="B83" s="3914" t="s">
        <v>1899</v>
      </c>
      <c r="C83" s="3914"/>
      <c r="E83" s="1525" t="s">
        <v>2623</v>
      </c>
      <c r="F83" s="3915" t="s">
        <v>2624</v>
      </c>
      <c r="G83" s="3915"/>
      <c r="I83" s="1525">
        <v>171</v>
      </c>
      <c r="J83" s="3915" t="s">
        <v>1787</v>
      </c>
      <c r="K83" s="3915"/>
    </row>
    <row r="84" spans="1:11">
      <c r="A84" s="1524" t="s">
        <v>1900</v>
      </c>
      <c r="B84" s="3914" t="s">
        <v>1901</v>
      </c>
      <c r="C84" s="3914"/>
      <c r="E84" s="1525" t="s">
        <v>2625</v>
      </c>
      <c r="F84" s="3915" t="s">
        <v>2626</v>
      </c>
      <c r="G84" s="3915"/>
      <c r="I84" s="1525">
        <v>172</v>
      </c>
      <c r="J84" s="3915" t="s">
        <v>1789</v>
      </c>
      <c r="K84" s="3915"/>
    </row>
    <row r="85" spans="1:11">
      <c r="A85" s="1524" t="s">
        <v>1902</v>
      </c>
      <c r="B85" s="3914" t="s">
        <v>1903</v>
      </c>
      <c r="C85" s="3914"/>
      <c r="E85" s="1525" t="s">
        <v>2627</v>
      </c>
      <c r="F85" s="3915" t="s">
        <v>2628</v>
      </c>
      <c r="G85" s="3915"/>
      <c r="I85" s="1525">
        <v>173</v>
      </c>
      <c r="J85" s="3915" t="s">
        <v>1791</v>
      </c>
      <c r="K85" s="3915"/>
    </row>
    <row r="86" spans="1:11">
      <c r="A86" s="1524" t="s">
        <v>1904</v>
      </c>
      <c r="B86" s="3914" t="s">
        <v>1905</v>
      </c>
      <c r="C86" s="3914"/>
      <c r="E86" s="1525" t="s">
        <v>2629</v>
      </c>
      <c r="F86" s="3915" t="s">
        <v>2630</v>
      </c>
      <c r="G86" s="3915"/>
      <c r="I86" s="1525">
        <v>174</v>
      </c>
      <c r="J86" s="3915" t="s">
        <v>1793</v>
      </c>
      <c r="K86" s="3915"/>
    </row>
    <row r="87" spans="1:11">
      <c r="A87" s="1524" t="s">
        <v>1906</v>
      </c>
      <c r="B87" s="3914" t="s">
        <v>1907</v>
      </c>
      <c r="C87" s="3914"/>
      <c r="E87" s="1525" t="s">
        <v>2631</v>
      </c>
      <c r="F87" s="3915" t="s">
        <v>2632</v>
      </c>
      <c r="G87" s="3915"/>
      <c r="I87" s="1525">
        <v>175</v>
      </c>
      <c r="J87" s="3915" t="s">
        <v>1795</v>
      </c>
      <c r="K87" s="3915"/>
    </row>
    <row r="88" spans="1:11">
      <c r="A88" s="1524" t="s">
        <v>1908</v>
      </c>
      <c r="B88" s="3914" t="s">
        <v>1909</v>
      </c>
      <c r="C88" s="3914"/>
      <c r="E88" s="1525" t="s">
        <v>2633</v>
      </c>
      <c r="F88" s="3915" t="s">
        <v>2634</v>
      </c>
      <c r="G88" s="3915"/>
      <c r="I88" s="1525">
        <v>190</v>
      </c>
      <c r="J88" s="3915" t="s">
        <v>1797</v>
      </c>
      <c r="K88" s="3915"/>
    </row>
    <row r="89" spans="1:11">
      <c r="A89" s="1524" t="s">
        <v>1910</v>
      </c>
      <c r="B89" s="3914" t="s">
        <v>1911</v>
      </c>
      <c r="C89" s="3914"/>
      <c r="E89" s="1525" t="s">
        <v>2635</v>
      </c>
      <c r="F89" s="3915" t="s">
        <v>2636</v>
      </c>
      <c r="G89" s="3915"/>
      <c r="I89" s="1525">
        <v>200</v>
      </c>
      <c r="J89" s="3915" t="s">
        <v>1799</v>
      </c>
      <c r="K89" s="3915"/>
    </row>
    <row r="90" spans="1:11">
      <c r="A90" s="1524" t="s">
        <v>1912</v>
      </c>
      <c r="B90" s="3914" t="s">
        <v>1913</v>
      </c>
      <c r="C90" s="3914"/>
      <c r="E90" s="1525" t="s">
        <v>2637</v>
      </c>
      <c r="F90" s="3915" t="s">
        <v>2638</v>
      </c>
      <c r="G90" s="3915"/>
      <c r="I90" s="1525">
        <v>210</v>
      </c>
      <c r="J90" s="3915" t="s">
        <v>1800</v>
      </c>
      <c r="K90" s="3915"/>
    </row>
    <row r="91" spans="1:11">
      <c r="A91" s="1524" t="s">
        <v>1914</v>
      </c>
      <c r="B91" s="3914" t="s">
        <v>1915</v>
      </c>
      <c r="C91" s="3914"/>
      <c r="E91" s="1525" t="s">
        <v>2639</v>
      </c>
      <c r="F91" s="3915" t="s">
        <v>2640</v>
      </c>
      <c r="G91" s="3915"/>
      <c r="I91" s="1525">
        <v>220</v>
      </c>
      <c r="J91" s="3915" t="s">
        <v>1801</v>
      </c>
      <c r="K91" s="3915"/>
    </row>
    <row r="92" spans="1:11">
      <c r="A92" s="1524" t="s">
        <v>1916</v>
      </c>
      <c r="B92" s="3914" t="s">
        <v>1917</v>
      </c>
      <c r="C92" s="3914"/>
      <c r="E92" s="1525" t="s">
        <v>2641</v>
      </c>
      <c r="F92" s="3915" t="s">
        <v>2642</v>
      </c>
      <c r="G92" s="3915"/>
      <c r="I92" s="1525">
        <v>230</v>
      </c>
      <c r="J92" s="3915" t="s">
        <v>1802</v>
      </c>
      <c r="K92" s="3915"/>
    </row>
    <row r="93" spans="1:11">
      <c r="A93" s="1524" t="s">
        <v>1918</v>
      </c>
      <c r="B93" s="3914" t="s">
        <v>1919</v>
      </c>
      <c r="C93" s="3914"/>
      <c r="E93" s="1525" t="s">
        <v>2643</v>
      </c>
      <c r="F93" s="3915" t="s">
        <v>2644</v>
      </c>
      <c r="G93" s="3915"/>
      <c r="I93" s="1525">
        <v>240</v>
      </c>
      <c r="J93" s="3915" t="s">
        <v>1803</v>
      </c>
      <c r="K93" s="3915"/>
    </row>
    <row r="94" spans="1:11">
      <c r="A94" s="1524" t="s">
        <v>1920</v>
      </c>
      <c r="B94" s="3914" t="s">
        <v>1921</v>
      </c>
      <c r="C94" s="3914"/>
      <c r="E94" s="1525" t="s">
        <v>2645</v>
      </c>
      <c r="F94" s="3915" t="s">
        <v>2646</v>
      </c>
      <c r="G94" s="3915"/>
      <c r="I94" s="1525">
        <v>250</v>
      </c>
      <c r="J94" s="3915" t="s">
        <v>1804</v>
      </c>
      <c r="K94" s="3915"/>
    </row>
    <row r="95" spans="1:11">
      <c r="A95" s="1524" t="s">
        <v>1922</v>
      </c>
      <c r="B95" s="3914" t="s">
        <v>1923</v>
      </c>
      <c r="C95" s="3914"/>
      <c r="E95" s="1525" t="s">
        <v>2647</v>
      </c>
      <c r="F95" s="3915" t="s">
        <v>2648</v>
      </c>
      <c r="G95" s="3915"/>
      <c r="I95" s="1525">
        <v>251</v>
      </c>
      <c r="J95" s="3915" t="s">
        <v>1805</v>
      </c>
      <c r="K95" s="3915"/>
    </row>
    <row r="96" spans="1:11">
      <c r="A96" s="1524" t="s">
        <v>1924</v>
      </c>
      <c r="B96" s="3914" t="s">
        <v>1925</v>
      </c>
      <c r="C96" s="3914"/>
      <c r="E96" s="1525" t="s">
        <v>2649</v>
      </c>
      <c r="F96" s="3915" t="s">
        <v>2650</v>
      </c>
      <c r="G96" s="3915"/>
      <c r="I96" s="1525">
        <v>252</v>
      </c>
      <c r="J96" s="3915" t="s">
        <v>1806</v>
      </c>
      <c r="K96" s="3915"/>
    </row>
    <row r="97" spans="1:11">
      <c r="A97" s="1524" t="s">
        <v>1926</v>
      </c>
      <c r="B97" s="3914" t="s">
        <v>1927</v>
      </c>
      <c r="C97" s="3914"/>
      <c r="E97" s="1525" t="s">
        <v>2651</v>
      </c>
      <c r="F97" s="3915" t="s">
        <v>2652</v>
      </c>
      <c r="G97" s="3915"/>
      <c r="I97" s="1525">
        <v>253</v>
      </c>
      <c r="J97" s="3915" t="s">
        <v>1807</v>
      </c>
      <c r="K97" s="3915"/>
    </row>
    <row r="98" spans="1:11">
      <c r="A98" s="1524" t="s">
        <v>1928</v>
      </c>
      <c r="B98" s="3914" t="s">
        <v>1929</v>
      </c>
      <c r="C98" s="3914"/>
      <c r="E98" s="1525" t="s">
        <v>2653</v>
      </c>
      <c r="F98" s="3915" t="s">
        <v>2654</v>
      </c>
      <c r="G98" s="3915"/>
      <c r="I98" s="1525">
        <v>254</v>
      </c>
      <c r="J98" s="3915" t="s">
        <v>1808</v>
      </c>
      <c r="K98" s="3915"/>
    </row>
    <row r="99" spans="1:11">
      <c r="A99" s="1524" t="s">
        <v>1930</v>
      </c>
      <c r="B99" s="3914" t="s">
        <v>1931</v>
      </c>
      <c r="C99" s="3914"/>
      <c r="E99" s="1525" t="s">
        <v>2655</v>
      </c>
      <c r="F99" s="3915" t="s">
        <v>2656</v>
      </c>
      <c r="G99" s="3915"/>
      <c r="I99" s="1525">
        <v>259</v>
      </c>
      <c r="J99" s="3915" t="s">
        <v>1809</v>
      </c>
      <c r="K99" s="3915"/>
    </row>
    <row r="100" spans="1:11">
      <c r="A100" s="1524" t="s">
        <v>1932</v>
      </c>
      <c r="B100" s="3914" t="s">
        <v>1933</v>
      </c>
      <c r="C100" s="3914"/>
      <c r="E100" s="1525" t="s">
        <v>2657</v>
      </c>
      <c r="F100" s="3915" t="s">
        <v>2658</v>
      </c>
      <c r="G100" s="3915"/>
      <c r="I100" s="1525">
        <v>300</v>
      </c>
      <c r="J100" s="3915" t="s">
        <v>1810</v>
      </c>
      <c r="K100" s="3915"/>
    </row>
    <row r="101" spans="1:11">
      <c r="A101" s="1524" t="s">
        <v>1934</v>
      </c>
      <c r="B101" s="3914" t="s">
        <v>1935</v>
      </c>
      <c r="C101" s="3914"/>
      <c r="E101" s="1525" t="s">
        <v>2659</v>
      </c>
      <c r="F101" s="3915" t="s">
        <v>2660</v>
      </c>
      <c r="G101" s="3915"/>
      <c r="I101" s="1525">
        <v>310</v>
      </c>
      <c r="J101" s="3915" t="s">
        <v>1811</v>
      </c>
      <c r="K101" s="3915"/>
    </row>
    <row r="102" spans="1:11">
      <c r="A102" s="1524" t="s">
        <v>1936</v>
      </c>
      <c r="B102" s="3914" t="s">
        <v>1937</v>
      </c>
      <c r="C102" s="3914"/>
      <c r="E102" s="1525" t="s">
        <v>2661</v>
      </c>
      <c r="F102" s="3915" t="s">
        <v>2662</v>
      </c>
      <c r="G102" s="3915"/>
      <c r="I102" s="1525">
        <v>320</v>
      </c>
      <c r="J102" s="3915" t="s">
        <v>1812</v>
      </c>
      <c r="K102" s="3915"/>
    </row>
    <row r="103" spans="1:11">
      <c r="A103" s="1524" t="s">
        <v>1938</v>
      </c>
      <c r="B103" s="3914" t="s">
        <v>1939</v>
      </c>
      <c r="C103" s="3914"/>
      <c r="E103" s="1525" t="s">
        <v>2663</v>
      </c>
      <c r="F103" s="3915" t="s">
        <v>2664</v>
      </c>
      <c r="G103" s="3915"/>
      <c r="I103" s="1525">
        <v>330</v>
      </c>
      <c r="J103" s="3915" t="s">
        <v>1813</v>
      </c>
      <c r="K103" s="3915"/>
    </row>
    <row r="104" spans="1:11">
      <c r="A104" s="1524" t="s">
        <v>1940</v>
      </c>
      <c r="B104" s="3914" t="s">
        <v>1941</v>
      </c>
      <c r="C104" s="3914"/>
      <c r="E104" s="1525" t="s">
        <v>2665</v>
      </c>
      <c r="F104" s="3915" t="s">
        <v>2666</v>
      </c>
      <c r="G104" s="3915"/>
      <c r="I104" s="1525">
        <v>340</v>
      </c>
      <c r="J104" s="3915" t="s">
        <v>1814</v>
      </c>
      <c r="K104" s="3915"/>
    </row>
    <row r="105" spans="1:11">
      <c r="A105" s="1524" t="s">
        <v>1942</v>
      </c>
      <c r="B105" s="3914" t="s">
        <v>1943</v>
      </c>
      <c r="C105" s="3914"/>
      <c r="E105" s="1525" t="s">
        <v>2667</v>
      </c>
      <c r="F105" s="3915" t="s">
        <v>2668</v>
      </c>
      <c r="G105" s="3915"/>
      <c r="I105" s="1525">
        <v>350</v>
      </c>
      <c r="J105" s="3915" t="s">
        <v>1815</v>
      </c>
      <c r="K105" s="3915"/>
    </row>
    <row r="106" spans="1:11">
      <c r="A106" s="1524" t="s">
        <v>1944</v>
      </c>
      <c r="B106" s="3914" t="s">
        <v>1945</v>
      </c>
      <c r="C106" s="3914"/>
      <c r="E106" s="1525" t="s">
        <v>2669</v>
      </c>
      <c r="F106" s="3915" t="s">
        <v>2670</v>
      </c>
      <c r="G106" s="3915"/>
      <c r="I106" s="1525">
        <v>351</v>
      </c>
      <c r="J106" s="3915" t="s">
        <v>1816</v>
      </c>
      <c r="K106" s="3915"/>
    </row>
    <row r="107" spans="1:11">
      <c r="A107" s="1524" t="s">
        <v>1946</v>
      </c>
      <c r="B107" s="3914" t="s">
        <v>1947</v>
      </c>
      <c r="C107" s="3914"/>
      <c r="E107" s="1525" t="s">
        <v>2671</v>
      </c>
      <c r="F107" s="3915" t="s">
        <v>2672</v>
      </c>
      <c r="G107" s="3915"/>
      <c r="I107" s="1525">
        <v>352</v>
      </c>
      <c r="J107" s="3915" t="s">
        <v>1817</v>
      </c>
      <c r="K107" s="3915"/>
    </row>
    <row r="108" spans="1:11">
      <c r="A108" s="1524" t="s">
        <v>1948</v>
      </c>
      <c r="B108" s="3914" t="s">
        <v>1949</v>
      </c>
      <c r="C108" s="3914"/>
      <c r="E108" s="1525" t="s">
        <v>2673</v>
      </c>
      <c r="F108" s="3915" t="s">
        <v>2674</v>
      </c>
      <c r="G108" s="3915"/>
      <c r="I108" s="1525">
        <v>353</v>
      </c>
      <c r="J108" s="3915" t="s">
        <v>1818</v>
      </c>
      <c r="K108" s="3915"/>
    </row>
    <row r="109" spans="1:11">
      <c r="A109" s="1524" t="s">
        <v>1950</v>
      </c>
      <c r="B109" s="3914" t="s">
        <v>1951</v>
      </c>
      <c r="C109" s="3914"/>
      <c r="E109" s="1525" t="s">
        <v>2675</v>
      </c>
      <c r="F109" s="3915" t="s">
        <v>2676</v>
      </c>
      <c r="G109" s="3915"/>
      <c r="I109" s="1525">
        <v>354</v>
      </c>
      <c r="J109" s="3915" t="s">
        <v>1819</v>
      </c>
      <c r="K109" s="3915"/>
    </row>
    <row r="110" spans="1:11">
      <c r="A110" s="1524" t="s">
        <v>1952</v>
      </c>
      <c r="B110" s="3914" t="s">
        <v>1953</v>
      </c>
      <c r="C110" s="3914"/>
      <c r="E110" s="1525" t="s">
        <v>2677</v>
      </c>
      <c r="F110" s="3915" t="s">
        <v>2678</v>
      </c>
      <c r="G110" s="3915"/>
      <c r="I110" s="1525">
        <v>359</v>
      </c>
      <c r="J110" s="3915" t="s">
        <v>1820</v>
      </c>
      <c r="K110" s="3915"/>
    </row>
    <row r="111" spans="1:11">
      <c r="A111" s="1524" t="s">
        <v>1954</v>
      </c>
      <c r="B111" s="3914" t="s">
        <v>1955</v>
      </c>
      <c r="C111" s="3914"/>
      <c r="E111" s="1525" t="s">
        <v>2679</v>
      </c>
      <c r="F111" s="3915" t="s">
        <v>2680</v>
      </c>
      <c r="G111" s="3915"/>
      <c r="I111" s="1525">
        <v>400</v>
      </c>
      <c r="J111" s="3915" t="s">
        <v>1821</v>
      </c>
      <c r="K111" s="3915"/>
    </row>
    <row r="112" spans="1:11">
      <c r="A112" s="1524" t="s">
        <v>1956</v>
      </c>
      <c r="B112" s="3914" t="s">
        <v>1957</v>
      </c>
      <c r="C112" s="3914"/>
      <c r="E112" s="1525" t="s">
        <v>2681</v>
      </c>
      <c r="F112" s="3915" t="s">
        <v>2682</v>
      </c>
      <c r="G112" s="3915"/>
      <c r="I112" s="1525">
        <v>410</v>
      </c>
      <c r="J112" s="3915" t="s">
        <v>1822</v>
      </c>
      <c r="K112" s="3915"/>
    </row>
    <row r="113" spans="1:11">
      <c r="A113" s="1524" t="s">
        <v>1958</v>
      </c>
      <c r="B113" s="3914" t="s">
        <v>1959</v>
      </c>
      <c r="C113" s="3914"/>
      <c r="E113" s="1525" t="s">
        <v>2683</v>
      </c>
      <c r="F113" s="3915" t="s">
        <v>2684</v>
      </c>
      <c r="G113" s="3915"/>
      <c r="I113" s="1525">
        <v>411</v>
      </c>
      <c r="J113" s="3915" t="s">
        <v>1823</v>
      </c>
      <c r="K113" s="3915"/>
    </row>
    <row r="114" spans="1:11">
      <c r="A114" s="1524" t="s">
        <v>1960</v>
      </c>
      <c r="B114" s="3914" t="s">
        <v>1961</v>
      </c>
      <c r="C114" s="3914"/>
      <c r="E114" s="1525" t="s">
        <v>2685</v>
      </c>
      <c r="F114" s="3915" t="s">
        <v>2686</v>
      </c>
      <c r="G114" s="3915"/>
      <c r="I114" s="1525">
        <v>412</v>
      </c>
      <c r="J114" s="3915" t="s">
        <v>1824</v>
      </c>
      <c r="K114" s="3915"/>
    </row>
    <row r="115" spans="1:11">
      <c r="A115" s="1524" t="s">
        <v>1962</v>
      </c>
      <c r="B115" s="3914" t="s">
        <v>1963</v>
      </c>
      <c r="C115" s="3914"/>
      <c r="E115" s="1525" t="s">
        <v>2687</v>
      </c>
      <c r="F115" s="3915" t="s">
        <v>2688</v>
      </c>
      <c r="G115" s="3915"/>
      <c r="I115" s="1525">
        <v>413</v>
      </c>
      <c r="J115" s="3915" t="s">
        <v>1825</v>
      </c>
      <c r="K115" s="3915"/>
    </row>
    <row r="116" spans="1:11">
      <c r="A116" s="1524" t="s">
        <v>1964</v>
      </c>
      <c r="B116" s="3914" t="s">
        <v>1965</v>
      </c>
      <c r="C116" s="3914"/>
      <c r="E116" s="1525" t="s">
        <v>2689</v>
      </c>
      <c r="F116" s="3915" t="s">
        <v>2690</v>
      </c>
      <c r="G116" s="3915"/>
      <c r="I116" s="1525">
        <v>420</v>
      </c>
      <c r="J116" s="3915" t="s">
        <v>1826</v>
      </c>
      <c r="K116" s="3915"/>
    </row>
    <row r="117" spans="1:11">
      <c r="A117" s="1524" t="s">
        <v>1966</v>
      </c>
      <c r="B117" s="3914" t="s">
        <v>1967</v>
      </c>
      <c r="C117" s="3914"/>
      <c r="E117" s="1525" t="s">
        <v>2691</v>
      </c>
      <c r="F117" s="3915" t="s">
        <v>2692</v>
      </c>
      <c r="G117" s="3915"/>
      <c r="I117" s="1525">
        <v>421</v>
      </c>
      <c r="J117" s="3915" t="s">
        <v>1827</v>
      </c>
      <c r="K117" s="3915"/>
    </row>
    <row r="118" spans="1:11">
      <c r="A118" s="1524" t="s">
        <v>1682</v>
      </c>
      <c r="B118" s="3914" t="s">
        <v>1968</v>
      </c>
      <c r="C118" s="3914"/>
      <c r="E118" s="1525" t="s">
        <v>2693</v>
      </c>
      <c r="F118" s="3915" t="s">
        <v>2694</v>
      </c>
      <c r="G118" s="3915"/>
      <c r="I118" s="1525">
        <v>422</v>
      </c>
      <c r="J118" s="3915" t="s">
        <v>1828</v>
      </c>
      <c r="K118" s="3915"/>
    </row>
    <row r="119" spans="1:11">
      <c r="A119" s="1524" t="s">
        <v>2695</v>
      </c>
      <c r="B119" s="3914" t="s">
        <v>2696</v>
      </c>
      <c r="C119" s="3914"/>
      <c r="E119" s="1525" t="s">
        <v>2697</v>
      </c>
      <c r="F119" s="3915" t="s">
        <v>2698</v>
      </c>
      <c r="G119" s="3915"/>
      <c r="I119" s="1525">
        <v>423</v>
      </c>
      <c r="J119" s="3915" t="s">
        <v>1829</v>
      </c>
      <c r="K119" s="3915"/>
    </row>
    <row r="120" spans="1:11">
      <c r="A120" s="1524" t="s">
        <v>1969</v>
      </c>
      <c r="B120" s="3914" t="s">
        <v>2699</v>
      </c>
      <c r="C120" s="3914"/>
      <c r="E120" s="1525" t="s">
        <v>2700</v>
      </c>
      <c r="F120" s="3915" t="s">
        <v>2701</v>
      </c>
      <c r="G120" s="3915"/>
      <c r="I120" s="1525">
        <v>430</v>
      </c>
      <c r="J120" s="3915" t="s">
        <v>1484</v>
      </c>
      <c r="K120" s="3915"/>
    </row>
    <row r="121" spans="1:11">
      <c r="A121" s="1524" t="s">
        <v>1970</v>
      </c>
      <c r="B121" s="3914" t="s">
        <v>1971</v>
      </c>
      <c r="C121" s="3914"/>
      <c r="E121" s="1525" t="s">
        <v>2702</v>
      </c>
      <c r="F121" s="3915" t="s">
        <v>2703</v>
      </c>
      <c r="G121" s="3915"/>
      <c r="I121" s="1525">
        <v>431</v>
      </c>
      <c r="J121" s="3915" t="s">
        <v>1830</v>
      </c>
      <c r="K121" s="3915"/>
    </row>
    <row r="122" spans="1:11">
      <c r="A122" s="1524" t="s">
        <v>1972</v>
      </c>
      <c r="B122" s="3914" t="s">
        <v>1973</v>
      </c>
      <c r="C122" s="3914"/>
      <c r="E122" s="1525" t="s">
        <v>2704</v>
      </c>
      <c r="F122" s="3915" t="s">
        <v>2705</v>
      </c>
      <c r="G122" s="3915"/>
      <c r="I122" s="1525">
        <v>432</v>
      </c>
      <c r="J122" s="3915" t="s">
        <v>1831</v>
      </c>
      <c r="K122" s="3915"/>
    </row>
    <row r="123" spans="1:11">
      <c r="A123" s="1524" t="s">
        <v>1974</v>
      </c>
      <c r="B123" s="3914" t="s">
        <v>1975</v>
      </c>
      <c r="C123" s="3914"/>
      <c r="E123" s="1525" t="s">
        <v>2706</v>
      </c>
      <c r="F123" s="3915" t="s">
        <v>2707</v>
      </c>
      <c r="G123" s="3915"/>
      <c r="I123" s="1525">
        <v>433</v>
      </c>
      <c r="J123" s="3915" t="s">
        <v>1832</v>
      </c>
      <c r="K123" s="3915"/>
    </row>
    <row r="124" spans="1:11">
      <c r="A124" s="1524" t="s">
        <v>1976</v>
      </c>
      <c r="B124" s="3914" t="s">
        <v>1977</v>
      </c>
      <c r="C124" s="3914"/>
      <c r="E124" s="1525" t="s">
        <v>2708</v>
      </c>
      <c r="F124" s="3915" t="s">
        <v>2709</v>
      </c>
      <c r="G124" s="3915"/>
      <c r="I124" s="1525">
        <v>500</v>
      </c>
      <c r="J124" s="3915" t="s">
        <v>1833</v>
      </c>
      <c r="K124" s="3915"/>
    </row>
    <row r="125" spans="1:11">
      <c r="A125" s="1524" t="s">
        <v>1978</v>
      </c>
      <c r="B125" s="3914" t="s">
        <v>1979</v>
      </c>
      <c r="C125" s="3914"/>
      <c r="E125" s="1525" t="s">
        <v>2710</v>
      </c>
      <c r="F125" s="3915" t="s">
        <v>2711</v>
      </c>
      <c r="G125" s="3915"/>
      <c r="I125" s="1525">
        <v>510</v>
      </c>
      <c r="J125" s="3915" t="s">
        <v>1834</v>
      </c>
      <c r="K125" s="3915"/>
    </row>
    <row r="126" spans="1:11">
      <c r="A126" s="1524" t="s">
        <v>1980</v>
      </c>
      <c r="B126" s="3914" t="s">
        <v>1981</v>
      </c>
      <c r="C126" s="3914"/>
      <c r="E126" s="1525" t="s">
        <v>2712</v>
      </c>
      <c r="F126" s="3915" t="s">
        <v>2713</v>
      </c>
      <c r="G126" s="3915"/>
      <c r="I126" s="1525">
        <v>520</v>
      </c>
      <c r="J126" s="3915" t="s">
        <v>1835</v>
      </c>
      <c r="K126" s="3915"/>
    </row>
    <row r="127" spans="1:11">
      <c r="A127" s="1524" t="s">
        <v>1683</v>
      </c>
      <c r="B127" s="3914" t="s">
        <v>1982</v>
      </c>
      <c r="C127" s="3914"/>
      <c r="E127" s="1525" t="s">
        <v>2714</v>
      </c>
      <c r="F127" s="3915" t="s">
        <v>2715</v>
      </c>
      <c r="G127" s="3915"/>
      <c r="I127" s="1525">
        <v>521</v>
      </c>
      <c r="J127" s="3915" t="s">
        <v>1836</v>
      </c>
      <c r="K127" s="3915"/>
    </row>
    <row r="128" spans="1:11">
      <c r="A128" s="1524" t="s">
        <v>1983</v>
      </c>
      <c r="B128" s="3914" t="s">
        <v>1984</v>
      </c>
      <c r="C128" s="3914"/>
      <c r="E128" s="1525" t="s">
        <v>2716</v>
      </c>
      <c r="F128" s="3915" t="s">
        <v>2717</v>
      </c>
      <c r="G128" s="3915"/>
      <c r="I128" s="1525">
        <v>522</v>
      </c>
      <c r="J128" s="3915" t="s">
        <v>1837</v>
      </c>
      <c r="K128" s="3915"/>
    </row>
    <row r="129" spans="1:11">
      <c r="A129" s="1524" t="s">
        <v>1985</v>
      </c>
      <c r="B129" s="3914" t="s">
        <v>1986</v>
      </c>
      <c r="C129" s="3914"/>
      <c r="E129" s="1525" t="s">
        <v>2718</v>
      </c>
      <c r="F129" s="3915" t="s">
        <v>2719</v>
      </c>
      <c r="G129" s="3915"/>
      <c r="I129" s="1525">
        <v>523</v>
      </c>
      <c r="J129" s="3915" t="s">
        <v>1838</v>
      </c>
      <c r="K129" s="3915"/>
    </row>
    <row r="130" spans="1:11">
      <c r="A130" s="1524" t="s">
        <v>1987</v>
      </c>
      <c r="B130" s="3914" t="s">
        <v>1988</v>
      </c>
      <c r="C130" s="3914"/>
      <c r="E130" s="1525" t="s">
        <v>2720</v>
      </c>
      <c r="F130" s="3915" t="s">
        <v>2721</v>
      </c>
      <c r="G130" s="3915"/>
      <c r="I130" s="1525">
        <v>530</v>
      </c>
      <c r="J130" s="3915" t="s">
        <v>1839</v>
      </c>
      <c r="K130" s="3915"/>
    </row>
    <row r="131" spans="1:11">
      <c r="A131" s="1524" t="s">
        <v>1989</v>
      </c>
      <c r="B131" s="3914" t="s">
        <v>1990</v>
      </c>
      <c r="C131" s="3914"/>
      <c r="E131" s="1525" t="s">
        <v>2722</v>
      </c>
      <c r="F131" s="3915" t="s">
        <v>2723</v>
      </c>
      <c r="G131" s="3915"/>
      <c r="I131" s="1525">
        <v>540</v>
      </c>
      <c r="J131" s="3915" t="s">
        <v>1840</v>
      </c>
      <c r="K131" s="3915"/>
    </row>
    <row r="132" spans="1:11">
      <c r="A132" s="1524" t="s">
        <v>1991</v>
      </c>
      <c r="B132" s="3914" t="s">
        <v>1992</v>
      </c>
      <c r="C132" s="3914"/>
      <c r="E132" s="1525" t="s">
        <v>2724</v>
      </c>
      <c r="F132" s="3915" t="s">
        <v>2725</v>
      </c>
      <c r="G132" s="3915"/>
      <c r="I132" s="1525">
        <v>550</v>
      </c>
      <c r="J132" s="3915" t="s">
        <v>1841</v>
      </c>
      <c r="K132" s="3915"/>
    </row>
    <row r="133" spans="1:11">
      <c r="A133" s="1524" t="s">
        <v>1993</v>
      </c>
      <c r="B133" s="3914" t="s">
        <v>1994</v>
      </c>
      <c r="C133" s="3914"/>
      <c r="E133" s="1525" t="s">
        <v>2726</v>
      </c>
      <c r="F133" s="3915" t="s">
        <v>2727</v>
      </c>
      <c r="G133" s="3915"/>
      <c r="I133" s="1525">
        <v>560</v>
      </c>
      <c r="J133" s="3915" t="s">
        <v>1842</v>
      </c>
      <c r="K133" s="3915"/>
    </row>
    <row r="134" spans="1:11">
      <c r="A134" s="1524" t="s">
        <v>1684</v>
      </c>
      <c r="B134" s="3914" t="s">
        <v>1995</v>
      </c>
      <c r="C134" s="3914"/>
      <c r="E134" s="1525" t="s">
        <v>2728</v>
      </c>
      <c r="F134" s="3915" t="s">
        <v>2729</v>
      </c>
      <c r="G134" s="3915"/>
    </row>
    <row r="135" spans="1:11">
      <c r="A135" s="1524" t="s">
        <v>1996</v>
      </c>
      <c r="B135" s="3914" t="s">
        <v>1997</v>
      </c>
      <c r="C135" s="3914"/>
      <c r="E135" s="1525" t="s">
        <v>2730</v>
      </c>
      <c r="F135" s="3915" t="s">
        <v>2731</v>
      </c>
      <c r="G135" s="3915"/>
    </row>
    <row r="136" spans="1:11">
      <c r="A136" s="1524" t="s">
        <v>1998</v>
      </c>
      <c r="B136" s="3914" t="s">
        <v>1999</v>
      </c>
      <c r="C136" s="3914"/>
      <c r="E136" s="1525" t="s">
        <v>2732</v>
      </c>
      <c r="F136" s="3915" t="s">
        <v>2733</v>
      </c>
      <c r="G136" s="3915"/>
    </row>
    <row r="137" spans="1:11">
      <c r="A137" s="1524" t="s">
        <v>2000</v>
      </c>
      <c r="B137" s="3914" t="s">
        <v>2001</v>
      </c>
      <c r="C137" s="3914"/>
      <c r="E137" s="1525" t="s">
        <v>2734</v>
      </c>
      <c r="F137" s="3915" t="s">
        <v>2735</v>
      </c>
      <c r="G137" s="3915"/>
    </row>
    <row r="138" spans="1:11">
      <c r="A138" s="1524" t="s">
        <v>2002</v>
      </c>
      <c r="B138" s="3914" t="s">
        <v>2003</v>
      </c>
      <c r="C138" s="3914"/>
      <c r="E138" s="1525" t="s">
        <v>2736</v>
      </c>
      <c r="F138" s="3915" t="s">
        <v>2737</v>
      </c>
      <c r="G138" s="3915"/>
    </row>
    <row r="139" spans="1:11">
      <c r="A139" s="1524" t="s">
        <v>2004</v>
      </c>
      <c r="B139" s="3914" t="s">
        <v>2005</v>
      </c>
      <c r="C139" s="3914"/>
      <c r="E139" s="1525" t="s">
        <v>2738</v>
      </c>
      <c r="F139" s="3915" t="s">
        <v>2739</v>
      </c>
      <c r="G139" s="3915"/>
    </row>
    <row r="140" spans="1:11">
      <c r="A140" s="1524" t="s">
        <v>2006</v>
      </c>
      <c r="B140" s="3914" t="s">
        <v>2007</v>
      </c>
      <c r="C140" s="3914"/>
      <c r="E140" s="1525" t="s">
        <v>2740</v>
      </c>
      <c r="F140" s="3915" t="s">
        <v>2741</v>
      </c>
      <c r="G140" s="3915"/>
    </row>
    <row r="141" spans="1:11">
      <c r="A141" s="1524" t="s">
        <v>2008</v>
      </c>
      <c r="B141" s="3914" t="s">
        <v>2009</v>
      </c>
      <c r="C141" s="3914"/>
      <c r="E141" s="1525" t="s">
        <v>2742</v>
      </c>
      <c r="F141" s="3915" t="s">
        <v>2743</v>
      </c>
      <c r="G141" s="3915"/>
    </row>
    <row r="142" spans="1:11">
      <c r="A142" s="1524" t="s">
        <v>2744</v>
      </c>
      <c r="B142" s="3914" t="s">
        <v>2745</v>
      </c>
      <c r="C142" s="3914"/>
      <c r="E142" s="1525" t="s">
        <v>2746</v>
      </c>
      <c r="F142" s="3915" t="s">
        <v>2747</v>
      </c>
      <c r="G142" s="3915"/>
    </row>
    <row r="143" spans="1:11">
      <c r="A143" s="1524" t="s">
        <v>2010</v>
      </c>
      <c r="B143" s="3914" t="s">
        <v>2011</v>
      </c>
      <c r="C143" s="3914"/>
      <c r="E143" s="1525" t="s">
        <v>2748</v>
      </c>
      <c r="F143" s="3915" t="s">
        <v>2749</v>
      </c>
      <c r="G143" s="3915"/>
    </row>
    <row r="144" spans="1:11">
      <c r="A144" s="1524" t="s">
        <v>2012</v>
      </c>
      <c r="B144" s="3914" t="s">
        <v>2013</v>
      </c>
      <c r="C144" s="3914"/>
      <c r="E144" s="1525" t="s">
        <v>2750</v>
      </c>
      <c r="F144" s="3915" t="s">
        <v>2751</v>
      </c>
      <c r="G144" s="3915"/>
    </row>
    <row r="145" spans="1:7">
      <c r="A145" s="1524" t="s">
        <v>2014</v>
      </c>
      <c r="B145" s="3914" t="s">
        <v>2015</v>
      </c>
      <c r="C145" s="3914"/>
      <c r="E145" s="1525" t="s">
        <v>2752</v>
      </c>
      <c r="F145" s="3915" t="s">
        <v>2753</v>
      </c>
      <c r="G145" s="3915"/>
    </row>
    <row r="146" spans="1:7">
      <c r="A146" s="1524" t="s">
        <v>2016</v>
      </c>
      <c r="B146" s="3914" t="s">
        <v>2017</v>
      </c>
      <c r="C146" s="3914"/>
      <c r="E146" s="1525" t="s">
        <v>2754</v>
      </c>
      <c r="F146" s="3915" t="s">
        <v>2755</v>
      </c>
      <c r="G146" s="3915"/>
    </row>
    <row r="147" spans="1:7">
      <c r="A147" s="1524" t="s">
        <v>2018</v>
      </c>
      <c r="B147" s="3914" t="s">
        <v>2019</v>
      </c>
      <c r="C147" s="3914"/>
      <c r="E147" s="1525" t="s">
        <v>2756</v>
      </c>
      <c r="F147" s="3915" t="s">
        <v>2757</v>
      </c>
      <c r="G147" s="3915"/>
    </row>
    <row r="148" spans="1:7">
      <c r="A148" s="1524" t="s">
        <v>2020</v>
      </c>
      <c r="B148" s="3914" t="s">
        <v>2021</v>
      </c>
      <c r="C148" s="3914"/>
      <c r="E148" s="1525" t="s">
        <v>2758</v>
      </c>
      <c r="F148" s="3915" t="s">
        <v>2759</v>
      </c>
      <c r="G148" s="3915"/>
    </row>
    <row r="149" spans="1:7">
      <c r="A149" s="1524" t="s">
        <v>2022</v>
      </c>
      <c r="B149" s="3914" t="s">
        <v>2023</v>
      </c>
      <c r="C149" s="3914"/>
      <c r="E149" s="1525" t="s">
        <v>2760</v>
      </c>
      <c r="F149" s="3915" t="s">
        <v>2761</v>
      </c>
      <c r="G149" s="3915"/>
    </row>
    <row r="150" spans="1:7">
      <c r="A150" s="1524" t="s">
        <v>2024</v>
      </c>
      <c r="B150" s="3914" t="s">
        <v>2025</v>
      </c>
      <c r="C150" s="3914"/>
      <c r="E150" s="1525" t="s">
        <v>2762</v>
      </c>
      <c r="F150" s="3915" t="s">
        <v>2763</v>
      </c>
      <c r="G150" s="3915"/>
    </row>
    <row r="151" spans="1:7">
      <c r="A151" s="1524" t="s">
        <v>2764</v>
      </c>
      <c r="B151" s="3914" t="s">
        <v>2765</v>
      </c>
      <c r="C151" s="3914"/>
      <c r="E151" s="1525" t="s">
        <v>2766</v>
      </c>
      <c r="F151" s="3915" t="s">
        <v>2767</v>
      </c>
      <c r="G151" s="3915"/>
    </row>
    <row r="152" spans="1:7">
      <c r="A152" s="1524" t="s">
        <v>2026</v>
      </c>
      <c r="B152" s="3914" t="s">
        <v>2027</v>
      </c>
      <c r="C152" s="3914"/>
      <c r="E152" s="1525" t="s">
        <v>2768</v>
      </c>
      <c r="F152" s="3915" t="s">
        <v>2769</v>
      </c>
      <c r="G152" s="3915"/>
    </row>
    <row r="153" spans="1:7">
      <c r="A153" s="1524" t="s">
        <v>2028</v>
      </c>
      <c r="B153" s="3914" t="s">
        <v>2029</v>
      </c>
      <c r="C153" s="3914"/>
      <c r="E153" s="1525" t="s">
        <v>2770</v>
      </c>
      <c r="F153" s="3915" t="s">
        <v>2771</v>
      </c>
      <c r="G153" s="3915"/>
    </row>
    <row r="154" spans="1:7">
      <c r="A154" s="1524" t="s">
        <v>2030</v>
      </c>
      <c r="B154" s="3914" t="s">
        <v>2031</v>
      </c>
      <c r="C154" s="3914"/>
      <c r="E154" s="1525" t="s">
        <v>2772</v>
      </c>
      <c r="F154" s="3915" t="s">
        <v>2773</v>
      </c>
      <c r="G154" s="3915"/>
    </row>
    <row r="155" spans="1:7">
      <c r="A155" s="1524" t="s">
        <v>2032</v>
      </c>
      <c r="B155" s="3914" t="s">
        <v>2033</v>
      </c>
      <c r="C155" s="3914"/>
      <c r="E155" s="1525" t="s">
        <v>2774</v>
      </c>
      <c r="F155" s="3915" t="s">
        <v>2775</v>
      </c>
      <c r="G155" s="3915"/>
    </row>
    <row r="156" spans="1:7">
      <c r="A156" s="1524" t="s">
        <v>2034</v>
      </c>
      <c r="B156" s="3914" t="s">
        <v>2035</v>
      </c>
      <c r="C156" s="3914"/>
      <c r="E156" s="1525" t="s">
        <v>2776</v>
      </c>
      <c r="F156" s="3915" t="s">
        <v>2777</v>
      </c>
      <c r="G156" s="3915"/>
    </row>
    <row r="157" spans="1:7">
      <c r="A157" s="1524" t="s">
        <v>2036</v>
      </c>
      <c r="B157" s="3914" t="s">
        <v>2037</v>
      </c>
      <c r="C157" s="3914"/>
      <c r="E157" s="1525" t="s">
        <v>2778</v>
      </c>
      <c r="F157" s="3915" t="s">
        <v>2779</v>
      </c>
      <c r="G157" s="3915"/>
    </row>
    <row r="158" spans="1:7">
      <c r="A158" s="1524" t="s">
        <v>2038</v>
      </c>
      <c r="B158" s="3914" t="s">
        <v>2039</v>
      </c>
      <c r="C158" s="3914"/>
      <c r="E158" s="1525" t="s">
        <v>2780</v>
      </c>
      <c r="F158" s="3915" t="s">
        <v>2781</v>
      </c>
      <c r="G158" s="3915"/>
    </row>
    <row r="159" spans="1:7">
      <c r="A159" s="1524" t="s">
        <v>2040</v>
      </c>
      <c r="B159" s="3914" t="s">
        <v>2041</v>
      </c>
      <c r="C159" s="3914"/>
      <c r="E159" s="1525" t="s">
        <v>2782</v>
      </c>
      <c r="F159" s="3915" t="s">
        <v>2783</v>
      </c>
      <c r="G159" s="3915"/>
    </row>
    <row r="160" spans="1:7">
      <c r="A160" s="1524" t="s">
        <v>2042</v>
      </c>
      <c r="B160" s="3914" t="s">
        <v>2043</v>
      </c>
      <c r="C160" s="3914"/>
      <c r="E160" s="1525" t="s">
        <v>2784</v>
      </c>
      <c r="F160" s="3915" t="s">
        <v>2785</v>
      </c>
      <c r="G160" s="3915"/>
    </row>
    <row r="161" spans="1:7">
      <c r="A161" s="1524" t="s">
        <v>2044</v>
      </c>
      <c r="B161" s="3914" t="s">
        <v>2045</v>
      </c>
      <c r="C161" s="3914"/>
      <c r="E161" s="1525" t="s">
        <v>2786</v>
      </c>
      <c r="F161" s="3915" t="s">
        <v>2787</v>
      </c>
      <c r="G161" s="3915"/>
    </row>
    <row r="162" spans="1:7">
      <c r="A162" s="1524" t="s">
        <v>2046</v>
      </c>
      <c r="B162" s="3914" t="s">
        <v>2047</v>
      </c>
      <c r="C162" s="3914"/>
      <c r="E162" s="1525" t="s">
        <v>2788</v>
      </c>
      <c r="F162" s="3915" t="s">
        <v>2789</v>
      </c>
      <c r="G162" s="3915"/>
    </row>
    <row r="163" spans="1:7">
      <c r="A163" s="1524" t="s">
        <v>2048</v>
      </c>
      <c r="B163" s="3914" t="s">
        <v>2049</v>
      </c>
      <c r="C163" s="3914"/>
      <c r="E163" s="1525" t="s">
        <v>2790</v>
      </c>
      <c r="F163" s="3915" t="s">
        <v>2791</v>
      </c>
      <c r="G163" s="3915"/>
    </row>
    <row r="164" spans="1:7">
      <c r="A164" s="1524" t="s">
        <v>2050</v>
      </c>
      <c r="B164" s="3914" t="s">
        <v>2051</v>
      </c>
      <c r="C164" s="3914"/>
      <c r="E164" s="1525" t="s">
        <v>2792</v>
      </c>
      <c r="F164" s="3915" t="s">
        <v>2793</v>
      </c>
      <c r="G164" s="3915"/>
    </row>
    <row r="165" spans="1:7">
      <c r="A165" s="1524" t="s">
        <v>2052</v>
      </c>
      <c r="B165" s="3914" t="s">
        <v>2053</v>
      </c>
      <c r="C165" s="3914"/>
      <c r="E165" s="1525" t="s">
        <v>2794</v>
      </c>
      <c r="F165" s="3915" t="s">
        <v>2795</v>
      </c>
      <c r="G165" s="3915"/>
    </row>
    <row r="166" spans="1:7">
      <c r="A166" s="1524" t="s">
        <v>2054</v>
      </c>
      <c r="B166" s="3914" t="s">
        <v>2055</v>
      </c>
      <c r="C166" s="3914"/>
      <c r="E166" s="1525" t="s">
        <v>2796</v>
      </c>
      <c r="F166" s="3915" t="s">
        <v>2797</v>
      </c>
      <c r="G166" s="3915"/>
    </row>
    <row r="167" spans="1:7">
      <c r="A167" s="1524" t="s">
        <v>2056</v>
      </c>
      <c r="B167" s="3914" t="s">
        <v>2057</v>
      </c>
      <c r="C167" s="3914"/>
      <c r="E167" s="1525" t="s">
        <v>2798</v>
      </c>
      <c r="F167" s="3915" t="s">
        <v>2799</v>
      </c>
      <c r="G167" s="3915"/>
    </row>
    <row r="168" spans="1:7">
      <c r="A168" s="1524" t="s">
        <v>2058</v>
      </c>
      <c r="B168" s="3914" t="s">
        <v>2059</v>
      </c>
      <c r="C168" s="3914"/>
      <c r="E168" s="1525" t="s">
        <v>2800</v>
      </c>
      <c r="F168" s="3915" t="s">
        <v>2801</v>
      </c>
      <c r="G168" s="3915"/>
    </row>
    <row r="169" spans="1:7">
      <c r="A169" s="1524" t="s">
        <v>2060</v>
      </c>
      <c r="B169" s="3914" t="s">
        <v>2061</v>
      </c>
      <c r="C169" s="3914"/>
      <c r="E169" s="1525" t="s">
        <v>2802</v>
      </c>
      <c r="F169" s="3915" t="s">
        <v>2803</v>
      </c>
      <c r="G169" s="3915"/>
    </row>
    <row r="170" spans="1:7">
      <c r="A170" s="1524" t="s">
        <v>2062</v>
      </c>
      <c r="B170" s="3914" t="s">
        <v>2063</v>
      </c>
      <c r="C170" s="3914"/>
      <c r="E170" s="1525" t="s">
        <v>2804</v>
      </c>
      <c r="F170" s="3915" t="s">
        <v>2805</v>
      </c>
      <c r="G170" s="3915"/>
    </row>
    <row r="171" spans="1:7">
      <c r="A171" s="1524" t="s">
        <v>2064</v>
      </c>
      <c r="B171" s="3914" t="s">
        <v>2065</v>
      </c>
      <c r="C171" s="3914"/>
      <c r="E171" s="1525" t="s">
        <v>2806</v>
      </c>
      <c r="F171" s="3915" t="s">
        <v>2807</v>
      </c>
      <c r="G171" s="3915"/>
    </row>
    <row r="172" spans="1:7">
      <c r="A172" s="1524" t="s">
        <v>2066</v>
      </c>
      <c r="B172" s="3914" t="s">
        <v>2067</v>
      </c>
      <c r="C172" s="3914"/>
      <c r="E172" s="1525" t="s">
        <v>2808</v>
      </c>
      <c r="F172" s="3915" t="s">
        <v>2809</v>
      </c>
      <c r="G172" s="3915"/>
    </row>
    <row r="173" spans="1:7">
      <c r="A173" s="1524" t="s">
        <v>2068</v>
      </c>
      <c r="B173" s="3914" t="s">
        <v>2069</v>
      </c>
      <c r="C173" s="3914"/>
      <c r="E173" s="1525" t="s">
        <v>2810</v>
      </c>
      <c r="F173" s="3915" t="s">
        <v>2811</v>
      </c>
      <c r="G173" s="3915"/>
    </row>
    <row r="174" spans="1:7">
      <c r="A174" s="1524" t="s">
        <v>2070</v>
      </c>
      <c r="B174" s="3914" t="s">
        <v>2071</v>
      </c>
      <c r="C174" s="3914"/>
      <c r="E174" s="1525" t="s">
        <v>2812</v>
      </c>
      <c r="F174" s="3915" t="s">
        <v>2813</v>
      </c>
      <c r="G174" s="3915"/>
    </row>
    <row r="175" spans="1:7">
      <c r="A175" s="1524" t="s">
        <v>2072</v>
      </c>
      <c r="B175" s="3914" t="s">
        <v>2073</v>
      </c>
      <c r="C175" s="3914"/>
      <c r="E175" s="1525" t="s">
        <v>2814</v>
      </c>
      <c r="F175" s="3915" t="s">
        <v>2815</v>
      </c>
      <c r="G175" s="3915"/>
    </row>
    <row r="176" spans="1:7">
      <c r="A176" s="1524" t="s">
        <v>2074</v>
      </c>
      <c r="B176" s="3914" t="s">
        <v>2075</v>
      </c>
      <c r="C176" s="3914"/>
      <c r="E176" s="1525" t="s">
        <v>2816</v>
      </c>
      <c r="F176" s="3915" t="s">
        <v>2817</v>
      </c>
      <c r="G176" s="3915"/>
    </row>
    <row r="177" spans="1:7">
      <c r="A177" s="1524" t="s">
        <v>2076</v>
      </c>
      <c r="B177" s="3914" t="s">
        <v>2077</v>
      </c>
      <c r="C177" s="3914"/>
      <c r="E177" s="1525" t="s">
        <v>2818</v>
      </c>
      <c r="F177" s="3915" t="s">
        <v>2819</v>
      </c>
      <c r="G177" s="3915"/>
    </row>
    <row r="178" spans="1:7">
      <c r="A178" s="1524" t="s">
        <v>2078</v>
      </c>
      <c r="B178" s="3914" t="s">
        <v>2079</v>
      </c>
      <c r="C178" s="3914"/>
      <c r="E178" s="1525" t="s">
        <v>2820</v>
      </c>
      <c r="F178" s="3915" t="s">
        <v>2821</v>
      </c>
      <c r="G178" s="3915"/>
    </row>
    <row r="179" spans="1:7">
      <c r="A179" s="1524" t="s">
        <v>2080</v>
      </c>
      <c r="B179" s="3914" t="s">
        <v>2081</v>
      </c>
      <c r="C179" s="3914"/>
      <c r="E179" s="1525" t="s">
        <v>2822</v>
      </c>
      <c r="F179" s="3915" t="s">
        <v>2823</v>
      </c>
      <c r="G179" s="3915"/>
    </row>
    <row r="180" spans="1:7">
      <c r="A180" s="1524" t="s">
        <v>2082</v>
      </c>
      <c r="B180" s="3914" t="s">
        <v>2083</v>
      </c>
      <c r="C180" s="3914"/>
      <c r="E180" s="1525" t="s">
        <v>2824</v>
      </c>
      <c r="F180" s="3915" t="s">
        <v>2825</v>
      </c>
      <c r="G180" s="3915"/>
    </row>
    <row r="181" spans="1:7">
      <c r="A181" s="1524" t="s">
        <v>2084</v>
      </c>
      <c r="B181" s="3914" t="s">
        <v>2085</v>
      </c>
      <c r="C181" s="3914"/>
      <c r="E181" s="1525" t="s">
        <v>2826</v>
      </c>
      <c r="F181" s="3915" t="s">
        <v>2827</v>
      </c>
      <c r="G181" s="3915"/>
    </row>
    <row r="182" spans="1:7">
      <c r="A182" s="1524" t="s">
        <v>2086</v>
      </c>
      <c r="B182" s="3914" t="s">
        <v>2087</v>
      </c>
      <c r="C182" s="3914"/>
      <c r="E182" s="1525" t="s">
        <v>2828</v>
      </c>
      <c r="F182" s="3915" t="s">
        <v>2829</v>
      </c>
      <c r="G182" s="3915"/>
    </row>
    <row r="183" spans="1:7">
      <c r="A183" s="1524" t="s">
        <v>2088</v>
      </c>
      <c r="B183" s="3914" t="s">
        <v>2089</v>
      </c>
      <c r="C183" s="3914"/>
      <c r="E183" s="1525" t="s">
        <v>2830</v>
      </c>
      <c r="F183" s="3915" t="s">
        <v>2831</v>
      </c>
      <c r="G183" s="3915"/>
    </row>
    <row r="184" spans="1:7">
      <c r="A184" s="1524" t="s">
        <v>2090</v>
      </c>
      <c r="B184" s="3914" t="s">
        <v>2091</v>
      </c>
      <c r="C184" s="3914"/>
      <c r="E184" s="1525" t="s">
        <v>2832</v>
      </c>
      <c r="F184" s="3915" t="s">
        <v>2833</v>
      </c>
      <c r="G184" s="3915"/>
    </row>
    <row r="185" spans="1:7">
      <c r="A185" s="1524" t="s">
        <v>2092</v>
      </c>
      <c r="B185" s="3914" t="s">
        <v>2093</v>
      </c>
      <c r="C185" s="3914"/>
      <c r="E185" s="1525" t="s">
        <v>2834</v>
      </c>
      <c r="F185" s="3915" t="s">
        <v>2835</v>
      </c>
      <c r="G185" s="3915"/>
    </row>
    <row r="186" spans="1:7">
      <c r="A186" s="1524" t="s">
        <v>2094</v>
      </c>
      <c r="B186" s="3914" t="s">
        <v>2095</v>
      </c>
      <c r="C186" s="3914"/>
      <c r="E186" s="1525" t="s">
        <v>2836</v>
      </c>
      <c r="F186" s="3915" t="s">
        <v>2837</v>
      </c>
      <c r="G186" s="3915"/>
    </row>
    <row r="187" spans="1:7">
      <c r="A187" s="1524" t="s">
        <v>2096</v>
      </c>
      <c r="B187" s="3914" t="s">
        <v>2097</v>
      </c>
      <c r="C187" s="3914"/>
      <c r="E187" s="1525" t="s">
        <v>2838</v>
      </c>
      <c r="F187" s="3915" t="s">
        <v>2839</v>
      </c>
      <c r="G187" s="3915"/>
    </row>
    <row r="188" spans="1:7">
      <c r="A188" s="1524" t="s">
        <v>2098</v>
      </c>
      <c r="B188" s="3914" t="s">
        <v>2099</v>
      </c>
      <c r="C188" s="3914"/>
      <c r="E188" s="1525" t="s">
        <v>2840</v>
      </c>
      <c r="F188" s="3915" t="s">
        <v>2841</v>
      </c>
      <c r="G188" s="3915"/>
    </row>
    <row r="189" spans="1:7">
      <c r="A189" s="1524" t="s">
        <v>2100</v>
      </c>
      <c r="B189" s="3914" t="s">
        <v>2101</v>
      </c>
      <c r="C189" s="3914"/>
      <c r="E189" s="1525" t="s">
        <v>2842</v>
      </c>
      <c r="F189" s="3915" t="s">
        <v>2843</v>
      </c>
      <c r="G189" s="3915"/>
    </row>
    <row r="190" spans="1:7">
      <c r="A190" s="1524" t="s">
        <v>2102</v>
      </c>
      <c r="B190" s="3914" t="s">
        <v>2103</v>
      </c>
      <c r="C190" s="3914"/>
      <c r="E190" s="1525" t="s">
        <v>2844</v>
      </c>
      <c r="F190" s="3915" t="s">
        <v>2845</v>
      </c>
      <c r="G190" s="3915"/>
    </row>
    <row r="191" spans="1:7">
      <c r="A191" s="1524" t="s">
        <v>2104</v>
      </c>
      <c r="B191" s="3914" t="s">
        <v>2105</v>
      </c>
      <c r="C191" s="3914"/>
      <c r="E191" s="1525" t="s">
        <v>2846</v>
      </c>
      <c r="F191" s="3915" t="s">
        <v>2847</v>
      </c>
      <c r="G191" s="3915"/>
    </row>
    <row r="192" spans="1:7">
      <c r="A192" s="1524" t="s">
        <v>2106</v>
      </c>
      <c r="B192" s="3914" t="s">
        <v>2107</v>
      </c>
      <c r="C192" s="3914"/>
      <c r="E192" s="1525" t="s">
        <v>2848</v>
      </c>
      <c r="F192" s="3915" t="s">
        <v>2849</v>
      </c>
      <c r="G192" s="3915"/>
    </row>
    <row r="193" spans="1:7">
      <c r="A193" s="1524" t="s">
        <v>2108</v>
      </c>
      <c r="B193" s="3914" t="s">
        <v>2109</v>
      </c>
      <c r="C193" s="3914"/>
      <c r="E193" s="1525" t="s">
        <v>2850</v>
      </c>
      <c r="F193" s="3915" t="s">
        <v>2851</v>
      </c>
      <c r="G193" s="3915"/>
    </row>
    <row r="194" spans="1:7">
      <c r="A194" s="1524" t="s">
        <v>2110</v>
      </c>
      <c r="B194" s="3914" t="s">
        <v>2111</v>
      </c>
      <c r="C194" s="3914"/>
      <c r="E194" s="1525" t="s">
        <v>2852</v>
      </c>
      <c r="F194" s="3915" t="s">
        <v>2853</v>
      </c>
      <c r="G194" s="3915"/>
    </row>
    <row r="195" spans="1:7">
      <c r="A195" s="1524" t="s">
        <v>2112</v>
      </c>
      <c r="B195" s="3914" t="s">
        <v>2113</v>
      </c>
      <c r="C195" s="3914"/>
      <c r="E195" s="1525" t="s">
        <v>2854</v>
      </c>
      <c r="F195" s="3915" t="s">
        <v>2855</v>
      </c>
      <c r="G195" s="3915"/>
    </row>
    <row r="196" spans="1:7">
      <c r="A196" s="1524" t="s">
        <v>2114</v>
      </c>
      <c r="B196" s="3914" t="s">
        <v>2115</v>
      </c>
      <c r="C196" s="3914"/>
      <c r="E196" s="1525" t="s">
        <v>2856</v>
      </c>
      <c r="F196" s="3915" t="s">
        <v>2857</v>
      </c>
      <c r="G196" s="3915"/>
    </row>
    <row r="197" spans="1:7">
      <c r="A197" s="1524" t="s">
        <v>2116</v>
      </c>
      <c r="B197" s="3914" t="s">
        <v>2117</v>
      </c>
      <c r="C197" s="3914"/>
      <c r="E197" s="1525" t="s">
        <v>2858</v>
      </c>
      <c r="F197" s="3915" t="s">
        <v>2859</v>
      </c>
      <c r="G197" s="3915"/>
    </row>
    <row r="198" spans="1:7">
      <c r="A198" s="1524" t="s">
        <v>2118</v>
      </c>
      <c r="B198" s="3914" t="s">
        <v>2119</v>
      </c>
      <c r="C198" s="3914"/>
      <c r="E198" s="1525" t="s">
        <v>2860</v>
      </c>
      <c r="F198" s="3915" t="s">
        <v>2861</v>
      </c>
      <c r="G198" s="3915"/>
    </row>
    <row r="199" spans="1:7">
      <c r="A199" s="1524" t="s">
        <v>2120</v>
      </c>
      <c r="B199" s="3914" t="s">
        <v>2121</v>
      </c>
      <c r="C199" s="3914"/>
      <c r="E199" s="1525" t="s">
        <v>2862</v>
      </c>
      <c r="F199" s="3915" t="s">
        <v>2863</v>
      </c>
      <c r="G199" s="3915"/>
    </row>
    <row r="200" spans="1:7">
      <c r="A200" s="1524" t="s">
        <v>2122</v>
      </c>
      <c r="B200" s="3914" t="s">
        <v>2123</v>
      </c>
      <c r="C200" s="3914"/>
      <c r="E200" s="1525" t="s">
        <v>2864</v>
      </c>
      <c r="F200" s="3915" t="s">
        <v>2865</v>
      </c>
      <c r="G200" s="3915"/>
    </row>
    <row r="201" spans="1:7">
      <c r="A201" s="1524" t="s">
        <v>2124</v>
      </c>
      <c r="B201" s="3914" t="s">
        <v>2125</v>
      </c>
      <c r="C201" s="3914"/>
      <c r="E201" s="1525" t="s">
        <v>2866</v>
      </c>
      <c r="F201" s="3915" t="s">
        <v>2867</v>
      </c>
      <c r="G201" s="3915"/>
    </row>
    <row r="202" spans="1:7">
      <c r="A202" s="1524" t="s">
        <v>2126</v>
      </c>
      <c r="B202" s="3914" t="s">
        <v>2127</v>
      </c>
      <c r="C202" s="3914"/>
      <c r="E202" s="1525" t="s">
        <v>2868</v>
      </c>
      <c r="F202" s="3915" t="s">
        <v>2869</v>
      </c>
      <c r="G202" s="3915"/>
    </row>
    <row r="203" spans="1:7">
      <c r="A203" s="1524" t="s">
        <v>2128</v>
      </c>
      <c r="B203" s="3914" t="s">
        <v>2129</v>
      </c>
      <c r="C203" s="3914"/>
      <c r="E203" s="1525" t="s">
        <v>2870</v>
      </c>
      <c r="F203" s="3915" t="s">
        <v>2871</v>
      </c>
      <c r="G203" s="3915"/>
    </row>
    <row r="204" spans="1:7">
      <c r="A204" s="1524" t="s">
        <v>2130</v>
      </c>
      <c r="B204" s="3914" t="s">
        <v>2131</v>
      </c>
      <c r="C204" s="3914"/>
      <c r="E204" s="1525" t="s">
        <v>2872</v>
      </c>
      <c r="F204" s="3915" t="s">
        <v>2873</v>
      </c>
      <c r="G204" s="3915"/>
    </row>
    <row r="205" spans="1:7">
      <c r="A205" s="1524" t="s">
        <v>2132</v>
      </c>
      <c r="B205" s="3914" t="s">
        <v>2133</v>
      </c>
      <c r="C205" s="3914"/>
      <c r="E205" s="1525" t="s">
        <v>2874</v>
      </c>
      <c r="F205" s="3915" t="s">
        <v>2875</v>
      </c>
      <c r="G205" s="3915"/>
    </row>
    <row r="206" spans="1:7">
      <c r="A206" s="1524" t="s">
        <v>2134</v>
      </c>
      <c r="B206" s="3914" t="s">
        <v>2135</v>
      </c>
      <c r="C206" s="3914"/>
      <c r="E206" s="1525" t="s">
        <v>2876</v>
      </c>
      <c r="F206" s="3915" t="s">
        <v>2877</v>
      </c>
      <c r="G206" s="3915"/>
    </row>
    <row r="207" spans="1:7">
      <c r="A207" s="1524" t="s">
        <v>2136</v>
      </c>
      <c r="B207" s="3914" t="s">
        <v>2137</v>
      </c>
      <c r="C207" s="3914"/>
      <c r="E207" s="1525" t="s">
        <v>2878</v>
      </c>
      <c r="F207" s="3915" t="s">
        <v>2879</v>
      </c>
      <c r="G207" s="3915"/>
    </row>
    <row r="208" spans="1:7">
      <c r="A208" s="1524" t="s">
        <v>2138</v>
      </c>
      <c r="B208" s="3914" t="s">
        <v>2139</v>
      </c>
      <c r="C208" s="3914"/>
      <c r="E208" s="1525" t="s">
        <v>2880</v>
      </c>
      <c r="F208" s="3915" t="s">
        <v>2881</v>
      </c>
      <c r="G208" s="3915"/>
    </row>
    <row r="209" spans="1:7">
      <c r="A209" s="1524" t="s">
        <v>2140</v>
      </c>
      <c r="B209" s="3914" t="s">
        <v>2141</v>
      </c>
      <c r="C209" s="3914"/>
      <c r="E209" s="1525" t="s">
        <v>2882</v>
      </c>
      <c r="F209" s="3915" t="s">
        <v>2883</v>
      </c>
      <c r="G209" s="3915"/>
    </row>
    <row r="210" spans="1:7">
      <c r="A210" s="1524" t="s">
        <v>2142</v>
      </c>
      <c r="B210" s="3914" t="s">
        <v>2143</v>
      </c>
      <c r="C210" s="3914"/>
      <c r="E210" s="1525" t="s">
        <v>2884</v>
      </c>
      <c r="F210" s="3915" t="s">
        <v>2885</v>
      </c>
      <c r="G210" s="3915"/>
    </row>
    <row r="211" spans="1:7">
      <c r="A211" s="1524" t="s">
        <v>2144</v>
      </c>
      <c r="B211" s="3914" t="s">
        <v>2145</v>
      </c>
      <c r="C211" s="3914"/>
      <c r="E211" s="1525" t="s">
        <v>2886</v>
      </c>
      <c r="F211" s="3915" t="s">
        <v>2887</v>
      </c>
      <c r="G211" s="3915"/>
    </row>
    <row r="212" spans="1:7">
      <c r="A212" s="1524" t="s">
        <v>2888</v>
      </c>
      <c r="B212" s="3914" t="s">
        <v>2889</v>
      </c>
      <c r="C212" s="3914"/>
      <c r="E212" s="1525" t="s">
        <v>2890</v>
      </c>
      <c r="F212" s="3915" t="s">
        <v>2891</v>
      </c>
      <c r="G212" s="3915"/>
    </row>
    <row r="213" spans="1:7">
      <c r="A213" s="1524" t="s">
        <v>2146</v>
      </c>
      <c r="B213" s="3914" t="s">
        <v>2147</v>
      </c>
      <c r="C213" s="3914"/>
      <c r="E213" s="1525" t="s">
        <v>2892</v>
      </c>
      <c r="F213" s="3915" t="s">
        <v>2893</v>
      </c>
      <c r="G213" s="3915"/>
    </row>
    <row r="214" spans="1:7">
      <c r="A214" s="1524" t="s">
        <v>2148</v>
      </c>
      <c r="B214" s="3914" t="s">
        <v>2149</v>
      </c>
      <c r="C214" s="3914"/>
      <c r="E214" s="1525" t="s">
        <v>2894</v>
      </c>
      <c r="F214" s="3915" t="s">
        <v>2895</v>
      </c>
      <c r="G214" s="3915"/>
    </row>
    <row r="215" spans="1:7">
      <c r="A215" s="1524" t="s">
        <v>2150</v>
      </c>
      <c r="B215" s="3914" t="s">
        <v>2151</v>
      </c>
      <c r="C215" s="3914"/>
      <c r="E215" s="1525" t="s">
        <v>2896</v>
      </c>
      <c r="F215" s="3915" t="s">
        <v>2897</v>
      </c>
      <c r="G215" s="3915"/>
    </row>
    <row r="216" spans="1:7">
      <c r="A216" s="1524" t="s">
        <v>2152</v>
      </c>
      <c r="B216" s="3914" t="s">
        <v>2153</v>
      </c>
      <c r="C216" s="3914"/>
      <c r="E216" s="1525" t="s">
        <v>2898</v>
      </c>
      <c r="F216" s="3915" t="s">
        <v>2899</v>
      </c>
      <c r="G216" s="3915"/>
    </row>
    <row r="217" spans="1:7">
      <c r="A217" s="1524" t="s">
        <v>2154</v>
      </c>
      <c r="B217" s="3914" t="s">
        <v>2155</v>
      </c>
      <c r="C217" s="3914"/>
      <c r="E217" s="1525" t="s">
        <v>2900</v>
      </c>
      <c r="F217" s="3915" t="s">
        <v>2901</v>
      </c>
      <c r="G217" s="3915"/>
    </row>
    <row r="218" spans="1:7">
      <c r="A218" s="1524" t="s">
        <v>2156</v>
      </c>
      <c r="B218" s="3914" t="s">
        <v>2157</v>
      </c>
      <c r="C218" s="3914"/>
      <c r="E218" s="1525" t="s">
        <v>2902</v>
      </c>
      <c r="F218" s="3915" t="s">
        <v>2903</v>
      </c>
      <c r="G218" s="3915"/>
    </row>
    <row r="219" spans="1:7">
      <c r="A219" s="1524" t="s">
        <v>2158</v>
      </c>
      <c r="B219" s="3914" t="s">
        <v>2159</v>
      </c>
      <c r="C219" s="3914"/>
      <c r="E219" s="1525" t="s">
        <v>2904</v>
      </c>
      <c r="F219" s="3915" t="s">
        <v>2905</v>
      </c>
      <c r="G219" s="3915"/>
    </row>
    <row r="220" spans="1:7">
      <c r="A220" s="1524" t="s">
        <v>2160</v>
      </c>
      <c r="B220" s="3914" t="s">
        <v>2161</v>
      </c>
      <c r="C220" s="3914"/>
      <c r="E220" s="1525" t="s">
        <v>2906</v>
      </c>
      <c r="F220" s="3915" t="s">
        <v>2907</v>
      </c>
      <c r="G220" s="3915"/>
    </row>
    <row r="221" spans="1:7">
      <c r="A221" s="1524" t="s">
        <v>2162</v>
      </c>
      <c r="B221" s="3914" t="s">
        <v>2163</v>
      </c>
      <c r="C221" s="3914"/>
      <c r="E221" s="1525" t="s">
        <v>2908</v>
      </c>
      <c r="F221" s="3915" t="s">
        <v>2909</v>
      </c>
      <c r="G221" s="3915"/>
    </row>
    <row r="222" spans="1:7">
      <c r="A222" s="1524" t="s">
        <v>2164</v>
      </c>
      <c r="B222" s="3914" t="s">
        <v>2165</v>
      </c>
      <c r="C222" s="3914"/>
      <c r="E222" s="1525" t="s">
        <v>2910</v>
      </c>
      <c r="F222" s="3915" t="s">
        <v>2911</v>
      </c>
      <c r="G222" s="3915"/>
    </row>
    <row r="223" spans="1:7">
      <c r="A223" s="1524" t="s">
        <v>2912</v>
      </c>
      <c r="B223" s="3914" t="s">
        <v>2913</v>
      </c>
      <c r="C223" s="3914"/>
      <c r="E223" s="1525" t="s">
        <v>2914</v>
      </c>
      <c r="F223" s="3915" t="s">
        <v>2915</v>
      </c>
      <c r="G223" s="3915"/>
    </row>
    <row r="224" spans="1:7">
      <c r="A224" s="1524" t="s">
        <v>2166</v>
      </c>
      <c r="B224" s="3914" t="s">
        <v>2167</v>
      </c>
      <c r="C224" s="3914"/>
      <c r="E224" s="1525" t="s">
        <v>2916</v>
      </c>
      <c r="F224" s="3915" t="s">
        <v>2917</v>
      </c>
      <c r="G224" s="3915"/>
    </row>
    <row r="225" spans="1:7">
      <c r="A225" s="1524" t="s">
        <v>2168</v>
      </c>
      <c r="B225" s="3914" t="s">
        <v>2169</v>
      </c>
      <c r="C225" s="3914"/>
      <c r="E225" s="1525" t="s">
        <v>2918</v>
      </c>
      <c r="F225" s="3915" t="s">
        <v>2919</v>
      </c>
      <c r="G225" s="3915"/>
    </row>
    <row r="226" spans="1:7">
      <c r="A226" s="1524" t="s">
        <v>2170</v>
      </c>
      <c r="B226" s="3914" t="s">
        <v>2171</v>
      </c>
      <c r="C226" s="3914"/>
      <c r="E226" s="1525" t="s">
        <v>2920</v>
      </c>
      <c r="F226" s="3915" t="s">
        <v>2921</v>
      </c>
      <c r="G226" s="3915"/>
    </row>
    <row r="227" spans="1:7">
      <c r="A227" s="1524" t="s">
        <v>2172</v>
      </c>
      <c r="B227" s="3914" t="s">
        <v>2173</v>
      </c>
      <c r="C227" s="3914"/>
      <c r="E227" s="1525" t="s">
        <v>2922</v>
      </c>
      <c r="F227" s="3915" t="s">
        <v>2923</v>
      </c>
      <c r="G227" s="3915"/>
    </row>
    <row r="228" spans="1:7">
      <c r="A228" s="1524" t="s">
        <v>2174</v>
      </c>
      <c r="B228" s="3914" t="s">
        <v>2175</v>
      </c>
      <c r="C228" s="3914"/>
      <c r="E228" s="1525" t="s">
        <v>2924</v>
      </c>
      <c r="F228" s="3915" t="s">
        <v>2925</v>
      </c>
      <c r="G228" s="3915"/>
    </row>
    <row r="229" spans="1:7">
      <c r="A229" s="1524" t="s">
        <v>2176</v>
      </c>
      <c r="B229" s="3914" t="s">
        <v>2177</v>
      </c>
      <c r="C229" s="3914"/>
      <c r="E229" s="1525" t="s">
        <v>2926</v>
      </c>
      <c r="F229" s="3915" t="s">
        <v>2927</v>
      </c>
      <c r="G229" s="3915"/>
    </row>
    <row r="230" spans="1:7">
      <c r="A230" s="1524" t="s">
        <v>2178</v>
      </c>
      <c r="B230" s="3914" t="s">
        <v>2179</v>
      </c>
      <c r="C230" s="3914"/>
      <c r="E230" s="1525" t="s">
        <v>2928</v>
      </c>
      <c r="F230" s="3915" t="s">
        <v>2929</v>
      </c>
      <c r="G230" s="3915"/>
    </row>
    <row r="231" spans="1:7">
      <c r="A231" s="1524" t="s">
        <v>2180</v>
      </c>
      <c r="B231" s="3914" t="s">
        <v>2181</v>
      </c>
      <c r="C231" s="3914"/>
      <c r="E231" s="1525" t="s">
        <v>2930</v>
      </c>
      <c r="F231" s="3915" t="s">
        <v>2931</v>
      </c>
      <c r="G231" s="3915"/>
    </row>
    <row r="232" spans="1:7">
      <c r="A232" s="1524" t="s">
        <v>2182</v>
      </c>
      <c r="B232" s="3914" t="s">
        <v>2183</v>
      </c>
      <c r="C232" s="3914"/>
      <c r="E232" s="1525" t="s">
        <v>2932</v>
      </c>
      <c r="F232" s="3915" t="s">
        <v>2933</v>
      </c>
      <c r="G232" s="3915"/>
    </row>
    <row r="233" spans="1:7">
      <c r="A233" s="1524" t="s">
        <v>2184</v>
      </c>
      <c r="B233" s="3914" t="s">
        <v>2185</v>
      </c>
      <c r="C233" s="3914"/>
      <c r="E233" s="1525" t="s">
        <v>2934</v>
      </c>
      <c r="F233" s="3915" t="s">
        <v>2935</v>
      </c>
      <c r="G233" s="3915"/>
    </row>
    <row r="234" spans="1:7">
      <c r="A234" s="1524" t="s">
        <v>2186</v>
      </c>
      <c r="B234" s="3914" t="s">
        <v>2187</v>
      </c>
      <c r="C234" s="3914"/>
      <c r="E234" s="1525" t="s">
        <v>2936</v>
      </c>
      <c r="F234" s="3915" t="s">
        <v>2937</v>
      </c>
      <c r="G234" s="3915"/>
    </row>
    <row r="235" spans="1:7">
      <c r="A235" s="1524" t="s">
        <v>2188</v>
      </c>
      <c r="B235" s="3914" t="s">
        <v>2189</v>
      </c>
      <c r="C235" s="3914"/>
      <c r="E235" s="1525" t="s">
        <v>2938</v>
      </c>
      <c r="F235" s="3915" t="s">
        <v>2939</v>
      </c>
      <c r="G235" s="3915"/>
    </row>
    <row r="236" spans="1:7">
      <c r="A236" s="1524" t="s">
        <v>2190</v>
      </c>
      <c r="B236" s="3914" t="s">
        <v>2191</v>
      </c>
      <c r="C236" s="3914"/>
      <c r="E236" s="1525" t="s">
        <v>2940</v>
      </c>
      <c r="F236" s="3915" t="s">
        <v>2941</v>
      </c>
      <c r="G236" s="3915"/>
    </row>
    <row r="237" spans="1:7">
      <c r="A237" s="1524" t="s">
        <v>2192</v>
      </c>
      <c r="B237" s="3914" t="s">
        <v>2193</v>
      </c>
      <c r="C237" s="3914"/>
      <c r="E237" s="1525" t="s">
        <v>2942</v>
      </c>
      <c r="F237" s="3915" t="s">
        <v>2943</v>
      </c>
      <c r="G237" s="3915"/>
    </row>
    <row r="238" spans="1:7">
      <c r="A238" s="1524" t="s">
        <v>2194</v>
      </c>
      <c r="B238" s="3914" t="s">
        <v>2195</v>
      </c>
      <c r="C238" s="3914"/>
      <c r="E238" s="1525" t="s">
        <v>2944</v>
      </c>
      <c r="F238" s="3915" t="s">
        <v>2945</v>
      </c>
      <c r="G238" s="3915"/>
    </row>
    <row r="239" spans="1:7">
      <c r="A239" s="1524" t="s">
        <v>2196</v>
      </c>
      <c r="B239" s="3914" t="s">
        <v>2197</v>
      </c>
      <c r="C239" s="3914"/>
      <c r="E239" s="1525" t="s">
        <v>2946</v>
      </c>
      <c r="F239" s="3915" t="s">
        <v>2947</v>
      </c>
      <c r="G239" s="3915"/>
    </row>
    <row r="240" spans="1:7">
      <c r="A240" s="1524" t="s">
        <v>2198</v>
      </c>
      <c r="B240" s="3914" t="s">
        <v>2199</v>
      </c>
      <c r="C240" s="3914"/>
      <c r="E240" s="1525" t="s">
        <v>2948</v>
      </c>
      <c r="F240" s="3915" t="s">
        <v>2949</v>
      </c>
      <c r="G240" s="3915"/>
    </row>
    <row r="241" spans="1:7">
      <c r="A241" s="1524" t="s">
        <v>2200</v>
      </c>
      <c r="B241" s="3914" t="s">
        <v>2201</v>
      </c>
      <c r="C241" s="3914"/>
      <c r="E241" s="1525" t="s">
        <v>2950</v>
      </c>
      <c r="F241" s="3915" t="s">
        <v>2951</v>
      </c>
      <c r="G241" s="3915"/>
    </row>
    <row r="242" spans="1:7">
      <c r="A242" s="1524" t="s">
        <v>2202</v>
      </c>
      <c r="B242" s="3914" t="s">
        <v>2203</v>
      </c>
      <c r="C242" s="3914"/>
      <c r="E242" s="1525" t="s">
        <v>2952</v>
      </c>
      <c r="F242" s="3915" t="s">
        <v>2953</v>
      </c>
      <c r="G242" s="3915"/>
    </row>
    <row r="243" spans="1:7">
      <c r="A243" s="1524" t="s">
        <v>2204</v>
      </c>
      <c r="B243" s="3914" t="s">
        <v>2205</v>
      </c>
      <c r="C243" s="3914"/>
      <c r="E243" s="1525" t="s">
        <v>2954</v>
      </c>
      <c r="F243" s="3915" t="s">
        <v>2955</v>
      </c>
      <c r="G243" s="3915"/>
    </row>
    <row r="244" spans="1:7">
      <c r="A244" s="1524" t="s">
        <v>2206</v>
      </c>
      <c r="B244" s="3914" t="s">
        <v>2207</v>
      </c>
      <c r="C244" s="3914"/>
      <c r="E244" s="1525" t="s">
        <v>2956</v>
      </c>
      <c r="F244" s="3915" t="s">
        <v>2957</v>
      </c>
      <c r="G244" s="3915"/>
    </row>
    <row r="245" spans="1:7">
      <c r="A245" s="1524" t="s">
        <v>2208</v>
      </c>
      <c r="B245" s="3914" t="s">
        <v>2209</v>
      </c>
      <c r="C245" s="3914"/>
      <c r="E245" s="1525" t="s">
        <v>2958</v>
      </c>
      <c r="F245" s="3915" t="s">
        <v>2959</v>
      </c>
      <c r="G245" s="3915"/>
    </row>
    <row r="246" spans="1:7">
      <c r="A246" s="1524" t="s">
        <v>2210</v>
      </c>
      <c r="B246" s="3914" t="s">
        <v>2211</v>
      </c>
      <c r="C246" s="3914"/>
      <c r="E246" s="1525" t="s">
        <v>2960</v>
      </c>
      <c r="F246" s="3915" t="s">
        <v>2961</v>
      </c>
      <c r="G246" s="3915"/>
    </row>
    <row r="247" spans="1:7">
      <c r="A247" s="1524" t="s">
        <v>2212</v>
      </c>
      <c r="B247" s="3914" t="s">
        <v>2213</v>
      </c>
      <c r="C247" s="3914"/>
      <c r="E247" s="1525" t="s">
        <v>2962</v>
      </c>
      <c r="F247" s="3915" t="s">
        <v>2963</v>
      </c>
      <c r="G247" s="3915"/>
    </row>
    <row r="248" spans="1:7">
      <c r="A248" s="1524" t="s">
        <v>2214</v>
      </c>
      <c r="B248" s="3914" t="s">
        <v>2215</v>
      </c>
      <c r="C248" s="3914"/>
      <c r="E248" s="1525" t="s">
        <v>2964</v>
      </c>
      <c r="F248" s="3915" t="s">
        <v>2965</v>
      </c>
      <c r="G248" s="3915"/>
    </row>
    <row r="249" spans="1:7">
      <c r="A249" s="1524" t="s">
        <v>2216</v>
      </c>
      <c r="B249" s="3914" t="s">
        <v>2217</v>
      </c>
      <c r="C249" s="3914"/>
      <c r="E249" s="1525" t="s">
        <v>2966</v>
      </c>
      <c r="F249" s="3915" t="s">
        <v>2967</v>
      </c>
      <c r="G249" s="3915"/>
    </row>
    <row r="250" spans="1:7">
      <c r="A250" s="1524" t="s">
        <v>2218</v>
      </c>
      <c r="B250" s="3914" t="s">
        <v>2219</v>
      </c>
      <c r="C250" s="3914"/>
      <c r="E250" s="1525" t="s">
        <v>2968</v>
      </c>
      <c r="F250" s="3915" t="s">
        <v>2969</v>
      </c>
      <c r="G250" s="3915"/>
    </row>
    <row r="251" spans="1:7">
      <c r="A251" s="1524" t="s">
        <v>2220</v>
      </c>
      <c r="B251" s="3914" t="s">
        <v>2221</v>
      </c>
      <c r="C251" s="3914"/>
      <c r="E251" s="1525" t="s">
        <v>2970</v>
      </c>
      <c r="F251" s="3915" t="s">
        <v>2971</v>
      </c>
      <c r="G251" s="3915"/>
    </row>
    <row r="252" spans="1:7">
      <c r="A252" s="1524" t="s">
        <v>2222</v>
      </c>
      <c r="B252" s="3914" t="s">
        <v>2223</v>
      </c>
      <c r="C252" s="3914"/>
      <c r="E252" s="1525" t="s">
        <v>2972</v>
      </c>
      <c r="F252" s="3915" t="s">
        <v>2973</v>
      </c>
      <c r="G252" s="3915"/>
    </row>
    <row r="253" spans="1:7">
      <c r="A253" s="1524" t="s">
        <v>2224</v>
      </c>
      <c r="B253" s="3914" t="s">
        <v>2225</v>
      </c>
      <c r="C253" s="3914"/>
      <c r="E253" s="1525" t="s">
        <v>2974</v>
      </c>
      <c r="F253" s="3915" t="s">
        <v>2975</v>
      </c>
      <c r="G253" s="3915"/>
    </row>
    <row r="254" spans="1:7">
      <c r="A254" s="1524" t="s">
        <v>2226</v>
      </c>
      <c r="B254" s="3914" t="s">
        <v>2227</v>
      </c>
      <c r="C254" s="3914"/>
      <c r="E254" s="1525" t="s">
        <v>2976</v>
      </c>
      <c r="F254" s="3915" t="s">
        <v>2977</v>
      </c>
      <c r="G254" s="3915"/>
    </row>
    <row r="255" spans="1:7">
      <c r="A255" s="1524" t="s">
        <v>2978</v>
      </c>
      <c r="B255" s="3914" t="s">
        <v>2979</v>
      </c>
      <c r="C255" s="3914"/>
      <c r="E255" s="1525" t="s">
        <v>2980</v>
      </c>
      <c r="F255" s="3915" t="s">
        <v>2981</v>
      </c>
      <c r="G255" s="3915"/>
    </row>
    <row r="256" spans="1:7">
      <c r="A256" s="1524" t="s">
        <v>2228</v>
      </c>
      <c r="B256" s="3914" t="s">
        <v>2229</v>
      </c>
      <c r="C256" s="3914"/>
      <c r="E256" s="1525" t="s">
        <v>2982</v>
      </c>
      <c r="F256" s="3915" t="s">
        <v>2983</v>
      </c>
      <c r="G256" s="3915"/>
    </row>
    <row r="257" spans="1:7">
      <c r="A257" s="1524" t="s">
        <v>2230</v>
      </c>
      <c r="B257" s="3914" t="s">
        <v>2231</v>
      </c>
      <c r="C257" s="3914"/>
      <c r="E257" s="1525" t="s">
        <v>2984</v>
      </c>
      <c r="F257" s="3915" t="s">
        <v>2985</v>
      </c>
      <c r="G257" s="3915"/>
    </row>
    <row r="258" spans="1:7">
      <c r="A258" s="1524" t="s">
        <v>2232</v>
      </c>
      <c r="B258" s="3914" t="s">
        <v>2233</v>
      </c>
      <c r="C258" s="3914"/>
      <c r="E258" s="1525" t="s">
        <v>2986</v>
      </c>
      <c r="F258" s="3915" t="s">
        <v>2987</v>
      </c>
      <c r="G258" s="3915"/>
    </row>
    <row r="259" spans="1:7">
      <c r="A259" s="1524" t="s">
        <v>2234</v>
      </c>
      <c r="B259" s="3914" t="s">
        <v>2235</v>
      </c>
      <c r="C259" s="3914"/>
      <c r="E259" s="1525" t="s">
        <v>2988</v>
      </c>
      <c r="F259" s="3915" t="s">
        <v>2989</v>
      </c>
      <c r="G259" s="3915"/>
    </row>
    <row r="260" spans="1:7">
      <c r="A260" s="1524" t="s">
        <v>2990</v>
      </c>
      <c r="B260" s="3914" t="s">
        <v>2979</v>
      </c>
      <c r="C260" s="3914"/>
      <c r="E260" s="1525" t="s">
        <v>2991</v>
      </c>
      <c r="F260" s="3915" t="s">
        <v>2992</v>
      </c>
      <c r="G260" s="3915"/>
    </row>
    <row r="261" spans="1:7">
      <c r="A261" s="1524" t="s">
        <v>2236</v>
      </c>
      <c r="B261" s="3914" t="s">
        <v>2237</v>
      </c>
      <c r="C261" s="3914"/>
      <c r="E261" s="1525" t="s">
        <v>2993</v>
      </c>
      <c r="F261" s="3915" t="s">
        <v>2994</v>
      </c>
      <c r="G261" s="3915"/>
    </row>
    <row r="262" spans="1:7">
      <c r="A262" s="1524" t="s">
        <v>2238</v>
      </c>
      <c r="B262" s="3914" t="s">
        <v>2239</v>
      </c>
      <c r="C262" s="3914"/>
      <c r="E262" s="1525" t="s">
        <v>2995</v>
      </c>
      <c r="F262" s="3915" t="s">
        <v>2996</v>
      </c>
      <c r="G262" s="3915"/>
    </row>
    <row r="263" spans="1:7">
      <c r="A263" s="1524" t="s">
        <v>2240</v>
      </c>
      <c r="B263" s="3914" t="s">
        <v>2241</v>
      </c>
      <c r="C263" s="3914"/>
      <c r="E263" s="1525" t="s">
        <v>2997</v>
      </c>
      <c r="F263" s="3915" t="s">
        <v>2998</v>
      </c>
      <c r="G263" s="3915"/>
    </row>
    <row r="264" spans="1:7">
      <c r="A264" s="1524" t="s">
        <v>2242</v>
      </c>
      <c r="B264" s="3914" t="s">
        <v>2243</v>
      </c>
      <c r="C264" s="3914"/>
      <c r="E264" s="1525" t="s">
        <v>2999</v>
      </c>
      <c r="F264" s="3915" t="s">
        <v>3000</v>
      </c>
      <c r="G264" s="3915"/>
    </row>
    <row r="265" spans="1:7">
      <c r="A265" s="1524" t="s">
        <v>2244</v>
      </c>
      <c r="B265" s="3914" t="s">
        <v>2245</v>
      </c>
      <c r="C265" s="3914"/>
      <c r="E265" s="1525" t="s">
        <v>3001</v>
      </c>
      <c r="F265" s="3915" t="s">
        <v>3002</v>
      </c>
      <c r="G265" s="3915"/>
    </row>
    <row r="266" spans="1:7">
      <c r="A266" s="1524" t="s">
        <v>2246</v>
      </c>
      <c r="B266" s="3914" t="s">
        <v>2247</v>
      </c>
      <c r="C266" s="3914"/>
      <c r="E266" s="1525" t="s">
        <v>3003</v>
      </c>
      <c r="F266" s="3915" t="s">
        <v>3004</v>
      </c>
      <c r="G266" s="3915"/>
    </row>
    <row r="267" spans="1:7">
      <c r="A267" s="1524" t="s">
        <v>3005</v>
      </c>
      <c r="B267" s="3914" t="s">
        <v>3006</v>
      </c>
      <c r="C267" s="3914"/>
      <c r="E267" s="1525" t="s">
        <v>3007</v>
      </c>
      <c r="F267" s="3915" t="s">
        <v>3008</v>
      </c>
      <c r="G267" s="3915"/>
    </row>
    <row r="268" spans="1:7">
      <c r="A268" s="1524" t="s">
        <v>2248</v>
      </c>
      <c r="B268" s="3914" t="s">
        <v>2249</v>
      </c>
      <c r="C268" s="3914"/>
      <c r="E268" s="1525" t="s">
        <v>3009</v>
      </c>
      <c r="F268" s="3915" t="s">
        <v>3010</v>
      </c>
      <c r="G268" s="3915"/>
    </row>
    <row r="269" spans="1:7">
      <c r="A269" s="1524" t="s">
        <v>2250</v>
      </c>
      <c r="B269" s="3914" t="s">
        <v>2251</v>
      </c>
      <c r="C269" s="3914"/>
      <c r="E269" s="1525" t="s">
        <v>3011</v>
      </c>
      <c r="F269" s="3915" t="s">
        <v>3012</v>
      </c>
      <c r="G269" s="3915"/>
    </row>
    <row r="270" spans="1:7">
      <c r="A270" s="1524" t="s">
        <v>2252</v>
      </c>
      <c r="B270" s="3914" t="s">
        <v>2253</v>
      </c>
      <c r="C270" s="3914"/>
      <c r="E270" s="1525" t="s">
        <v>3013</v>
      </c>
      <c r="F270" s="3915" t="s">
        <v>3014</v>
      </c>
      <c r="G270" s="3915"/>
    </row>
    <row r="271" spans="1:7">
      <c r="A271" s="1524" t="s">
        <v>2254</v>
      </c>
      <c r="B271" s="3914" t="s">
        <v>2255</v>
      </c>
      <c r="C271" s="3914"/>
      <c r="E271" s="1525" t="s">
        <v>3015</v>
      </c>
      <c r="F271" s="3915" t="s">
        <v>3016</v>
      </c>
      <c r="G271" s="3915"/>
    </row>
    <row r="272" spans="1:7">
      <c r="A272" s="1524" t="s">
        <v>2256</v>
      </c>
      <c r="B272" s="3914" t="s">
        <v>2257</v>
      </c>
      <c r="C272" s="3914"/>
      <c r="E272" s="1525" t="s">
        <v>3017</v>
      </c>
      <c r="F272" s="3915" t="s">
        <v>3018</v>
      </c>
      <c r="G272" s="3915"/>
    </row>
    <row r="273" spans="1:7">
      <c r="A273" s="1524" t="s">
        <v>2258</v>
      </c>
      <c r="B273" s="3914" t="s">
        <v>2259</v>
      </c>
      <c r="C273" s="3914"/>
      <c r="E273" s="1525" t="s">
        <v>3019</v>
      </c>
      <c r="F273" s="3915" t="s">
        <v>3020</v>
      </c>
      <c r="G273" s="3915"/>
    </row>
    <row r="274" spans="1:7">
      <c r="A274" s="1524" t="s">
        <v>2260</v>
      </c>
      <c r="B274" s="3914" t="s">
        <v>2261</v>
      </c>
      <c r="C274" s="3914"/>
      <c r="E274" s="1525" t="s">
        <v>3021</v>
      </c>
      <c r="F274" s="3915" t="s">
        <v>3022</v>
      </c>
      <c r="G274" s="3915"/>
    </row>
    <row r="275" spans="1:7">
      <c r="A275" s="1524" t="s">
        <v>2262</v>
      </c>
      <c r="B275" s="3914" t="s">
        <v>2263</v>
      </c>
      <c r="C275" s="3914"/>
      <c r="E275" s="1525" t="s">
        <v>3023</v>
      </c>
      <c r="F275" s="3915" t="s">
        <v>3024</v>
      </c>
      <c r="G275" s="3915"/>
    </row>
    <row r="276" spans="1:7">
      <c r="A276" s="1524" t="s">
        <v>2264</v>
      </c>
      <c r="B276" s="3914" t="s">
        <v>2265</v>
      </c>
      <c r="C276" s="3914"/>
      <c r="E276" s="1525" t="s">
        <v>3025</v>
      </c>
      <c r="F276" s="3915" t="s">
        <v>3026</v>
      </c>
      <c r="G276" s="3915"/>
    </row>
    <row r="277" spans="1:7">
      <c r="A277" s="1524" t="s">
        <v>2266</v>
      </c>
      <c r="B277" s="3914" t="s">
        <v>2267</v>
      </c>
      <c r="C277" s="3914"/>
      <c r="E277" s="1525" t="s">
        <v>3027</v>
      </c>
      <c r="F277" s="3915" t="s">
        <v>3028</v>
      </c>
      <c r="G277" s="3915"/>
    </row>
    <row r="278" spans="1:7">
      <c r="A278" s="1524" t="s">
        <v>3029</v>
      </c>
      <c r="B278" s="3914" t="s">
        <v>3030</v>
      </c>
      <c r="C278" s="3914"/>
      <c r="E278" s="1525" t="s">
        <v>3031</v>
      </c>
      <c r="F278" s="3915" t="s">
        <v>3032</v>
      </c>
      <c r="G278" s="3915"/>
    </row>
    <row r="279" spans="1:7">
      <c r="A279" s="1524" t="s">
        <v>3033</v>
      </c>
      <c r="B279" s="3914" t="s">
        <v>3034</v>
      </c>
      <c r="C279" s="3914"/>
      <c r="E279" s="1525" t="s">
        <v>3035</v>
      </c>
      <c r="F279" s="3915" t="s">
        <v>3036</v>
      </c>
      <c r="G279" s="3915"/>
    </row>
    <row r="280" spans="1:7">
      <c r="A280" s="1524" t="s">
        <v>2268</v>
      </c>
      <c r="B280" s="3914" t="s">
        <v>2269</v>
      </c>
      <c r="C280" s="3914"/>
      <c r="E280" s="1525" t="s">
        <v>3037</v>
      </c>
      <c r="F280" s="3915" t="s">
        <v>3038</v>
      </c>
      <c r="G280" s="3915"/>
    </row>
    <row r="281" spans="1:7">
      <c r="A281" s="1524" t="s">
        <v>2270</v>
      </c>
      <c r="B281" s="3914" t="s">
        <v>2271</v>
      </c>
      <c r="C281" s="3914"/>
      <c r="E281" s="1525" t="s">
        <v>3039</v>
      </c>
      <c r="F281" s="3915" t="s">
        <v>3040</v>
      </c>
      <c r="G281" s="3915"/>
    </row>
    <row r="282" spans="1:7">
      <c r="A282" s="1524" t="s">
        <v>2272</v>
      </c>
      <c r="B282" s="3914" t="s">
        <v>2273</v>
      </c>
      <c r="C282" s="3914"/>
      <c r="E282" s="1525" t="s">
        <v>3041</v>
      </c>
      <c r="F282" s="3915" t="s">
        <v>3042</v>
      </c>
      <c r="G282" s="3915"/>
    </row>
    <row r="283" spans="1:7">
      <c r="A283" s="1524" t="s">
        <v>2274</v>
      </c>
      <c r="B283" s="3914" t="s">
        <v>2275</v>
      </c>
      <c r="C283" s="3914"/>
      <c r="E283" s="1525" t="s">
        <v>3043</v>
      </c>
      <c r="F283" s="3915" t="s">
        <v>3044</v>
      </c>
      <c r="G283" s="3915"/>
    </row>
    <row r="284" spans="1:7">
      <c r="A284" s="1524" t="s">
        <v>2276</v>
      </c>
      <c r="B284" s="3914" t="s">
        <v>2277</v>
      </c>
      <c r="C284" s="3914"/>
      <c r="E284" s="1525" t="s">
        <v>3045</v>
      </c>
      <c r="F284" s="3915" t="s">
        <v>3046</v>
      </c>
      <c r="G284" s="3915"/>
    </row>
    <row r="285" spans="1:7">
      <c r="A285" s="1524" t="s">
        <v>2278</v>
      </c>
      <c r="B285" s="3914" t="s">
        <v>2279</v>
      </c>
      <c r="C285" s="3914"/>
      <c r="E285" s="1525" t="s">
        <v>3047</v>
      </c>
      <c r="F285" s="3915" t="s">
        <v>3048</v>
      </c>
      <c r="G285" s="3915"/>
    </row>
    <row r="286" spans="1:7">
      <c r="A286" s="1524" t="s">
        <v>2280</v>
      </c>
      <c r="B286" s="3914" t="s">
        <v>2281</v>
      </c>
      <c r="C286" s="3914"/>
      <c r="E286" s="1525" t="s">
        <v>3049</v>
      </c>
      <c r="F286" s="3915" t="s">
        <v>3050</v>
      </c>
      <c r="G286" s="3915"/>
    </row>
    <row r="287" spans="1:7">
      <c r="A287" s="1524" t="s">
        <v>2282</v>
      </c>
      <c r="B287" s="3914" t="s">
        <v>2283</v>
      </c>
      <c r="C287" s="3914"/>
      <c r="E287" s="1525" t="s">
        <v>3051</v>
      </c>
      <c r="F287" s="3915" t="s">
        <v>3052</v>
      </c>
      <c r="G287" s="3915"/>
    </row>
    <row r="288" spans="1:7">
      <c r="A288" s="1524" t="s">
        <v>2284</v>
      </c>
      <c r="B288" s="3914" t="s">
        <v>2285</v>
      </c>
      <c r="C288" s="3914"/>
      <c r="E288" s="1525" t="s">
        <v>3053</v>
      </c>
      <c r="F288" s="3915" t="s">
        <v>3054</v>
      </c>
      <c r="G288" s="3915"/>
    </row>
    <row r="289" spans="1:7">
      <c r="A289" s="1524" t="s">
        <v>2286</v>
      </c>
      <c r="B289" s="3914" t="s">
        <v>2287</v>
      </c>
      <c r="C289" s="3914"/>
      <c r="E289" s="1525" t="s">
        <v>3055</v>
      </c>
      <c r="F289" s="3915" t="s">
        <v>3056</v>
      </c>
      <c r="G289" s="3915"/>
    </row>
    <row r="290" spans="1:7">
      <c r="A290" s="1524" t="s">
        <v>2288</v>
      </c>
      <c r="B290" s="3914" t="s">
        <v>2289</v>
      </c>
      <c r="C290" s="3914"/>
      <c r="E290" s="1525" t="s">
        <v>3057</v>
      </c>
      <c r="F290" s="3915" t="s">
        <v>3058</v>
      </c>
      <c r="G290" s="3915"/>
    </row>
    <row r="291" spans="1:7">
      <c r="A291" s="1524" t="s">
        <v>2290</v>
      </c>
      <c r="B291" s="3914" t="s">
        <v>2291</v>
      </c>
      <c r="C291" s="3914"/>
      <c r="E291" s="1525" t="s">
        <v>3059</v>
      </c>
      <c r="F291" s="3915" t="s">
        <v>3060</v>
      </c>
      <c r="G291" s="3915"/>
    </row>
    <row r="292" spans="1:7">
      <c r="A292" s="1524" t="s">
        <v>2292</v>
      </c>
      <c r="B292" s="3914" t="s">
        <v>2293</v>
      </c>
      <c r="C292" s="3914"/>
      <c r="E292" s="1525" t="s">
        <v>3061</v>
      </c>
      <c r="F292" s="3915" t="s">
        <v>3062</v>
      </c>
      <c r="G292" s="3915"/>
    </row>
    <row r="293" spans="1:7">
      <c r="A293" s="1524" t="s">
        <v>2294</v>
      </c>
      <c r="B293" s="3914" t="s">
        <v>2295</v>
      </c>
      <c r="C293" s="3914"/>
      <c r="E293" s="1525" t="s">
        <v>3063</v>
      </c>
      <c r="F293" s="3915" t="s">
        <v>3064</v>
      </c>
      <c r="G293" s="3915"/>
    </row>
    <row r="294" spans="1:7">
      <c r="A294" s="1524" t="s">
        <v>2296</v>
      </c>
      <c r="B294" s="3914" t="s">
        <v>2297</v>
      </c>
      <c r="C294" s="3914"/>
      <c r="E294" s="1525" t="s">
        <v>3065</v>
      </c>
      <c r="F294" s="3915" t="s">
        <v>3066</v>
      </c>
      <c r="G294" s="3915"/>
    </row>
    <row r="295" spans="1:7">
      <c r="A295" s="1524" t="s">
        <v>2298</v>
      </c>
      <c r="B295" s="3914" t="s">
        <v>2299</v>
      </c>
      <c r="C295" s="3914"/>
      <c r="E295" s="1525" t="s">
        <v>3067</v>
      </c>
      <c r="F295" s="3915" t="s">
        <v>3068</v>
      </c>
      <c r="G295" s="3915"/>
    </row>
    <row r="296" spans="1:7">
      <c r="A296" s="1524" t="s">
        <v>2300</v>
      </c>
      <c r="B296" s="3914" t="s">
        <v>2301</v>
      </c>
      <c r="C296" s="3914"/>
      <c r="E296" s="1525" t="s">
        <v>3069</v>
      </c>
      <c r="F296" s="3915" t="s">
        <v>3070</v>
      </c>
      <c r="G296" s="3915"/>
    </row>
    <row r="297" spans="1:7">
      <c r="A297" s="1524" t="s">
        <v>2302</v>
      </c>
      <c r="B297" s="3914" t="s">
        <v>2303</v>
      </c>
      <c r="C297" s="3914"/>
      <c r="E297" s="1525" t="s">
        <v>3071</v>
      </c>
      <c r="F297" s="3915" t="s">
        <v>3072</v>
      </c>
      <c r="G297" s="3915"/>
    </row>
    <row r="298" spans="1:7">
      <c r="A298" s="1524" t="s">
        <v>2304</v>
      </c>
      <c r="B298" s="3914" t="s">
        <v>2305</v>
      </c>
      <c r="C298" s="3914"/>
      <c r="E298" s="1525" t="s">
        <v>3073</v>
      </c>
      <c r="F298" s="3915" t="s">
        <v>3074</v>
      </c>
      <c r="G298" s="3915"/>
    </row>
    <row r="299" spans="1:7">
      <c r="A299" s="1524" t="s">
        <v>2306</v>
      </c>
      <c r="B299" s="3914" t="s">
        <v>2307</v>
      </c>
      <c r="C299" s="3914"/>
      <c r="E299" s="1525" t="s">
        <v>3075</v>
      </c>
      <c r="F299" s="3915" t="s">
        <v>3076</v>
      </c>
      <c r="G299" s="3915"/>
    </row>
    <row r="300" spans="1:7">
      <c r="A300" s="1524" t="s">
        <v>2308</v>
      </c>
      <c r="B300" s="3914" t="s">
        <v>2309</v>
      </c>
      <c r="C300" s="3914"/>
      <c r="E300" s="1525" t="s">
        <v>3077</v>
      </c>
      <c r="F300" s="3915" t="s">
        <v>3078</v>
      </c>
      <c r="G300" s="3915"/>
    </row>
    <row r="301" spans="1:7">
      <c r="A301" s="1524" t="s">
        <v>2310</v>
      </c>
      <c r="B301" s="3914" t="s">
        <v>2311</v>
      </c>
      <c r="C301" s="3914"/>
      <c r="E301" s="1525" t="s">
        <v>3079</v>
      </c>
      <c r="F301" s="3915" t="s">
        <v>3080</v>
      </c>
      <c r="G301" s="3915"/>
    </row>
    <row r="302" spans="1:7">
      <c r="A302" s="1524" t="s">
        <v>2312</v>
      </c>
      <c r="B302" s="3914" t="s">
        <v>2313</v>
      </c>
      <c r="C302" s="3914"/>
      <c r="E302" s="1525" t="s">
        <v>3081</v>
      </c>
      <c r="F302" s="3915" t="s">
        <v>3082</v>
      </c>
      <c r="G302" s="3915"/>
    </row>
    <row r="303" spans="1:7">
      <c r="A303" s="1524" t="s">
        <v>2314</v>
      </c>
      <c r="B303" s="3914" t="s">
        <v>2315</v>
      </c>
      <c r="C303" s="3914"/>
      <c r="E303" s="1525" t="s">
        <v>3083</v>
      </c>
      <c r="F303" s="3915" t="s">
        <v>3084</v>
      </c>
      <c r="G303" s="3915"/>
    </row>
    <row r="304" spans="1:7">
      <c r="A304" s="1524" t="s">
        <v>2316</v>
      </c>
      <c r="B304" s="3914" t="s">
        <v>2317</v>
      </c>
      <c r="C304" s="3914"/>
      <c r="E304" s="1525" t="s">
        <v>3085</v>
      </c>
      <c r="F304" s="3915" t="s">
        <v>3086</v>
      </c>
      <c r="G304" s="3915"/>
    </row>
    <row r="305" spans="1:7">
      <c r="A305" s="1524" t="s">
        <v>3087</v>
      </c>
      <c r="B305" s="3914" t="s">
        <v>3088</v>
      </c>
      <c r="C305" s="3914"/>
      <c r="E305" s="1525" t="s">
        <v>3089</v>
      </c>
      <c r="F305" s="3915" t="s">
        <v>3090</v>
      </c>
      <c r="G305" s="3915"/>
    </row>
    <row r="306" spans="1:7">
      <c r="A306" s="1524" t="s">
        <v>3091</v>
      </c>
      <c r="B306" s="3914" t="s">
        <v>3092</v>
      </c>
      <c r="C306" s="3914"/>
      <c r="E306" s="1525" t="s">
        <v>3093</v>
      </c>
      <c r="F306" s="3915" t="s">
        <v>3094</v>
      </c>
      <c r="G306" s="3915"/>
    </row>
    <row r="307" spans="1:7">
      <c r="A307" s="1524" t="s">
        <v>3095</v>
      </c>
      <c r="B307" s="3914" t="s">
        <v>3096</v>
      </c>
      <c r="C307" s="3914"/>
      <c r="E307" s="1525" t="s">
        <v>3097</v>
      </c>
      <c r="F307" s="3915" t="s">
        <v>3098</v>
      </c>
      <c r="G307" s="3915"/>
    </row>
    <row r="308" spans="1:7">
      <c r="A308" s="1524" t="s">
        <v>2318</v>
      </c>
      <c r="B308" s="3914" t="s">
        <v>2319</v>
      </c>
      <c r="C308" s="3914"/>
      <c r="E308" s="1525" t="s">
        <v>3099</v>
      </c>
      <c r="F308" s="3915" t="s">
        <v>3100</v>
      </c>
      <c r="G308" s="3915"/>
    </row>
    <row r="309" spans="1:7">
      <c r="A309" s="1524" t="s">
        <v>2320</v>
      </c>
      <c r="B309" s="3914" t="s">
        <v>2321</v>
      </c>
      <c r="C309" s="3914"/>
      <c r="E309" s="1525" t="s">
        <v>3101</v>
      </c>
      <c r="F309" s="3915" t="s">
        <v>3102</v>
      </c>
      <c r="G309" s="3915"/>
    </row>
    <row r="310" spans="1:7">
      <c r="A310" s="1524" t="s">
        <v>2322</v>
      </c>
      <c r="B310" s="3914" t="s">
        <v>2323</v>
      </c>
      <c r="C310" s="3914"/>
      <c r="E310" s="1525" t="s">
        <v>3103</v>
      </c>
      <c r="F310" s="3915" t="s">
        <v>3104</v>
      </c>
      <c r="G310" s="3915"/>
    </row>
    <row r="311" spans="1:7">
      <c r="A311" s="1524" t="s">
        <v>2324</v>
      </c>
      <c r="B311" s="3914" t="s">
        <v>2325</v>
      </c>
      <c r="C311" s="3914"/>
      <c r="E311" s="1525" t="s">
        <v>3105</v>
      </c>
      <c r="F311" s="3915" t="s">
        <v>3106</v>
      </c>
      <c r="G311" s="3915"/>
    </row>
    <row r="312" spans="1:7">
      <c r="A312" s="1524" t="s">
        <v>2326</v>
      </c>
      <c r="B312" s="3914" t="s">
        <v>2327</v>
      </c>
      <c r="C312" s="3914"/>
      <c r="E312" s="1525" t="s">
        <v>3107</v>
      </c>
      <c r="F312" s="3915" t="s">
        <v>3108</v>
      </c>
      <c r="G312" s="3915"/>
    </row>
    <row r="313" spans="1:7">
      <c r="A313" s="1524" t="s">
        <v>2328</v>
      </c>
      <c r="B313" s="3914" t="s">
        <v>2329</v>
      </c>
      <c r="C313" s="3914"/>
      <c r="E313" s="1525" t="s">
        <v>3109</v>
      </c>
      <c r="F313" s="3915" t="s">
        <v>3110</v>
      </c>
      <c r="G313" s="3915"/>
    </row>
    <row r="314" spans="1:7">
      <c r="A314" s="1524" t="s">
        <v>2330</v>
      </c>
      <c r="B314" s="3914" t="s">
        <v>2331</v>
      </c>
      <c r="C314" s="3914"/>
      <c r="E314" s="1525" t="s">
        <v>3111</v>
      </c>
      <c r="F314" s="3915" t="s">
        <v>3112</v>
      </c>
      <c r="G314" s="3915"/>
    </row>
    <row r="315" spans="1:7">
      <c r="A315" s="1524" t="s">
        <v>2332</v>
      </c>
      <c r="B315" s="3914" t="s">
        <v>2333</v>
      </c>
      <c r="C315" s="3914"/>
      <c r="E315" s="1525" t="s">
        <v>3113</v>
      </c>
      <c r="F315" s="3915" t="s">
        <v>3114</v>
      </c>
      <c r="G315" s="3915"/>
    </row>
    <row r="316" spans="1:7">
      <c r="A316" s="1524" t="s">
        <v>2334</v>
      </c>
      <c r="B316" s="3914" t="s">
        <v>2335</v>
      </c>
      <c r="C316" s="3914"/>
      <c r="E316" s="1525" t="s">
        <v>3115</v>
      </c>
      <c r="F316" s="3915" t="s">
        <v>3116</v>
      </c>
      <c r="G316" s="3915"/>
    </row>
    <row r="317" spans="1:7">
      <c r="A317" s="1524" t="s">
        <v>2336</v>
      </c>
      <c r="B317" s="3914" t="s">
        <v>2337</v>
      </c>
      <c r="C317" s="3914"/>
      <c r="E317" s="1525" t="s">
        <v>3117</v>
      </c>
      <c r="F317" s="3915" t="s">
        <v>3118</v>
      </c>
      <c r="G317" s="3915"/>
    </row>
    <row r="318" spans="1:7">
      <c r="A318" s="1524" t="s">
        <v>2338</v>
      </c>
      <c r="B318" s="3914" t="s">
        <v>2339</v>
      </c>
      <c r="C318" s="3914"/>
      <c r="E318" s="1525" t="s">
        <v>3119</v>
      </c>
      <c r="F318" s="3915" t="s">
        <v>3120</v>
      </c>
      <c r="G318" s="3915"/>
    </row>
    <row r="319" spans="1:7">
      <c r="A319" s="1524" t="s">
        <v>2340</v>
      </c>
      <c r="B319" s="3914" t="s">
        <v>2341</v>
      </c>
      <c r="C319" s="3914"/>
      <c r="E319" s="1525" t="s">
        <v>3121</v>
      </c>
      <c r="F319" s="3915" t="s">
        <v>3122</v>
      </c>
      <c r="G319" s="3915"/>
    </row>
    <row r="320" spans="1:7">
      <c r="E320" s="1525" t="s">
        <v>3123</v>
      </c>
      <c r="F320" s="3915" t="s">
        <v>3124</v>
      </c>
      <c r="G320" s="3915"/>
    </row>
    <row r="321" spans="5:7">
      <c r="E321" s="1525" t="s">
        <v>3125</v>
      </c>
      <c r="F321" s="3915" t="s">
        <v>3126</v>
      </c>
      <c r="G321" s="3915"/>
    </row>
    <row r="322" spans="5:7">
      <c r="E322" s="1525" t="s">
        <v>3127</v>
      </c>
      <c r="F322" s="3915" t="s">
        <v>3128</v>
      </c>
      <c r="G322" s="3915"/>
    </row>
    <row r="323" spans="5:7">
      <c r="E323" s="1525" t="s">
        <v>3129</v>
      </c>
      <c r="F323" s="3915" t="s">
        <v>3130</v>
      </c>
      <c r="G323" s="3915"/>
    </row>
    <row r="324" spans="5:7">
      <c r="E324" s="1525" t="s">
        <v>3131</v>
      </c>
      <c r="F324" s="3915" t="s">
        <v>3132</v>
      </c>
      <c r="G324" s="3915"/>
    </row>
    <row r="325" spans="5:7">
      <c r="E325" s="1525" t="s">
        <v>3133</v>
      </c>
      <c r="F325" s="3915" t="s">
        <v>3134</v>
      </c>
      <c r="G325" s="3915"/>
    </row>
    <row r="326" spans="5:7">
      <c r="E326" s="1525" t="s">
        <v>3135</v>
      </c>
      <c r="F326" s="3915" t="s">
        <v>3136</v>
      </c>
      <c r="G326" s="3915"/>
    </row>
    <row r="327" spans="5:7">
      <c r="E327" s="1525" t="s">
        <v>3137</v>
      </c>
      <c r="F327" s="3915" t="s">
        <v>3138</v>
      </c>
      <c r="G327" s="3915"/>
    </row>
    <row r="328" spans="5:7">
      <c r="E328" s="1525" t="s">
        <v>3139</v>
      </c>
      <c r="F328" s="3915" t="s">
        <v>3140</v>
      </c>
      <c r="G328" s="3915"/>
    </row>
    <row r="329" spans="5:7">
      <c r="E329" s="1525" t="s">
        <v>3141</v>
      </c>
      <c r="F329" s="3915" t="s">
        <v>3142</v>
      </c>
      <c r="G329" s="3915"/>
    </row>
    <row r="330" spans="5:7">
      <c r="E330" s="1525" t="s">
        <v>3143</v>
      </c>
      <c r="F330" s="3915" t="s">
        <v>3144</v>
      </c>
      <c r="G330" s="3915"/>
    </row>
    <row r="331" spans="5:7">
      <c r="E331" s="1525" t="s">
        <v>3145</v>
      </c>
      <c r="F331" s="3915" t="s">
        <v>3146</v>
      </c>
      <c r="G331" s="3915"/>
    </row>
    <row r="332" spans="5:7">
      <c r="E332" s="1525" t="s">
        <v>3147</v>
      </c>
      <c r="F332" s="3915" t="s">
        <v>3148</v>
      </c>
      <c r="G332" s="3915"/>
    </row>
    <row r="333" spans="5:7">
      <c r="E333" s="1525" t="s">
        <v>3149</v>
      </c>
      <c r="F333" s="3915" t="s">
        <v>3150</v>
      </c>
      <c r="G333" s="3915"/>
    </row>
    <row r="334" spans="5:7">
      <c r="E334" s="1525" t="s">
        <v>3151</v>
      </c>
      <c r="F334" s="3915" t="s">
        <v>3152</v>
      </c>
      <c r="G334" s="3915"/>
    </row>
    <row r="335" spans="5:7">
      <c r="E335" s="1525" t="s">
        <v>3153</v>
      </c>
      <c r="F335" s="3915" t="s">
        <v>3154</v>
      </c>
      <c r="G335" s="3915"/>
    </row>
    <row r="336" spans="5:7">
      <c r="E336" s="1525" t="s">
        <v>3155</v>
      </c>
      <c r="F336" s="3915" t="s">
        <v>3156</v>
      </c>
      <c r="G336" s="3915"/>
    </row>
    <row r="337" spans="5:7">
      <c r="E337" s="1525" t="s">
        <v>3157</v>
      </c>
      <c r="F337" s="3915" t="s">
        <v>3158</v>
      </c>
      <c r="G337" s="3915"/>
    </row>
    <row r="338" spans="5:7">
      <c r="E338" s="1525" t="s">
        <v>3159</v>
      </c>
      <c r="F338" s="3915" t="s">
        <v>3160</v>
      </c>
      <c r="G338" s="3915"/>
    </row>
    <row r="339" spans="5:7">
      <c r="E339" s="1525" t="s">
        <v>3161</v>
      </c>
      <c r="F339" s="3915" t="s">
        <v>3162</v>
      </c>
      <c r="G339" s="3915"/>
    </row>
    <row r="340" spans="5:7">
      <c r="E340" s="1525" t="s">
        <v>3163</v>
      </c>
      <c r="F340" s="3915" t="s">
        <v>3164</v>
      </c>
      <c r="G340" s="3915"/>
    </row>
    <row r="341" spans="5:7">
      <c r="E341" s="1525" t="s">
        <v>3165</v>
      </c>
      <c r="F341" s="3915" t="s">
        <v>3166</v>
      </c>
      <c r="G341" s="3915"/>
    </row>
    <row r="342" spans="5:7">
      <c r="E342" s="1525" t="s">
        <v>3167</v>
      </c>
      <c r="F342" s="3915" t="s">
        <v>3168</v>
      </c>
      <c r="G342" s="3915"/>
    </row>
    <row r="343" spans="5:7">
      <c r="E343" s="1525" t="s">
        <v>3169</v>
      </c>
      <c r="F343" s="3915" t="s">
        <v>3170</v>
      </c>
      <c r="G343" s="3915"/>
    </row>
    <row r="344" spans="5:7">
      <c r="E344" s="1525" t="s">
        <v>3171</v>
      </c>
      <c r="F344" s="3915" t="s">
        <v>3172</v>
      </c>
      <c r="G344" s="3915"/>
    </row>
    <row r="345" spans="5:7">
      <c r="E345" s="1525" t="s">
        <v>3173</v>
      </c>
      <c r="F345" s="3915" t="s">
        <v>3174</v>
      </c>
      <c r="G345" s="3915"/>
    </row>
    <row r="346" spans="5:7">
      <c r="E346" s="1525" t="s">
        <v>3175</v>
      </c>
      <c r="F346" s="3915" t="s">
        <v>3176</v>
      </c>
      <c r="G346" s="3915"/>
    </row>
    <row r="347" spans="5:7">
      <c r="E347" s="1525" t="s">
        <v>3177</v>
      </c>
      <c r="F347" s="3915" t="s">
        <v>3178</v>
      </c>
      <c r="G347" s="3915"/>
    </row>
    <row r="348" spans="5:7">
      <c r="E348" s="1525" t="s">
        <v>3179</v>
      </c>
      <c r="F348" s="3915" t="s">
        <v>3180</v>
      </c>
      <c r="G348" s="3915"/>
    </row>
    <row r="349" spans="5:7">
      <c r="E349" s="1525" t="s">
        <v>3181</v>
      </c>
      <c r="F349" s="3915" t="s">
        <v>3182</v>
      </c>
      <c r="G349" s="3915"/>
    </row>
    <row r="350" spans="5:7">
      <c r="E350" s="1525" t="s">
        <v>3183</v>
      </c>
      <c r="F350" s="3915" t="s">
        <v>3184</v>
      </c>
      <c r="G350" s="3915"/>
    </row>
    <row r="351" spans="5:7">
      <c r="E351" s="1525" t="s">
        <v>3185</v>
      </c>
      <c r="F351" s="3915" t="s">
        <v>3186</v>
      </c>
      <c r="G351" s="3915"/>
    </row>
    <row r="352" spans="5:7">
      <c r="E352" s="1525" t="s">
        <v>3187</v>
      </c>
      <c r="F352" s="3915" t="s">
        <v>3188</v>
      </c>
      <c r="G352" s="3915"/>
    </row>
    <row r="353" spans="5:7">
      <c r="E353" s="1525" t="s">
        <v>3189</v>
      </c>
      <c r="F353" s="3915" t="s">
        <v>3190</v>
      </c>
      <c r="G353" s="3915"/>
    </row>
    <row r="354" spans="5:7">
      <c r="E354" s="1525" t="s">
        <v>3191</v>
      </c>
      <c r="F354" s="3915" t="s">
        <v>3192</v>
      </c>
      <c r="G354" s="3915"/>
    </row>
    <row r="355" spans="5:7">
      <c r="E355" s="1525" t="s">
        <v>3193</v>
      </c>
      <c r="F355" s="3915" t="s">
        <v>3194</v>
      </c>
      <c r="G355" s="3915"/>
    </row>
    <row r="356" spans="5:7">
      <c r="E356" s="1525" t="s">
        <v>3195</v>
      </c>
      <c r="F356" s="3915" t="s">
        <v>3196</v>
      </c>
      <c r="G356" s="3915"/>
    </row>
    <row r="357" spans="5:7">
      <c r="E357" s="1525" t="s">
        <v>3197</v>
      </c>
      <c r="F357" s="3915" t="s">
        <v>3198</v>
      </c>
      <c r="G357" s="3915"/>
    </row>
    <row r="358" spans="5:7">
      <c r="E358" s="1525" t="s">
        <v>3199</v>
      </c>
      <c r="F358" s="3915" t="s">
        <v>3200</v>
      </c>
      <c r="G358" s="3915"/>
    </row>
    <row r="359" spans="5:7">
      <c r="E359" s="1525" t="s">
        <v>3201</v>
      </c>
      <c r="F359" s="3915" t="s">
        <v>3202</v>
      </c>
      <c r="G359" s="3915"/>
    </row>
    <row r="360" spans="5:7">
      <c r="E360" s="1525" t="s">
        <v>3203</v>
      </c>
      <c r="F360" s="3915" t="s">
        <v>3204</v>
      </c>
      <c r="G360" s="3915"/>
    </row>
    <row r="361" spans="5:7">
      <c r="E361" s="1525" t="s">
        <v>3205</v>
      </c>
      <c r="F361" s="3915" t="s">
        <v>3206</v>
      </c>
      <c r="G361" s="3915"/>
    </row>
    <row r="362" spans="5:7">
      <c r="E362" s="1525" t="s">
        <v>3207</v>
      </c>
      <c r="F362" s="3915" t="s">
        <v>3208</v>
      </c>
      <c r="G362" s="3915"/>
    </row>
    <row r="363" spans="5:7">
      <c r="E363" s="1525" t="s">
        <v>3209</v>
      </c>
      <c r="F363" s="3915" t="s">
        <v>3210</v>
      </c>
      <c r="G363" s="3915"/>
    </row>
    <row r="364" spans="5:7">
      <c r="E364" s="1525" t="s">
        <v>3211</v>
      </c>
      <c r="F364" s="3915" t="s">
        <v>3212</v>
      </c>
      <c r="G364" s="3915"/>
    </row>
    <row r="365" spans="5:7">
      <c r="E365" s="1525" t="s">
        <v>3213</v>
      </c>
      <c r="F365" s="3915" t="s">
        <v>3214</v>
      </c>
      <c r="G365" s="3915"/>
    </row>
    <row r="366" spans="5:7">
      <c r="E366" s="1525" t="s">
        <v>3215</v>
      </c>
      <c r="F366" s="3915" t="s">
        <v>3216</v>
      </c>
      <c r="G366" s="3915"/>
    </row>
    <row r="367" spans="5:7">
      <c r="E367" s="1525" t="s">
        <v>3217</v>
      </c>
      <c r="F367" s="3915" t="s">
        <v>3218</v>
      </c>
      <c r="G367" s="3915"/>
    </row>
    <row r="368" spans="5:7">
      <c r="E368" s="1525" t="s">
        <v>3219</v>
      </c>
      <c r="F368" s="3915" t="s">
        <v>3220</v>
      </c>
      <c r="G368" s="3915"/>
    </row>
    <row r="369" spans="5:7">
      <c r="E369" s="1525" t="s">
        <v>3221</v>
      </c>
      <c r="F369" s="3915" t="s">
        <v>3222</v>
      </c>
      <c r="G369" s="3915"/>
    </row>
    <row r="370" spans="5:7">
      <c r="E370" s="1525" t="s">
        <v>3223</v>
      </c>
      <c r="F370" s="3915" t="s">
        <v>3224</v>
      </c>
      <c r="G370" s="3915"/>
    </row>
    <row r="371" spans="5:7">
      <c r="E371" s="1525" t="s">
        <v>3225</v>
      </c>
      <c r="F371" s="3915" t="s">
        <v>3226</v>
      </c>
      <c r="G371" s="3915"/>
    </row>
    <row r="372" spans="5:7">
      <c r="E372" s="1525" t="s">
        <v>3227</v>
      </c>
      <c r="F372" s="3915" t="s">
        <v>3228</v>
      </c>
      <c r="G372" s="3915"/>
    </row>
    <row r="373" spans="5:7">
      <c r="E373" s="1525" t="s">
        <v>3229</v>
      </c>
      <c r="F373" s="3915" t="s">
        <v>3230</v>
      </c>
      <c r="G373" s="3915"/>
    </row>
    <row r="374" spans="5:7">
      <c r="E374" s="1525" t="s">
        <v>3231</v>
      </c>
      <c r="F374" s="3915" t="s">
        <v>3232</v>
      </c>
      <c r="G374" s="3915"/>
    </row>
    <row r="375" spans="5:7">
      <c r="E375" s="1525" t="s">
        <v>3233</v>
      </c>
      <c r="F375" s="3915" t="s">
        <v>3234</v>
      </c>
      <c r="G375" s="3915"/>
    </row>
    <row r="376" spans="5:7">
      <c r="E376" s="1525" t="s">
        <v>3235</v>
      </c>
      <c r="F376" s="3915" t="s">
        <v>3236</v>
      </c>
      <c r="G376" s="3915"/>
    </row>
    <row r="377" spans="5:7">
      <c r="E377" s="1525" t="s">
        <v>3237</v>
      </c>
      <c r="F377" s="3915" t="s">
        <v>3238</v>
      </c>
      <c r="G377" s="3915"/>
    </row>
    <row r="378" spans="5:7">
      <c r="E378" s="1525" t="s">
        <v>3239</v>
      </c>
      <c r="F378" s="3915" t="s">
        <v>3240</v>
      </c>
      <c r="G378" s="3915"/>
    </row>
    <row r="379" spans="5:7">
      <c r="E379" s="1525" t="s">
        <v>3241</v>
      </c>
      <c r="F379" s="3915" t="s">
        <v>3242</v>
      </c>
      <c r="G379" s="3915"/>
    </row>
    <row r="380" spans="5:7">
      <c r="E380" s="1525" t="s">
        <v>3243</v>
      </c>
      <c r="F380" s="3915" t="s">
        <v>3244</v>
      </c>
      <c r="G380" s="3915"/>
    </row>
    <row r="381" spans="5:7">
      <c r="E381" s="1525" t="s">
        <v>3245</v>
      </c>
      <c r="F381" s="3915" t="s">
        <v>3246</v>
      </c>
      <c r="G381" s="3915"/>
    </row>
    <row r="382" spans="5:7">
      <c r="E382" s="1525" t="s">
        <v>3247</v>
      </c>
      <c r="F382" s="3915" t="s">
        <v>3248</v>
      </c>
      <c r="G382" s="3915"/>
    </row>
    <row r="383" spans="5:7">
      <c r="E383" s="1525" t="s">
        <v>3249</v>
      </c>
      <c r="F383" s="3915" t="s">
        <v>3250</v>
      </c>
      <c r="G383" s="3915"/>
    </row>
    <row r="384" spans="5:7">
      <c r="E384" s="1525" t="s">
        <v>3251</v>
      </c>
      <c r="F384" s="3915" t="s">
        <v>3252</v>
      </c>
      <c r="G384" s="3915"/>
    </row>
    <row r="385" spans="5:7">
      <c r="E385" s="1525" t="s">
        <v>3253</v>
      </c>
      <c r="F385" s="3915" t="s">
        <v>3254</v>
      </c>
      <c r="G385" s="3915"/>
    </row>
    <row r="386" spans="5:7">
      <c r="E386" s="1525" t="s">
        <v>3255</v>
      </c>
      <c r="F386" s="3915" t="s">
        <v>3256</v>
      </c>
      <c r="G386" s="3915"/>
    </row>
    <row r="387" spans="5:7">
      <c r="E387" s="1525" t="s">
        <v>3257</v>
      </c>
      <c r="F387" s="3915" t="s">
        <v>3258</v>
      </c>
      <c r="G387" s="3915"/>
    </row>
    <row r="388" spans="5:7">
      <c r="E388" s="1525" t="s">
        <v>3259</v>
      </c>
      <c r="F388" s="3915" t="s">
        <v>3260</v>
      </c>
      <c r="G388" s="3915"/>
    </row>
    <row r="389" spans="5:7">
      <c r="E389" s="1525" t="s">
        <v>3261</v>
      </c>
      <c r="F389" s="3915" t="s">
        <v>3262</v>
      </c>
      <c r="G389" s="3915"/>
    </row>
    <row r="390" spans="5:7">
      <c r="E390" s="1525" t="s">
        <v>3263</v>
      </c>
      <c r="F390" s="3915" t="s">
        <v>3264</v>
      </c>
      <c r="G390" s="3915"/>
    </row>
    <row r="391" spans="5:7">
      <c r="E391" s="1525" t="s">
        <v>3265</v>
      </c>
      <c r="F391" s="3915" t="s">
        <v>3266</v>
      </c>
      <c r="G391" s="3915"/>
    </row>
    <row r="392" spans="5:7">
      <c r="E392" s="1525" t="s">
        <v>3267</v>
      </c>
      <c r="F392" s="3915" t="s">
        <v>3268</v>
      </c>
      <c r="G392" s="3915"/>
    </row>
    <row r="393" spans="5:7">
      <c r="E393" s="1525" t="s">
        <v>3269</v>
      </c>
      <c r="F393" s="3915" t="s">
        <v>3270</v>
      </c>
      <c r="G393" s="3915"/>
    </row>
    <row r="394" spans="5:7">
      <c r="E394" s="1525" t="s">
        <v>3271</v>
      </c>
      <c r="F394" s="3915" t="s">
        <v>3272</v>
      </c>
      <c r="G394" s="3915"/>
    </row>
    <row r="395" spans="5:7">
      <c r="E395" s="1525" t="s">
        <v>3273</v>
      </c>
      <c r="F395" s="3915" t="s">
        <v>3274</v>
      </c>
      <c r="G395" s="3915"/>
    </row>
    <row r="396" spans="5:7">
      <c r="E396" s="1525" t="s">
        <v>3275</v>
      </c>
      <c r="F396" s="3915" t="s">
        <v>3276</v>
      </c>
      <c r="G396" s="3915"/>
    </row>
    <row r="397" spans="5:7">
      <c r="E397" s="1525" t="s">
        <v>3277</v>
      </c>
      <c r="F397" s="3915" t="s">
        <v>3278</v>
      </c>
      <c r="G397" s="3915"/>
    </row>
    <row r="398" spans="5:7">
      <c r="E398" s="1525" t="s">
        <v>3279</v>
      </c>
      <c r="F398" s="3915" t="s">
        <v>3280</v>
      </c>
      <c r="G398" s="3915"/>
    </row>
    <row r="399" spans="5:7">
      <c r="E399" s="1525" t="s">
        <v>3281</v>
      </c>
      <c r="F399" s="3915" t="s">
        <v>3282</v>
      </c>
      <c r="G399" s="3915"/>
    </row>
    <row r="400" spans="5:7">
      <c r="E400" s="1525" t="s">
        <v>3283</v>
      </c>
      <c r="F400" s="3915" t="s">
        <v>3284</v>
      </c>
      <c r="G400" s="3915"/>
    </row>
    <row r="401" spans="5:7">
      <c r="E401" s="1525" t="s">
        <v>3285</v>
      </c>
      <c r="F401" s="3915" t="s">
        <v>3286</v>
      </c>
      <c r="G401" s="3915"/>
    </row>
    <row r="402" spans="5:7">
      <c r="E402" s="1525" t="s">
        <v>3287</v>
      </c>
      <c r="F402" s="3915" t="s">
        <v>3288</v>
      </c>
      <c r="G402" s="3915"/>
    </row>
    <row r="403" spans="5:7">
      <c r="E403" s="1525" t="s">
        <v>3289</v>
      </c>
      <c r="F403" s="3915" t="s">
        <v>3290</v>
      </c>
      <c r="G403" s="3915"/>
    </row>
    <row r="404" spans="5:7">
      <c r="E404" s="1525" t="s">
        <v>3291</v>
      </c>
      <c r="F404" s="3915" t="s">
        <v>3292</v>
      </c>
      <c r="G404" s="3915"/>
    </row>
    <row r="405" spans="5:7">
      <c r="E405" s="1525" t="s">
        <v>3293</v>
      </c>
      <c r="F405" s="3915" t="s">
        <v>3294</v>
      </c>
      <c r="G405" s="3915"/>
    </row>
    <row r="406" spans="5:7">
      <c r="E406" s="1525" t="s">
        <v>3295</v>
      </c>
      <c r="F406" s="3915" t="s">
        <v>3296</v>
      </c>
      <c r="G406" s="3915"/>
    </row>
    <row r="407" spans="5:7">
      <c r="E407" s="1525" t="s">
        <v>3297</v>
      </c>
      <c r="F407" s="3915" t="s">
        <v>3298</v>
      </c>
      <c r="G407" s="3915"/>
    </row>
    <row r="408" spans="5:7">
      <c r="E408" s="1525" t="s">
        <v>3299</v>
      </c>
      <c r="F408" s="3915" t="s">
        <v>3300</v>
      </c>
      <c r="G408" s="3915"/>
    </row>
    <row r="409" spans="5:7">
      <c r="E409" s="1525" t="s">
        <v>3301</v>
      </c>
      <c r="F409" s="3915" t="s">
        <v>3302</v>
      </c>
      <c r="G409" s="3915"/>
    </row>
    <row r="410" spans="5:7">
      <c r="E410" s="1525" t="s">
        <v>3303</v>
      </c>
      <c r="F410" s="3915" t="s">
        <v>3304</v>
      </c>
      <c r="G410" s="3915"/>
    </row>
    <row r="411" spans="5:7">
      <c r="E411" s="1525" t="s">
        <v>3305</v>
      </c>
      <c r="F411" s="3915" t="s">
        <v>3306</v>
      </c>
      <c r="G411" s="3915"/>
    </row>
    <row r="412" spans="5:7">
      <c r="E412" s="1525" t="s">
        <v>3307</v>
      </c>
      <c r="F412" s="3915" t="s">
        <v>3308</v>
      </c>
      <c r="G412" s="3915"/>
    </row>
    <row r="413" spans="5:7">
      <c r="E413" s="1525" t="s">
        <v>3309</v>
      </c>
      <c r="F413" s="3915" t="s">
        <v>3310</v>
      </c>
      <c r="G413" s="3915"/>
    </row>
    <row r="414" spans="5:7">
      <c r="E414" s="1525" t="s">
        <v>3311</v>
      </c>
      <c r="F414" s="3915" t="s">
        <v>3312</v>
      </c>
      <c r="G414" s="3915"/>
    </row>
    <row r="415" spans="5:7">
      <c r="E415" s="1525" t="s">
        <v>3313</v>
      </c>
      <c r="F415" s="3915" t="s">
        <v>3314</v>
      </c>
      <c r="G415" s="3915"/>
    </row>
    <row r="416" spans="5:7">
      <c r="E416" s="1525" t="s">
        <v>3315</v>
      </c>
      <c r="F416" s="3915" t="s">
        <v>3316</v>
      </c>
      <c r="G416" s="3915"/>
    </row>
    <row r="417" spans="5:7">
      <c r="E417" s="1525" t="s">
        <v>3317</v>
      </c>
      <c r="F417" s="3915" t="s">
        <v>3318</v>
      </c>
      <c r="G417" s="3915"/>
    </row>
    <row r="418" spans="5:7">
      <c r="E418" s="1525" t="s">
        <v>3319</v>
      </c>
      <c r="F418" s="3915" t="s">
        <v>3320</v>
      </c>
      <c r="G418" s="3915"/>
    </row>
    <row r="419" spans="5:7">
      <c r="E419" s="1525" t="s">
        <v>3321</v>
      </c>
      <c r="F419" s="3915" t="s">
        <v>3322</v>
      </c>
      <c r="G419" s="3915"/>
    </row>
    <row r="420" spans="5:7">
      <c r="E420" s="1525" t="s">
        <v>3323</v>
      </c>
      <c r="F420" s="3915" t="s">
        <v>3324</v>
      </c>
      <c r="G420" s="3915"/>
    </row>
    <row r="421" spans="5:7">
      <c r="E421" s="1525" t="s">
        <v>3325</v>
      </c>
      <c r="F421" s="3915" t="s">
        <v>3326</v>
      </c>
      <c r="G421" s="3915"/>
    </row>
    <row r="422" spans="5:7">
      <c r="E422" s="1525" t="s">
        <v>3327</v>
      </c>
      <c r="F422" s="3915" t="s">
        <v>3328</v>
      </c>
      <c r="G422" s="3915"/>
    </row>
    <row r="423" spans="5:7">
      <c r="E423" s="1525" t="s">
        <v>3329</v>
      </c>
      <c r="F423" s="3915" t="s">
        <v>3330</v>
      </c>
      <c r="G423" s="3915"/>
    </row>
    <row r="424" spans="5:7">
      <c r="E424" s="1525" t="s">
        <v>3331</v>
      </c>
      <c r="F424" s="3915" t="s">
        <v>3332</v>
      </c>
      <c r="G424" s="3915"/>
    </row>
    <row r="425" spans="5:7">
      <c r="E425" s="1525" t="s">
        <v>3333</v>
      </c>
      <c r="F425" s="3915" t="s">
        <v>3334</v>
      </c>
      <c r="G425" s="3915"/>
    </row>
    <row r="426" spans="5:7">
      <c r="E426" s="1525" t="s">
        <v>3335</v>
      </c>
      <c r="F426" s="3915" t="s">
        <v>3336</v>
      </c>
      <c r="G426" s="3915"/>
    </row>
    <row r="427" spans="5:7">
      <c r="E427" s="1525" t="s">
        <v>3337</v>
      </c>
      <c r="F427" s="3915" t="s">
        <v>3338</v>
      </c>
      <c r="G427" s="3915"/>
    </row>
    <row r="428" spans="5:7">
      <c r="E428" s="1525" t="s">
        <v>3339</v>
      </c>
      <c r="F428" s="3915" t="s">
        <v>3340</v>
      </c>
      <c r="G428" s="3915"/>
    </row>
    <row r="429" spans="5:7">
      <c r="E429" s="1525" t="s">
        <v>3341</v>
      </c>
      <c r="F429" s="3915" t="s">
        <v>3342</v>
      </c>
      <c r="G429" s="3915"/>
    </row>
    <row r="430" spans="5:7">
      <c r="E430" s="1525" t="s">
        <v>3343</v>
      </c>
      <c r="F430" s="3915" t="s">
        <v>3344</v>
      </c>
      <c r="G430" s="3915"/>
    </row>
    <row r="431" spans="5:7">
      <c r="E431" s="1525" t="s">
        <v>3345</v>
      </c>
      <c r="F431" s="3915" t="s">
        <v>3346</v>
      </c>
      <c r="G431" s="3915"/>
    </row>
    <row r="432" spans="5:7">
      <c r="E432" s="1525" t="s">
        <v>3347</v>
      </c>
      <c r="F432" s="3915" t="s">
        <v>3348</v>
      </c>
      <c r="G432" s="3915"/>
    </row>
    <row r="433" spans="5:7">
      <c r="E433" s="1525" t="s">
        <v>3349</v>
      </c>
      <c r="F433" s="3915" t="s">
        <v>3350</v>
      </c>
      <c r="G433" s="3915"/>
    </row>
    <row r="434" spans="5:7">
      <c r="E434" s="1525" t="s">
        <v>3351</v>
      </c>
      <c r="F434" s="3915" t="s">
        <v>3352</v>
      </c>
      <c r="G434" s="3915"/>
    </row>
    <row r="435" spans="5:7">
      <c r="E435" s="1525" t="s">
        <v>3353</v>
      </c>
      <c r="F435" s="3915" t="s">
        <v>3354</v>
      </c>
      <c r="G435" s="3915"/>
    </row>
    <row r="436" spans="5:7">
      <c r="E436" s="1525" t="s">
        <v>3355</v>
      </c>
      <c r="F436" s="3915" t="s">
        <v>3356</v>
      </c>
      <c r="G436" s="3915"/>
    </row>
    <row r="437" spans="5:7">
      <c r="E437" s="1525" t="s">
        <v>3357</v>
      </c>
      <c r="F437" s="3915" t="s">
        <v>3358</v>
      </c>
      <c r="G437" s="3915"/>
    </row>
    <row r="438" spans="5:7">
      <c r="E438" s="1525" t="s">
        <v>3359</v>
      </c>
      <c r="F438" s="3915" t="s">
        <v>3360</v>
      </c>
      <c r="G438" s="3915"/>
    </row>
    <row r="439" spans="5:7">
      <c r="E439" s="1525" t="s">
        <v>3361</v>
      </c>
      <c r="F439" s="3915" t="s">
        <v>3362</v>
      </c>
      <c r="G439" s="3915"/>
    </row>
    <row r="440" spans="5:7">
      <c r="E440" s="1525" t="s">
        <v>3363</v>
      </c>
      <c r="F440" s="3915" t="s">
        <v>3364</v>
      </c>
      <c r="G440" s="3915"/>
    </row>
    <row r="441" spans="5:7">
      <c r="E441" s="1525" t="s">
        <v>3365</v>
      </c>
      <c r="F441" s="3915" t="s">
        <v>3366</v>
      </c>
      <c r="G441" s="3915"/>
    </row>
    <row r="442" spans="5:7">
      <c r="E442" s="1525" t="s">
        <v>3367</v>
      </c>
      <c r="F442" s="3915" t="s">
        <v>3368</v>
      </c>
      <c r="G442" s="3915"/>
    </row>
    <row r="443" spans="5:7">
      <c r="E443" s="1525" t="s">
        <v>3369</v>
      </c>
      <c r="F443" s="3915" t="s">
        <v>3370</v>
      </c>
      <c r="G443" s="3915"/>
    </row>
    <row r="444" spans="5:7">
      <c r="E444" s="1525" t="s">
        <v>3371</v>
      </c>
      <c r="F444" s="3915" t="s">
        <v>3372</v>
      </c>
      <c r="G444" s="3915"/>
    </row>
    <row r="445" spans="5:7">
      <c r="E445" s="1525" t="s">
        <v>3373</v>
      </c>
      <c r="F445" s="3915" t="s">
        <v>3374</v>
      </c>
      <c r="G445" s="3915"/>
    </row>
    <row r="446" spans="5:7">
      <c r="E446" s="1525" t="s">
        <v>3375</v>
      </c>
      <c r="F446" s="3915" t="s">
        <v>3376</v>
      </c>
      <c r="G446" s="3915"/>
    </row>
    <row r="447" spans="5:7">
      <c r="E447" s="1525" t="s">
        <v>3377</v>
      </c>
      <c r="F447" s="3915" t="s">
        <v>3378</v>
      </c>
      <c r="G447" s="3915"/>
    </row>
    <row r="448" spans="5:7">
      <c r="E448" s="1525" t="s">
        <v>3379</v>
      </c>
      <c r="F448" s="3915" t="s">
        <v>3380</v>
      </c>
      <c r="G448" s="3915"/>
    </row>
    <row r="449" spans="5:7">
      <c r="E449" s="1525" t="s">
        <v>3381</v>
      </c>
      <c r="F449" s="3915" t="s">
        <v>3382</v>
      </c>
      <c r="G449" s="3915"/>
    </row>
    <row r="450" spans="5:7">
      <c r="E450" s="1525" t="s">
        <v>3383</v>
      </c>
      <c r="F450" s="3915" t="s">
        <v>3384</v>
      </c>
      <c r="G450" s="3915"/>
    </row>
    <row r="451" spans="5:7">
      <c r="E451" s="1525" t="s">
        <v>3385</v>
      </c>
      <c r="F451" s="3915" t="s">
        <v>3386</v>
      </c>
      <c r="G451" s="3915"/>
    </row>
    <row r="452" spans="5:7">
      <c r="E452" s="1525" t="s">
        <v>3387</v>
      </c>
      <c r="F452" s="3915" t="s">
        <v>3388</v>
      </c>
      <c r="G452" s="3915"/>
    </row>
    <row r="453" spans="5:7">
      <c r="E453" s="1525" t="s">
        <v>3389</v>
      </c>
      <c r="F453" s="3915" t="s">
        <v>3390</v>
      </c>
      <c r="G453" s="3915"/>
    </row>
    <row r="454" spans="5:7">
      <c r="E454" s="1525" t="s">
        <v>3391</v>
      </c>
      <c r="F454" s="3915" t="s">
        <v>3392</v>
      </c>
      <c r="G454" s="3915"/>
    </row>
    <row r="455" spans="5:7">
      <c r="E455" s="1525" t="s">
        <v>3393</v>
      </c>
      <c r="F455" s="3915" t="s">
        <v>3394</v>
      </c>
      <c r="G455" s="3915"/>
    </row>
    <row r="456" spans="5:7">
      <c r="E456" s="1525" t="s">
        <v>3395</v>
      </c>
      <c r="F456" s="3915" t="s">
        <v>3396</v>
      </c>
      <c r="G456" s="3915"/>
    </row>
    <row r="457" spans="5:7">
      <c r="E457" s="1525" t="s">
        <v>3397</v>
      </c>
      <c r="F457" s="3915" t="s">
        <v>3398</v>
      </c>
      <c r="G457" s="3915"/>
    </row>
    <row r="458" spans="5:7">
      <c r="E458" s="1525" t="s">
        <v>3399</v>
      </c>
      <c r="F458" s="3915" t="s">
        <v>3400</v>
      </c>
      <c r="G458" s="3915"/>
    </row>
    <row r="459" spans="5:7">
      <c r="E459" s="1525" t="s">
        <v>3401</v>
      </c>
      <c r="F459" s="3915" t="s">
        <v>3402</v>
      </c>
      <c r="G459" s="3915"/>
    </row>
    <row r="460" spans="5:7">
      <c r="E460" s="1525" t="s">
        <v>3403</v>
      </c>
      <c r="F460" s="3915" t="s">
        <v>3404</v>
      </c>
      <c r="G460" s="3915"/>
    </row>
    <row r="461" spans="5:7">
      <c r="E461" s="1525" t="s">
        <v>3405</v>
      </c>
      <c r="F461" s="3915" t="s">
        <v>3406</v>
      </c>
      <c r="G461" s="3915"/>
    </row>
    <row r="462" spans="5:7">
      <c r="E462" s="1525" t="s">
        <v>3407</v>
      </c>
      <c r="F462" s="3915" t="s">
        <v>3408</v>
      </c>
      <c r="G462" s="3915"/>
    </row>
    <row r="463" spans="5:7">
      <c r="E463" s="1525" t="s">
        <v>3409</v>
      </c>
      <c r="F463" s="3915" t="s">
        <v>3410</v>
      </c>
      <c r="G463" s="3915"/>
    </row>
    <row r="464" spans="5:7">
      <c r="E464" s="1525" t="s">
        <v>3411</v>
      </c>
      <c r="F464" s="3915" t="s">
        <v>3412</v>
      </c>
      <c r="G464" s="3915"/>
    </row>
    <row r="465" spans="5:7">
      <c r="E465" s="1525" t="s">
        <v>3413</v>
      </c>
      <c r="F465" s="3915" t="s">
        <v>3414</v>
      </c>
      <c r="G465" s="3915"/>
    </row>
    <row r="466" spans="5:7">
      <c r="E466" s="1525" t="s">
        <v>3415</v>
      </c>
      <c r="F466" s="3915" t="s">
        <v>3416</v>
      </c>
      <c r="G466" s="3915"/>
    </row>
    <row r="467" spans="5:7">
      <c r="E467" s="1525" t="s">
        <v>3417</v>
      </c>
      <c r="F467" s="3915" t="s">
        <v>3418</v>
      </c>
      <c r="G467" s="3915"/>
    </row>
    <row r="468" spans="5:7">
      <c r="E468" s="1525" t="s">
        <v>3419</v>
      </c>
      <c r="F468" s="3915" t="s">
        <v>3420</v>
      </c>
      <c r="G468" s="3915"/>
    </row>
    <row r="469" spans="5:7">
      <c r="E469" s="1525" t="s">
        <v>3421</v>
      </c>
      <c r="F469" s="3915" t="s">
        <v>3422</v>
      </c>
      <c r="G469" s="3915"/>
    </row>
    <row r="470" spans="5:7">
      <c r="E470" s="1525" t="s">
        <v>3423</v>
      </c>
      <c r="F470" s="3915" t="s">
        <v>3424</v>
      </c>
      <c r="G470" s="3915"/>
    </row>
    <row r="471" spans="5:7">
      <c r="E471" s="1525" t="s">
        <v>3425</v>
      </c>
      <c r="F471" s="3915" t="s">
        <v>3426</v>
      </c>
      <c r="G471" s="3915"/>
    </row>
    <row r="472" spans="5:7">
      <c r="E472" s="1525" t="s">
        <v>3427</v>
      </c>
      <c r="F472" s="3915" t="s">
        <v>3428</v>
      </c>
      <c r="G472" s="3915"/>
    </row>
    <row r="473" spans="5:7">
      <c r="E473" s="1525" t="s">
        <v>3429</v>
      </c>
      <c r="F473" s="3915" t="s">
        <v>3430</v>
      </c>
      <c r="G473" s="3915"/>
    </row>
    <row r="474" spans="5:7">
      <c r="E474" s="1525" t="s">
        <v>3431</v>
      </c>
      <c r="F474" s="3915" t="s">
        <v>3432</v>
      </c>
      <c r="G474" s="3915"/>
    </row>
    <row r="475" spans="5:7">
      <c r="E475" s="1525" t="s">
        <v>3433</v>
      </c>
      <c r="F475" s="3915" t="s">
        <v>3434</v>
      </c>
      <c r="G475" s="3915"/>
    </row>
    <row r="476" spans="5:7">
      <c r="E476" s="1525" t="s">
        <v>3435</v>
      </c>
      <c r="F476" s="3915" t="s">
        <v>3436</v>
      </c>
      <c r="G476" s="3915"/>
    </row>
    <row r="477" spans="5:7">
      <c r="E477" s="1525" t="s">
        <v>3437</v>
      </c>
      <c r="F477" s="3915" t="s">
        <v>3438</v>
      </c>
      <c r="G477" s="3915"/>
    </row>
    <row r="478" spans="5:7">
      <c r="E478" s="1525" t="s">
        <v>3439</v>
      </c>
      <c r="F478" s="3915" t="s">
        <v>3440</v>
      </c>
      <c r="G478" s="3915"/>
    </row>
    <row r="479" spans="5:7">
      <c r="E479" s="1525" t="s">
        <v>3441</v>
      </c>
      <c r="F479" s="3915" t="s">
        <v>3442</v>
      </c>
      <c r="G479" s="3915"/>
    </row>
    <row r="480" spans="5:7">
      <c r="E480" s="1525" t="s">
        <v>3443</v>
      </c>
      <c r="F480" s="3915" t="s">
        <v>3444</v>
      </c>
      <c r="G480" s="3915"/>
    </row>
    <row r="481" spans="5:7">
      <c r="E481" s="1525" t="s">
        <v>3445</v>
      </c>
      <c r="F481" s="3915" t="s">
        <v>3446</v>
      </c>
      <c r="G481" s="3915"/>
    </row>
    <row r="482" spans="5:7">
      <c r="E482" s="1525" t="s">
        <v>3447</v>
      </c>
      <c r="F482" s="3915" t="s">
        <v>3448</v>
      </c>
      <c r="G482" s="3915"/>
    </row>
    <row r="483" spans="5:7">
      <c r="E483" s="1525" t="s">
        <v>3449</v>
      </c>
      <c r="F483" s="3915" t="s">
        <v>3450</v>
      </c>
      <c r="G483" s="3915"/>
    </row>
    <row r="484" spans="5:7">
      <c r="E484" s="1525" t="s">
        <v>3451</v>
      </c>
      <c r="F484" s="3915" t="s">
        <v>3452</v>
      </c>
      <c r="G484" s="3915"/>
    </row>
    <row r="485" spans="5:7">
      <c r="E485" s="1525" t="s">
        <v>3453</v>
      </c>
      <c r="F485" s="3915" t="s">
        <v>3454</v>
      </c>
      <c r="G485" s="3915"/>
    </row>
    <row r="486" spans="5:7">
      <c r="E486" s="1525" t="s">
        <v>3455</v>
      </c>
      <c r="F486" s="3915" t="s">
        <v>3456</v>
      </c>
      <c r="G486" s="3915"/>
    </row>
    <row r="487" spans="5:7">
      <c r="E487" s="1525" t="s">
        <v>3457</v>
      </c>
      <c r="F487" s="3915" t="s">
        <v>3458</v>
      </c>
      <c r="G487" s="3915"/>
    </row>
    <row r="488" spans="5:7">
      <c r="E488" s="1525" t="s">
        <v>3459</v>
      </c>
      <c r="F488" s="3915" t="s">
        <v>3460</v>
      </c>
      <c r="G488" s="3915"/>
    </row>
    <row r="489" spans="5:7">
      <c r="E489" s="1525" t="s">
        <v>3461</v>
      </c>
      <c r="F489" s="3915" t="s">
        <v>3462</v>
      </c>
      <c r="G489" s="3915"/>
    </row>
    <row r="490" spans="5:7">
      <c r="E490" s="1525" t="s">
        <v>3463</v>
      </c>
      <c r="F490" s="3915" t="s">
        <v>3464</v>
      </c>
      <c r="G490" s="3915"/>
    </row>
    <row r="491" spans="5:7">
      <c r="E491" s="1525" t="s">
        <v>3465</v>
      </c>
      <c r="F491" s="3915" t="s">
        <v>3466</v>
      </c>
      <c r="G491" s="3915"/>
    </row>
    <row r="492" spans="5:7">
      <c r="E492" s="1525" t="s">
        <v>3467</v>
      </c>
      <c r="F492" s="3915" t="s">
        <v>3468</v>
      </c>
      <c r="G492" s="3915"/>
    </row>
    <row r="493" spans="5:7">
      <c r="E493" s="1525" t="s">
        <v>3469</v>
      </c>
      <c r="F493" s="3915" t="s">
        <v>3470</v>
      </c>
      <c r="G493" s="3915"/>
    </row>
    <row r="494" spans="5:7">
      <c r="E494" s="1525" t="s">
        <v>3471</v>
      </c>
      <c r="F494" s="3915" t="s">
        <v>3472</v>
      </c>
      <c r="G494" s="3915"/>
    </row>
    <row r="495" spans="5:7">
      <c r="E495" s="1525" t="s">
        <v>3473</v>
      </c>
      <c r="F495" s="3915" t="s">
        <v>3474</v>
      </c>
      <c r="G495" s="3915"/>
    </row>
    <row r="496" spans="5:7">
      <c r="E496" s="1525" t="s">
        <v>3475</v>
      </c>
      <c r="F496" s="3915" t="s">
        <v>3476</v>
      </c>
      <c r="G496" s="3915"/>
    </row>
    <row r="497" spans="5:7">
      <c r="E497" s="1525" t="s">
        <v>3477</v>
      </c>
      <c r="F497" s="3915" t="s">
        <v>3478</v>
      </c>
      <c r="G497" s="3915"/>
    </row>
    <row r="498" spans="5:7">
      <c r="E498" s="1525" t="s">
        <v>3479</v>
      </c>
      <c r="F498" s="3915" t="s">
        <v>3480</v>
      </c>
      <c r="G498" s="3915"/>
    </row>
    <row r="499" spans="5:7">
      <c r="E499" s="1525" t="s">
        <v>3481</v>
      </c>
      <c r="F499" s="3915" t="s">
        <v>3482</v>
      </c>
      <c r="G499" s="3915"/>
    </row>
    <row r="500" spans="5:7">
      <c r="E500" s="1525" t="s">
        <v>3483</v>
      </c>
      <c r="F500" s="3915" t="s">
        <v>3484</v>
      </c>
      <c r="G500" s="3915"/>
    </row>
    <row r="501" spans="5:7">
      <c r="E501" s="1525" t="s">
        <v>3485</v>
      </c>
      <c r="F501" s="3915" t="s">
        <v>3486</v>
      </c>
      <c r="G501" s="3915"/>
    </row>
    <row r="502" spans="5:7">
      <c r="E502" s="1525" t="s">
        <v>3487</v>
      </c>
      <c r="F502" s="3915" t="s">
        <v>3488</v>
      </c>
      <c r="G502" s="3915"/>
    </row>
    <row r="503" spans="5:7">
      <c r="E503" s="1525" t="s">
        <v>3489</v>
      </c>
      <c r="F503" s="3915" t="s">
        <v>3490</v>
      </c>
      <c r="G503" s="3915"/>
    </row>
    <row r="504" spans="5:7">
      <c r="E504" s="1525" t="s">
        <v>3491</v>
      </c>
      <c r="F504" s="3915" t="s">
        <v>3492</v>
      </c>
      <c r="G504" s="3915"/>
    </row>
    <row r="505" spans="5:7">
      <c r="E505" s="1525" t="s">
        <v>3493</v>
      </c>
      <c r="F505" s="3915" t="s">
        <v>3494</v>
      </c>
      <c r="G505" s="3915"/>
    </row>
    <row r="506" spans="5:7">
      <c r="E506" s="1525" t="s">
        <v>3495</v>
      </c>
      <c r="F506" s="3915" t="s">
        <v>3496</v>
      </c>
      <c r="G506" s="3915"/>
    </row>
    <row r="507" spans="5:7">
      <c r="E507" s="1525" t="s">
        <v>3497</v>
      </c>
      <c r="F507" s="3915" t="s">
        <v>3498</v>
      </c>
      <c r="G507" s="3915"/>
    </row>
    <row r="508" spans="5:7">
      <c r="E508" s="1525" t="s">
        <v>3499</v>
      </c>
      <c r="F508" s="3915" t="s">
        <v>3500</v>
      </c>
      <c r="G508" s="3915"/>
    </row>
    <row r="509" spans="5:7">
      <c r="E509" s="1525" t="s">
        <v>3501</v>
      </c>
      <c r="F509" s="3915" t="s">
        <v>3502</v>
      </c>
      <c r="G509" s="3915"/>
    </row>
    <row r="510" spans="5:7">
      <c r="E510" s="1525" t="s">
        <v>3503</v>
      </c>
      <c r="F510" s="3915" t="s">
        <v>3504</v>
      </c>
      <c r="G510" s="3915"/>
    </row>
    <row r="511" spans="5:7">
      <c r="E511" s="1525" t="s">
        <v>3505</v>
      </c>
      <c r="F511" s="3915" t="s">
        <v>3506</v>
      </c>
      <c r="G511" s="3915"/>
    </row>
    <row r="512" spans="5:7">
      <c r="E512" s="1525" t="s">
        <v>3507</v>
      </c>
      <c r="F512" s="3915" t="s">
        <v>3508</v>
      </c>
      <c r="G512" s="3915"/>
    </row>
    <row r="513" spans="5:7">
      <c r="E513" s="1525" t="s">
        <v>3509</v>
      </c>
      <c r="F513" s="3915" t="s">
        <v>3510</v>
      </c>
      <c r="G513" s="3915"/>
    </row>
    <row r="514" spans="5:7">
      <c r="E514" s="1525" t="s">
        <v>3511</v>
      </c>
      <c r="F514" s="3915" t="s">
        <v>3512</v>
      </c>
      <c r="G514" s="3915"/>
    </row>
    <row r="515" spans="5:7">
      <c r="E515" s="1525" t="s">
        <v>3513</v>
      </c>
      <c r="F515" s="3915" t="s">
        <v>3514</v>
      </c>
      <c r="G515" s="3915"/>
    </row>
    <row r="516" spans="5:7">
      <c r="E516" s="1525" t="s">
        <v>3515</v>
      </c>
      <c r="F516" s="3915" t="s">
        <v>3516</v>
      </c>
      <c r="G516" s="3915"/>
    </row>
    <row r="517" spans="5:7">
      <c r="E517" s="1525" t="s">
        <v>3517</v>
      </c>
      <c r="F517" s="3915" t="s">
        <v>3518</v>
      </c>
      <c r="G517" s="3915"/>
    </row>
    <row r="518" spans="5:7">
      <c r="E518" s="1525" t="s">
        <v>3519</v>
      </c>
      <c r="F518" s="3915" t="s">
        <v>3520</v>
      </c>
      <c r="G518" s="3915"/>
    </row>
    <row r="519" spans="5:7">
      <c r="E519" s="1525" t="s">
        <v>3521</v>
      </c>
      <c r="F519" s="3915" t="s">
        <v>3522</v>
      </c>
      <c r="G519" s="3915"/>
    </row>
    <row r="520" spans="5:7">
      <c r="E520" s="1525" t="s">
        <v>3523</v>
      </c>
      <c r="F520" s="3915" t="s">
        <v>3524</v>
      </c>
      <c r="G520" s="3915"/>
    </row>
    <row r="521" spans="5:7">
      <c r="E521" s="1525" t="s">
        <v>3525</v>
      </c>
      <c r="F521" s="3915" t="s">
        <v>3526</v>
      </c>
      <c r="G521" s="3915"/>
    </row>
    <row r="522" spans="5:7">
      <c r="E522" s="1525" t="s">
        <v>3527</v>
      </c>
      <c r="F522" s="3915" t="s">
        <v>3528</v>
      </c>
      <c r="G522" s="3915"/>
    </row>
    <row r="523" spans="5:7">
      <c r="E523" s="1525" t="s">
        <v>3529</v>
      </c>
      <c r="F523" s="3915" t="s">
        <v>3530</v>
      </c>
      <c r="G523" s="3915"/>
    </row>
    <row r="524" spans="5:7">
      <c r="E524" s="1525" t="s">
        <v>3531</v>
      </c>
      <c r="F524" s="3915" t="s">
        <v>3532</v>
      </c>
      <c r="G524" s="3915"/>
    </row>
    <row r="525" spans="5:7">
      <c r="E525" s="1525" t="s">
        <v>3533</v>
      </c>
      <c r="F525" s="3915" t="s">
        <v>3534</v>
      </c>
      <c r="G525" s="3915"/>
    </row>
    <row r="526" spans="5:7">
      <c r="E526" s="1525" t="s">
        <v>3535</v>
      </c>
      <c r="F526" s="3915" t="s">
        <v>3536</v>
      </c>
      <c r="G526" s="3915"/>
    </row>
    <row r="527" spans="5:7">
      <c r="E527" s="1525" t="s">
        <v>3537</v>
      </c>
      <c r="F527" s="3915" t="s">
        <v>3538</v>
      </c>
      <c r="G527" s="3915"/>
    </row>
    <row r="528" spans="5:7">
      <c r="E528" s="1525" t="s">
        <v>3539</v>
      </c>
      <c r="F528" s="3915" t="s">
        <v>3540</v>
      </c>
      <c r="G528" s="3915"/>
    </row>
    <row r="529" spans="5:7">
      <c r="E529" s="1525" t="s">
        <v>3541</v>
      </c>
      <c r="F529" s="3915" t="s">
        <v>3542</v>
      </c>
      <c r="G529" s="3915"/>
    </row>
    <row r="530" spans="5:7">
      <c r="E530" s="1525" t="s">
        <v>3543</v>
      </c>
      <c r="F530" s="3915" t="s">
        <v>3544</v>
      </c>
      <c r="G530" s="3915"/>
    </row>
    <row r="531" spans="5:7">
      <c r="E531" s="1525" t="s">
        <v>3545</v>
      </c>
      <c r="F531" s="3915" t="s">
        <v>3546</v>
      </c>
      <c r="G531" s="3915"/>
    </row>
    <row r="532" spans="5:7">
      <c r="E532" s="1525" t="s">
        <v>3547</v>
      </c>
      <c r="F532" s="3915" t="s">
        <v>3548</v>
      </c>
      <c r="G532" s="3915"/>
    </row>
    <row r="533" spans="5:7">
      <c r="E533" s="1525" t="s">
        <v>3549</v>
      </c>
      <c r="F533" s="3915" t="s">
        <v>3550</v>
      </c>
      <c r="G533" s="3915"/>
    </row>
    <row r="534" spans="5:7">
      <c r="E534" s="1525" t="s">
        <v>3551</v>
      </c>
      <c r="F534" s="3915" t="s">
        <v>3552</v>
      </c>
      <c r="G534" s="3915"/>
    </row>
    <row r="535" spans="5:7">
      <c r="E535" s="1525" t="s">
        <v>3553</v>
      </c>
      <c r="F535" s="3915" t="s">
        <v>3554</v>
      </c>
      <c r="G535" s="3915"/>
    </row>
    <row r="536" spans="5:7">
      <c r="E536" s="1525" t="s">
        <v>3555</v>
      </c>
      <c r="F536" s="3915" t="s">
        <v>3556</v>
      </c>
      <c r="G536" s="3915"/>
    </row>
    <row r="537" spans="5:7">
      <c r="E537" s="1525" t="s">
        <v>3557</v>
      </c>
      <c r="F537" s="3915" t="s">
        <v>3558</v>
      </c>
      <c r="G537" s="3915"/>
    </row>
    <row r="538" spans="5:7">
      <c r="E538" s="1525" t="s">
        <v>3559</v>
      </c>
      <c r="F538" s="3915" t="s">
        <v>3560</v>
      </c>
      <c r="G538" s="3915"/>
    </row>
    <row r="539" spans="5:7">
      <c r="E539" s="1525" t="s">
        <v>3561</v>
      </c>
      <c r="F539" s="3915" t="s">
        <v>3562</v>
      </c>
      <c r="G539" s="3915"/>
    </row>
    <row r="540" spans="5:7">
      <c r="E540" s="1525" t="s">
        <v>3563</v>
      </c>
      <c r="F540" s="3915" t="s">
        <v>3564</v>
      </c>
      <c r="G540" s="3915"/>
    </row>
    <row r="541" spans="5:7">
      <c r="E541" s="1525" t="s">
        <v>3565</v>
      </c>
      <c r="F541" s="3915" t="s">
        <v>3566</v>
      </c>
      <c r="G541" s="3915"/>
    </row>
    <row r="542" spans="5:7">
      <c r="E542" s="1525" t="s">
        <v>3567</v>
      </c>
      <c r="F542" s="3915" t="s">
        <v>3568</v>
      </c>
      <c r="G542" s="3915"/>
    </row>
    <row r="543" spans="5:7">
      <c r="E543" s="1525" t="s">
        <v>3569</v>
      </c>
      <c r="F543" s="3915" t="s">
        <v>3570</v>
      </c>
      <c r="G543" s="3915"/>
    </row>
    <row r="544" spans="5:7">
      <c r="E544" s="1525" t="s">
        <v>3571</v>
      </c>
      <c r="F544" s="3915" t="s">
        <v>3572</v>
      </c>
      <c r="G544" s="3915"/>
    </row>
    <row r="545" spans="5:7">
      <c r="E545" s="1525" t="s">
        <v>3573</v>
      </c>
      <c r="F545" s="3915" t="s">
        <v>3574</v>
      </c>
      <c r="G545" s="3915"/>
    </row>
    <row r="546" spans="5:7">
      <c r="E546" s="1525" t="s">
        <v>3575</v>
      </c>
      <c r="F546" s="3915" t="s">
        <v>3576</v>
      </c>
      <c r="G546" s="3915"/>
    </row>
    <row r="547" spans="5:7">
      <c r="E547" s="1525" t="s">
        <v>3577</v>
      </c>
      <c r="F547" s="3915" t="s">
        <v>3578</v>
      </c>
      <c r="G547" s="3915"/>
    </row>
    <row r="548" spans="5:7">
      <c r="E548" s="1525" t="s">
        <v>3579</v>
      </c>
      <c r="F548" s="3915" t="s">
        <v>3580</v>
      </c>
      <c r="G548" s="3915"/>
    </row>
    <row r="549" spans="5:7">
      <c r="E549" s="1525" t="s">
        <v>3581</v>
      </c>
      <c r="F549" s="3915" t="s">
        <v>3582</v>
      </c>
      <c r="G549" s="3915"/>
    </row>
    <row r="550" spans="5:7">
      <c r="E550" s="1525" t="s">
        <v>3583</v>
      </c>
      <c r="F550" s="3915" t="s">
        <v>3584</v>
      </c>
      <c r="G550" s="3915"/>
    </row>
    <row r="551" spans="5:7">
      <c r="E551" s="1525" t="s">
        <v>3585</v>
      </c>
      <c r="F551" s="3915" t="s">
        <v>3586</v>
      </c>
      <c r="G551" s="3915"/>
    </row>
    <row r="552" spans="5:7">
      <c r="E552" s="1525" t="s">
        <v>3587</v>
      </c>
      <c r="F552" s="3915" t="s">
        <v>3588</v>
      </c>
      <c r="G552" s="3915"/>
    </row>
    <row r="553" spans="5:7">
      <c r="E553" s="1525" t="s">
        <v>3589</v>
      </c>
      <c r="F553" s="3915" t="s">
        <v>3590</v>
      </c>
      <c r="G553" s="3915"/>
    </row>
    <row r="554" spans="5:7">
      <c r="E554" s="1525" t="s">
        <v>3591</v>
      </c>
      <c r="F554" s="3915" t="s">
        <v>3592</v>
      </c>
      <c r="G554" s="3915"/>
    </row>
    <row r="555" spans="5:7">
      <c r="E555" s="1525" t="s">
        <v>3593</v>
      </c>
      <c r="F555" s="3915" t="s">
        <v>3594</v>
      </c>
      <c r="G555" s="3915"/>
    </row>
    <row r="556" spans="5:7">
      <c r="E556" s="1525" t="s">
        <v>3595</v>
      </c>
      <c r="F556" s="3915" t="s">
        <v>3596</v>
      </c>
      <c r="G556" s="3915"/>
    </row>
    <row r="557" spans="5:7">
      <c r="E557" s="1525" t="s">
        <v>3597</v>
      </c>
      <c r="F557" s="3915" t="s">
        <v>3598</v>
      </c>
      <c r="G557" s="3915"/>
    </row>
    <row r="558" spans="5:7">
      <c r="E558" s="1525" t="s">
        <v>3599</v>
      </c>
      <c r="F558" s="3915" t="s">
        <v>3600</v>
      </c>
      <c r="G558" s="3915"/>
    </row>
    <row r="559" spans="5:7">
      <c r="E559" s="1525" t="s">
        <v>3601</v>
      </c>
      <c r="F559" s="3915" t="s">
        <v>3602</v>
      </c>
      <c r="G559" s="3915"/>
    </row>
    <row r="560" spans="5:7">
      <c r="E560" s="1525" t="s">
        <v>3603</v>
      </c>
      <c r="F560" s="3915" t="s">
        <v>3604</v>
      </c>
      <c r="G560" s="3915"/>
    </row>
    <row r="561" spans="5:7">
      <c r="E561" s="1525" t="s">
        <v>3605</v>
      </c>
      <c r="F561" s="3915" t="s">
        <v>3606</v>
      </c>
      <c r="G561" s="3915"/>
    </row>
    <row r="562" spans="5:7">
      <c r="E562" s="1525" t="s">
        <v>3607</v>
      </c>
      <c r="F562" s="3915" t="s">
        <v>3608</v>
      </c>
      <c r="G562" s="3915"/>
    </row>
    <row r="563" spans="5:7">
      <c r="E563" s="1525" t="s">
        <v>3609</v>
      </c>
      <c r="F563" s="3915" t="s">
        <v>3610</v>
      </c>
      <c r="G563" s="3915"/>
    </row>
    <row r="564" spans="5:7">
      <c r="E564" s="1525" t="s">
        <v>3611</v>
      </c>
      <c r="F564" s="3915" t="s">
        <v>3612</v>
      </c>
      <c r="G564" s="3915"/>
    </row>
    <row r="565" spans="5:7">
      <c r="E565" s="1525" t="s">
        <v>3613</v>
      </c>
      <c r="F565" s="3915" t="s">
        <v>3614</v>
      </c>
      <c r="G565" s="3915"/>
    </row>
    <row r="566" spans="5:7">
      <c r="E566" s="1525" t="s">
        <v>3615</v>
      </c>
      <c r="F566" s="3915" t="s">
        <v>3616</v>
      </c>
      <c r="G566" s="3915"/>
    </row>
    <row r="567" spans="5:7">
      <c r="E567" s="1525" t="s">
        <v>3617</v>
      </c>
      <c r="F567" s="3915" t="s">
        <v>3618</v>
      </c>
      <c r="G567" s="3915"/>
    </row>
    <row r="568" spans="5:7">
      <c r="E568" s="1525" t="s">
        <v>3619</v>
      </c>
      <c r="F568" s="3915" t="s">
        <v>3620</v>
      </c>
      <c r="G568" s="3915"/>
    </row>
    <row r="569" spans="5:7">
      <c r="E569" s="1525" t="s">
        <v>3621</v>
      </c>
      <c r="F569" s="3915" t="s">
        <v>3622</v>
      </c>
      <c r="G569" s="3915"/>
    </row>
    <row r="570" spans="5:7">
      <c r="E570" s="1525" t="s">
        <v>3623</v>
      </c>
      <c r="F570" s="3915" t="s">
        <v>3624</v>
      </c>
      <c r="G570" s="3915"/>
    </row>
    <row r="571" spans="5:7">
      <c r="E571" s="1525" t="s">
        <v>3625</v>
      </c>
      <c r="F571" s="3915" t="s">
        <v>3626</v>
      </c>
      <c r="G571" s="3915"/>
    </row>
    <row r="572" spans="5:7">
      <c r="E572" s="1525" t="s">
        <v>3627</v>
      </c>
      <c r="F572" s="3915" t="s">
        <v>3628</v>
      </c>
      <c r="G572" s="3915"/>
    </row>
    <row r="573" spans="5:7">
      <c r="E573" s="1525" t="s">
        <v>3629</v>
      </c>
      <c r="F573" s="3915" t="s">
        <v>3630</v>
      </c>
      <c r="G573" s="3915"/>
    </row>
    <row r="574" spans="5:7">
      <c r="E574" s="1525" t="s">
        <v>3631</v>
      </c>
      <c r="F574" s="3915" t="s">
        <v>3632</v>
      </c>
      <c r="G574" s="3915"/>
    </row>
    <row r="575" spans="5:7">
      <c r="E575" s="1525" t="s">
        <v>3633</v>
      </c>
      <c r="F575" s="3915" t="s">
        <v>3634</v>
      </c>
      <c r="G575" s="3915"/>
    </row>
    <row r="576" spans="5:7">
      <c r="E576" s="1525" t="s">
        <v>3635</v>
      </c>
      <c r="F576" s="3915" t="s">
        <v>3636</v>
      </c>
      <c r="G576" s="3915"/>
    </row>
    <row r="577" spans="5:7">
      <c r="E577" s="1525" t="s">
        <v>3637</v>
      </c>
      <c r="F577" s="3915" t="s">
        <v>3638</v>
      </c>
      <c r="G577" s="3915"/>
    </row>
    <row r="578" spans="5:7">
      <c r="E578" s="1525" t="s">
        <v>3639</v>
      </c>
      <c r="F578" s="3915" t="s">
        <v>3640</v>
      </c>
      <c r="G578" s="3915"/>
    </row>
    <row r="579" spans="5:7">
      <c r="E579" s="1525" t="s">
        <v>3641</v>
      </c>
      <c r="F579" s="3915" t="s">
        <v>3642</v>
      </c>
      <c r="G579" s="3915"/>
    </row>
    <row r="580" spans="5:7">
      <c r="E580" s="1525" t="s">
        <v>3643</v>
      </c>
      <c r="F580" s="3915" t="s">
        <v>3644</v>
      </c>
      <c r="G580" s="3915"/>
    </row>
    <row r="581" spans="5:7">
      <c r="E581" s="1525" t="s">
        <v>3645</v>
      </c>
      <c r="F581" s="3915" t="s">
        <v>3646</v>
      </c>
      <c r="G581" s="3915"/>
    </row>
    <row r="582" spans="5:7">
      <c r="E582" s="1525" t="s">
        <v>3647</v>
      </c>
      <c r="F582" s="3915" t="s">
        <v>3648</v>
      </c>
      <c r="G582" s="3915"/>
    </row>
    <row r="583" spans="5:7">
      <c r="E583" s="1525" t="s">
        <v>3649</v>
      </c>
      <c r="F583" s="3915" t="s">
        <v>3650</v>
      </c>
      <c r="G583" s="3915"/>
    </row>
    <row r="584" spans="5:7">
      <c r="E584" s="1525" t="s">
        <v>3651</v>
      </c>
      <c r="F584" s="3915" t="s">
        <v>3652</v>
      </c>
      <c r="G584" s="3915"/>
    </row>
    <row r="585" spans="5:7">
      <c r="E585" s="1525" t="s">
        <v>3653</v>
      </c>
      <c r="F585" s="3915" t="s">
        <v>3654</v>
      </c>
      <c r="G585" s="3915"/>
    </row>
    <row r="586" spans="5:7">
      <c r="E586" s="1525" t="s">
        <v>3655</v>
      </c>
      <c r="F586" s="3915" t="s">
        <v>3656</v>
      </c>
      <c r="G586" s="3915"/>
    </row>
    <row r="587" spans="5:7">
      <c r="E587" s="1525" t="s">
        <v>3657</v>
      </c>
      <c r="F587" s="3915" t="s">
        <v>3658</v>
      </c>
      <c r="G587" s="3915"/>
    </row>
    <row r="588" spans="5:7">
      <c r="E588" s="1525" t="s">
        <v>3659</v>
      </c>
      <c r="F588" s="3915" t="s">
        <v>3660</v>
      </c>
      <c r="G588" s="3915"/>
    </row>
    <row r="589" spans="5:7">
      <c r="E589" s="1525" t="s">
        <v>3661</v>
      </c>
      <c r="F589" s="3915" t="s">
        <v>3662</v>
      </c>
      <c r="G589" s="3915"/>
    </row>
    <row r="590" spans="5:7">
      <c r="E590" s="1525" t="s">
        <v>3663</v>
      </c>
      <c r="F590" s="3915" t="s">
        <v>3664</v>
      </c>
      <c r="G590" s="3915"/>
    </row>
    <row r="591" spans="5:7">
      <c r="E591" s="1525" t="s">
        <v>3665</v>
      </c>
      <c r="F591" s="3915" t="s">
        <v>3666</v>
      </c>
      <c r="G591" s="3915"/>
    </row>
    <row r="592" spans="5:7">
      <c r="E592" s="1525" t="s">
        <v>3667</v>
      </c>
      <c r="F592" s="3915" t="s">
        <v>3668</v>
      </c>
      <c r="G592" s="3915"/>
    </row>
    <row r="593" spans="5:7">
      <c r="E593" s="1525" t="s">
        <v>3669</v>
      </c>
      <c r="F593" s="3915" t="s">
        <v>3670</v>
      </c>
      <c r="G593" s="3915"/>
    </row>
    <row r="594" spans="5:7">
      <c r="E594" s="1525" t="s">
        <v>3671</v>
      </c>
      <c r="F594" s="3915" t="s">
        <v>3672</v>
      </c>
      <c r="G594" s="3915"/>
    </row>
    <row r="595" spans="5:7">
      <c r="E595" s="1525" t="s">
        <v>3673</v>
      </c>
      <c r="F595" s="3915" t="s">
        <v>3674</v>
      </c>
      <c r="G595" s="3915"/>
    </row>
    <row r="596" spans="5:7">
      <c r="E596" s="1525" t="s">
        <v>3675</v>
      </c>
      <c r="F596" s="3915" t="s">
        <v>3676</v>
      </c>
      <c r="G596" s="3915"/>
    </row>
    <row r="597" spans="5:7">
      <c r="E597" s="1525" t="s">
        <v>3677</v>
      </c>
      <c r="F597" s="3915" t="s">
        <v>3678</v>
      </c>
      <c r="G597" s="3915"/>
    </row>
    <row r="598" spans="5:7">
      <c r="E598" s="1525" t="s">
        <v>3679</v>
      </c>
      <c r="F598" s="3915" t="s">
        <v>3680</v>
      </c>
      <c r="G598" s="3915"/>
    </row>
    <row r="599" spans="5:7">
      <c r="E599" s="1525" t="s">
        <v>3681</v>
      </c>
      <c r="F599" s="3915" t="s">
        <v>3682</v>
      </c>
      <c r="G599" s="3915"/>
    </row>
    <row r="600" spans="5:7">
      <c r="E600" s="1525" t="s">
        <v>3683</v>
      </c>
      <c r="F600" s="3915" t="s">
        <v>3684</v>
      </c>
      <c r="G600" s="3915"/>
    </row>
    <row r="601" spans="5:7">
      <c r="E601" s="1525" t="s">
        <v>3685</v>
      </c>
      <c r="F601" s="3915" t="s">
        <v>3686</v>
      </c>
      <c r="G601" s="3915"/>
    </row>
    <row r="602" spans="5:7">
      <c r="E602" s="1525" t="s">
        <v>3687</v>
      </c>
      <c r="F602" s="3915" t="s">
        <v>3688</v>
      </c>
      <c r="G602" s="3915"/>
    </row>
    <row r="603" spans="5:7">
      <c r="E603" s="1525" t="s">
        <v>3689</v>
      </c>
      <c r="F603" s="3915" t="s">
        <v>3690</v>
      </c>
      <c r="G603" s="3915"/>
    </row>
    <row r="604" spans="5:7">
      <c r="E604" s="1525" t="s">
        <v>3691</v>
      </c>
      <c r="F604" s="3915" t="s">
        <v>3692</v>
      </c>
      <c r="G604" s="3915"/>
    </row>
    <row r="605" spans="5:7">
      <c r="E605" s="1525" t="s">
        <v>3693</v>
      </c>
      <c r="F605" s="3915" t="s">
        <v>3694</v>
      </c>
      <c r="G605" s="3915"/>
    </row>
    <row r="606" spans="5:7">
      <c r="E606" s="1525" t="s">
        <v>3695</v>
      </c>
      <c r="F606" s="3915" t="s">
        <v>3696</v>
      </c>
      <c r="G606" s="3915"/>
    </row>
    <row r="607" spans="5:7">
      <c r="E607" s="1525" t="s">
        <v>3697</v>
      </c>
      <c r="F607" s="3915" t="s">
        <v>3698</v>
      </c>
      <c r="G607" s="3915"/>
    </row>
    <row r="608" spans="5:7">
      <c r="E608" s="1525" t="s">
        <v>3699</v>
      </c>
      <c r="F608" s="3915" t="s">
        <v>3700</v>
      </c>
      <c r="G608" s="3915"/>
    </row>
    <row r="609" spans="5:7">
      <c r="E609" s="1525" t="s">
        <v>3701</v>
      </c>
      <c r="F609" s="3915" t="s">
        <v>3702</v>
      </c>
      <c r="G609" s="3915"/>
    </row>
    <row r="610" spans="5:7">
      <c r="E610" s="1525" t="s">
        <v>3703</v>
      </c>
      <c r="F610" s="3915" t="s">
        <v>3704</v>
      </c>
      <c r="G610" s="3915"/>
    </row>
    <row r="611" spans="5:7">
      <c r="E611" s="1525" t="s">
        <v>3705</v>
      </c>
      <c r="F611" s="3915" t="s">
        <v>3706</v>
      </c>
      <c r="G611" s="3915"/>
    </row>
    <row r="612" spans="5:7">
      <c r="E612" s="1525" t="s">
        <v>3707</v>
      </c>
      <c r="F612" s="3915" t="s">
        <v>3708</v>
      </c>
      <c r="G612" s="3915"/>
    </row>
    <row r="613" spans="5:7">
      <c r="E613" s="1525" t="s">
        <v>3709</v>
      </c>
      <c r="F613" s="3915" t="s">
        <v>3710</v>
      </c>
      <c r="G613" s="3915"/>
    </row>
    <row r="614" spans="5:7">
      <c r="E614" s="1525" t="s">
        <v>3711</v>
      </c>
      <c r="F614" s="3915" t="s">
        <v>3712</v>
      </c>
      <c r="G614" s="3915"/>
    </row>
    <row r="615" spans="5:7">
      <c r="E615" s="1525" t="s">
        <v>3713</v>
      </c>
      <c r="F615" s="3915" t="s">
        <v>3714</v>
      </c>
      <c r="G615" s="3915"/>
    </row>
    <row r="616" spans="5:7">
      <c r="E616" s="1525" t="s">
        <v>3715</v>
      </c>
      <c r="F616" s="3915" t="s">
        <v>3716</v>
      </c>
      <c r="G616" s="3915"/>
    </row>
    <row r="617" spans="5:7">
      <c r="E617" s="1525" t="s">
        <v>3717</v>
      </c>
      <c r="F617" s="3915" t="s">
        <v>3718</v>
      </c>
      <c r="G617" s="3915"/>
    </row>
    <row r="618" spans="5:7">
      <c r="E618" s="1525" t="s">
        <v>3719</v>
      </c>
      <c r="F618" s="3915" t="s">
        <v>3720</v>
      </c>
      <c r="G618" s="3915"/>
    </row>
    <row r="619" spans="5:7">
      <c r="E619" s="1525" t="s">
        <v>3721</v>
      </c>
      <c r="F619" s="3915" t="s">
        <v>3722</v>
      </c>
      <c r="G619" s="3915"/>
    </row>
    <row r="620" spans="5:7">
      <c r="E620" s="1525" t="s">
        <v>3723</v>
      </c>
      <c r="F620" s="3915" t="s">
        <v>3724</v>
      </c>
      <c r="G620" s="3915"/>
    </row>
    <row r="621" spans="5:7">
      <c r="E621" s="1525" t="s">
        <v>3725</v>
      </c>
      <c r="F621" s="3915" t="s">
        <v>3726</v>
      </c>
      <c r="G621" s="3915"/>
    </row>
    <row r="622" spans="5:7">
      <c r="E622" s="1525" t="s">
        <v>3727</v>
      </c>
      <c r="F622" s="3915" t="s">
        <v>3728</v>
      </c>
      <c r="G622" s="3915"/>
    </row>
    <row r="623" spans="5:7">
      <c r="E623" s="1525" t="s">
        <v>3729</v>
      </c>
      <c r="F623" s="3915" t="s">
        <v>3730</v>
      </c>
      <c r="G623" s="3915"/>
    </row>
    <row r="624" spans="5:7">
      <c r="E624" s="1525" t="s">
        <v>3731</v>
      </c>
      <c r="F624" s="3915" t="s">
        <v>3732</v>
      </c>
      <c r="G624" s="3915"/>
    </row>
    <row r="625" spans="5:7">
      <c r="E625" s="1525" t="s">
        <v>3733</v>
      </c>
      <c r="F625" s="3915" t="s">
        <v>3734</v>
      </c>
      <c r="G625" s="3915"/>
    </row>
    <row r="626" spans="5:7">
      <c r="E626" s="1525" t="s">
        <v>3735</v>
      </c>
      <c r="F626" s="3915" t="s">
        <v>3736</v>
      </c>
      <c r="G626" s="3915"/>
    </row>
    <row r="627" spans="5:7">
      <c r="E627" s="1525" t="s">
        <v>3737</v>
      </c>
      <c r="F627" s="3915" t="s">
        <v>3738</v>
      </c>
      <c r="G627" s="3915"/>
    </row>
    <row r="628" spans="5:7">
      <c r="E628" s="1525" t="s">
        <v>3739</v>
      </c>
      <c r="F628" s="3915" t="s">
        <v>3740</v>
      </c>
      <c r="G628" s="3915"/>
    </row>
    <row r="629" spans="5:7">
      <c r="E629" s="1525" t="s">
        <v>3741</v>
      </c>
      <c r="F629" s="3915" t="s">
        <v>3742</v>
      </c>
      <c r="G629" s="3915"/>
    </row>
    <row r="630" spans="5:7">
      <c r="E630" s="1525" t="s">
        <v>3743</v>
      </c>
      <c r="F630" s="3915" t="s">
        <v>3744</v>
      </c>
      <c r="G630" s="3915"/>
    </row>
    <row r="631" spans="5:7">
      <c r="E631" s="1525" t="s">
        <v>3745</v>
      </c>
      <c r="F631" s="3915" t="s">
        <v>3746</v>
      </c>
      <c r="G631" s="3915"/>
    </row>
    <row r="632" spans="5:7">
      <c r="E632" s="1525" t="s">
        <v>3747</v>
      </c>
      <c r="F632" s="3915" t="s">
        <v>3748</v>
      </c>
      <c r="G632" s="3915"/>
    </row>
    <row r="633" spans="5:7">
      <c r="E633" s="1525" t="s">
        <v>3749</v>
      </c>
      <c r="F633" s="3915" t="s">
        <v>3750</v>
      </c>
      <c r="G633" s="3915"/>
    </row>
    <row r="634" spans="5:7">
      <c r="E634" s="1525" t="s">
        <v>3751</v>
      </c>
      <c r="F634" s="3915" t="s">
        <v>3752</v>
      </c>
      <c r="G634" s="3915"/>
    </row>
    <row r="635" spans="5:7">
      <c r="E635" s="1525" t="s">
        <v>3753</v>
      </c>
      <c r="F635" s="3915" t="s">
        <v>3754</v>
      </c>
      <c r="G635" s="3915"/>
    </row>
    <row r="636" spans="5:7">
      <c r="E636" s="1525" t="s">
        <v>3755</v>
      </c>
      <c r="F636" s="3915" t="s">
        <v>3756</v>
      </c>
      <c r="G636" s="3915"/>
    </row>
    <row r="637" spans="5:7">
      <c r="E637" s="1525" t="s">
        <v>3757</v>
      </c>
      <c r="F637" s="3915" t="s">
        <v>3758</v>
      </c>
      <c r="G637" s="3915"/>
    </row>
    <row r="638" spans="5:7">
      <c r="E638" s="1525" t="s">
        <v>3759</v>
      </c>
      <c r="F638" s="3915" t="s">
        <v>3760</v>
      </c>
      <c r="G638" s="3915"/>
    </row>
    <row r="639" spans="5:7">
      <c r="E639" s="1525" t="s">
        <v>3761</v>
      </c>
      <c r="F639" s="3915" t="s">
        <v>3762</v>
      </c>
      <c r="G639" s="3915"/>
    </row>
    <row r="640" spans="5:7">
      <c r="E640" s="1525" t="s">
        <v>3763</v>
      </c>
      <c r="F640" s="3915" t="s">
        <v>3764</v>
      </c>
      <c r="G640" s="3915"/>
    </row>
    <row r="641" spans="5:7">
      <c r="E641" s="1525" t="s">
        <v>3765</v>
      </c>
      <c r="F641" s="3915" t="s">
        <v>3766</v>
      </c>
      <c r="G641" s="3915"/>
    </row>
    <row r="642" spans="5:7">
      <c r="E642" s="1525" t="s">
        <v>3767</v>
      </c>
      <c r="F642" s="3915" t="s">
        <v>3768</v>
      </c>
      <c r="G642" s="3915"/>
    </row>
    <row r="643" spans="5:7">
      <c r="E643" s="1525" t="s">
        <v>3769</v>
      </c>
      <c r="F643" s="3915" t="s">
        <v>3770</v>
      </c>
      <c r="G643" s="3915"/>
    </row>
    <row r="644" spans="5:7">
      <c r="E644" s="1525" t="s">
        <v>3771</v>
      </c>
      <c r="F644" s="3915" t="s">
        <v>3772</v>
      </c>
      <c r="G644" s="3915"/>
    </row>
    <row r="645" spans="5:7">
      <c r="E645" s="1525" t="s">
        <v>3773</v>
      </c>
      <c r="F645" s="3915" t="s">
        <v>3774</v>
      </c>
      <c r="G645" s="3915"/>
    </row>
    <row r="646" spans="5:7">
      <c r="E646" s="1525" t="s">
        <v>3775</v>
      </c>
      <c r="F646" s="3915" t="s">
        <v>3776</v>
      </c>
      <c r="G646" s="3915"/>
    </row>
    <row r="647" spans="5:7">
      <c r="E647" s="1525" t="s">
        <v>3777</v>
      </c>
      <c r="F647" s="3915" t="s">
        <v>3778</v>
      </c>
      <c r="G647" s="3915"/>
    </row>
    <row r="648" spans="5:7">
      <c r="E648" s="1525" t="s">
        <v>3779</v>
      </c>
      <c r="F648" s="3915" t="s">
        <v>3780</v>
      </c>
      <c r="G648" s="3915"/>
    </row>
    <row r="649" spans="5:7">
      <c r="E649" s="1525" t="s">
        <v>3781</v>
      </c>
      <c r="F649" s="3915" t="s">
        <v>3782</v>
      </c>
      <c r="G649" s="3915"/>
    </row>
    <row r="650" spans="5:7">
      <c r="E650" s="1525" t="s">
        <v>3783</v>
      </c>
      <c r="F650" s="3915" t="s">
        <v>3784</v>
      </c>
      <c r="G650" s="3915"/>
    </row>
    <row r="651" spans="5:7">
      <c r="E651" s="1525" t="s">
        <v>3785</v>
      </c>
      <c r="F651" s="3915" t="s">
        <v>3786</v>
      </c>
      <c r="G651" s="3915"/>
    </row>
    <row r="652" spans="5:7">
      <c r="E652" s="1525" t="s">
        <v>3787</v>
      </c>
      <c r="F652" s="3915" t="s">
        <v>3788</v>
      </c>
      <c r="G652" s="3915"/>
    </row>
    <row r="653" spans="5:7">
      <c r="E653" s="1525" t="s">
        <v>3789</v>
      </c>
      <c r="F653" s="3915" t="s">
        <v>3790</v>
      </c>
      <c r="G653" s="3915"/>
    </row>
    <row r="654" spans="5:7">
      <c r="E654" s="1525" t="s">
        <v>3791</v>
      </c>
      <c r="F654" s="3915" t="s">
        <v>3792</v>
      </c>
      <c r="G654" s="3915"/>
    </row>
    <row r="655" spans="5:7">
      <c r="E655" s="1525" t="s">
        <v>3793</v>
      </c>
      <c r="F655" s="3915" t="s">
        <v>3794</v>
      </c>
      <c r="G655" s="3915"/>
    </row>
    <row r="656" spans="5:7">
      <c r="E656" s="1525" t="s">
        <v>3795</v>
      </c>
      <c r="F656" s="3915" t="s">
        <v>3796</v>
      </c>
      <c r="G656" s="3915"/>
    </row>
    <row r="657" spans="5:7">
      <c r="E657" s="1525" t="s">
        <v>3797</v>
      </c>
      <c r="F657" s="3915" t="s">
        <v>3798</v>
      </c>
      <c r="G657" s="3915"/>
    </row>
    <row r="658" spans="5:7">
      <c r="E658" s="1525" t="s">
        <v>3799</v>
      </c>
      <c r="F658" s="3915" t="s">
        <v>3800</v>
      </c>
      <c r="G658" s="3915"/>
    </row>
    <row r="659" spans="5:7">
      <c r="E659" s="1525" t="s">
        <v>3801</v>
      </c>
      <c r="F659" s="3915" t="s">
        <v>3802</v>
      </c>
      <c r="G659" s="3915"/>
    </row>
    <row r="660" spans="5:7">
      <c r="E660" s="1525" t="s">
        <v>3803</v>
      </c>
      <c r="F660" s="3915" t="s">
        <v>3804</v>
      </c>
      <c r="G660" s="3915"/>
    </row>
    <row r="661" spans="5:7">
      <c r="E661" s="1525" t="s">
        <v>3805</v>
      </c>
      <c r="F661" s="3915" t="s">
        <v>3806</v>
      </c>
      <c r="G661" s="3915"/>
    </row>
    <row r="662" spans="5:7">
      <c r="E662" s="1525" t="s">
        <v>3807</v>
      </c>
      <c r="F662" s="3915" t="s">
        <v>3808</v>
      </c>
      <c r="G662" s="3915"/>
    </row>
    <row r="663" spans="5:7">
      <c r="E663" s="1525" t="s">
        <v>3809</v>
      </c>
      <c r="F663" s="3915" t="s">
        <v>3810</v>
      </c>
      <c r="G663" s="3915"/>
    </row>
    <row r="664" spans="5:7">
      <c r="E664" s="1525" t="s">
        <v>3811</v>
      </c>
      <c r="F664" s="3915" t="s">
        <v>3812</v>
      </c>
      <c r="G664" s="3915"/>
    </row>
    <row r="665" spans="5:7">
      <c r="E665" s="1525" t="s">
        <v>3813</v>
      </c>
      <c r="F665" s="3915" t="s">
        <v>3814</v>
      </c>
      <c r="G665" s="3915"/>
    </row>
    <row r="666" spans="5:7">
      <c r="E666" s="1525" t="s">
        <v>3815</v>
      </c>
      <c r="F666" s="3915" t="s">
        <v>3816</v>
      </c>
      <c r="G666" s="3915"/>
    </row>
    <row r="667" spans="5:7">
      <c r="E667" s="1525" t="s">
        <v>3817</v>
      </c>
      <c r="F667" s="3915" t="s">
        <v>3818</v>
      </c>
      <c r="G667" s="3915"/>
    </row>
    <row r="668" spans="5:7">
      <c r="E668" s="1525" t="s">
        <v>3819</v>
      </c>
      <c r="F668" s="3915" t="s">
        <v>3820</v>
      </c>
      <c r="G668" s="3915"/>
    </row>
    <row r="669" spans="5:7">
      <c r="E669" s="1525" t="s">
        <v>3821</v>
      </c>
      <c r="F669" s="3915" t="s">
        <v>3822</v>
      </c>
      <c r="G669" s="3915"/>
    </row>
    <row r="670" spans="5:7">
      <c r="E670" s="1525" t="s">
        <v>3823</v>
      </c>
      <c r="F670" s="3915" t="s">
        <v>3824</v>
      </c>
      <c r="G670" s="3915"/>
    </row>
    <row r="671" spans="5:7">
      <c r="E671" s="1525" t="s">
        <v>3825</v>
      </c>
      <c r="F671" s="3915" t="s">
        <v>3826</v>
      </c>
      <c r="G671" s="3915"/>
    </row>
    <row r="672" spans="5:7">
      <c r="E672" s="1525" t="s">
        <v>3827</v>
      </c>
      <c r="F672" s="3915" t="s">
        <v>3828</v>
      </c>
      <c r="G672" s="3915"/>
    </row>
    <row r="673" spans="5:7">
      <c r="E673" s="1525" t="s">
        <v>3829</v>
      </c>
      <c r="F673" s="3915" t="s">
        <v>3830</v>
      </c>
      <c r="G673" s="3915"/>
    </row>
    <row r="674" spans="5:7">
      <c r="E674" s="1525" t="s">
        <v>3831</v>
      </c>
      <c r="F674" s="3915" t="s">
        <v>3832</v>
      </c>
      <c r="G674" s="3915"/>
    </row>
    <row r="675" spans="5:7">
      <c r="E675" s="1525" t="s">
        <v>3833</v>
      </c>
      <c r="F675" s="3915" t="s">
        <v>3834</v>
      </c>
      <c r="G675" s="3915"/>
    </row>
    <row r="676" spans="5:7">
      <c r="E676" s="1525" t="s">
        <v>3835</v>
      </c>
      <c r="F676" s="3915" t="s">
        <v>3836</v>
      </c>
      <c r="G676" s="3915"/>
    </row>
    <row r="677" spans="5:7">
      <c r="E677" s="1525" t="s">
        <v>3837</v>
      </c>
      <c r="F677" s="3915" t="s">
        <v>3838</v>
      </c>
      <c r="G677" s="3915"/>
    </row>
    <row r="678" spans="5:7">
      <c r="E678" s="1525" t="s">
        <v>3839</v>
      </c>
      <c r="F678" s="3915" t="s">
        <v>3840</v>
      </c>
      <c r="G678" s="3915"/>
    </row>
    <row r="679" spans="5:7">
      <c r="E679" s="1525" t="s">
        <v>3841</v>
      </c>
      <c r="F679" s="3915" t="s">
        <v>3842</v>
      </c>
      <c r="G679" s="3915"/>
    </row>
    <row r="680" spans="5:7">
      <c r="E680" s="1525" t="s">
        <v>3843</v>
      </c>
      <c r="F680" s="3915" t="s">
        <v>3844</v>
      </c>
      <c r="G680" s="3915"/>
    </row>
    <row r="681" spans="5:7">
      <c r="E681" s="1525" t="s">
        <v>3845</v>
      </c>
      <c r="F681" s="3915" t="s">
        <v>3846</v>
      </c>
      <c r="G681" s="3915"/>
    </row>
    <row r="682" spans="5:7">
      <c r="E682" s="1525" t="s">
        <v>3847</v>
      </c>
      <c r="F682" s="3915" t="s">
        <v>3848</v>
      </c>
      <c r="G682" s="3915"/>
    </row>
    <row r="683" spans="5:7">
      <c r="E683" s="1525" t="s">
        <v>3849</v>
      </c>
      <c r="F683" s="3915" t="s">
        <v>3850</v>
      </c>
      <c r="G683" s="3915"/>
    </row>
    <row r="684" spans="5:7">
      <c r="E684" s="1525" t="s">
        <v>3851</v>
      </c>
      <c r="F684" s="3915" t="s">
        <v>3852</v>
      </c>
      <c r="G684" s="3915"/>
    </row>
    <row r="685" spans="5:7">
      <c r="E685" s="1525" t="s">
        <v>3853</v>
      </c>
      <c r="F685" s="3915" t="s">
        <v>3854</v>
      </c>
      <c r="G685" s="3915"/>
    </row>
    <row r="686" spans="5:7">
      <c r="E686" s="1525" t="s">
        <v>3855</v>
      </c>
      <c r="F686" s="3915" t="s">
        <v>3856</v>
      </c>
      <c r="G686" s="3915"/>
    </row>
    <row r="687" spans="5:7">
      <c r="E687" s="1525" t="s">
        <v>3857</v>
      </c>
      <c r="F687" s="3915" t="s">
        <v>3858</v>
      </c>
      <c r="G687" s="3915"/>
    </row>
    <row r="688" spans="5:7">
      <c r="E688" s="1525" t="s">
        <v>3859</v>
      </c>
      <c r="F688" s="3915" t="s">
        <v>3860</v>
      </c>
      <c r="G688" s="3915"/>
    </row>
    <row r="689" spans="5:7">
      <c r="E689" s="1525" t="s">
        <v>3861</v>
      </c>
      <c r="F689" s="3915" t="s">
        <v>3862</v>
      </c>
      <c r="G689" s="3915"/>
    </row>
    <row r="690" spans="5:7">
      <c r="E690" s="1525" t="s">
        <v>3863</v>
      </c>
      <c r="F690" s="3915" t="s">
        <v>3864</v>
      </c>
      <c r="G690" s="3915"/>
    </row>
    <row r="691" spans="5:7">
      <c r="E691" s="1525" t="s">
        <v>3865</v>
      </c>
      <c r="F691" s="3915" t="s">
        <v>3866</v>
      </c>
      <c r="G691" s="3915"/>
    </row>
    <row r="692" spans="5:7">
      <c r="E692" s="1525" t="s">
        <v>3867</v>
      </c>
      <c r="F692" s="3915" t="s">
        <v>3868</v>
      </c>
      <c r="G692" s="3915"/>
    </row>
    <row r="693" spans="5:7">
      <c r="E693" s="1525" t="s">
        <v>3869</v>
      </c>
      <c r="F693" s="3915" t="s">
        <v>3870</v>
      </c>
      <c r="G693" s="3915"/>
    </row>
    <row r="694" spans="5:7">
      <c r="E694" s="1525" t="s">
        <v>3871</v>
      </c>
      <c r="F694" s="3915" t="s">
        <v>3872</v>
      </c>
      <c r="G694" s="3915"/>
    </row>
    <row r="695" spans="5:7">
      <c r="E695" s="1525" t="s">
        <v>3873</v>
      </c>
      <c r="F695" s="3915" t="s">
        <v>3874</v>
      </c>
      <c r="G695" s="3915"/>
    </row>
    <row r="696" spans="5:7">
      <c r="E696" s="1525" t="s">
        <v>3875</v>
      </c>
      <c r="F696" s="3915" t="s">
        <v>3876</v>
      </c>
      <c r="G696" s="3915"/>
    </row>
    <row r="697" spans="5:7">
      <c r="E697" s="1525" t="s">
        <v>3877</v>
      </c>
      <c r="F697" s="3915" t="s">
        <v>3878</v>
      </c>
      <c r="G697" s="3915"/>
    </row>
    <row r="698" spans="5:7">
      <c r="E698" s="1525" t="s">
        <v>3879</v>
      </c>
      <c r="F698" s="3915" t="s">
        <v>3880</v>
      </c>
      <c r="G698" s="3915"/>
    </row>
    <row r="699" spans="5:7">
      <c r="E699" s="1525" t="s">
        <v>3881</v>
      </c>
      <c r="F699" s="3915" t="s">
        <v>3882</v>
      </c>
      <c r="G699" s="3915"/>
    </row>
    <row r="700" spans="5:7">
      <c r="E700" s="1525" t="s">
        <v>3883</v>
      </c>
      <c r="F700" s="3915" t="s">
        <v>3884</v>
      </c>
      <c r="G700" s="3915"/>
    </row>
    <row r="701" spans="5:7">
      <c r="E701" s="1525" t="s">
        <v>3885</v>
      </c>
      <c r="F701" s="3915" t="s">
        <v>3886</v>
      </c>
      <c r="G701" s="3915"/>
    </row>
    <row r="702" spans="5:7">
      <c r="E702" s="1525" t="s">
        <v>3887</v>
      </c>
      <c r="F702" s="3915" t="s">
        <v>3888</v>
      </c>
      <c r="G702" s="3915"/>
    </row>
    <row r="703" spans="5:7">
      <c r="E703" s="1525" t="s">
        <v>3889</v>
      </c>
      <c r="F703" s="3915" t="s">
        <v>3890</v>
      </c>
      <c r="G703" s="3915"/>
    </row>
    <row r="704" spans="5:7">
      <c r="E704" s="1525" t="s">
        <v>3891</v>
      </c>
      <c r="F704" s="3915" t="s">
        <v>3892</v>
      </c>
      <c r="G704" s="3915"/>
    </row>
    <row r="705" spans="5:7">
      <c r="E705" s="1525" t="s">
        <v>3893</v>
      </c>
      <c r="F705" s="3915" t="s">
        <v>3894</v>
      </c>
      <c r="G705" s="3915"/>
    </row>
    <row r="706" spans="5:7">
      <c r="E706" s="1525" t="s">
        <v>3895</v>
      </c>
      <c r="F706" s="3915" t="s">
        <v>3896</v>
      </c>
      <c r="G706" s="3915"/>
    </row>
    <row r="707" spans="5:7">
      <c r="E707" s="1525" t="s">
        <v>3897</v>
      </c>
      <c r="F707" s="3915" t="s">
        <v>3898</v>
      </c>
      <c r="G707" s="3915"/>
    </row>
    <row r="708" spans="5:7">
      <c r="E708" s="1525" t="s">
        <v>3899</v>
      </c>
      <c r="F708" s="3915" t="s">
        <v>3900</v>
      </c>
      <c r="G708" s="3915"/>
    </row>
    <row r="709" spans="5:7">
      <c r="E709" s="1525" t="s">
        <v>3901</v>
      </c>
      <c r="F709" s="3915" t="s">
        <v>3902</v>
      </c>
      <c r="G709" s="3915"/>
    </row>
    <row r="710" spans="5:7">
      <c r="E710" s="1525" t="s">
        <v>3903</v>
      </c>
      <c r="F710" s="3915" t="s">
        <v>3904</v>
      </c>
      <c r="G710" s="3915"/>
    </row>
    <row r="711" spans="5:7">
      <c r="E711" s="1525" t="s">
        <v>3905</v>
      </c>
      <c r="F711" s="3915" t="s">
        <v>3906</v>
      </c>
      <c r="G711" s="3915"/>
    </row>
    <row r="712" spans="5:7">
      <c r="E712" s="1525" t="s">
        <v>3907</v>
      </c>
      <c r="F712" s="3915" t="s">
        <v>3908</v>
      </c>
      <c r="G712" s="3915"/>
    </row>
    <row r="713" spans="5:7">
      <c r="E713" s="1525" t="s">
        <v>3909</v>
      </c>
      <c r="F713" s="3915" t="s">
        <v>3910</v>
      </c>
      <c r="G713" s="3915"/>
    </row>
    <row r="714" spans="5:7">
      <c r="E714" s="1525" t="s">
        <v>3911</v>
      </c>
      <c r="F714" s="3915" t="s">
        <v>3912</v>
      </c>
      <c r="G714" s="3915"/>
    </row>
    <row r="715" spans="5:7">
      <c r="E715" s="1525" t="s">
        <v>3913</v>
      </c>
      <c r="F715" s="3915" t="s">
        <v>3914</v>
      </c>
      <c r="G715" s="3915"/>
    </row>
    <row r="716" spans="5:7">
      <c r="E716" s="1525" t="s">
        <v>3915</v>
      </c>
      <c r="F716" s="3915" t="s">
        <v>3916</v>
      </c>
      <c r="G716" s="3915"/>
    </row>
    <row r="717" spans="5:7">
      <c r="E717" s="1525" t="s">
        <v>3917</v>
      </c>
      <c r="F717" s="3915" t="s">
        <v>3918</v>
      </c>
      <c r="G717" s="3915"/>
    </row>
    <row r="718" spans="5:7">
      <c r="E718" s="1525" t="s">
        <v>3919</v>
      </c>
      <c r="F718" s="3915" t="s">
        <v>3920</v>
      </c>
      <c r="G718" s="3915"/>
    </row>
    <row r="719" spans="5:7">
      <c r="E719" s="1525" t="s">
        <v>3921</v>
      </c>
      <c r="F719" s="3915" t="s">
        <v>3922</v>
      </c>
      <c r="G719" s="3915"/>
    </row>
    <row r="720" spans="5:7">
      <c r="E720" s="1525" t="s">
        <v>3923</v>
      </c>
      <c r="F720" s="3915" t="s">
        <v>3924</v>
      </c>
      <c r="G720" s="3915"/>
    </row>
    <row r="721" spans="5:7">
      <c r="E721" s="1525" t="s">
        <v>3925</v>
      </c>
      <c r="F721" s="3915" t="s">
        <v>3926</v>
      </c>
      <c r="G721" s="3915"/>
    </row>
    <row r="722" spans="5:7">
      <c r="E722" s="1525" t="s">
        <v>3927</v>
      </c>
      <c r="F722" s="3915" t="s">
        <v>3928</v>
      </c>
      <c r="G722" s="3915"/>
    </row>
    <row r="723" spans="5:7">
      <c r="E723" s="1525" t="s">
        <v>3929</v>
      </c>
      <c r="F723" s="3915" t="s">
        <v>3930</v>
      </c>
      <c r="G723" s="3915"/>
    </row>
    <row r="724" spans="5:7">
      <c r="E724" s="1525" t="s">
        <v>3931</v>
      </c>
      <c r="F724" s="3915" t="s">
        <v>3932</v>
      </c>
      <c r="G724" s="3915"/>
    </row>
    <row r="725" spans="5:7">
      <c r="E725" s="1525" t="s">
        <v>3933</v>
      </c>
      <c r="F725" s="3915" t="s">
        <v>3934</v>
      </c>
      <c r="G725" s="3915"/>
    </row>
    <row r="726" spans="5:7">
      <c r="E726" s="1525" t="s">
        <v>3935</v>
      </c>
      <c r="F726" s="3915" t="s">
        <v>3936</v>
      </c>
      <c r="G726" s="3915"/>
    </row>
    <row r="727" spans="5:7">
      <c r="E727" s="1525" t="s">
        <v>3937</v>
      </c>
      <c r="F727" s="3915" t="s">
        <v>3938</v>
      </c>
      <c r="G727" s="3915"/>
    </row>
    <row r="728" spans="5:7">
      <c r="E728" s="1525" t="s">
        <v>3939</v>
      </c>
      <c r="F728" s="3915" t="s">
        <v>3940</v>
      </c>
      <c r="G728" s="3915"/>
    </row>
    <row r="729" spans="5:7">
      <c r="E729" s="1525" t="s">
        <v>3941</v>
      </c>
      <c r="F729" s="3915" t="s">
        <v>3942</v>
      </c>
      <c r="G729" s="3915"/>
    </row>
    <row r="730" spans="5:7">
      <c r="E730" s="1525" t="s">
        <v>3943</v>
      </c>
      <c r="F730" s="3915" t="s">
        <v>3944</v>
      </c>
      <c r="G730" s="3915"/>
    </row>
    <row r="731" spans="5:7">
      <c r="E731" s="1525" t="s">
        <v>3945</v>
      </c>
      <c r="F731" s="3915" t="s">
        <v>3946</v>
      </c>
      <c r="G731" s="3915"/>
    </row>
    <row r="732" spans="5:7">
      <c r="E732" s="1525" t="s">
        <v>3947</v>
      </c>
      <c r="F732" s="3915" t="s">
        <v>3948</v>
      </c>
      <c r="G732" s="3915"/>
    </row>
    <row r="733" spans="5:7">
      <c r="E733" s="1525" t="s">
        <v>3949</v>
      </c>
      <c r="F733" s="3915" t="s">
        <v>3950</v>
      </c>
      <c r="G733" s="3915"/>
    </row>
    <row r="734" spans="5:7">
      <c r="E734" s="1525" t="s">
        <v>3951</v>
      </c>
      <c r="F734" s="3915" t="s">
        <v>3952</v>
      </c>
      <c r="G734" s="3915"/>
    </row>
    <row r="735" spans="5:7">
      <c r="E735" s="1525" t="s">
        <v>3953</v>
      </c>
      <c r="F735" s="3915" t="s">
        <v>3954</v>
      </c>
      <c r="G735" s="3915"/>
    </row>
    <row r="736" spans="5:7">
      <c r="E736" s="1525" t="s">
        <v>3955</v>
      </c>
      <c r="F736" s="3915" t="s">
        <v>3956</v>
      </c>
      <c r="G736" s="3915"/>
    </row>
    <row r="737" spans="5:7">
      <c r="E737" s="1525" t="s">
        <v>3957</v>
      </c>
      <c r="F737" s="3915" t="s">
        <v>3958</v>
      </c>
      <c r="G737" s="3915"/>
    </row>
    <row r="738" spans="5:7">
      <c r="E738" s="1525" t="s">
        <v>3959</v>
      </c>
      <c r="F738" s="3915" t="s">
        <v>3960</v>
      </c>
      <c r="G738" s="3915"/>
    </row>
    <row r="739" spans="5:7">
      <c r="E739" s="1525" t="s">
        <v>3961</v>
      </c>
      <c r="F739" s="3915" t="s">
        <v>3962</v>
      </c>
      <c r="G739" s="3915"/>
    </row>
    <row r="740" spans="5:7">
      <c r="E740" s="1525" t="s">
        <v>3963</v>
      </c>
      <c r="F740" s="3915" t="s">
        <v>3964</v>
      </c>
      <c r="G740" s="3915"/>
    </row>
    <row r="741" spans="5:7">
      <c r="E741" s="1525" t="s">
        <v>3965</v>
      </c>
      <c r="F741" s="3915" t="s">
        <v>3966</v>
      </c>
      <c r="G741" s="3915"/>
    </row>
    <row r="742" spans="5:7">
      <c r="E742" s="1525" t="s">
        <v>3967</v>
      </c>
      <c r="F742" s="3915" t="s">
        <v>3968</v>
      </c>
      <c r="G742" s="3915"/>
    </row>
    <row r="743" spans="5:7">
      <c r="E743" s="1525" t="s">
        <v>3969</v>
      </c>
      <c r="F743" s="3915" t="s">
        <v>3970</v>
      </c>
      <c r="G743" s="3915"/>
    </row>
    <row r="744" spans="5:7">
      <c r="E744" s="1525" t="s">
        <v>3971</v>
      </c>
      <c r="F744" s="3915" t="s">
        <v>3972</v>
      </c>
      <c r="G744" s="3915"/>
    </row>
    <row r="745" spans="5:7">
      <c r="E745" s="1525" t="s">
        <v>3973</v>
      </c>
      <c r="F745" s="3915" t="s">
        <v>3974</v>
      </c>
      <c r="G745" s="3915"/>
    </row>
    <row r="746" spans="5:7">
      <c r="E746" s="1525" t="s">
        <v>3975</v>
      </c>
      <c r="F746" s="3915" t="s">
        <v>3976</v>
      </c>
      <c r="G746" s="3915"/>
    </row>
    <row r="747" spans="5:7">
      <c r="E747" s="1525" t="s">
        <v>3977</v>
      </c>
      <c r="F747" s="3915" t="s">
        <v>3978</v>
      </c>
      <c r="G747" s="3915"/>
    </row>
    <row r="748" spans="5:7">
      <c r="E748" s="1525" t="s">
        <v>3979</v>
      </c>
      <c r="F748" s="3915" t="s">
        <v>3980</v>
      </c>
      <c r="G748" s="3915"/>
    </row>
    <row r="749" spans="5:7">
      <c r="E749" s="1525" t="s">
        <v>3981</v>
      </c>
      <c r="F749" s="3915" t="s">
        <v>3982</v>
      </c>
      <c r="G749" s="3915"/>
    </row>
    <row r="750" spans="5:7">
      <c r="E750" s="1525" t="s">
        <v>3983</v>
      </c>
      <c r="F750" s="3915" t="s">
        <v>3984</v>
      </c>
      <c r="G750" s="3915"/>
    </row>
    <row r="751" spans="5:7">
      <c r="E751" s="1525" t="s">
        <v>3985</v>
      </c>
      <c r="F751" s="3915" t="s">
        <v>3986</v>
      </c>
      <c r="G751" s="3915"/>
    </row>
    <row r="752" spans="5:7">
      <c r="E752" s="1525" t="s">
        <v>3987</v>
      </c>
      <c r="F752" s="3915" t="s">
        <v>3988</v>
      </c>
      <c r="G752" s="3915"/>
    </row>
    <row r="753" spans="5:7">
      <c r="E753" s="1525" t="s">
        <v>3989</v>
      </c>
      <c r="F753" s="3915" t="s">
        <v>3990</v>
      </c>
      <c r="G753" s="3915"/>
    </row>
    <row r="754" spans="5:7">
      <c r="E754" s="1525" t="s">
        <v>3991</v>
      </c>
      <c r="F754" s="3915" t="s">
        <v>3992</v>
      </c>
      <c r="G754" s="3915"/>
    </row>
    <row r="755" spans="5:7">
      <c r="E755" s="1525" t="s">
        <v>3993</v>
      </c>
      <c r="F755" s="3915" t="s">
        <v>3994</v>
      </c>
      <c r="G755" s="3915"/>
    </row>
    <row r="756" spans="5:7">
      <c r="E756" s="1525" t="s">
        <v>3995</v>
      </c>
      <c r="F756" s="3915" t="s">
        <v>3996</v>
      </c>
      <c r="G756" s="3915"/>
    </row>
    <row r="757" spans="5:7">
      <c r="E757" s="1525" t="s">
        <v>3997</v>
      </c>
      <c r="F757" s="3915" t="s">
        <v>3998</v>
      </c>
      <c r="G757" s="3915"/>
    </row>
    <row r="758" spans="5:7">
      <c r="E758" s="1525" t="s">
        <v>3999</v>
      </c>
      <c r="F758" s="3915" t="s">
        <v>4000</v>
      </c>
      <c r="G758" s="3915"/>
    </row>
    <row r="759" spans="5:7">
      <c r="E759" s="1525" t="s">
        <v>4001</v>
      </c>
      <c r="F759" s="3915" t="s">
        <v>4002</v>
      </c>
      <c r="G759" s="3915"/>
    </row>
    <row r="760" spans="5:7">
      <c r="E760" s="1525" t="s">
        <v>4003</v>
      </c>
      <c r="F760" s="3915" t="s">
        <v>4004</v>
      </c>
      <c r="G760" s="3915"/>
    </row>
    <row r="761" spans="5:7">
      <c r="E761" s="1525" t="s">
        <v>4005</v>
      </c>
      <c r="F761" s="3915" t="s">
        <v>4006</v>
      </c>
      <c r="G761" s="3915"/>
    </row>
    <row r="762" spans="5:7">
      <c r="E762" s="1525" t="s">
        <v>4007</v>
      </c>
      <c r="F762" s="3915" t="s">
        <v>4008</v>
      </c>
      <c r="G762" s="3915"/>
    </row>
    <row r="763" spans="5:7">
      <c r="E763" s="1525" t="s">
        <v>4009</v>
      </c>
      <c r="F763" s="3915" t="s">
        <v>4010</v>
      </c>
      <c r="G763" s="3915"/>
    </row>
    <row r="764" spans="5:7">
      <c r="E764" s="1525" t="s">
        <v>4011</v>
      </c>
      <c r="F764" s="3915" t="s">
        <v>4012</v>
      </c>
      <c r="G764" s="3915"/>
    </row>
    <row r="765" spans="5:7">
      <c r="E765" s="1525" t="s">
        <v>4013</v>
      </c>
      <c r="F765" s="3915" t="s">
        <v>4014</v>
      </c>
      <c r="G765" s="3915"/>
    </row>
    <row r="766" spans="5:7">
      <c r="E766" s="1525" t="s">
        <v>4015</v>
      </c>
      <c r="F766" s="3915" t="s">
        <v>4016</v>
      </c>
      <c r="G766" s="3915"/>
    </row>
    <row r="767" spans="5:7">
      <c r="E767" s="1525" t="s">
        <v>4017</v>
      </c>
      <c r="F767" s="3915" t="s">
        <v>4018</v>
      </c>
      <c r="G767" s="3915"/>
    </row>
    <row r="768" spans="5:7">
      <c r="E768" s="1525" t="s">
        <v>4019</v>
      </c>
      <c r="F768" s="3915" t="s">
        <v>4020</v>
      </c>
      <c r="G768" s="3915"/>
    </row>
    <row r="769" spans="5:7">
      <c r="E769" s="1525" t="s">
        <v>4021</v>
      </c>
      <c r="F769" s="3915" t="s">
        <v>4022</v>
      </c>
      <c r="G769" s="3915"/>
    </row>
    <row r="770" spans="5:7">
      <c r="E770" s="1525" t="s">
        <v>4023</v>
      </c>
      <c r="F770" s="3915" t="s">
        <v>4024</v>
      </c>
      <c r="G770" s="3915"/>
    </row>
    <row r="771" spans="5:7">
      <c r="E771" s="1525" t="s">
        <v>4025</v>
      </c>
      <c r="F771" s="3915" t="s">
        <v>4026</v>
      </c>
      <c r="G771" s="3915"/>
    </row>
    <row r="772" spans="5:7">
      <c r="E772" s="1525" t="s">
        <v>4027</v>
      </c>
      <c r="F772" s="3915" t="s">
        <v>4028</v>
      </c>
      <c r="G772" s="3915"/>
    </row>
    <row r="773" spans="5:7">
      <c r="E773" s="1525" t="s">
        <v>4029</v>
      </c>
      <c r="F773" s="3915" t="s">
        <v>4030</v>
      </c>
      <c r="G773" s="3915"/>
    </row>
    <row r="774" spans="5:7">
      <c r="E774" s="1525" t="s">
        <v>4031</v>
      </c>
      <c r="F774" s="3915" t="s">
        <v>4032</v>
      </c>
      <c r="G774" s="3915"/>
    </row>
    <row r="775" spans="5:7">
      <c r="E775" s="1525" t="s">
        <v>4033</v>
      </c>
      <c r="F775" s="3915" t="s">
        <v>4034</v>
      </c>
      <c r="G775" s="3915"/>
    </row>
    <row r="776" spans="5:7">
      <c r="E776" s="1525" t="s">
        <v>4035</v>
      </c>
      <c r="F776" s="3915" t="s">
        <v>4036</v>
      </c>
      <c r="G776" s="3915"/>
    </row>
    <row r="777" spans="5:7">
      <c r="E777" s="1525" t="s">
        <v>4037</v>
      </c>
      <c r="F777" s="3915" t="s">
        <v>4038</v>
      </c>
      <c r="G777" s="3915"/>
    </row>
    <row r="778" spans="5:7">
      <c r="E778" s="1525" t="s">
        <v>4039</v>
      </c>
      <c r="F778" s="3915" t="s">
        <v>4040</v>
      </c>
      <c r="G778" s="3915"/>
    </row>
    <row r="779" spans="5:7">
      <c r="E779" s="1525" t="s">
        <v>4041</v>
      </c>
      <c r="F779" s="3915" t="s">
        <v>4042</v>
      </c>
      <c r="G779" s="3915"/>
    </row>
    <row r="780" spans="5:7">
      <c r="E780" s="1525" t="s">
        <v>4043</v>
      </c>
      <c r="F780" s="3915" t="s">
        <v>4044</v>
      </c>
      <c r="G780" s="3915"/>
    </row>
    <row r="781" spans="5:7">
      <c r="E781" s="1525" t="s">
        <v>4045</v>
      </c>
      <c r="F781" s="3915" t="s">
        <v>4046</v>
      </c>
      <c r="G781" s="3915"/>
    </row>
    <row r="782" spans="5:7">
      <c r="E782" s="1525" t="s">
        <v>4047</v>
      </c>
      <c r="F782" s="3915" t="s">
        <v>4048</v>
      </c>
      <c r="G782" s="3915"/>
    </row>
    <row r="783" spans="5:7">
      <c r="E783" s="1525" t="s">
        <v>4049</v>
      </c>
      <c r="F783" s="3915" t="s">
        <v>4050</v>
      </c>
      <c r="G783" s="3915"/>
    </row>
    <row r="784" spans="5:7">
      <c r="E784" s="1525" t="s">
        <v>4051</v>
      </c>
      <c r="F784" s="3915" t="s">
        <v>4052</v>
      </c>
      <c r="G784" s="3915"/>
    </row>
    <row r="785" spans="5:7">
      <c r="E785" s="1525" t="s">
        <v>4053</v>
      </c>
      <c r="F785" s="3915" t="s">
        <v>4054</v>
      </c>
      <c r="G785" s="3915"/>
    </row>
    <row r="786" spans="5:7">
      <c r="E786" s="1525" t="s">
        <v>4055</v>
      </c>
      <c r="F786" s="3915" t="s">
        <v>4056</v>
      </c>
      <c r="G786" s="3915"/>
    </row>
    <row r="787" spans="5:7">
      <c r="E787" s="1525" t="s">
        <v>4057</v>
      </c>
      <c r="F787" s="3915" t="s">
        <v>4058</v>
      </c>
      <c r="G787" s="3915"/>
    </row>
    <row r="788" spans="5:7">
      <c r="E788" s="1525" t="s">
        <v>4059</v>
      </c>
      <c r="F788" s="3915" t="s">
        <v>4060</v>
      </c>
      <c r="G788" s="3915"/>
    </row>
    <row r="789" spans="5:7">
      <c r="E789" s="1525" t="s">
        <v>4061</v>
      </c>
      <c r="F789" s="3915" t="s">
        <v>4062</v>
      </c>
      <c r="G789" s="3915"/>
    </row>
    <row r="790" spans="5:7">
      <c r="E790" s="1525" t="s">
        <v>4063</v>
      </c>
      <c r="F790" s="3915" t="s">
        <v>4064</v>
      </c>
      <c r="G790" s="3915"/>
    </row>
    <row r="791" spans="5:7">
      <c r="E791" s="1525" t="s">
        <v>4065</v>
      </c>
      <c r="F791" s="3915" t="s">
        <v>4066</v>
      </c>
      <c r="G791" s="3915"/>
    </row>
    <row r="792" spans="5:7">
      <c r="E792" s="1525" t="s">
        <v>4067</v>
      </c>
      <c r="F792" s="3915" t="s">
        <v>4068</v>
      </c>
      <c r="G792" s="3915"/>
    </row>
    <row r="793" spans="5:7">
      <c r="E793" s="1525" t="s">
        <v>4069</v>
      </c>
      <c r="F793" s="3915" t="s">
        <v>4070</v>
      </c>
      <c r="G793" s="3915"/>
    </row>
    <row r="794" spans="5:7">
      <c r="E794" s="1525" t="s">
        <v>4071</v>
      </c>
      <c r="F794" s="3915" t="s">
        <v>4072</v>
      </c>
      <c r="G794" s="3915"/>
    </row>
    <row r="795" spans="5:7">
      <c r="E795" s="1525" t="s">
        <v>4073</v>
      </c>
      <c r="F795" s="3915" t="s">
        <v>4074</v>
      </c>
      <c r="G795" s="3915"/>
    </row>
    <row r="796" spans="5:7">
      <c r="E796" s="1525" t="s">
        <v>4075</v>
      </c>
      <c r="F796" s="3915" t="s">
        <v>4076</v>
      </c>
      <c r="G796" s="3915"/>
    </row>
    <row r="797" spans="5:7">
      <c r="E797" s="1525" t="s">
        <v>4077</v>
      </c>
      <c r="F797" s="3915" t="s">
        <v>4078</v>
      </c>
      <c r="G797" s="3915"/>
    </row>
    <row r="798" spans="5:7">
      <c r="E798" s="1525" t="s">
        <v>4079</v>
      </c>
      <c r="F798" s="3915" t="s">
        <v>4080</v>
      </c>
      <c r="G798" s="3915"/>
    </row>
    <row r="799" spans="5:7">
      <c r="E799" s="1525" t="s">
        <v>4081</v>
      </c>
      <c r="F799" s="3915" t="s">
        <v>4082</v>
      </c>
      <c r="G799" s="3915"/>
    </row>
    <row r="800" spans="5:7">
      <c r="E800" s="1525" t="s">
        <v>4083</v>
      </c>
      <c r="F800" s="3915" t="s">
        <v>4084</v>
      </c>
      <c r="G800" s="3915"/>
    </row>
    <row r="801" spans="5:7">
      <c r="E801" s="1525" t="s">
        <v>4085</v>
      </c>
      <c r="F801" s="3915" t="s">
        <v>4086</v>
      </c>
      <c r="G801" s="3915"/>
    </row>
    <row r="802" spans="5:7">
      <c r="E802" s="1525" t="s">
        <v>4087</v>
      </c>
      <c r="F802" s="3915" t="s">
        <v>4088</v>
      </c>
      <c r="G802" s="3915"/>
    </row>
    <row r="803" spans="5:7">
      <c r="E803" s="1525" t="s">
        <v>4089</v>
      </c>
      <c r="F803" s="3915" t="s">
        <v>4090</v>
      </c>
      <c r="G803" s="3915"/>
    </row>
    <row r="804" spans="5:7">
      <c r="E804" s="1525" t="s">
        <v>4091</v>
      </c>
      <c r="F804" s="3915" t="s">
        <v>4092</v>
      </c>
      <c r="G804" s="3915"/>
    </row>
    <row r="805" spans="5:7">
      <c r="E805" s="1525" t="s">
        <v>4093</v>
      </c>
      <c r="F805" s="3915" t="s">
        <v>4094</v>
      </c>
      <c r="G805" s="3915"/>
    </row>
    <row r="806" spans="5:7">
      <c r="E806" s="1525" t="s">
        <v>4095</v>
      </c>
      <c r="F806" s="3915" t="s">
        <v>4096</v>
      </c>
      <c r="G806" s="3915"/>
    </row>
    <row r="807" spans="5:7">
      <c r="E807" s="1525" t="s">
        <v>4097</v>
      </c>
      <c r="F807" s="3915" t="s">
        <v>4098</v>
      </c>
      <c r="G807" s="3915"/>
    </row>
    <row r="808" spans="5:7">
      <c r="E808" s="1525" t="s">
        <v>4099</v>
      </c>
      <c r="F808" s="3915" t="s">
        <v>4100</v>
      </c>
      <c r="G808" s="3915"/>
    </row>
    <row r="809" spans="5:7">
      <c r="E809" s="1525" t="s">
        <v>4101</v>
      </c>
      <c r="F809" s="3915" t="s">
        <v>4102</v>
      </c>
      <c r="G809" s="3915"/>
    </row>
    <row r="810" spans="5:7">
      <c r="E810" s="1525" t="s">
        <v>4103</v>
      </c>
      <c r="F810" s="3915" t="s">
        <v>4104</v>
      </c>
      <c r="G810" s="3915"/>
    </row>
    <row r="811" spans="5:7">
      <c r="E811" s="1525" t="s">
        <v>4105</v>
      </c>
      <c r="F811" s="3915" t="s">
        <v>4106</v>
      </c>
      <c r="G811" s="3915"/>
    </row>
    <row r="812" spans="5:7">
      <c r="E812" s="1525" t="s">
        <v>4107</v>
      </c>
      <c r="F812" s="3915" t="s">
        <v>4108</v>
      </c>
      <c r="G812" s="3915"/>
    </row>
    <row r="813" spans="5:7">
      <c r="E813" s="1525" t="s">
        <v>4109</v>
      </c>
      <c r="F813" s="3915" t="s">
        <v>4110</v>
      </c>
      <c r="G813" s="3915"/>
    </row>
    <row r="814" spans="5:7">
      <c r="E814" s="1525" t="s">
        <v>4111</v>
      </c>
      <c r="F814" s="3915" t="s">
        <v>4112</v>
      </c>
      <c r="G814" s="3915"/>
    </row>
    <row r="815" spans="5:7">
      <c r="E815" s="1525" t="s">
        <v>4113</v>
      </c>
      <c r="F815" s="3915" t="s">
        <v>4114</v>
      </c>
      <c r="G815" s="3915"/>
    </row>
    <row r="816" spans="5:7">
      <c r="E816" s="1525" t="s">
        <v>4115</v>
      </c>
      <c r="F816" s="3915" t="s">
        <v>4116</v>
      </c>
      <c r="G816" s="3915"/>
    </row>
    <row r="817" spans="5:7">
      <c r="E817" s="1525" t="s">
        <v>4117</v>
      </c>
      <c r="F817" s="3915" t="s">
        <v>4118</v>
      </c>
      <c r="G817" s="3915"/>
    </row>
    <row r="818" spans="5:7">
      <c r="E818" s="1525" t="s">
        <v>4119</v>
      </c>
      <c r="F818" s="3915" t="s">
        <v>4120</v>
      </c>
      <c r="G818" s="3915"/>
    </row>
    <row r="819" spans="5:7">
      <c r="E819" s="1525" t="s">
        <v>4121</v>
      </c>
      <c r="F819" s="3915" t="s">
        <v>4122</v>
      </c>
      <c r="G819" s="3915"/>
    </row>
    <row r="820" spans="5:7">
      <c r="E820" s="1525" t="s">
        <v>4123</v>
      </c>
      <c r="F820" s="3915" t="s">
        <v>4124</v>
      </c>
      <c r="G820" s="3915"/>
    </row>
    <row r="821" spans="5:7">
      <c r="E821" s="1525" t="s">
        <v>4125</v>
      </c>
      <c r="F821" s="3915" t="s">
        <v>4126</v>
      </c>
      <c r="G821" s="3915"/>
    </row>
    <row r="822" spans="5:7">
      <c r="E822" s="1525" t="s">
        <v>4127</v>
      </c>
      <c r="F822" s="3915" t="s">
        <v>4128</v>
      </c>
      <c r="G822" s="3915"/>
    </row>
    <row r="823" spans="5:7">
      <c r="E823" s="1525" t="s">
        <v>4129</v>
      </c>
      <c r="F823" s="3915" t="s">
        <v>4130</v>
      </c>
      <c r="G823" s="3915"/>
    </row>
    <row r="824" spans="5:7">
      <c r="E824" s="1525" t="s">
        <v>4131</v>
      </c>
      <c r="F824" s="3915" t="s">
        <v>4132</v>
      </c>
      <c r="G824" s="3915"/>
    </row>
    <row r="825" spans="5:7">
      <c r="E825" s="1525" t="s">
        <v>4133</v>
      </c>
      <c r="F825" s="3915" t="s">
        <v>4134</v>
      </c>
      <c r="G825" s="3915"/>
    </row>
    <row r="826" spans="5:7">
      <c r="E826" s="1525" t="s">
        <v>4135</v>
      </c>
      <c r="F826" s="3915" t="s">
        <v>4136</v>
      </c>
      <c r="G826" s="3915"/>
    </row>
    <row r="827" spans="5:7">
      <c r="E827" s="1525" t="s">
        <v>4137</v>
      </c>
      <c r="F827" s="3915" t="s">
        <v>4138</v>
      </c>
      <c r="G827" s="3915"/>
    </row>
    <row r="828" spans="5:7">
      <c r="E828" s="1525" t="s">
        <v>4139</v>
      </c>
      <c r="F828" s="3915" t="s">
        <v>4140</v>
      </c>
      <c r="G828" s="3915"/>
    </row>
    <row r="829" spans="5:7">
      <c r="E829" s="1525" t="s">
        <v>4141</v>
      </c>
      <c r="F829" s="3915" t="s">
        <v>4142</v>
      </c>
      <c r="G829" s="3915"/>
    </row>
    <row r="830" spans="5:7">
      <c r="E830" s="1525" t="s">
        <v>4143</v>
      </c>
      <c r="F830" s="3915" t="s">
        <v>4144</v>
      </c>
      <c r="G830" s="3915"/>
    </row>
    <row r="831" spans="5:7">
      <c r="E831" s="1525" t="s">
        <v>4145</v>
      </c>
      <c r="F831" s="3915" t="s">
        <v>4146</v>
      </c>
      <c r="G831" s="3915"/>
    </row>
    <row r="832" spans="5:7">
      <c r="E832" s="1525" t="s">
        <v>4147</v>
      </c>
      <c r="F832" s="3915" t="s">
        <v>4148</v>
      </c>
      <c r="G832" s="3915"/>
    </row>
    <row r="833" spans="5:7">
      <c r="E833" s="1525" t="s">
        <v>4149</v>
      </c>
      <c r="F833" s="3915" t="s">
        <v>4150</v>
      </c>
      <c r="G833" s="3915"/>
    </row>
    <row r="834" spans="5:7">
      <c r="E834" s="1525" t="s">
        <v>4151</v>
      </c>
      <c r="F834" s="3915" t="s">
        <v>4152</v>
      </c>
      <c r="G834" s="3915"/>
    </row>
    <row r="835" spans="5:7">
      <c r="E835" s="1525" t="s">
        <v>4153</v>
      </c>
      <c r="F835" s="3915" t="s">
        <v>4154</v>
      </c>
      <c r="G835" s="3915"/>
    </row>
    <row r="836" spans="5:7">
      <c r="E836" s="1525" t="s">
        <v>4155</v>
      </c>
      <c r="F836" s="3915" t="s">
        <v>4156</v>
      </c>
      <c r="G836" s="3915"/>
    </row>
    <row r="837" spans="5:7">
      <c r="E837" s="1525" t="s">
        <v>4157</v>
      </c>
      <c r="F837" s="3915" t="s">
        <v>4158</v>
      </c>
      <c r="G837" s="3915"/>
    </row>
    <row r="838" spans="5:7">
      <c r="E838" s="1525" t="s">
        <v>4159</v>
      </c>
      <c r="F838" s="3915" t="s">
        <v>4160</v>
      </c>
      <c r="G838" s="3915"/>
    </row>
    <row r="839" spans="5:7">
      <c r="E839" s="1525" t="s">
        <v>4161</v>
      </c>
      <c r="F839" s="3915" t="s">
        <v>4162</v>
      </c>
      <c r="G839" s="3915"/>
    </row>
    <row r="840" spans="5:7">
      <c r="E840" s="1525" t="s">
        <v>4163</v>
      </c>
      <c r="F840" s="3915" t="s">
        <v>4164</v>
      </c>
      <c r="G840" s="3915"/>
    </row>
    <row r="841" spans="5:7">
      <c r="E841" s="1525" t="s">
        <v>4165</v>
      </c>
      <c r="F841" s="3915" t="s">
        <v>4166</v>
      </c>
      <c r="G841" s="3915"/>
    </row>
    <row r="842" spans="5:7">
      <c r="E842" s="1525" t="s">
        <v>4167</v>
      </c>
      <c r="F842" s="3915" t="s">
        <v>4168</v>
      </c>
      <c r="G842" s="3915"/>
    </row>
    <row r="843" spans="5:7">
      <c r="E843" s="1525" t="s">
        <v>4169</v>
      </c>
      <c r="F843" s="3915" t="s">
        <v>4170</v>
      </c>
      <c r="G843" s="3915"/>
    </row>
    <row r="844" spans="5:7">
      <c r="E844" s="1525" t="s">
        <v>4171</v>
      </c>
      <c r="F844" s="3915" t="s">
        <v>4172</v>
      </c>
      <c r="G844" s="3915"/>
    </row>
    <row r="845" spans="5:7">
      <c r="E845" s="1525" t="s">
        <v>4173</v>
      </c>
      <c r="F845" s="3915" t="s">
        <v>4174</v>
      </c>
      <c r="G845" s="3915"/>
    </row>
    <row r="846" spans="5:7">
      <c r="E846" s="1525" t="s">
        <v>4175</v>
      </c>
      <c r="F846" s="3915" t="s">
        <v>4176</v>
      </c>
      <c r="G846" s="3915"/>
    </row>
    <row r="847" spans="5:7">
      <c r="E847" s="1525" t="s">
        <v>4177</v>
      </c>
      <c r="F847" s="3915" t="s">
        <v>4178</v>
      </c>
      <c r="G847" s="3915"/>
    </row>
    <row r="848" spans="5:7">
      <c r="E848" s="1525" t="s">
        <v>4179</v>
      </c>
      <c r="F848" s="3915" t="s">
        <v>4180</v>
      </c>
      <c r="G848" s="3915"/>
    </row>
    <row r="849" spans="5:7">
      <c r="E849" s="1525" t="s">
        <v>4181</v>
      </c>
      <c r="F849" s="3915" t="s">
        <v>4182</v>
      </c>
      <c r="G849" s="3915"/>
    </row>
    <row r="850" spans="5:7">
      <c r="E850" s="1525" t="s">
        <v>4183</v>
      </c>
      <c r="F850" s="3915" t="s">
        <v>4184</v>
      </c>
      <c r="G850" s="3915"/>
    </row>
    <row r="851" spans="5:7">
      <c r="E851" s="1525" t="s">
        <v>4185</v>
      </c>
      <c r="F851" s="3915" t="s">
        <v>4186</v>
      </c>
      <c r="G851" s="3915"/>
    </row>
    <row r="852" spans="5:7">
      <c r="E852" s="1525" t="s">
        <v>4187</v>
      </c>
      <c r="F852" s="3915" t="s">
        <v>4188</v>
      </c>
      <c r="G852" s="3915"/>
    </row>
    <row r="853" spans="5:7">
      <c r="E853" s="1525" t="s">
        <v>4189</v>
      </c>
      <c r="F853" s="3915" t="s">
        <v>4190</v>
      </c>
      <c r="G853" s="3915"/>
    </row>
    <row r="854" spans="5:7">
      <c r="E854" s="1525" t="s">
        <v>4191</v>
      </c>
      <c r="F854" s="3915" t="s">
        <v>4192</v>
      </c>
      <c r="G854" s="3915"/>
    </row>
    <row r="855" spans="5:7">
      <c r="E855" s="1525" t="s">
        <v>4193</v>
      </c>
      <c r="F855" s="3915" t="s">
        <v>4194</v>
      </c>
      <c r="G855" s="3915"/>
    </row>
    <row r="856" spans="5:7">
      <c r="E856" s="1525" t="s">
        <v>4195</v>
      </c>
      <c r="F856" s="3915" t="s">
        <v>4196</v>
      </c>
      <c r="G856" s="3915"/>
    </row>
    <row r="857" spans="5:7">
      <c r="E857" s="1525" t="s">
        <v>4197</v>
      </c>
      <c r="F857" s="3915" t="s">
        <v>4198</v>
      </c>
      <c r="G857" s="3915"/>
    </row>
    <row r="858" spans="5:7">
      <c r="E858" s="1525" t="s">
        <v>4199</v>
      </c>
      <c r="F858" s="3915" t="s">
        <v>4200</v>
      </c>
      <c r="G858" s="3915"/>
    </row>
    <row r="859" spans="5:7">
      <c r="E859" s="1525" t="s">
        <v>4201</v>
      </c>
      <c r="F859" s="3915" t="s">
        <v>4202</v>
      </c>
      <c r="G859" s="3915"/>
    </row>
    <row r="860" spans="5:7">
      <c r="E860" s="1525" t="s">
        <v>4203</v>
      </c>
      <c r="F860" s="3915" t="s">
        <v>4204</v>
      </c>
      <c r="G860" s="3915"/>
    </row>
    <row r="861" spans="5:7">
      <c r="E861" s="1525" t="s">
        <v>4205</v>
      </c>
      <c r="F861" s="3915" t="s">
        <v>4206</v>
      </c>
      <c r="G861" s="3915"/>
    </row>
    <row r="862" spans="5:7">
      <c r="E862" s="1525" t="s">
        <v>4207</v>
      </c>
      <c r="F862" s="3915" t="s">
        <v>4208</v>
      </c>
      <c r="G862" s="3915"/>
    </row>
    <row r="863" spans="5:7">
      <c r="E863" s="1525" t="s">
        <v>4209</v>
      </c>
      <c r="F863" s="3915" t="s">
        <v>4210</v>
      </c>
      <c r="G863" s="3915"/>
    </row>
    <row r="864" spans="5:7">
      <c r="E864" s="1525" t="s">
        <v>4211</v>
      </c>
      <c r="F864" s="3915" t="s">
        <v>4212</v>
      </c>
      <c r="G864" s="3915"/>
    </row>
    <row r="865" spans="5:7">
      <c r="E865" s="1525" t="s">
        <v>4213</v>
      </c>
      <c r="F865" s="3915" t="s">
        <v>4214</v>
      </c>
      <c r="G865" s="3915"/>
    </row>
    <row r="866" spans="5:7">
      <c r="E866" s="1525" t="s">
        <v>4215</v>
      </c>
      <c r="F866" s="3915" t="s">
        <v>4216</v>
      </c>
      <c r="G866" s="3915"/>
    </row>
    <row r="867" spans="5:7">
      <c r="E867" s="1525" t="s">
        <v>4217</v>
      </c>
      <c r="F867" s="3915" t="s">
        <v>4218</v>
      </c>
      <c r="G867" s="3915"/>
    </row>
    <row r="868" spans="5:7">
      <c r="E868" s="1525" t="s">
        <v>4219</v>
      </c>
      <c r="F868" s="3915" t="s">
        <v>4220</v>
      </c>
      <c r="G868" s="3915"/>
    </row>
    <row r="869" spans="5:7">
      <c r="E869" s="1525" t="s">
        <v>4221</v>
      </c>
      <c r="F869" s="3915" t="s">
        <v>4222</v>
      </c>
      <c r="G869" s="3915"/>
    </row>
    <row r="870" spans="5:7">
      <c r="E870" s="1525" t="s">
        <v>4223</v>
      </c>
      <c r="F870" s="3915" t="s">
        <v>4224</v>
      </c>
      <c r="G870" s="3915"/>
    </row>
    <row r="871" spans="5:7">
      <c r="E871" s="1525" t="s">
        <v>4225</v>
      </c>
      <c r="F871" s="3915" t="s">
        <v>4226</v>
      </c>
      <c r="G871" s="3915"/>
    </row>
    <row r="872" spans="5:7">
      <c r="E872" s="1525" t="s">
        <v>4227</v>
      </c>
      <c r="F872" s="3915" t="s">
        <v>4228</v>
      </c>
      <c r="G872" s="3915"/>
    </row>
    <row r="873" spans="5:7">
      <c r="E873" s="1525" t="s">
        <v>4229</v>
      </c>
      <c r="F873" s="3915" t="s">
        <v>4230</v>
      </c>
      <c r="G873" s="3915"/>
    </row>
    <row r="874" spans="5:7">
      <c r="E874" s="1525" t="s">
        <v>4231</v>
      </c>
      <c r="F874" s="3915" t="s">
        <v>4232</v>
      </c>
      <c r="G874" s="3915"/>
    </row>
    <row r="875" spans="5:7">
      <c r="E875" s="1525" t="s">
        <v>4233</v>
      </c>
      <c r="F875" s="3915" t="s">
        <v>4234</v>
      </c>
      <c r="G875" s="3915"/>
    </row>
    <row r="876" spans="5:7">
      <c r="E876" s="1525" t="s">
        <v>4235</v>
      </c>
      <c r="F876" s="3915" t="s">
        <v>4236</v>
      </c>
      <c r="G876" s="3915"/>
    </row>
    <row r="877" spans="5:7">
      <c r="E877" s="1525" t="s">
        <v>4237</v>
      </c>
      <c r="F877" s="3915" t="s">
        <v>4238</v>
      </c>
      <c r="G877" s="3915"/>
    </row>
    <row r="878" spans="5:7">
      <c r="E878" s="1525" t="s">
        <v>4239</v>
      </c>
      <c r="F878" s="3915" t="s">
        <v>4240</v>
      </c>
      <c r="G878" s="3915"/>
    </row>
    <row r="879" spans="5:7">
      <c r="E879" s="1525" t="s">
        <v>4241</v>
      </c>
      <c r="F879" s="3915" t="s">
        <v>4242</v>
      </c>
      <c r="G879" s="3915"/>
    </row>
    <row r="880" spans="5:7">
      <c r="E880" s="1525" t="s">
        <v>4243</v>
      </c>
      <c r="F880" s="3915" t="s">
        <v>4244</v>
      </c>
      <c r="G880" s="3915"/>
    </row>
    <row r="881" spans="5:7">
      <c r="E881" s="1525" t="s">
        <v>4245</v>
      </c>
      <c r="F881" s="3915" t="s">
        <v>4246</v>
      </c>
      <c r="G881" s="3915"/>
    </row>
    <row r="882" spans="5:7">
      <c r="E882" s="1525" t="s">
        <v>4247</v>
      </c>
      <c r="F882" s="3915" t="s">
        <v>4248</v>
      </c>
      <c r="G882" s="3915"/>
    </row>
    <row r="883" spans="5:7">
      <c r="E883" s="1525" t="s">
        <v>4249</v>
      </c>
      <c r="F883" s="3915" t="s">
        <v>4250</v>
      </c>
      <c r="G883" s="3915"/>
    </row>
    <row r="884" spans="5:7">
      <c r="E884" s="1525" t="s">
        <v>4251</v>
      </c>
      <c r="F884" s="3915" t="s">
        <v>4252</v>
      </c>
      <c r="G884" s="3915"/>
    </row>
    <row r="885" spans="5:7">
      <c r="E885" s="1525" t="s">
        <v>4253</v>
      </c>
      <c r="F885" s="3915" t="s">
        <v>4254</v>
      </c>
      <c r="G885" s="3915"/>
    </row>
    <row r="886" spans="5:7">
      <c r="E886" s="1525" t="s">
        <v>4255</v>
      </c>
      <c r="F886" s="3915" t="s">
        <v>4256</v>
      </c>
      <c r="G886" s="3915"/>
    </row>
    <row r="887" spans="5:7">
      <c r="E887" s="1525" t="s">
        <v>4257</v>
      </c>
      <c r="F887" s="3915" t="s">
        <v>4258</v>
      </c>
      <c r="G887" s="3915"/>
    </row>
    <row r="888" spans="5:7">
      <c r="E888" s="1525" t="s">
        <v>4259</v>
      </c>
      <c r="F888" s="3915" t="s">
        <v>4260</v>
      </c>
      <c r="G888" s="3915"/>
    </row>
    <row r="889" spans="5:7">
      <c r="E889" s="1525" t="s">
        <v>4261</v>
      </c>
      <c r="F889" s="3915" t="s">
        <v>4262</v>
      </c>
      <c r="G889" s="3915"/>
    </row>
    <row r="890" spans="5:7">
      <c r="E890" s="1525" t="s">
        <v>4263</v>
      </c>
      <c r="F890" s="3915" t="s">
        <v>4264</v>
      </c>
      <c r="G890" s="3915"/>
    </row>
    <row r="891" spans="5:7">
      <c r="E891" s="1525" t="s">
        <v>4265</v>
      </c>
      <c r="F891" s="3915" t="s">
        <v>4266</v>
      </c>
      <c r="G891" s="3915"/>
    </row>
    <row r="892" spans="5:7">
      <c r="E892" s="1525" t="s">
        <v>4267</v>
      </c>
      <c r="F892" s="3915" t="s">
        <v>4268</v>
      </c>
      <c r="G892" s="3915"/>
    </row>
    <row r="893" spans="5:7">
      <c r="E893" s="1525" t="s">
        <v>4269</v>
      </c>
      <c r="F893" s="3915" t="s">
        <v>4270</v>
      </c>
      <c r="G893" s="3915"/>
    </row>
    <row r="894" spans="5:7">
      <c r="E894" s="1525" t="s">
        <v>4271</v>
      </c>
      <c r="F894" s="3915" t="s">
        <v>4272</v>
      </c>
      <c r="G894" s="3915"/>
    </row>
    <row r="895" spans="5:7">
      <c r="E895" s="1525" t="s">
        <v>4273</v>
      </c>
      <c r="F895" s="3915" t="s">
        <v>4274</v>
      </c>
      <c r="G895" s="3915"/>
    </row>
    <row r="896" spans="5:7">
      <c r="E896" s="1525" t="s">
        <v>4275</v>
      </c>
      <c r="F896" s="3915" t="s">
        <v>4276</v>
      </c>
      <c r="G896" s="3915"/>
    </row>
    <row r="897" spans="5:7">
      <c r="E897" s="1525" t="s">
        <v>4277</v>
      </c>
      <c r="F897" s="3915" t="s">
        <v>4278</v>
      </c>
      <c r="G897" s="3915"/>
    </row>
    <row r="898" spans="5:7">
      <c r="E898" s="1525" t="s">
        <v>4279</v>
      </c>
      <c r="F898" s="3915" t="s">
        <v>4280</v>
      </c>
      <c r="G898" s="3915"/>
    </row>
    <row r="899" spans="5:7">
      <c r="E899" s="1525" t="s">
        <v>4281</v>
      </c>
      <c r="F899" s="3915" t="s">
        <v>4282</v>
      </c>
      <c r="G899" s="3915"/>
    </row>
    <row r="900" spans="5:7">
      <c r="E900" s="1525" t="s">
        <v>4283</v>
      </c>
      <c r="F900" s="3915" t="s">
        <v>4284</v>
      </c>
      <c r="G900" s="3915"/>
    </row>
    <row r="901" spans="5:7">
      <c r="E901" s="1525" t="s">
        <v>4285</v>
      </c>
      <c r="F901" s="3915" t="s">
        <v>4286</v>
      </c>
      <c r="G901" s="3915"/>
    </row>
    <row r="902" spans="5:7">
      <c r="E902" s="1525" t="s">
        <v>4287</v>
      </c>
      <c r="F902" s="3915" t="s">
        <v>4288</v>
      </c>
      <c r="G902" s="3915"/>
    </row>
    <row r="903" spans="5:7">
      <c r="E903" s="1525" t="s">
        <v>4289</v>
      </c>
      <c r="F903" s="3915" t="s">
        <v>4290</v>
      </c>
      <c r="G903" s="3915"/>
    </row>
    <row r="904" spans="5:7">
      <c r="E904" s="1525" t="s">
        <v>4291</v>
      </c>
      <c r="F904" s="3915" t="s">
        <v>4292</v>
      </c>
      <c r="G904" s="3915"/>
    </row>
    <row r="905" spans="5:7">
      <c r="E905" s="1525" t="s">
        <v>4293</v>
      </c>
      <c r="F905" s="3915" t="s">
        <v>4294</v>
      </c>
      <c r="G905" s="3915"/>
    </row>
    <row r="906" spans="5:7">
      <c r="E906" s="1525" t="s">
        <v>4295</v>
      </c>
      <c r="F906" s="3915" t="s">
        <v>4296</v>
      </c>
      <c r="G906" s="3915"/>
    </row>
    <row r="907" spans="5:7">
      <c r="E907" s="1525" t="s">
        <v>4297</v>
      </c>
      <c r="F907" s="3915" t="s">
        <v>4298</v>
      </c>
      <c r="G907" s="3915"/>
    </row>
    <row r="908" spans="5:7">
      <c r="E908" s="1525" t="s">
        <v>4299</v>
      </c>
      <c r="F908" s="3915" t="s">
        <v>4300</v>
      </c>
      <c r="G908" s="3915"/>
    </row>
    <row r="909" spans="5:7">
      <c r="E909" s="1525" t="s">
        <v>4301</v>
      </c>
      <c r="F909" s="3915" t="s">
        <v>4302</v>
      </c>
      <c r="G909" s="3915"/>
    </row>
    <row r="910" spans="5:7">
      <c r="E910" s="1525" t="s">
        <v>4303</v>
      </c>
      <c r="F910" s="3915" t="s">
        <v>4304</v>
      </c>
      <c r="G910" s="3915"/>
    </row>
    <row r="911" spans="5:7">
      <c r="E911" s="1525" t="s">
        <v>4305</v>
      </c>
      <c r="F911" s="3915" t="s">
        <v>4306</v>
      </c>
      <c r="G911" s="3915"/>
    </row>
    <row r="912" spans="5:7">
      <c r="E912" s="1525" t="s">
        <v>4307</v>
      </c>
      <c r="F912" s="3915" t="s">
        <v>4308</v>
      </c>
      <c r="G912" s="3915"/>
    </row>
    <row r="913" spans="5:7">
      <c r="E913" s="1525" t="s">
        <v>4309</v>
      </c>
      <c r="F913" s="3915" t="s">
        <v>4310</v>
      </c>
      <c r="G913" s="3915"/>
    </row>
    <row r="914" spans="5:7">
      <c r="E914" s="1525" t="s">
        <v>4311</v>
      </c>
      <c r="F914" s="3915" t="s">
        <v>4312</v>
      </c>
      <c r="G914" s="3915"/>
    </row>
    <row r="915" spans="5:7">
      <c r="E915" s="1525" t="s">
        <v>4313</v>
      </c>
      <c r="F915" s="3915" t="s">
        <v>4314</v>
      </c>
      <c r="G915" s="3915"/>
    </row>
    <row r="916" spans="5:7">
      <c r="E916" s="1525" t="s">
        <v>4315</v>
      </c>
      <c r="F916" s="3915" t="s">
        <v>4316</v>
      </c>
      <c r="G916" s="3915"/>
    </row>
    <row r="917" spans="5:7">
      <c r="E917" s="1525" t="s">
        <v>4317</v>
      </c>
      <c r="F917" s="3915" t="s">
        <v>4318</v>
      </c>
      <c r="G917" s="3915"/>
    </row>
    <row r="918" spans="5:7">
      <c r="E918" s="1525" t="s">
        <v>4319</v>
      </c>
      <c r="F918" s="3915" t="s">
        <v>4320</v>
      </c>
      <c r="G918" s="3915"/>
    </row>
    <row r="919" spans="5:7">
      <c r="E919" s="1525" t="s">
        <v>4321</v>
      </c>
      <c r="F919" s="3915" t="s">
        <v>4322</v>
      </c>
      <c r="G919" s="3915"/>
    </row>
    <row r="920" spans="5:7">
      <c r="E920" s="1525" t="s">
        <v>4323</v>
      </c>
      <c r="F920" s="3915" t="s">
        <v>4324</v>
      </c>
      <c r="G920" s="3915"/>
    </row>
    <row r="921" spans="5:7">
      <c r="E921" s="1525" t="s">
        <v>4325</v>
      </c>
      <c r="F921" s="3915" t="s">
        <v>4326</v>
      </c>
      <c r="G921" s="3915"/>
    </row>
    <row r="922" spans="5:7">
      <c r="E922" s="1525" t="s">
        <v>4327</v>
      </c>
      <c r="F922" s="3915" t="s">
        <v>4328</v>
      </c>
      <c r="G922" s="3915"/>
    </row>
    <row r="923" spans="5:7">
      <c r="E923" s="1525" t="s">
        <v>4329</v>
      </c>
      <c r="F923" s="3915" t="s">
        <v>4330</v>
      </c>
      <c r="G923" s="3915"/>
    </row>
    <row r="924" spans="5:7">
      <c r="E924" s="1525" t="s">
        <v>4331</v>
      </c>
      <c r="F924" s="3915" t="s">
        <v>4332</v>
      </c>
      <c r="G924" s="3915"/>
    </row>
    <row r="925" spans="5:7">
      <c r="E925" s="1525" t="s">
        <v>4333</v>
      </c>
      <c r="F925" s="3915" t="s">
        <v>4334</v>
      </c>
      <c r="G925" s="3915"/>
    </row>
    <row r="926" spans="5:7">
      <c r="E926" s="1525" t="s">
        <v>4335</v>
      </c>
      <c r="F926" s="3915" t="s">
        <v>4336</v>
      </c>
      <c r="G926" s="3915"/>
    </row>
    <row r="927" spans="5:7">
      <c r="E927" s="1525" t="s">
        <v>4337</v>
      </c>
      <c r="F927" s="3915" t="s">
        <v>4338</v>
      </c>
      <c r="G927" s="3915"/>
    </row>
    <row r="928" spans="5:7">
      <c r="E928" s="1525" t="s">
        <v>4339</v>
      </c>
      <c r="F928" s="3915" t="s">
        <v>4340</v>
      </c>
      <c r="G928" s="3915"/>
    </row>
    <row r="929" spans="5:7">
      <c r="E929" s="1525" t="s">
        <v>4341</v>
      </c>
      <c r="F929" s="3915" t="s">
        <v>4342</v>
      </c>
      <c r="G929" s="3915"/>
    </row>
    <row r="930" spans="5:7">
      <c r="E930" s="1525" t="s">
        <v>4343</v>
      </c>
      <c r="F930" s="3915" t="s">
        <v>4344</v>
      </c>
      <c r="G930" s="3915"/>
    </row>
    <row r="931" spans="5:7">
      <c r="E931" s="1525" t="s">
        <v>4345</v>
      </c>
      <c r="F931" s="3915" t="s">
        <v>4346</v>
      </c>
      <c r="G931" s="3915"/>
    </row>
    <row r="932" spans="5:7">
      <c r="E932" s="1525" t="s">
        <v>4347</v>
      </c>
      <c r="F932" s="3915" t="s">
        <v>4348</v>
      </c>
      <c r="G932" s="3915"/>
    </row>
    <row r="933" spans="5:7">
      <c r="E933" s="1525" t="s">
        <v>4349</v>
      </c>
      <c r="F933" s="3915" t="s">
        <v>4350</v>
      </c>
      <c r="G933" s="3915"/>
    </row>
    <row r="934" spans="5:7">
      <c r="E934" s="1525" t="s">
        <v>4351</v>
      </c>
      <c r="F934" s="3915" t="s">
        <v>4352</v>
      </c>
      <c r="G934" s="3915"/>
    </row>
    <row r="935" spans="5:7">
      <c r="E935" s="1525" t="s">
        <v>4353</v>
      </c>
      <c r="F935" s="3915" t="s">
        <v>4354</v>
      </c>
      <c r="G935" s="3915"/>
    </row>
    <row r="936" spans="5:7">
      <c r="E936" s="1525" t="s">
        <v>4355</v>
      </c>
      <c r="F936" s="3915" t="s">
        <v>4356</v>
      </c>
      <c r="G936" s="3915"/>
    </row>
    <row r="937" spans="5:7">
      <c r="E937" s="1525" t="s">
        <v>4357</v>
      </c>
      <c r="F937" s="3915" t="s">
        <v>4358</v>
      </c>
      <c r="G937" s="3915"/>
    </row>
    <row r="938" spans="5:7">
      <c r="E938" s="1525" t="s">
        <v>4359</v>
      </c>
      <c r="F938" s="3915" t="s">
        <v>4360</v>
      </c>
      <c r="G938" s="3915"/>
    </row>
    <row r="939" spans="5:7">
      <c r="E939" s="1525" t="s">
        <v>4361</v>
      </c>
      <c r="F939" s="3915" t="s">
        <v>4362</v>
      </c>
      <c r="G939" s="3915"/>
    </row>
    <row r="940" spans="5:7">
      <c r="E940" s="1525" t="s">
        <v>4363</v>
      </c>
      <c r="F940" s="3915" t="s">
        <v>4364</v>
      </c>
      <c r="G940" s="3915"/>
    </row>
    <row r="941" spans="5:7">
      <c r="E941" s="1525" t="s">
        <v>4365</v>
      </c>
      <c r="F941" s="3915" t="s">
        <v>4366</v>
      </c>
      <c r="G941" s="3915"/>
    </row>
    <row r="942" spans="5:7">
      <c r="E942" s="1525" t="s">
        <v>4367</v>
      </c>
      <c r="F942" s="3915" t="s">
        <v>4368</v>
      </c>
      <c r="G942" s="3915"/>
    </row>
    <row r="943" spans="5:7">
      <c r="E943" s="1525" t="s">
        <v>4369</v>
      </c>
      <c r="F943" s="3915" t="s">
        <v>4370</v>
      </c>
      <c r="G943" s="3915"/>
    </row>
    <row r="944" spans="5:7">
      <c r="E944" s="1525" t="s">
        <v>4371</v>
      </c>
      <c r="F944" s="3915" t="s">
        <v>4372</v>
      </c>
      <c r="G944" s="3915"/>
    </row>
    <row r="945" spans="5:7">
      <c r="E945" s="1525" t="s">
        <v>4373</v>
      </c>
      <c r="F945" s="3915" t="s">
        <v>4374</v>
      </c>
      <c r="G945" s="3915"/>
    </row>
    <row r="946" spans="5:7">
      <c r="E946" s="1525" t="s">
        <v>4375</v>
      </c>
      <c r="F946" s="3915" t="s">
        <v>4376</v>
      </c>
      <c r="G946" s="3915"/>
    </row>
    <row r="947" spans="5:7">
      <c r="E947" s="1525" t="s">
        <v>4377</v>
      </c>
      <c r="F947" s="3915" t="s">
        <v>4378</v>
      </c>
      <c r="G947" s="3915"/>
    </row>
    <row r="948" spans="5:7">
      <c r="E948" s="1525" t="s">
        <v>4379</v>
      </c>
      <c r="F948" s="3915" t="s">
        <v>4380</v>
      </c>
      <c r="G948" s="3915"/>
    </row>
    <row r="949" spans="5:7">
      <c r="E949" s="1525" t="s">
        <v>4381</v>
      </c>
      <c r="F949" s="3915" t="s">
        <v>4382</v>
      </c>
      <c r="G949" s="3915"/>
    </row>
    <row r="950" spans="5:7">
      <c r="E950" s="1525" t="s">
        <v>4383</v>
      </c>
      <c r="F950" s="3915" t="s">
        <v>4384</v>
      </c>
      <c r="G950" s="3915"/>
    </row>
    <row r="951" spans="5:7">
      <c r="E951" s="1525" t="s">
        <v>4385</v>
      </c>
      <c r="F951" s="3915" t="s">
        <v>4386</v>
      </c>
      <c r="G951" s="3915"/>
    </row>
    <row r="952" spans="5:7">
      <c r="E952" s="1525" t="s">
        <v>4387</v>
      </c>
      <c r="F952" s="3915" t="s">
        <v>4388</v>
      </c>
      <c r="G952" s="3915"/>
    </row>
    <row r="953" spans="5:7">
      <c r="E953" s="1525" t="s">
        <v>4389</v>
      </c>
      <c r="F953" s="3915" t="s">
        <v>4390</v>
      </c>
      <c r="G953" s="3915"/>
    </row>
    <row r="954" spans="5:7">
      <c r="E954" s="1525" t="s">
        <v>4391</v>
      </c>
      <c r="F954" s="3915" t="s">
        <v>4392</v>
      </c>
      <c r="G954" s="3915"/>
    </row>
    <row r="955" spans="5:7">
      <c r="E955" s="1525" t="s">
        <v>4393</v>
      </c>
      <c r="F955" s="3915" t="s">
        <v>4394</v>
      </c>
      <c r="G955" s="3915"/>
    </row>
    <row r="956" spans="5:7">
      <c r="E956" s="1525" t="s">
        <v>4395</v>
      </c>
      <c r="F956" s="3915" t="s">
        <v>4396</v>
      </c>
      <c r="G956" s="3915"/>
    </row>
    <row r="957" spans="5:7">
      <c r="E957" s="1525" t="s">
        <v>4397</v>
      </c>
      <c r="F957" s="3915" t="s">
        <v>4398</v>
      </c>
      <c r="G957" s="3915"/>
    </row>
    <row r="958" spans="5:7">
      <c r="E958" s="1525" t="s">
        <v>4399</v>
      </c>
      <c r="F958" s="3915" t="s">
        <v>4400</v>
      </c>
      <c r="G958" s="3915"/>
    </row>
    <row r="959" spans="5:7">
      <c r="E959" s="1525" t="s">
        <v>4401</v>
      </c>
      <c r="F959" s="3915" t="s">
        <v>4402</v>
      </c>
      <c r="G959" s="3915"/>
    </row>
    <row r="960" spans="5:7">
      <c r="E960" s="1525" t="s">
        <v>4403</v>
      </c>
      <c r="F960" s="3915" t="s">
        <v>4404</v>
      </c>
      <c r="G960" s="3915"/>
    </row>
    <row r="961" spans="5:7">
      <c r="E961" s="1525" t="s">
        <v>4405</v>
      </c>
      <c r="F961" s="3915" t="s">
        <v>4406</v>
      </c>
      <c r="G961" s="3915"/>
    </row>
    <row r="962" spans="5:7">
      <c r="E962" s="1525" t="s">
        <v>4407</v>
      </c>
      <c r="F962" s="3915" t="s">
        <v>4408</v>
      </c>
      <c r="G962" s="3915"/>
    </row>
    <row r="963" spans="5:7">
      <c r="E963" s="1525" t="s">
        <v>4409</v>
      </c>
      <c r="F963" s="3915" t="s">
        <v>4410</v>
      </c>
      <c r="G963" s="3915"/>
    </row>
    <row r="964" spans="5:7">
      <c r="E964" s="1525" t="s">
        <v>4411</v>
      </c>
      <c r="F964" s="3915" t="s">
        <v>4412</v>
      </c>
      <c r="G964" s="3915"/>
    </row>
    <row r="965" spans="5:7">
      <c r="E965" s="1525" t="s">
        <v>4413</v>
      </c>
      <c r="F965" s="3915" t="s">
        <v>4414</v>
      </c>
      <c r="G965" s="3915"/>
    </row>
    <row r="966" spans="5:7">
      <c r="E966" s="1525" t="s">
        <v>4415</v>
      </c>
      <c r="F966" s="3915" t="s">
        <v>4416</v>
      </c>
      <c r="G966" s="3915"/>
    </row>
    <row r="967" spans="5:7">
      <c r="E967" s="1525" t="s">
        <v>4417</v>
      </c>
      <c r="F967" s="3915" t="s">
        <v>4418</v>
      </c>
      <c r="G967" s="3915"/>
    </row>
    <row r="968" spans="5:7">
      <c r="E968" s="1525" t="s">
        <v>4419</v>
      </c>
      <c r="F968" s="3915" t="s">
        <v>4420</v>
      </c>
      <c r="G968" s="3915"/>
    </row>
    <row r="969" spans="5:7">
      <c r="E969" s="1525" t="s">
        <v>4421</v>
      </c>
      <c r="F969" s="3915" t="s">
        <v>4422</v>
      </c>
      <c r="G969" s="3915"/>
    </row>
    <row r="970" spans="5:7">
      <c r="E970" s="1525" t="s">
        <v>4423</v>
      </c>
      <c r="F970" s="3915" t="s">
        <v>4424</v>
      </c>
      <c r="G970" s="3915"/>
    </row>
    <row r="971" spans="5:7">
      <c r="E971" s="1525" t="s">
        <v>4425</v>
      </c>
      <c r="F971" s="3915" t="s">
        <v>4426</v>
      </c>
      <c r="G971" s="3915"/>
    </row>
    <row r="972" spans="5:7">
      <c r="E972" s="1525" t="s">
        <v>4427</v>
      </c>
      <c r="F972" s="3915" t="s">
        <v>4428</v>
      </c>
      <c r="G972" s="3915"/>
    </row>
    <row r="973" spans="5:7">
      <c r="E973" s="1525" t="s">
        <v>4429</v>
      </c>
      <c r="F973" s="3915" t="s">
        <v>4430</v>
      </c>
      <c r="G973" s="3915"/>
    </row>
    <row r="974" spans="5:7">
      <c r="E974" s="1525" t="s">
        <v>4431</v>
      </c>
      <c r="F974" s="3915" t="s">
        <v>4432</v>
      </c>
      <c r="G974" s="3915"/>
    </row>
    <row r="975" spans="5:7">
      <c r="E975" s="1525" t="s">
        <v>4433</v>
      </c>
      <c r="F975" s="3915" t="s">
        <v>4434</v>
      </c>
      <c r="G975" s="3915"/>
    </row>
    <row r="976" spans="5:7">
      <c r="E976" s="1525" t="s">
        <v>4435</v>
      </c>
      <c r="F976" s="3915" t="s">
        <v>4436</v>
      </c>
      <c r="G976" s="3915"/>
    </row>
    <row r="977" spans="5:7">
      <c r="E977" s="1525" t="s">
        <v>4437</v>
      </c>
      <c r="F977" s="3915" t="s">
        <v>4438</v>
      </c>
      <c r="G977" s="3915"/>
    </row>
    <row r="978" spans="5:7">
      <c r="E978" s="1525" t="s">
        <v>4439</v>
      </c>
      <c r="F978" s="3915" t="s">
        <v>4440</v>
      </c>
      <c r="G978" s="3915"/>
    </row>
    <row r="979" spans="5:7">
      <c r="E979" s="1525" t="s">
        <v>4441</v>
      </c>
      <c r="F979" s="3915" t="s">
        <v>4442</v>
      </c>
      <c r="G979" s="3915"/>
    </row>
    <row r="980" spans="5:7">
      <c r="E980" s="1525" t="s">
        <v>4443</v>
      </c>
      <c r="F980" s="3915" t="s">
        <v>4444</v>
      </c>
      <c r="G980" s="3915"/>
    </row>
    <row r="981" spans="5:7">
      <c r="E981" s="1525" t="s">
        <v>4445</v>
      </c>
      <c r="F981" s="3915" t="s">
        <v>4446</v>
      </c>
      <c r="G981" s="3915"/>
    </row>
    <row r="982" spans="5:7">
      <c r="E982" s="1525" t="s">
        <v>4447</v>
      </c>
      <c r="F982" s="3915" t="s">
        <v>4448</v>
      </c>
      <c r="G982" s="3915"/>
    </row>
    <row r="983" spans="5:7">
      <c r="E983" s="1525" t="s">
        <v>4449</v>
      </c>
      <c r="F983" s="3915" t="s">
        <v>4450</v>
      </c>
      <c r="G983" s="3915"/>
    </row>
    <row r="984" spans="5:7">
      <c r="E984" s="1525" t="s">
        <v>4451</v>
      </c>
      <c r="F984" s="3915" t="s">
        <v>4452</v>
      </c>
      <c r="G984" s="3915"/>
    </row>
    <row r="985" spans="5:7">
      <c r="E985" s="1525" t="s">
        <v>4453</v>
      </c>
      <c r="F985" s="3915" t="s">
        <v>4454</v>
      </c>
      <c r="G985" s="3915"/>
    </row>
    <row r="986" spans="5:7">
      <c r="E986" s="1525" t="s">
        <v>4455</v>
      </c>
      <c r="F986" s="3915" t="s">
        <v>4456</v>
      </c>
      <c r="G986" s="3915"/>
    </row>
    <row r="987" spans="5:7">
      <c r="E987" s="1525" t="s">
        <v>4457</v>
      </c>
      <c r="F987" s="3915" t="s">
        <v>4458</v>
      </c>
      <c r="G987" s="3915"/>
    </row>
    <row r="988" spans="5:7">
      <c r="E988" s="1525" t="s">
        <v>4459</v>
      </c>
      <c r="F988" s="3915" t="s">
        <v>4460</v>
      </c>
      <c r="G988" s="3915"/>
    </row>
    <row r="989" spans="5:7">
      <c r="E989" s="1525" t="s">
        <v>4461</v>
      </c>
      <c r="F989" s="3915" t="s">
        <v>4462</v>
      </c>
      <c r="G989" s="3915"/>
    </row>
    <row r="990" spans="5:7">
      <c r="E990" s="1525" t="s">
        <v>4463</v>
      </c>
      <c r="F990" s="3915" t="s">
        <v>4464</v>
      </c>
      <c r="G990" s="3915"/>
    </row>
    <row r="991" spans="5:7">
      <c r="E991" s="1525" t="s">
        <v>4465</v>
      </c>
      <c r="F991" s="3915" t="s">
        <v>4466</v>
      </c>
      <c r="G991" s="3915"/>
    </row>
    <row r="992" spans="5:7">
      <c r="E992" s="1525" t="s">
        <v>4467</v>
      </c>
      <c r="F992" s="3915" t="s">
        <v>4468</v>
      </c>
      <c r="G992" s="3915"/>
    </row>
    <row r="993" spans="5:7">
      <c r="E993" s="1525" t="s">
        <v>4469</v>
      </c>
      <c r="F993" s="3915" t="s">
        <v>4470</v>
      </c>
      <c r="G993" s="3915"/>
    </row>
    <row r="994" spans="5:7">
      <c r="E994" s="1525" t="s">
        <v>4471</v>
      </c>
      <c r="F994" s="3915" t="s">
        <v>4472</v>
      </c>
      <c r="G994" s="3915"/>
    </row>
    <row r="995" spans="5:7">
      <c r="E995" s="1525" t="s">
        <v>4473</v>
      </c>
      <c r="F995" s="3915" t="s">
        <v>4474</v>
      </c>
      <c r="G995" s="3915"/>
    </row>
    <row r="996" spans="5:7">
      <c r="E996" s="1525" t="s">
        <v>4475</v>
      </c>
      <c r="F996" s="3915" t="s">
        <v>4476</v>
      </c>
      <c r="G996" s="3915"/>
    </row>
    <row r="997" spans="5:7">
      <c r="E997" s="1525" t="s">
        <v>4477</v>
      </c>
      <c r="F997" s="3915" t="s">
        <v>4478</v>
      </c>
      <c r="G997" s="3915"/>
    </row>
    <row r="998" spans="5:7">
      <c r="E998" s="1525" t="s">
        <v>4479</v>
      </c>
      <c r="F998" s="3915" t="s">
        <v>4480</v>
      </c>
      <c r="G998" s="3915"/>
    </row>
    <row r="999" spans="5:7">
      <c r="E999" s="1525" t="s">
        <v>4481</v>
      </c>
      <c r="F999" s="3915" t="s">
        <v>4482</v>
      </c>
      <c r="G999" s="3915"/>
    </row>
    <row r="1000" spans="5:7">
      <c r="E1000" s="1525" t="s">
        <v>4483</v>
      </c>
      <c r="F1000" s="3915" t="s">
        <v>4484</v>
      </c>
      <c r="G1000" s="3915"/>
    </row>
    <row r="1001" spans="5:7">
      <c r="E1001" s="1525" t="s">
        <v>4485</v>
      </c>
      <c r="F1001" s="3915" t="s">
        <v>4486</v>
      </c>
      <c r="G1001" s="3915"/>
    </row>
    <row r="1002" spans="5:7">
      <c r="E1002" s="1525" t="s">
        <v>4487</v>
      </c>
      <c r="F1002" s="3915" t="s">
        <v>4488</v>
      </c>
      <c r="G1002" s="3915"/>
    </row>
    <row r="1003" spans="5:7">
      <c r="E1003" s="1525" t="s">
        <v>4489</v>
      </c>
      <c r="F1003" s="3915" t="s">
        <v>4490</v>
      </c>
      <c r="G1003" s="3915"/>
    </row>
    <row r="1004" spans="5:7">
      <c r="E1004" s="1525" t="s">
        <v>4491</v>
      </c>
      <c r="F1004" s="3915" t="s">
        <v>4492</v>
      </c>
      <c r="G1004" s="3915"/>
    </row>
    <row r="1005" spans="5:7">
      <c r="E1005" s="1525" t="s">
        <v>4493</v>
      </c>
      <c r="F1005" s="3915" t="s">
        <v>4494</v>
      </c>
      <c r="G1005" s="3915"/>
    </row>
    <row r="1006" spans="5:7">
      <c r="E1006" s="1525" t="s">
        <v>4495</v>
      </c>
      <c r="F1006" s="3915" t="s">
        <v>4496</v>
      </c>
      <c r="G1006" s="3915"/>
    </row>
    <row r="1007" spans="5:7">
      <c r="E1007" s="1525" t="s">
        <v>4497</v>
      </c>
      <c r="F1007" s="3915" t="s">
        <v>4498</v>
      </c>
      <c r="G1007" s="3915"/>
    </row>
    <row r="1008" spans="5:7">
      <c r="E1008" s="1525" t="s">
        <v>4499</v>
      </c>
      <c r="F1008" s="3915" t="s">
        <v>4500</v>
      </c>
      <c r="G1008" s="3915"/>
    </row>
    <row r="1009" spans="5:7">
      <c r="E1009" s="1525" t="s">
        <v>4501</v>
      </c>
      <c r="F1009" s="3915" t="s">
        <v>4502</v>
      </c>
      <c r="G1009" s="3915"/>
    </row>
    <row r="1010" spans="5:7">
      <c r="E1010" s="1525" t="s">
        <v>4503</v>
      </c>
      <c r="F1010" s="3915" t="s">
        <v>4504</v>
      </c>
      <c r="G1010" s="3915"/>
    </row>
    <row r="1011" spans="5:7">
      <c r="E1011" s="1525" t="s">
        <v>4505</v>
      </c>
      <c r="F1011" s="3915" t="s">
        <v>4506</v>
      </c>
      <c r="G1011" s="3915"/>
    </row>
    <row r="1012" spans="5:7">
      <c r="E1012" s="1525" t="s">
        <v>4507</v>
      </c>
      <c r="F1012" s="3915" t="s">
        <v>4508</v>
      </c>
      <c r="G1012" s="3915"/>
    </row>
    <row r="1013" spans="5:7">
      <c r="E1013" s="1525" t="s">
        <v>4509</v>
      </c>
      <c r="F1013" s="3915" t="s">
        <v>4510</v>
      </c>
      <c r="G1013" s="3915"/>
    </row>
    <row r="1014" spans="5:7">
      <c r="E1014" s="1525" t="s">
        <v>4511</v>
      </c>
      <c r="F1014" s="3915" t="s">
        <v>4512</v>
      </c>
      <c r="G1014" s="3915"/>
    </row>
    <row r="1015" spans="5:7">
      <c r="E1015" s="1525" t="s">
        <v>4513</v>
      </c>
      <c r="F1015" s="3915" t="s">
        <v>4514</v>
      </c>
      <c r="G1015" s="3915"/>
    </row>
    <row r="1016" spans="5:7">
      <c r="E1016" s="1525" t="s">
        <v>4515</v>
      </c>
      <c r="F1016" s="3915" t="s">
        <v>4516</v>
      </c>
      <c r="G1016" s="3915"/>
    </row>
    <row r="1017" spans="5:7">
      <c r="E1017" s="1525" t="s">
        <v>4517</v>
      </c>
      <c r="F1017" s="3915" t="s">
        <v>4518</v>
      </c>
      <c r="G1017" s="3915"/>
    </row>
    <row r="1018" spans="5:7">
      <c r="E1018" s="1525" t="s">
        <v>4519</v>
      </c>
      <c r="F1018" s="3915" t="s">
        <v>4520</v>
      </c>
      <c r="G1018" s="3915"/>
    </row>
    <row r="1019" spans="5:7">
      <c r="E1019" s="1525" t="s">
        <v>4521</v>
      </c>
      <c r="F1019" s="3915" t="s">
        <v>4522</v>
      </c>
      <c r="G1019" s="3915"/>
    </row>
    <row r="1020" spans="5:7">
      <c r="E1020" s="1525" t="s">
        <v>4523</v>
      </c>
      <c r="F1020" s="3915" t="s">
        <v>4524</v>
      </c>
      <c r="G1020" s="3915"/>
    </row>
    <row r="1021" spans="5:7">
      <c r="E1021" s="1525" t="s">
        <v>4525</v>
      </c>
      <c r="F1021" s="3915" t="s">
        <v>4526</v>
      </c>
      <c r="G1021" s="3915"/>
    </row>
    <row r="1022" spans="5:7">
      <c r="E1022" s="1525" t="s">
        <v>4527</v>
      </c>
      <c r="F1022" s="3915" t="s">
        <v>4528</v>
      </c>
      <c r="G1022" s="3915"/>
    </row>
    <row r="1023" spans="5:7">
      <c r="E1023" s="1525" t="s">
        <v>4529</v>
      </c>
      <c r="F1023" s="3915" t="s">
        <v>4530</v>
      </c>
      <c r="G1023" s="3915"/>
    </row>
    <row r="1024" spans="5:7">
      <c r="E1024" s="1525" t="s">
        <v>4531</v>
      </c>
      <c r="F1024" s="3915" t="s">
        <v>4532</v>
      </c>
      <c r="G1024" s="3915"/>
    </row>
    <row r="1025" spans="5:7">
      <c r="E1025" s="1525" t="s">
        <v>4533</v>
      </c>
      <c r="F1025" s="3915" t="s">
        <v>4534</v>
      </c>
      <c r="G1025" s="3915"/>
    </row>
    <row r="1026" spans="5:7">
      <c r="E1026" s="1525" t="s">
        <v>4535</v>
      </c>
      <c r="F1026" s="3915" t="s">
        <v>4536</v>
      </c>
      <c r="G1026" s="3915"/>
    </row>
    <row r="1027" spans="5:7">
      <c r="E1027" s="1525" t="s">
        <v>4537</v>
      </c>
      <c r="F1027" s="3915" t="s">
        <v>4538</v>
      </c>
      <c r="G1027" s="3915"/>
    </row>
    <row r="1028" spans="5:7">
      <c r="E1028" s="1525" t="s">
        <v>4539</v>
      </c>
      <c r="F1028" s="3915" t="s">
        <v>4540</v>
      </c>
      <c r="G1028" s="3915"/>
    </row>
    <row r="1029" spans="5:7">
      <c r="E1029" s="1525" t="s">
        <v>4541</v>
      </c>
      <c r="F1029" s="3915" t="s">
        <v>4542</v>
      </c>
      <c r="G1029" s="3915"/>
    </row>
    <row r="1030" spans="5:7">
      <c r="E1030" s="1525" t="s">
        <v>4543</v>
      </c>
      <c r="F1030" s="3915" t="s">
        <v>4544</v>
      </c>
      <c r="G1030" s="3915"/>
    </row>
    <row r="1031" spans="5:7">
      <c r="E1031" s="1525" t="s">
        <v>4545</v>
      </c>
      <c r="F1031" s="3915" t="s">
        <v>4546</v>
      </c>
      <c r="G1031" s="3915"/>
    </row>
    <row r="1032" spans="5:7">
      <c r="E1032" s="1525" t="s">
        <v>4547</v>
      </c>
      <c r="F1032" s="3915" t="s">
        <v>4548</v>
      </c>
      <c r="G1032" s="3915"/>
    </row>
    <row r="1033" spans="5:7">
      <c r="E1033" s="1525" t="s">
        <v>4549</v>
      </c>
      <c r="F1033" s="3915" t="s">
        <v>4550</v>
      </c>
      <c r="G1033" s="3915"/>
    </row>
    <row r="1034" spans="5:7">
      <c r="E1034" s="1525" t="s">
        <v>4551</v>
      </c>
      <c r="F1034" s="3915" t="s">
        <v>4552</v>
      </c>
      <c r="G1034" s="3915"/>
    </row>
    <row r="1035" spans="5:7">
      <c r="E1035" s="1525" t="s">
        <v>4553</v>
      </c>
      <c r="F1035" s="3915" t="s">
        <v>4554</v>
      </c>
      <c r="G1035" s="3915"/>
    </row>
    <row r="1036" spans="5:7">
      <c r="E1036" s="1525" t="s">
        <v>4555</v>
      </c>
      <c r="F1036" s="3915" t="s">
        <v>4556</v>
      </c>
      <c r="G1036" s="3915"/>
    </row>
    <row r="1037" spans="5:7">
      <c r="E1037" s="1525" t="s">
        <v>4557</v>
      </c>
      <c r="F1037" s="3915" t="s">
        <v>4558</v>
      </c>
      <c r="G1037" s="3915"/>
    </row>
    <row r="1038" spans="5:7">
      <c r="E1038" s="1525" t="s">
        <v>4559</v>
      </c>
      <c r="F1038" s="3915" t="s">
        <v>4560</v>
      </c>
      <c r="G1038" s="3915"/>
    </row>
    <row r="1039" spans="5:7">
      <c r="E1039" s="1525" t="s">
        <v>4561</v>
      </c>
      <c r="F1039" s="3915" t="s">
        <v>4562</v>
      </c>
      <c r="G1039" s="3915"/>
    </row>
    <row r="1040" spans="5:7">
      <c r="E1040" s="1525" t="s">
        <v>4563</v>
      </c>
      <c r="F1040" s="3915" t="s">
        <v>4564</v>
      </c>
      <c r="G1040" s="3915"/>
    </row>
    <row r="1041" spans="5:7">
      <c r="E1041" s="1525" t="s">
        <v>4565</v>
      </c>
      <c r="F1041" s="3915" t="s">
        <v>4566</v>
      </c>
      <c r="G1041" s="3915"/>
    </row>
    <row r="1042" spans="5:7">
      <c r="E1042" s="1525" t="s">
        <v>4567</v>
      </c>
      <c r="F1042" s="3915" t="s">
        <v>4568</v>
      </c>
      <c r="G1042" s="3915"/>
    </row>
    <row r="1043" spans="5:7">
      <c r="E1043" s="1525" t="s">
        <v>4569</v>
      </c>
      <c r="F1043" s="3915" t="s">
        <v>4570</v>
      </c>
      <c r="G1043" s="3915"/>
    </row>
    <row r="1044" spans="5:7">
      <c r="E1044" s="1525" t="s">
        <v>4571</v>
      </c>
      <c r="F1044" s="3915" t="s">
        <v>4572</v>
      </c>
      <c r="G1044" s="3915"/>
    </row>
    <row r="1045" spans="5:7">
      <c r="E1045" s="1525" t="s">
        <v>4573</v>
      </c>
      <c r="F1045" s="3915" t="s">
        <v>4574</v>
      </c>
      <c r="G1045" s="3915"/>
    </row>
    <row r="1046" spans="5:7">
      <c r="E1046" s="1525" t="s">
        <v>4575</v>
      </c>
      <c r="F1046" s="3915" t="s">
        <v>4576</v>
      </c>
      <c r="G1046" s="3915"/>
    </row>
    <row r="1047" spans="5:7">
      <c r="E1047" s="1525" t="s">
        <v>4577</v>
      </c>
      <c r="F1047" s="3915" t="s">
        <v>4578</v>
      </c>
      <c r="G1047" s="3915"/>
    </row>
    <row r="1048" spans="5:7">
      <c r="E1048" s="1525" t="s">
        <v>4579</v>
      </c>
      <c r="F1048" s="3915" t="s">
        <v>4580</v>
      </c>
      <c r="G1048" s="3915"/>
    </row>
    <row r="1049" spans="5:7">
      <c r="E1049" s="1525" t="s">
        <v>4581</v>
      </c>
      <c r="F1049" s="3915" t="s">
        <v>4582</v>
      </c>
      <c r="G1049" s="3915"/>
    </row>
    <row r="1050" spans="5:7">
      <c r="E1050" s="1525" t="s">
        <v>4583</v>
      </c>
      <c r="F1050" s="3915" t="s">
        <v>4584</v>
      </c>
      <c r="G1050" s="3915"/>
    </row>
    <row r="1051" spans="5:7">
      <c r="E1051" s="1525" t="s">
        <v>4585</v>
      </c>
      <c r="F1051" s="3915" t="s">
        <v>4586</v>
      </c>
      <c r="G1051" s="3915"/>
    </row>
    <row r="1052" spans="5:7">
      <c r="E1052" s="1525" t="s">
        <v>4587</v>
      </c>
      <c r="F1052" s="3915" t="s">
        <v>4588</v>
      </c>
      <c r="G1052" s="3915"/>
    </row>
    <row r="1053" spans="5:7">
      <c r="E1053" s="1525" t="s">
        <v>4589</v>
      </c>
      <c r="F1053" s="3915" t="s">
        <v>4590</v>
      </c>
      <c r="G1053" s="3915"/>
    </row>
    <row r="1054" spans="5:7">
      <c r="E1054" s="1525" t="s">
        <v>4591</v>
      </c>
      <c r="F1054" s="3915" t="s">
        <v>4592</v>
      </c>
      <c r="G1054" s="3915"/>
    </row>
    <row r="1055" spans="5:7">
      <c r="E1055" s="1525" t="s">
        <v>4593</v>
      </c>
      <c r="F1055" s="3915" t="s">
        <v>4594</v>
      </c>
      <c r="G1055" s="3915"/>
    </row>
    <row r="1056" spans="5:7">
      <c r="E1056" s="1525" t="s">
        <v>4595</v>
      </c>
      <c r="F1056" s="3915" t="s">
        <v>4596</v>
      </c>
      <c r="G1056" s="3915"/>
    </row>
    <row r="1057" spans="5:7">
      <c r="E1057" s="1525" t="s">
        <v>4597</v>
      </c>
      <c r="F1057" s="3915" t="s">
        <v>4598</v>
      </c>
      <c r="G1057" s="3915"/>
    </row>
    <row r="1058" spans="5:7">
      <c r="E1058" s="1525" t="s">
        <v>4599</v>
      </c>
      <c r="F1058" s="3915" t="s">
        <v>4600</v>
      </c>
      <c r="G1058" s="3915"/>
    </row>
    <row r="1059" spans="5:7">
      <c r="E1059" s="1525" t="s">
        <v>4601</v>
      </c>
      <c r="F1059" s="3915" t="s">
        <v>4602</v>
      </c>
      <c r="G1059" s="3915"/>
    </row>
    <row r="1060" spans="5:7">
      <c r="E1060" s="1525" t="s">
        <v>4603</v>
      </c>
      <c r="F1060" s="3915" t="s">
        <v>4604</v>
      </c>
      <c r="G1060" s="3915"/>
    </row>
    <row r="1061" spans="5:7">
      <c r="E1061" s="1525" t="s">
        <v>4605</v>
      </c>
      <c r="F1061" s="3915" t="s">
        <v>4606</v>
      </c>
      <c r="G1061" s="3915"/>
    </row>
    <row r="1062" spans="5:7">
      <c r="E1062" s="1525" t="s">
        <v>4607</v>
      </c>
      <c r="F1062" s="3915" t="s">
        <v>4608</v>
      </c>
      <c r="G1062" s="3915"/>
    </row>
    <row r="1063" spans="5:7">
      <c r="E1063" s="1525" t="s">
        <v>4609</v>
      </c>
      <c r="F1063" s="3915" t="s">
        <v>4610</v>
      </c>
      <c r="G1063" s="3915"/>
    </row>
    <row r="1064" spans="5:7">
      <c r="E1064" s="1525" t="s">
        <v>4611</v>
      </c>
      <c r="F1064" s="3915" t="s">
        <v>4612</v>
      </c>
      <c r="G1064" s="3915"/>
    </row>
    <row r="1065" spans="5:7">
      <c r="E1065" s="1525" t="s">
        <v>4613</v>
      </c>
      <c r="F1065" s="3915" t="s">
        <v>4614</v>
      </c>
      <c r="G1065" s="3915"/>
    </row>
    <row r="1066" spans="5:7">
      <c r="E1066" s="1525" t="s">
        <v>4615</v>
      </c>
      <c r="F1066" s="3915" t="s">
        <v>4616</v>
      </c>
      <c r="G1066" s="3915"/>
    </row>
    <row r="1067" spans="5:7">
      <c r="E1067" s="1525" t="s">
        <v>4617</v>
      </c>
      <c r="F1067" s="3915" t="s">
        <v>4618</v>
      </c>
      <c r="G1067" s="3915"/>
    </row>
    <row r="1068" spans="5:7">
      <c r="E1068" s="1525" t="s">
        <v>4619</v>
      </c>
      <c r="F1068" s="3915" t="s">
        <v>4620</v>
      </c>
      <c r="G1068" s="3915"/>
    </row>
    <row r="1069" spans="5:7">
      <c r="E1069" s="1525" t="s">
        <v>4621</v>
      </c>
      <c r="F1069" s="3915" t="s">
        <v>4622</v>
      </c>
      <c r="G1069" s="3915"/>
    </row>
    <row r="1070" spans="5:7">
      <c r="E1070" s="1525" t="s">
        <v>4623</v>
      </c>
      <c r="F1070" s="3915" t="s">
        <v>4624</v>
      </c>
      <c r="G1070" s="3915"/>
    </row>
    <row r="1071" spans="5:7">
      <c r="E1071" s="1525" t="s">
        <v>4625</v>
      </c>
      <c r="F1071" s="3915" t="s">
        <v>4626</v>
      </c>
      <c r="G1071" s="3915"/>
    </row>
    <row r="1072" spans="5:7">
      <c r="E1072" s="1525" t="s">
        <v>4627</v>
      </c>
      <c r="F1072" s="3915" t="s">
        <v>4628</v>
      </c>
      <c r="G1072" s="3915"/>
    </row>
    <row r="1073" spans="5:7">
      <c r="E1073" s="1525" t="s">
        <v>4629</v>
      </c>
      <c r="F1073" s="3915" t="s">
        <v>4630</v>
      </c>
      <c r="G1073" s="3915"/>
    </row>
    <row r="1074" spans="5:7">
      <c r="E1074" s="1525" t="s">
        <v>4631</v>
      </c>
      <c r="F1074" s="3915" t="s">
        <v>4632</v>
      </c>
      <c r="G1074" s="3915"/>
    </row>
    <row r="1075" spans="5:7">
      <c r="E1075" s="1525" t="s">
        <v>4633</v>
      </c>
      <c r="F1075" s="3915" t="s">
        <v>4634</v>
      </c>
      <c r="G1075" s="3915"/>
    </row>
    <row r="1076" spans="5:7">
      <c r="E1076" s="1525" t="s">
        <v>4635</v>
      </c>
      <c r="F1076" s="3915" t="s">
        <v>4636</v>
      </c>
      <c r="G1076" s="3915"/>
    </row>
    <row r="1077" spans="5:7">
      <c r="E1077" s="1525" t="s">
        <v>4637</v>
      </c>
      <c r="F1077" s="3915" t="s">
        <v>4638</v>
      </c>
      <c r="G1077" s="3915"/>
    </row>
    <row r="1078" spans="5:7">
      <c r="E1078" s="1525" t="s">
        <v>4639</v>
      </c>
      <c r="F1078" s="3915" t="s">
        <v>4640</v>
      </c>
      <c r="G1078" s="3915"/>
    </row>
    <row r="1079" spans="5:7">
      <c r="E1079" s="1525" t="s">
        <v>4641</v>
      </c>
      <c r="F1079" s="3915" t="s">
        <v>4642</v>
      </c>
      <c r="G1079" s="3915"/>
    </row>
    <row r="1080" spans="5:7">
      <c r="E1080" s="1525" t="s">
        <v>4643</v>
      </c>
      <c r="F1080" s="3915" t="s">
        <v>4644</v>
      </c>
      <c r="G1080" s="3915"/>
    </row>
    <row r="1081" spans="5:7">
      <c r="E1081" s="1525" t="s">
        <v>4645</v>
      </c>
      <c r="F1081" s="3915" t="s">
        <v>4646</v>
      </c>
      <c r="G1081" s="3915"/>
    </row>
    <row r="1082" spans="5:7">
      <c r="E1082" s="1525" t="s">
        <v>4647</v>
      </c>
      <c r="F1082" s="3915" t="s">
        <v>4648</v>
      </c>
      <c r="G1082" s="3915"/>
    </row>
    <row r="1083" spans="5:7">
      <c r="E1083" s="1525" t="s">
        <v>4649</v>
      </c>
      <c r="F1083" s="3915" t="s">
        <v>4650</v>
      </c>
      <c r="G1083" s="3915"/>
    </row>
    <row r="1084" spans="5:7">
      <c r="E1084" s="1525" t="s">
        <v>4651</v>
      </c>
      <c r="F1084" s="3915" t="s">
        <v>4652</v>
      </c>
      <c r="G1084" s="3915"/>
    </row>
    <row r="1085" spans="5:7">
      <c r="E1085" s="1525" t="s">
        <v>4653</v>
      </c>
      <c r="F1085" s="3915" t="s">
        <v>4654</v>
      </c>
      <c r="G1085" s="3915"/>
    </row>
    <row r="1086" spans="5:7">
      <c r="E1086" s="1525" t="s">
        <v>4655</v>
      </c>
      <c r="F1086" s="3915" t="s">
        <v>4656</v>
      </c>
      <c r="G1086" s="3915"/>
    </row>
    <row r="1087" spans="5:7">
      <c r="E1087" s="1525" t="s">
        <v>4657</v>
      </c>
      <c r="F1087" s="3915" t="s">
        <v>4658</v>
      </c>
      <c r="G1087" s="3915"/>
    </row>
    <row r="1088" spans="5:7">
      <c r="E1088" s="1525" t="s">
        <v>4659</v>
      </c>
      <c r="F1088" s="3915" t="s">
        <v>4660</v>
      </c>
      <c r="G1088" s="3915"/>
    </row>
    <row r="1089" spans="5:7">
      <c r="E1089" s="1525" t="s">
        <v>4661</v>
      </c>
      <c r="F1089" s="3915" t="s">
        <v>4662</v>
      </c>
      <c r="G1089" s="3915"/>
    </row>
    <row r="1090" spans="5:7">
      <c r="E1090" s="1525" t="s">
        <v>4663</v>
      </c>
      <c r="F1090" s="3915" t="s">
        <v>4664</v>
      </c>
      <c r="G1090" s="3915"/>
    </row>
    <row r="1091" spans="5:7">
      <c r="E1091" s="1525" t="s">
        <v>4665</v>
      </c>
      <c r="F1091" s="3915" t="s">
        <v>4666</v>
      </c>
      <c r="G1091" s="3915"/>
    </row>
    <row r="1092" spans="5:7">
      <c r="E1092" s="1525" t="s">
        <v>4667</v>
      </c>
      <c r="F1092" s="3915" t="s">
        <v>4668</v>
      </c>
      <c r="G1092" s="3915"/>
    </row>
    <row r="1093" spans="5:7">
      <c r="E1093" s="1525" t="s">
        <v>4669</v>
      </c>
      <c r="F1093" s="3915" t="s">
        <v>4670</v>
      </c>
      <c r="G1093" s="3915"/>
    </row>
    <row r="1094" spans="5:7">
      <c r="E1094" s="1525" t="s">
        <v>4671</v>
      </c>
      <c r="F1094" s="3915" t="s">
        <v>4672</v>
      </c>
      <c r="G1094" s="3915"/>
    </row>
    <row r="1095" spans="5:7">
      <c r="E1095" s="1525" t="s">
        <v>4673</v>
      </c>
      <c r="F1095" s="3915" t="s">
        <v>4674</v>
      </c>
      <c r="G1095" s="3915"/>
    </row>
    <row r="1096" spans="5:7">
      <c r="E1096" s="1525" t="s">
        <v>4675</v>
      </c>
      <c r="F1096" s="3915" t="s">
        <v>4676</v>
      </c>
      <c r="G1096" s="3915"/>
    </row>
    <row r="1097" spans="5:7">
      <c r="E1097" s="1525" t="s">
        <v>4677</v>
      </c>
      <c r="F1097" s="3915" t="s">
        <v>4678</v>
      </c>
      <c r="G1097" s="3915"/>
    </row>
    <row r="1098" spans="5:7">
      <c r="E1098" s="1525" t="s">
        <v>4679</v>
      </c>
      <c r="F1098" s="3915" t="s">
        <v>4680</v>
      </c>
      <c r="G1098" s="3915"/>
    </row>
    <row r="1099" spans="5:7">
      <c r="E1099" s="1525" t="s">
        <v>4681</v>
      </c>
      <c r="F1099" s="3915" t="s">
        <v>4682</v>
      </c>
      <c r="G1099" s="3915"/>
    </row>
    <row r="1100" spans="5:7">
      <c r="E1100" s="1525" t="s">
        <v>4683</v>
      </c>
      <c r="F1100" s="3915" t="s">
        <v>4684</v>
      </c>
      <c r="G1100" s="3915"/>
    </row>
    <row r="1101" spans="5:7">
      <c r="E1101" s="1525" t="s">
        <v>4685</v>
      </c>
      <c r="F1101" s="3915" t="s">
        <v>4686</v>
      </c>
      <c r="G1101" s="3915"/>
    </row>
    <row r="1102" spans="5:7">
      <c r="E1102" s="1525" t="s">
        <v>4687</v>
      </c>
      <c r="F1102" s="3915" t="s">
        <v>4688</v>
      </c>
      <c r="G1102" s="3915"/>
    </row>
    <row r="1103" spans="5:7">
      <c r="E1103" s="1525" t="s">
        <v>4689</v>
      </c>
      <c r="F1103" s="3915" t="s">
        <v>4690</v>
      </c>
      <c r="G1103" s="3915"/>
    </row>
    <row r="1104" spans="5:7">
      <c r="E1104" s="1525" t="s">
        <v>4691</v>
      </c>
      <c r="F1104" s="3915" t="s">
        <v>4692</v>
      </c>
      <c r="G1104" s="3915"/>
    </row>
    <row r="1105" spans="5:7">
      <c r="E1105" s="1525" t="s">
        <v>4693</v>
      </c>
      <c r="F1105" s="3915" t="s">
        <v>4694</v>
      </c>
      <c r="G1105" s="3915"/>
    </row>
    <row r="1106" spans="5:7">
      <c r="E1106" s="1525" t="s">
        <v>4695</v>
      </c>
      <c r="F1106" s="3915" t="s">
        <v>4696</v>
      </c>
      <c r="G1106" s="3915"/>
    </row>
    <row r="1107" spans="5:7">
      <c r="E1107" s="1525" t="s">
        <v>4697</v>
      </c>
      <c r="F1107" s="3915" t="s">
        <v>4698</v>
      </c>
      <c r="G1107" s="3915"/>
    </row>
    <row r="1108" spans="5:7">
      <c r="E1108" s="1525" t="s">
        <v>4699</v>
      </c>
      <c r="F1108" s="3915" t="s">
        <v>4700</v>
      </c>
      <c r="G1108" s="3915"/>
    </row>
    <row r="1109" spans="5:7">
      <c r="E1109" s="1525" t="s">
        <v>4701</v>
      </c>
      <c r="F1109" s="3915" t="s">
        <v>4702</v>
      </c>
      <c r="G1109" s="3915"/>
    </row>
    <row r="1110" spans="5:7">
      <c r="E1110" s="1525" t="s">
        <v>4703</v>
      </c>
      <c r="F1110" s="3915" t="s">
        <v>4704</v>
      </c>
      <c r="G1110" s="3915"/>
    </row>
    <row r="1111" spans="5:7">
      <c r="E1111" s="1525" t="s">
        <v>4705</v>
      </c>
      <c r="F1111" s="3915" t="s">
        <v>4706</v>
      </c>
      <c r="G1111" s="3915"/>
    </row>
    <row r="1112" spans="5:7">
      <c r="E1112" s="1525" t="s">
        <v>4707</v>
      </c>
      <c r="F1112" s="3915" t="s">
        <v>4708</v>
      </c>
      <c r="G1112" s="3915"/>
    </row>
    <row r="1113" spans="5:7">
      <c r="E1113" s="1525" t="s">
        <v>4709</v>
      </c>
      <c r="F1113" s="3915" t="s">
        <v>4710</v>
      </c>
      <c r="G1113" s="3915"/>
    </row>
    <row r="1114" spans="5:7">
      <c r="E1114" s="1525" t="s">
        <v>4711</v>
      </c>
      <c r="F1114" s="3915" t="s">
        <v>4712</v>
      </c>
      <c r="G1114" s="3915"/>
    </row>
    <row r="1115" spans="5:7">
      <c r="E1115" s="1525" t="s">
        <v>4713</v>
      </c>
      <c r="F1115" s="3915" t="s">
        <v>4714</v>
      </c>
      <c r="G1115" s="3915"/>
    </row>
    <row r="1116" spans="5:7">
      <c r="E1116" s="1525" t="s">
        <v>4715</v>
      </c>
      <c r="F1116" s="3915" t="s">
        <v>4716</v>
      </c>
      <c r="G1116" s="3915"/>
    </row>
    <row r="1117" spans="5:7">
      <c r="E1117" s="1525" t="s">
        <v>4717</v>
      </c>
      <c r="F1117" s="3915" t="s">
        <v>4718</v>
      </c>
      <c r="G1117" s="3915"/>
    </row>
    <row r="1118" spans="5:7">
      <c r="E1118" s="1525" t="s">
        <v>4719</v>
      </c>
      <c r="F1118" s="3915" t="s">
        <v>4720</v>
      </c>
      <c r="G1118" s="3915"/>
    </row>
    <row r="1119" spans="5:7">
      <c r="E1119" s="1525" t="s">
        <v>4721</v>
      </c>
      <c r="F1119" s="3915" t="s">
        <v>4722</v>
      </c>
      <c r="G1119" s="3915"/>
    </row>
    <row r="1120" spans="5:7">
      <c r="E1120" s="1525" t="s">
        <v>4723</v>
      </c>
      <c r="F1120" s="3915" t="s">
        <v>4724</v>
      </c>
      <c r="G1120" s="3915"/>
    </row>
    <row r="1121" spans="5:7">
      <c r="E1121" s="1525" t="s">
        <v>4725</v>
      </c>
      <c r="F1121" s="3915" t="s">
        <v>4726</v>
      </c>
      <c r="G1121" s="3915"/>
    </row>
    <row r="1122" spans="5:7">
      <c r="E1122" s="1525" t="s">
        <v>4727</v>
      </c>
      <c r="F1122" s="3915" t="s">
        <v>4728</v>
      </c>
      <c r="G1122" s="3915"/>
    </row>
    <row r="1123" spans="5:7">
      <c r="E1123" s="1525" t="s">
        <v>4729</v>
      </c>
      <c r="F1123" s="3915" t="s">
        <v>4730</v>
      </c>
      <c r="G1123" s="3915"/>
    </row>
    <row r="1124" spans="5:7">
      <c r="E1124" s="1525" t="s">
        <v>4731</v>
      </c>
      <c r="F1124" s="3915" t="s">
        <v>4732</v>
      </c>
      <c r="G1124" s="3915"/>
    </row>
    <row r="1125" spans="5:7">
      <c r="E1125" s="1525" t="s">
        <v>4733</v>
      </c>
      <c r="F1125" s="3915" t="s">
        <v>4734</v>
      </c>
      <c r="G1125" s="3915"/>
    </row>
    <row r="1126" spans="5:7">
      <c r="E1126" s="1525" t="s">
        <v>4735</v>
      </c>
      <c r="F1126" s="3915" t="s">
        <v>4736</v>
      </c>
      <c r="G1126" s="3915"/>
    </row>
    <row r="1127" spans="5:7">
      <c r="E1127" s="1525" t="s">
        <v>4737</v>
      </c>
      <c r="F1127" s="3915" t="s">
        <v>4738</v>
      </c>
      <c r="G1127" s="3915"/>
    </row>
    <row r="1128" spans="5:7">
      <c r="E1128" s="1525" t="s">
        <v>4739</v>
      </c>
      <c r="F1128" s="3915" t="s">
        <v>4740</v>
      </c>
      <c r="G1128" s="3915"/>
    </row>
    <row r="1129" spans="5:7">
      <c r="E1129" s="1525" t="s">
        <v>4741</v>
      </c>
      <c r="F1129" s="3915" t="s">
        <v>4742</v>
      </c>
      <c r="G1129" s="3915"/>
    </row>
    <row r="1130" spans="5:7">
      <c r="E1130" s="1525" t="s">
        <v>4743</v>
      </c>
      <c r="F1130" s="3915" t="s">
        <v>4744</v>
      </c>
      <c r="G1130" s="3915"/>
    </row>
    <row r="1131" spans="5:7">
      <c r="E1131" s="1525" t="s">
        <v>4745</v>
      </c>
      <c r="F1131" s="3915" t="s">
        <v>4746</v>
      </c>
      <c r="G1131" s="3915"/>
    </row>
    <row r="1132" spans="5:7">
      <c r="E1132" s="1525" t="s">
        <v>4747</v>
      </c>
      <c r="F1132" s="3915" t="s">
        <v>4748</v>
      </c>
      <c r="G1132" s="3915"/>
    </row>
    <row r="1133" spans="5:7">
      <c r="E1133" s="1525" t="s">
        <v>4749</v>
      </c>
      <c r="F1133" s="3915" t="s">
        <v>4750</v>
      </c>
      <c r="G1133" s="3915"/>
    </row>
    <row r="1134" spans="5:7">
      <c r="E1134" s="1525" t="s">
        <v>4751</v>
      </c>
      <c r="F1134" s="3915" t="s">
        <v>4752</v>
      </c>
      <c r="G1134" s="3915"/>
    </row>
    <row r="1135" spans="5:7">
      <c r="E1135" s="1525" t="s">
        <v>4753</v>
      </c>
      <c r="F1135" s="3915" t="s">
        <v>4754</v>
      </c>
      <c r="G1135" s="3915"/>
    </row>
    <row r="1136" spans="5:7">
      <c r="E1136" s="1525" t="s">
        <v>4755</v>
      </c>
      <c r="F1136" s="3915" t="s">
        <v>4756</v>
      </c>
      <c r="G1136" s="3915"/>
    </row>
    <row r="1137" spans="5:7">
      <c r="E1137" s="1525" t="s">
        <v>4757</v>
      </c>
      <c r="F1137" s="3915" t="s">
        <v>4758</v>
      </c>
      <c r="G1137" s="3915"/>
    </row>
    <row r="1138" spans="5:7">
      <c r="E1138" s="1525" t="s">
        <v>4759</v>
      </c>
      <c r="F1138" s="3915" t="s">
        <v>4760</v>
      </c>
      <c r="G1138" s="3915"/>
    </row>
    <row r="1139" spans="5:7">
      <c r="E1139" s="1525" t="s">
        <v>4761</v>
      </c>
      <c r="F1139" s="3915" t="s">
        <v>4762</v>
      </c>
      <c r="G1139" s="3915"/>
    </row>
    <row r="1140" spans="5:7">
      <c r="E1140" s="1525" t="s">
        <v>4763</v>
      </c>
      <c r="F1140" s="3915" t="s">
        <v>4764</v>
      </c>
      <c r="G1140" s="3915"/>
    </row>
    <row r="1141" spans="5:7">
      <c r="E1141" s="1525" t="s">
        <v>4765</v>
      </c>
      <c r="F1141" s="3915" t="s">
        <v>4766</v>
      </c>
      <c r="G1141" s="3915"/>
    </row>
    <row r="1142" spans="5:7">
      <c r="E1142" s="1525" t="s">
        <v>4767</v>
      </c>
      <c r="F1142" s="3915" t="s">
        <v>4768</v>
      </c>
      <c r="G1142" s="3915"/>
    </row>
    <row r="1143" spans="5:7">
      <c r="E1143" s="1525" t="s">
        <v>4769</v>
      </c>
      <c r="F1143" s="3915" t="s">
        <v>4770</v>
      </c>
      <c r="G1143" s="3915"/>
    </row>
    <row r="1144" spans="5:7">
      <c r="E1144" s="1525" t="s">
        <v>4771</v>
      </c>
      <c r="F1144" s="3915" t="s">
        <v>4772</v>
      </c>
      <c r="G1144" s="3915"/>
    </row>
    <row r="1145" spans="5:7">
      <c r="E1145" s="1525" t="s">
        <v>4773</v>
      </c>
      <c r="F1145" s="3915" t="s">
        <v>4774</v>
      </c>
      <c r="G1145" s="3915"/>
    </row>
    <row r="1146" spans="5:7">
      <c r="E1146" s="1525" t="s">
        <v>4775</v>
      </c>
      <c r="F1146" s="3915" t="s">
        <v>4776</v>
      </c>
      <c r="G1146" s="3915"/>
    </row>
    <row r="1147" spans="5:7">
      <c r="E1147" s="1525" t="s">
        <v>4777</v>
      </c>
      <c r="F1147" s="3915" t="s">
        <v>4778</v>
      </c>
      <c r="G1147" s="3915"/>
    </row>
    <row r="1148" spans="5:7">
      <c r="E1148" s="1525" t="s">
        <v>4779</v>
      </c>
      <c r="F1148" s="3915" t="s">
        <v>4780</v>
      </c>
      <c r="G1148" s="3915"/>
    </row>
    <row r="1149" spans="5:7">
      <c r="E1149" s="1525" t="s">
        <v>4781</v>
      </c>
      <c r="F1149" s="3915" t="s">
        <v>4782</v>
      </c>
      <c r="G1149" s="3915"/>
    </row>
    <row r="1150" spans="5:7">
      <c r="E1150" s="1525" t="s">
        <v>4783</v>
      </c>
      <c r="F1150" s="3915" t="s">
        <v>4784</v>
      </c>
      <c r="G1150" s="3915"/>
    </row>
    <row r="1151" spans="5:7">
      <c r="E1151" s="1525" t="s">
        <v>4785</v>
      </c>
      <c r="F1151" s="3915" t="s">
        <v>4786</v>
      </c>
      <c r="G1151" s="3915"/>
    </row>
    <row r="1152" spans="5:7">
      <c r="E1152" s="1525" t="s">
        <v>4787</v>
      </c>
      <c r="F1152" s="3915" t="s">
        <v>4788</v>
      </c>
      <c r="G1152" s="3915"/>
    </row>
    <row r="1153" spans="5:7">
      <c r="E1153" s="1525" t="s">
        <v>4789</v>
      </c>
      <c r="F1153" s="3915" t="s">
        <v>4790</v>
      </c>
      <c r="G1153" s="3915"/>
    </row>
    <row r="1154" spans="5:7">
      <c r="E1154" s="1525" t="s">
        <v>4791</v>
      </c>
      <c r="F1154" s="3915" t="s">
        <v>4792</v>
      </c>
      <c r="G1154" s="3915"/>
    </row>
    <row r="1155" spans="5:7">
      <c r="E1155" s="1525" t="s">
        <v>4793</v>
      </c>
      <c r="F1155" s="3915" t="s">
        <v>4794</v>
      </c>
      <c r="G1155" s="3915"/>
    </row>
    <row r="1156" spans="5:7">
      <c r="E1156" s="1525" t="s">
        <v>4795</v>
      </c>
      <c r="F1156" s="3915" t="s">
        <v>4796</v>
      </c>
      <c r="G1156" s="3915"/>
    </row>
    <row r="1157" spans="5:7">
      <c r="E1157" s="1525" t="s">
        <v>4797</v>
      </c>
      <c r="F1157" s="3915" t="s">
        <v>4798</v>
      </c>
      <c r="G1157" s="3915"/>
    </row>
    <row r="1158" spans="5:7">
      <c r="E1158" s="1525" t="s">
        <v>4799</v>
      </c>
      <c r="F1158" s="3915" t="s">
        <v>4800</v>
      </c>
      <c r="G1158" s="3915"/>
    </row>
    <row r="1159" spans="5:7">
      <c r="E1159" s="1525" t="s">
        <v>4801</v>
      </c>
      <c r="F1159" s="3915" t="s">
        <v>4802</v>
      </c>
      <c r="G1159" s="3915"/>
    </row>
    <row r="1160" spans="5:7">
      <c r="E1160" s="1525" t="s">
        <v>4803</v>
      </c>
      <c r="F1160" s="3915" t="s">
        <v>4804</v>
      </c>
      <c r="G1160" s="3915"/>
    </row>
    <row r="1161" spans="5:7">
      <c r="E1161" s="1525" t="s">
        <v>4805</v>
      </c>
      <c r="F1161" s="3915" t="s">
        <v>4806</v>
      </c>
      <c r="G1161" s="3915"/>
    </row>
    <row r="1162" spans="5:7">
      <c r="E1162" s="1525" t="s">
        <v>4807</v>
      </c>
      <c r="F1162" s="3915" t="s">
        <v>1798</v>
      </c>
      <c r="G1162" s="3915"/>
    </row>
    <row r="1163" spans="5:7">
      <c r="E1163" s="1527"/>
      <c r="F1163" s="1527"/>
    </row>
    <row r="1164" spans="5:7">
      <c r="E1164" s="1527"/>
      <c r="F1164" s="1527"/>
    </row>
    <row r="1165" spans="5:7">
      <c r="E1165" s="1527"/>
      <c r="F1165" s="1527"/>
    </row>
    <row r="1166" spans="5:7">
      <c r="E1166" s="1527"/>
      <c r="F1166" s="1527"/>
    </row>
    <row r="1167" spans="5:7">
      <c r="E1167" s="1527"/>
      <c r="F1167" s="1527"/>
    </row>
    <row r="1168" spans="5:7">
      <c r="E1168" s="1527"/>
      <c r="F1168" s="1527"/>
    </row>
    <row r="1169" spans="5:6">
      <c r="E1169" s="1527"/>
      <c r="F1169" s="1527"/>
    </row>
    <row r="1170" spans="5:6">
      <c r="E1170" s="1527"/>
      <c r="F1170" s="1527"/>
    </row>
    <row r="1171" spans="5:6">
      <c r="E1171" s="1527"/>
      <c r="F1171" s="1527"/>
    </row>
    <row r="1172" spans="5:6">
      <c r="E1172" s="1527"/>
      <c r="F1172" s="1527"/>
    </row>
    <row r="1173" spans="5:6">
      <c r="E1173" s="1527"/>
      <c r="F1173" s="1527"/>
    </row>
    <row r="1174" spans="5:6">
      <c r="E1174" s="1527"/>
      <c r="F1174" s="1527"/>
    </row>
    <row r="1175" spans="5:6">
      <c r="E1175" s="1527"/>
      <c r="F1175" s="1527"/>
    </row>
    <row r="1176" spans="5:6">
      <c r="E1176" s="1527"/>
      <c r="F1176" s="1527"/>
    </row>
    <row r="1177" spans="5:6">
      <c r="E1177" s="1527"/>
      <c r="F1177" s="1527"/>
    </row>
    <row r="1178" spans="5:6">
      <c r="E1178" s="1527"/>
      <c r="F1178" s="1527"/>
    </row>
    <row r="1179" spans="5:6">
      <c r="E1179" s="1527"/>
      <c r="F1179" s="1527"/>
    </row>
    <row r="1180" spans="5:6">
      <c r="E1180" s="1527"/>
      <c r="F1180" s="1527"/>
    </row>
    <row r="1181" spans="5:6">
      <c r="E1181" s="1527"/>
      <c r="F1181" s="1527"/>
    </row>
    <row r="1182" spans="5:6">
      <c r="E1182" s="1527"/>
      <c r="F1182" s="1527"/>
    </row>
    <row r="1183" spans="5:6">
      <c r="E1183" s="1527"/>
      <c r="F1183" s="1527"/>
    </row>
    <row r="1184" spans="5:6">
      <c r="E1184" s="1527"/>
      <c r="F1184" s="1527"/>
    </row>
    <row r="1185" spans="5:6">
      <c r="E1185" s="1527"/>
      <c r="F1185" s="1527"/>
    </row>
    <row r="1186" spans="5:6">
      <c r="E1186" s="1527"/>
      <c r="F1186" s="1527"/>
    </row>
    <row r="1187" spans="5:6">
      <c r="E1187" s="1527"/>
      <c r="F1187" s="1527"/>
    </row>
    <row r="1188" spans="5:6">
      <c r="E1188" s="1527"/>
      <c r="F1188" s="1527"/>
    </row>
    <row r="1189" spans="5:6">
      <c r="E1189" s="1527"/>
      <c r="F1189" s="1527"/>
    </row>
    <row r="1190" spans="5:6">
      <c r="E1190" s="1527"/>
      <c r="F1190" s="1527"/>
    </row>
    <row r="1191" spans="5:6">
      <c r="E1191" s="1527"/>
      <c r="F1191" s="1527"/>
    </row>
    <row r="1192" spans="5:6">
      <c r="E1192" s="1527"/>
      <c r="F1192" s="1527"/>
    </row>
    <row r="1193" spans="5:6">
      <c r="E1193" s="1527"/>
      <c r="F1193" s="1527"/>
    </row>
    <row r="1194" spans="5:6">
      <c r="E1194" s="1527"/>
      <c r="F1194" s="1527"/>
    </row>
    <row r="1195" spans="5:6">
      <c r="E1195" s="1527"/>
      <c r="F1195" s="1527"/>
    </row>
    <row r="1196" spans="5:6">
      <c r="E1196" s="1527"/>
      <c r="F1196" s="1527"/>
    </row>
    <row r="1197" spans="5:6">
      <c r="E1197" s="1527"/>
      <c r="F1197" s="1527"/>
    </row>
    <row r="1198" spans="5:6">
      <c r="E1198" s="1527"/>
      <c r="F1198" s="1527"/>
    </row>
    <row r="1199" spans="5:6">
      <c r="E1199" s="1527"/>
      <c r="F1199" s="1527"/>
    </row>
    <row r="1200" spans="5:6">
      <c r="E1200" s="1527"/>
      <c r="F1200" s="1527"/>
    </row>
    <row r="1201" spans="5:6">
      <c r="E1201" s="1527"/>
      <c r="F1201" s="1527"/>
    </row>
    <row r="1202" spans="5:6">
      <c r="E1202" s="1527"/>
      <c r="F1202" s="1527"/>
    </row>
    <row r="1203" spans="5:6">
      <c r="E1203" s="1527"/>
      <c r="F1203" s="1527"/>
    </row>
    <row r="1204" spans="5:6">
      <c r="E1204" s="1527"/>
      <c r="F1204" s="1527"/>
    </row>
    <row r="1205" spans="5:6">
      <c r="E1205" s="1527"/>
      <c r="F1205" s="1527"/>
    </row>
    <row r="1206" spans="5:6">
      <c r="E1206" s="1527"/>
      <c r="F1206" s="1527"/>
    </row>
    <row r="1207" spans="5:6">
      <c r="E1207" s="1527"/>
      <c r="F1207" s="1527"/>
    </row>
    <row r="1208" spans="5:6">
      <c r="E1208" s="1527"/>
      <c r="F1208" s="1527"/>
    </row>
    <row r="1209" spans="5:6">
      <c r="E1209" s="1527"/>
      <c r="F1209" s="1527"/>
    </row>
    <row r="1210" spans="5:6">
      <c r="E1210" s="1527"/>
      <c r="F1210" s="1527"/>
    </row>
    <row r="1211" spans="5:6">
      <c r="E1211" s="1527"/>
      <c r="F1211" s="1527"/>
    </row>
    <row r="1212" spans="5:6">
      <c r="E1212" s="1527"/>
      <c r="F1212" s="1527"/>
    </row>
    <row r="1213" spans="5:6">
      <c r="E1213" s="1527"/>
      <c r="F1213" s="1527"/>
    </row>
    <row r="1214" spans="5:6">
      <c r="E1214" s="1527"/>
      <c r="F1214" s="1527"/>
    </row>
    <row r="1215" spans="5:6">
      <c r="E1215" s="1527"/>
      <c r="F1215" s="1527"/>
    </row>
    <row r="1216" spans="5:6">
      <c r="E1216" s="1527"/>
      <c r="F1216" s="1527"/>
    </row>
    <row r="1217" spans="5:6">
      <c r="E1217" s="1527"/>
      <c r="F1217" s="1527"/>
    </row>
    <row r="1218" spans="5:6">
      <c r="E1218" s="1527"/>
      <c r="F1218" s="1527"/>
    </row>
    <row r="1219" spans="5:6">
      <c r="E1219" s="1527"/>
      <c r="F1219" s="1527"/>
    </row>
    <row r="1220" spans="5:6">
      <c r="E1220" s="1527"/>
      <c r="F1220" s="1527"/>
    </row>
    <row r="1221" spans="5:6">
      <c r="E1221" s="1527"/>
      <c r="F1221" s="1527"/>
    </row>
    <row r="1222" spans="5:6">
      <c r="E1222" s="1527"/>
      <c r="F1222" s="1527"/>
    </row>
    <row r="1223" spans="5:6">
      <c r="E1223" s="1527"/>
      <c r="F1223" s="1527"/>
    </row>
    <row r="1224" spans="5:6">
      <c r="E1224" s="1527"/>
      <c r="F1224" s="1527"/>
    </row>
    <row r="1225" spans="5:6">
      <c r="E1225" s="1527"/>
      <c r="F1225" s="1527"/>
    </row>
    <row r="1226" spans="5:6">
      <c r="E1226" s="1527"/>
      <c r="F1226" s="1527"/>
    </row>
    <row r="1227" spans="5:6">
      <c r="E1227" s="1527"/>
      <c r="F1227" s="1527"/>
    </row>
    <row r="1228" spans="5:6">
      <c r="E1228" s="1527"/>
      <c r="F1228" s="1527"/>
    </row>
    <row r="1229" spans="5:6">
      <c r="E1229" s="1527"/>
      <c r="F1229" s="1527"/>
    </row>
    <row r="1230" spans="5:6">
      <c r="E1230" s="1527"/>
      <c r="F1230" s="1527"/>
    </row>
    <row r="1231" spans="5:6">
      <c r="E1231" s="1527"/>
      <c r="F1231" s="1527"/>
    </row>
    <row r="1232" spans="5:6">
      <c r="E1232" s="1527"/>
      <c r="F1232" s="1527"/>
    </row>
    <row r="1233" spans="5:6">
      <c r="E1233" s="1527"/>
      <c r="F1233" s="1527"/>
    </row>
    <row r="1234" spans="5:6">
      <c r="E1234" s="1527"/>
      <c r="F1234" s="1527"/>
    </row>
    <row r="1235" spans="5:6">
      <c r="E1235" s="1527"/>
      <c r="F1235" s="1527"/>
    </row>
    <row r="1236" spans="5:6">
      <c r="E1236" s="1527"/>
      <c r="F1236" s="1527"/>
    </row>
    <row r="1237" spans="5:6">
      <c r="E1237" s="1527"/>
      <c r="F1237" s="1527"/>
    </row>
    <row r="1238" spans="5:6">
      <c r="E1238" s="1527"/>
      <c r="F1238" s="1527"/>
    </row>
    <row r="1239" spans="5:6">
      <c r="E1239" s="1527"/>
      <c r="F1239" s="1527"/>
    </row>
    <row r="1240" spans="5:6">
      <c r="E1240" s="1527"/>
      <c r="F1240" s="1527"/>
    </row>
    <row r="1241" spans="5:6">
      <c r="E1241" s="1527"/>
      <c r="F1241" s="1527"/>
    </row>
    <row r="1242" spans="5:6">
      <c r="E1242" s="1527"/>
      <c r="F1242" s="1527"/>
    </row>
    <row r="1243" spans="5:6">
      <c r="E1243" s="1527"/>
      <c r="F1243" s="1527"/>
    </row>
    <row r="1244" spans="5:6">
      <c r="E1244" s="1527"/>
      <c r="F1244" s="1527"/>
    </row>
    <row r="1245" spans="5:6">
      <c r="E1245" s="1527"/>
      <c r="F1245" s="1527"/>
    </row>
    <row r="1246" spans="5:6">
      <c r="E1246" s="1527"/>
      <c r="F1246" s="1527"/>
    </row>
    <row r="1247" spans="5:6">
      <c r="E1247" s="1527"/>
      <c r="F1247" s="1527"/>
    </row>
    <row r="1248" spans="5:6">
      <c r="E1248" s="1527"/>
      <c r="F1248" s="1527"/>
    </row>
    <row r="1249" spans="5:6">
      <c r="E1249" s="1527"/>
      <c r="F1249" s="1527"/>
    </row>
    <row r="1250" spans="5:6">
      <c r="E1250" s="1527"/>
      <c r="F1250" s="1527"/>
    </row>
    <row r="1251" spans="5:6">
      <c r="E1251" s="1527"/>
      <c r="F1251" s="1527"/>
    </row>
    <row r="1252" spans="5:6">
      <c r="E1252" s="1527"/>
      <c r="F1252" s="1527"/>
    </row>
    <row r="1253" spans="5:6">
      <c r="E1253" s="1527"/>
      <c r="F1253" s="1527"/>
    </row>
    <row r="1254" spans="5:6">
      <c r="E1254" s="1527"/>
      <c r="F1254" s="1527"/>
    </row>
    <row r="1255" spans="5:6">
      <c r="E1255" s="1527"/>
      <c r="F1255" s="1527"/>
    </row>
    <row r="1256" spans="5:6">
      <c r="E1256" s="1527"/>
      <c r="F1256" s="1527"/>
    </row>
    <row r="1257" spans="5:6">
      <c r="E1257" s="1527"/>
      <c r="F1257" s="1527"/>
    </row>
    <row r="1258" spans="5:6">
      <c r="E1258" s="1527"/>
      <c r="F1258" s="1527"/>
    </row>
    <row r="1259" spans="5:6">
      <c r="E1259" s="1527"/>
      <c r="F1259" s="1527"/>
    </row>
    <row r="1260" spans="5:6">
      <c r="E1260" s="1527"/>
      <c r="F1260" s="1527"/>
    </row>
    <row r="1261" spans="5:6">
      <c r="E1261" s="1527"/>
      <c r="F1261" s="1527"/>
    </row>
    <row r="1262" spans="5:6">
      <c r="E1262" s="1527"/>
      <c r="F1262" s="1527"/>
    </row>
    <row r="1263" spans="5:6">
      <c r="E1263" s="1527"/>
      <c r="F1263" s="1527"/>
    </row>
    <row r="1264" spans="5:6">
      <c r="E1264" s="1527"/>
      <c r="F1264" s="1527"/>
    </row>
    <row r="1265" spans="5:6">
      <c r="E1265" s="1527"/>
      <c r="F1265" s="1527"/>
    </row>
    <row r="1266" spans="5:6">
      <c r="E1266" s="1527"/>
      <c r="F1266" s="1527"/>
    </row>
    <row r="1267" spans="5:6">
      <c r="E1267" s="1527"/>
      <c r="F1267" s="1527"/>
    </row>
    <row r="1268" spans="5:6">
      <c r="E1268" s="1527"/>
      <c r="F1268" s="1527"/>
    </row>
    <row r="1269" spans="5:6">
      <c r="E1269" s="1527"/>
      <c r="F1269" s="1527"/>
    </row>
    <row r="1270" spans="5:6">
      <c r="E1270" s="1527"/>
      <c r="F1270" s="1527"/>
    </row>
    <row r="1271" spans="5:6">
      <c r="E1271" s="1527"/>
      <c r="F1271" s="1527"/>
    </row>
    <row r="1272" spans="5:6">
      <c r="E1272" s="1527"/>
      <c r="F1272" s="1527"/>
    </row>
    <row r="1273" spans="5:6">
      <c r="E1273" s="1527"/>
      <c r="F1273" s="1527"/>
    </row>
    <row r="1274" spans="5:6">
      <c r="E1274" s="1527"/>
      <c r="F1274" s="1527"/>
    </row>
    <row r="1275" spans="5:6">
      <c r="E1275" s="1527"/>
      <c r="F1275" s="1527"/>
    </row>
    <row r="1276" spans="5:6">
      <c r="E1276" s="1527"/>
      <c r="F1276" s="1527"/>
    </row>
    <row r="1277" spans="5:6">
      <c r="E1277" s="1527"/>
      <c r="F1277" s="1527"/>
    </row>
    <row r="1278" spans="5:6">
      <c r="E1278" s="1527"/>
      <c r="F1278" s="1527"/>
    </row>
    <row r="1279" spans="5:6">
      <c r="E1279" s="1527"/>
      <c r="F1279" s="1527"/>
    </row>
    <row r="1280" spans="5:6">
      <c r="E1280" s="1527"/>
      <c r="F1280" s="1527"/>
    </row>
    <row r="1281" spans="5:6">
      <c r="E1281" s="1527"/>
      <c r="F1281" s="1527"/>
    </row>
    <row r="1282" spans="5:6">
      <c r="E1282" s="1527"/>
      <c r="F1282" s="1527"/>
    </row>
    <row r="1283" spans="5:6">
      <c r="E1283" s="1527"/>
      <c r="F1283" s="1527"/>
    </row>
    <row r="1284" spans="5:6">
      <c r="E1284" s="1527"/>
      <c r="F1284" s="1527"/>
    </row>
    <row r="1285" spans="5:6">
      <c r="E1285" s="1527"/>
      <c r="F1285" s="1527"/>
    </row>
    <row r="1286" spans="5:6">
      <c r="E1286" s="1527"/>
      <c r="F1286" s="1527"/>
    </row>
    <row r="1287" spans="5:6">
      <c r="E1287" s="1527"/>
      <c r="F1287" s="1527"/>
    </row>
    <row r="1288" spans="5:6">
      <c r="E1288" s="1527"/>
      <c r="F1288" s="1527"/>
    </row>
    <row r="1289" spans="5:6">
      <c r="E1289" s="1527"/>
      <c r="F1289" s="1527"/>
    </row>
    <row r="1290" spans="5:6">
      <c r="E1290" s="1527"/>
      <c r="F1290" s="1527"/>
    </row>
    <row r="1291" spans="5:6">
      <c r="E1291" s="1527"/>
      <c r="F1291" s="1527"/>
    </row>
    <row r="1292" spans="5:6">
      <c r="E1292" s="1527"/>
      <c r="F1292" s="1527"/>
    </row>
    <row r="1293" spans="5:6">
      <c r="E1293" s="1527"/>
      <c r="F1293" s="1527"/>
    </row>
    <row r="1294" spans="5:6">
      <c r="E1294" s="1527"/>
      <c r="F1294" s="1527"/>
    </row>
    <row r="1295" spans="5:6">
      <c r="E1295" s="1527"/>
      <c r="F1295" s="1527"/>
    </row>
    <row r="1296" spans="5:6">
      <c r="E1296" s="1527"/>
      <c r="F1296" s="1527"/>
    </row>
    <row r="1297" spans="5:6">
      <c r="E1297" s="1527"/>
      <c r="F1297" s="1527"/>
    </row>
    <row r="1298" spans="5:6">
      <c r="E1298" s="1527"/>
      <c r="F1298" s="1527"/>
    </row>
    <row r="1299" spans="5:6">
      <c r="E1299" s="1527"/>
      <c r="F1299" s="1527"/>
    </row>
    <row r="1300" spans="5:6">
      <c r="E1300" s="1527"/>
      <c r="F1300" s="1527"/>
    </row>
    <row r="1301" spans="5:6">
      <c r="E1301" s="1527"/>
      <c r="F1301" s="1527"/>
    </row>
    <row r="1302" spans="5:6">
      <c r="E1302" s="1527"/>
      <c r="F1302" s="1527"/>
    </row>
    <row r="1303" spans="5:6">
      <c r="E1303" s="1527"/>
      <c r="F1303" s="1527"/>
    </row>
    <row r="1304" spans="5:6">
      <c r="E1304" s="1527"/>
      <c r="F1304" s="1527"/>
    </row>
    <row r="1305" spans="5:6">
      <c r="E1305" s="1527"/>
      <c r="F1305" s="1527"/>
    </row>
    <row r="1306" spans="5:6">
      <c r="E1306" s="1527"/>
      <c r="F1306" s="1527"/>
    </row>
    <row r="1307" spans="5:6">
      <c r="E1307" s="1527"/>
      <c r="F1307" s="1527"/>
    </row>
    <row r="1308" spans="5:6">
      <c r="E1308" s="1527"/>
      <c r="F1308" s="1527"/>
    </row>
    <row r="1309" spans="5:6">
      <c r="E1309" s="1527"/>
      <c r="F1309" s="1527"/>
    </row>
    <row r="1310" spans="5:6">
      <c r="E1310" s="1527"/>
      <c r="F1310" s="1527"/>
    </row>
    <row r="1311" spans="5:6">
      <c r="E1311" s="1527"/>
      <c r="F1311" s="1527"/>
    </row>
    <row r="1312" spans="5:6">
      <c r="E1312" s="1527"/>
      <c r="F1312" s="1527"/>
    </row>
    <row r="1313" spans="5:6">
      <c r="E1313" s="1527"/>
      <c r="F1313" s="1527"/>
    </row>
    <row r="1314" spans="5:6">
      <c r="E1314" s="1527"/>
      <c r="F1314" s="1527"/>
    </row>
    <row r="1315" spans="5:6">
      <c r="E1315" s="1527"/>
      <c r="F1315" s="1527"/>
    </row>
    <row r="1316" spans="5:6">
      <c r="E1316" s="1527"/>
      <c r="F1316" s="1527"/>
    </row>
    <row r="1317" spans="5:6">
      <c r="E1317" s="1527"/>
      <c r="F1317" s="1527"/>
    </row>
    <row r="1318" spans="5:6">
      <c r="E1318" s="1527"/>
      <c r="F1318" s="1527"/>
    </row>
    <row r="1319" spans="5:6">
      <c r="E1319" s="1527"/>
      <c r="F1319" s="1527"/>
    </row>
    <row r="1320" spans="5:6">
      <c r="E1320" s="1527"/>
      <c r="F1320" s="1527"/>
    </row>
    <row r="1321" spans="5:6">
      <c r="E1321" s="1527"/>
      <c r="F1321" s="1527"/>
    </row>
    <row r="1322" spans="5:6">
      <c r="E1322" s="1527"/>
      <c r="F1322" s="1527"/>
    </row>
    <row r="1323" spans="5:6">
      <c r="E1323" s="1527"/>
      <c r="F1323" s="1527"/>
    </row>
    <row r="1324" spans="5:6">
      <c r="E1324" s="1527"/>
      <c r="F1324" s="1527"/>
    </row>
    <row r="1325" spans="5:6">
      <c r="E1325" s="1527"/>
      <c r="F1325" s="1527"/>
    </row>
    <row r="1326" spans="5:6">
      <c r="E1326" s="1527"/>
      <c r="F1326" s="1527"/>
    </row>
    <row r="1327" spans="5:6">
      <c r="E1327" s="1527"/>
      <c r="F1327" s="1527"/>
    </row>
    <row r="1328" spans="5:6">
      <c r="E1328" s="1527"/>
      <c r="F1328" s="1527"/>
    </row>
    <row r="1329" spans="5:6">
      <c r="E1329" s="1527"/>
      <c r="F1329" s="1527"/>
    </row>
    <row r="1330" spans="5:6">
      <c r="E1330" s="1527"/>
      <c r="F1330" s="1527"/>
    </row>
    <row r="1331" spans="5:6">
      <c r="E1331" s="1527"/>
      <c r="F1331" s="1527"/>
    </row>
    <row r="1332" spans="5:6">
      <c r="E1332" s="1527"/>
      <c r="F1332" s="1527"/>
    </row>
    <row r="1333" spans="5:6">
      <c r="E1333" s="1527"/>
      <c r="F1333" s="1527"/>
    </row>
    <row r="1334" spans="5:6">
      <c r="E1334" s="1527"/>
      <c r="F1334" s="1527"/>
    </row>
    <row r="1335" spans="5:6">
      <c r="E1335" s="1527"/>
      <c r="F1335" s="1527"/>
    </row>
    <row r="1336" spans="5:6">
      <c r="E1336" s="1527"/>
      <c r="F1336" s="1527"/>
    </row>
    <row r="1337" spans="5:6">
      <c r="E1337" s="1527"/>
      <c r="F1337" s="1527"/>
    </row>
    <row r="1338" spans="5:6">
      <c r="E1338" s="1527"/>
      <c r="F1338" s="1527"/>
    </row>
    <row r="1339" spans="5:6">
      <c r="E1339" s="1527"/>
      <c r="F1339" s="1527"/>
    </row>
    <row r="1340" spans="5:6">
      <c r="E1340" s="1527"/>
      <c r="F1340" s="1527"/>
    </row>
    <row r="1341" spans="5:6">
      <c r="E1341" s="1527"/>
      <c r="F1341" s="1527"/>
    </row>
    <row r="1342" spans="5:6">
      <c r="E1342" s="1527"/>
      <c r="F1342" s="1527"/>
    </row>
    <row r="1343" spans="5:6">
      <c r="E1343" s="1527"/>
      <c r="F1343" s="1527"/>
    </row>
    <row r="1344" spans="5:6">
      <c r="E1344" s="1527"/>
      <c r="F1344" s="1527"/>
    </row>
    <row r="1345" spans="5:6">
      <c r="E1345" s="1527"/>
      <c r="F1345" s="1527"/>
    </row>
    <row r="1346" spans="5:6">
      <c r="E1346" s="1527"/>
      <c r="F1346" s="1527"/>
    </row>
    <row r="1347" spans="5:6">
      <c r="E1347" s="1527"/>
      <c r="F1347" s="1527"/>
    </row>
    <row r="1348" spans="5:6">
      <c r="E1348" s="1527"/>
      <c r="F1348" s="1527"/>
    </row>
    <row r="1349" spans="5:6">
      <c r="E1349" s="1527"/>
      <c r="F1349" s="1527"/>
    </row>
    <row r="1350" spans="5:6">
      <c r="E1350" s="1527"/>
      <c r="F1350" s="1527"/>
    </row>
    <row r="1351" spans="5:6">
      <c r="E1351" s="1527"/>
      <c r="F1351" s="1527"/>
    </row>
    <row r="1352" spans="5:6">
      <c r="E1352" s="1527"/>
      <c r="F1352" s="1527"/>
    </row>
    <row r="1353" spans="5:6">
      <c r="E1353" s="1527"/>
      <c r="F1353" s="1527"/>
    </row>
    <row r="1354" spans="5:6">
      <c r="E1354" s="1527"/>
      <c r="F1354" s="1527"/>
    </row>
    <row r="1355" spans="5:6">
      <c r="E1355" s="1527"/>
      <c r="F1355" s="1527"/>
    </row>
    <row r="1356" spans="5:6">
      <c r="E1356" s="1527"/>
      <c r="F1356" s="1527"/>
    </row>
    <row r="1357" spans="5:6">
      <c r="E1357" s="1527"/>
      <c r="F1357" s="1527"/>
    </row>
    <row r="1358" spans="5:6">
      <c r="E1358" s="1527"/>
      <c r="F1358" s="1527"/>
    </row>
    <row r="1359" spans="5:6">
      <c r="E1359" s="1527"/>
      <c r="F1359" s="1527"/>
    </row>
    <row r="1360" spans="5:6">
      <c r="E1360" s="1527"/>
      <c r="F1360" s="1527"/>
    </row>
    <row r="1361" spans="5:6">
      <c r="E1361" s="1527"/>
      <c r="F1361" s="1527"/>
    </row>
    <row r="1362" spans="5:6">
      <c r="E1362" s="1527"/>
      <c r="F1362" s="1527"/>
    </row>
    <row r="1363" spans="5:6">
      <c r="E1363" s="1527"/>
      <c r="F1363" s="1527"/>
    </row>
    <row r="1364" spans="5:6">
      <c r="E1364" s="1527"/>
      <c r="F1364" s="1527"/>
    </row>
    <row r="1365" spans="5:6">
      <c r="E1365" s="1527"/>
      <c r="F1365" s="1527"/>
    </row>
    <row r="1366" spans="5:6">
      <c r="E1366" s="1527"/>
      <c r="F1366" s="1527"/>
    </row>
    <row r="1367" spans="5:6">
      <c r="E1367" s="1527"/>
      <c r="F1367" s="1527"/>
    </row>
    <row r="1368" spans="5:6">
      <c r="E1368" s="1527"/>
      <c r="F1368" s="1527"/>
    </row>
    <row r="1369" spans="5:6">
      <c r="E1369" s="1527"/>
      <c r="F1369" s="1527"/>
    </row>
    <row r="1370" spans="5:6">
      <c r="E1370" s="1527"/>
      <c r="F1370" s="1527"/>
    </row>
    <row r="1371" spans="5:6">
      <c r="E1371" s="1527"/>
      <c r="F1371" s="1527"/>
    </row>
    <row r="1372" spans="5:6">
      <c r="E1372" s="1527"/>
      <c r="F1372" s="1527"/>
    </row>
    <row r="1373" spans="5:6">
      <c r="E1373" s="1527"/>
      <c r="F1373" s="1527"/>
    </row>
    <row r="1374" spans="5:6">
      <c r="E1374" s="1527"/>
      <c r="F1374" s="1527"/>
    </row>
    <row r="1375" spans="5:6">
      <c r="E1375" s="1527"/>
      <c r="F1375" s="1527"/>
    </row>
    <row r="1376" spans="5:6">
      <c r="E1376" s="1527"/>
      <c r="F1376" s="1527"/>
    </row>
    <row r="1377" spans="5:6">
      <c r="E1377" s="1527"/>
      <c r="F1377" s="1527"/>
    </row>
    <row r="1378" spans="5:6">
      <c r="E1378" s="1527"/>
      <c r="F1378" s="1527"/>
    </row>
    <row r="1379" spans="5:6">
      <c r="E1379" s="1527"/>
      <c r="F1379" s="1527"/>
    </row>
    <row r="1380" spans="5:6">
      <c r="E1380" s="1527"/>
      <c r="F1380" s="1527"/>
    </row>
    <row r="1381" spans="5:6">
      <c r="E1381" s="1527"/>
      <c r="F1381" s="1527"/>
    </row>
    <row r="1382" spans="5:6">
      <c r="E1382" s="1527"/>
      <c r="F1382" s="1527"/>
    </row>
    <row r="1383" spans="5:6">
      <c r="E1383" s="1527"/>
      <c r="F1383" s="1527"/>
    </row>
    <row r="1384" spans="5:6">
      <c r="E1384" s="1527"/>
      <c r="F1384" s="1527"/>
    </row>
    <row r="1385" spans="5:6">
      <c r="E1385" s="1527"/>
      <c r="F1385" s="1527"/>
    </row>
    <row r="1386" spans="5:6">
      <c r="E1386" s="1527"/>
      <c r="F1386" s="1527"/>
    </row>
    <row r="1387" spans="5:6">
      <c r="E1387" s="1527"/>
      <c r="F1387" s="1527"/>
    </row>
    <row r="1388" spans="5:6">
      <c r="E1388" s="1527"/>
      <c r="F1388" s="1527"/>
    </row>
    <row r="1389" spans="5:6">
      <c r="E1389" s="1527"/>
      <c r="F1389" s="1527"/>
    </row>
    <row r="1390" spans="5:6">
      <c r="E1390" s="1527"/>
      <c r="F1390" s="1527"/>
    </row>
    <row r="1391" spans="5:6">
      <c r="E1391" s="1527"/>
      <c r="F1391" s="1527"/>
    </row>
    <row r="1392" spans="5:6">
      <c r="E1392" s="1527"/>
      <c r="F1392" s="1527"/>
    </row>
    <row r="1393" spans="5:6">
      <c r="E1393" s="1527"/>
      <c r="F1393" s="1527"/>
    </row>
    <row r="1394" spans="5:6">
      <c r="E1394" s="1527"/>
      <c r="F1394" s="1527"/>
    </row>
    <row r="1395" spans="5:6">
      <c r="E1395" s="1527"/>
      <c r="F1395" s="1527"/>
    </row>
    <row r="1396" spans="5:6">
      <c r="E1396" s="1527"/>
      <c r="F1396" s="1527"/>
    </row>
    <row r="1397" spans="5:6">
      <c r="E1397" s="1527"/>
      <c r="F1397" s="1527"/>
    </row>
    <row r="1398" spans="5:6">
      <c r="E1398" s="1527"/>
      <c r="F1398" s="1527"/>
    </row>
    <row r="1399" spans="5:6">
      <c r="E1399" s="1527"/>
      <c r="F1399" s="1527"/>
    </row>
    <row r="1400" spans="5:6">
      <c r="E1400" s="1527"/>
      <c r="F1400" s="1527"/>
    </row>
    <row r="1401" spans="5:6">
      <c r="E1401" s="1527"/>
      <c r="F1401" s="1527"/>
    </row>
    <row r="1402" spans="5:6">
      <c r="E1402" s="1527"/>
      <c r="F1402" s="1527"/>
    </row>
    <row r="1403" spans="5:6">
      <c r="E1403" s="1527"/>
      <c r="F1403" s="1527"/>
    </row>
    <row r="1404" spans="5:6">
      <c r="E1404" s="1527"/>
      <c r="F1404" s="1527"/>
    </row>
    <row r="1405" spans="5:6">
      <c r="E1405" s="1527"/>
      <c r="F1405" s="1527"/>
    </row>
    <row r="1406" spans="5:6">
      <c r="E1406" s="1527"/>
      <c r="F1406" s="1527"/>
    </row>
    <row r="1407" spans="5:6">
      <c r="E1407" s="1527"/>
      <c r="F1407" s="1527"/>
    </row>
    <row r="1408" spans="5:6">
      <c r="E1408" s="1527"/>
      <c r="F1408" s="1527"/>
    </row>
    <row r="1409" spans="5:6">
      <c r="E1409" s="1527"/>
      <c r="F1409" s="1527"/>
    </row>
    <row r="1410" spans="5:6">
      <c r="E1410" s="1527"/>
      <c r="F1410" s="1527"/>
    </row>
    <row r="1411" spans="5:6">
      <c r="E1411" s="1527"/>
      <c r="F1411" s="1527"/>
    </row>
    <row r="1412" spans="5:6">
      <c r="E1412" s="1527"/>
      <c r="F1412" s="1527"/>
    </row>
    <row r="1413" spans="5:6">
      <c r="E1413" s="1527"/>
      <c r="F1413" s="1527"/>
    </row>
    <row r="1414" spans="5:6">
      <c r="E1414" s="1527"/>
      <c r="F1414" s="1527"/>
    </row>
    <row r="1415" spans="5:6">
      <c r="E1415" s="1527"/>
      <c r="F1415" s="1527"/>
    </row>
    <row r="1416" spans="5:6">
      <c r="E1416" s="1527"/>
      <c r="F1416" s="1527"/>
    </row>
    <row r="1417" spans="5:6">
      <c r="E1417" s="1527"/>
      <c r="F1417" s="1527"/>
    </row>
    <row r="1418" spans="5:6">
      <c r="E1418" s="1527"/>
      <c r="F1418" s="1527"/>
    </row>
    <row r="1419" spans="5:6">
      <c r="E1419" s="1527"/>
      <c r="F1419" s="1527"/>
    </row>
    <row r="1420" spans="5:6">
      <c r="E1420" s="1527"/>
      <c r="F1420" s="1527"/>
    </row>
    <row r="1421" spans="5:6">
      <c r="E1421" s="1527"/>
      <c r="F1421" s="1527"/>
    </row>
    <row r="1422" spans="5:6">
      <c r="E1422" s="1527"/>
      <c r="F1422" s="1527"/>
    </row>
    <row r="1423" spans="5:6">
      <c r="E1423" s="1527"/>
      <c r="F1423" s="1527"/>
    </row>
    <row r="1424" spans="5:6">
      <c r="E1424" s="1527"/>
      <c r="F1424" s="1527"/>
    </row>
    <row r="1425" spans="5:6">
      <c r="E1425" s="1527"/>
      <c r="F1425" s="1527"/>
    </row>
    <row r="1426" spans="5:6">
      <c r="E1426" s="1527"/>
      <c r="F1426" s="1527"/>
    </row>
    <row r="1427" spans="5:6">
      <c r="E1427" s="1527"/>
      <c r="F1427" s="1527"/>
    </row>
    <row r="1428" spans="5:6">
      <c r="E1428" s="1527"/>
      <c r="F1428" s="1527"/>
    </row>
    <row r="1429" spans="5:6">
      <c r="E1429" s="1527"/>
      <c r="F1429" s="1527"/>
    </row>
    <row r="1430" spans="5:6">
      <c r="E1430" s="1527"/>
      <c r="F1430" s="1527"/>
    </row>
    <row r="1431" spans="5:6">
      <c r="E1431" s="1527"/>
      <c r="F1431" s="1527"/>
    </row>
    <row r="1432" spans="5:6">
      <c r="E1432" s="1527"/>
      <c r="F1432" s="1527"/>
    </row>
    <row r="1433" spans="5:6">
      <c r="E1433" s="1527"/>
      <c r="F1433" s="1527"/>
    </row>
    <row r="1434" spans="5:6">
      <c r="E1434" s="1527"/>
      <c r="F1434" s="1527"/>
    </row>
    <row r="1435" spans="5:6">
      <c r="E1435" s="1527"/>
      <c r="F1435" s="1527"/>
    </row>
    <row r="1436" spans="5:6">
      <c r="E1436" s="1527"/>
      <c r="F1436" s="1527"/>
    </row>
    <row r="1437" spans="5:6">
      <c r="E1437" s="1527"/>
      <c r="F1437" s="1527"/>
    </row>
    <row r="1438" spans="5:6">
      <c r="E1438" s="1527"/>
      <c r="F1438" s="1527"/>
    </row>
    <row r="1439" spans="5:6">
      <c r="E1439" s="1527"/>
      <c r="F1439" s="1527"/>
    </row>
    <row r="1440" spans="5:6">
      <c r="E1440" s="1527"/>
      <c r="F1440" s="1527"/>
    </row>
    <row r="1441" spans="5:6">
      <c r="E1441" s="1527"/>
      <c r="F1441" s="1527"/>
    </row>
    <row r="1442" spans="5:6">
      <c r="E1442" s="1527"/>
      <c r="F1442" s="1527"/>
    </row>
    <row r="1443" spans="5:6">
      <c r="E1443" s="1527"/>
      <c r="F1443" s="1527"/>
    </row>
    <row r="1444" spans="5:6">
      <c r="E1444" s="1527"/>
      <c r="F1444" s="1527"/>
    </row>
    <row r="1445" spans="5:6">
      <c r="E1445" s="1527"/>
      <c r="F1445" s="1527"/>
    </row>
    <row r="1446" spans="5:6">
      <c r="E1446" s="1527"/>
      <c r="F1446" s="1527"/>
    </row>
    <row r="1447" spans="5:6">
      <c r="E1447" s="1527"/>
      <c r="F1447" s="1527"/>
    </row>
    <row r="1448" spans="5:6">
      <c r="E1448" s="1527"/>
      <c r="F1448" s="1527"/>
    </row>
    <row r="1449" spans="5:6">
      <c r="E1449" s="1527"/>
      <c r="F1449" s="1527"/>
    </row>
    <row r="1450" spans="5:6">
      <c r="E1450" s="1527"/>
      <c r="F1450" s="1527"/>
    </row>
    <row r="1451" spans="5:6">
      <c r="E1451" s="1527"/>
      <c r="F1451" s="1527"/>
    </row>
    <row r="1452" spans="5:6">
      <c r="E1452" s="1527"/>
      <c r="F1452" s="1527"/>
    </row>
    <row r="1453" spans="5:6">
      <c r="E1453" s="1527"/>
      <c r="F1453" s="1527"/>
    </row>
    <row r="1454" spans="5:6">
      <c r="E1454" s="1527"/>
      <c r="F1454" s="1527"/>
    </row>
    <row r="1455" spans="5:6">
      <c r="E1455" s="1527"/>
      <c r="F1455" s="1527"/>
    </row>
    <row r="1456" spans="5:6">
      <c r="E1456" s="1527"/>
      <c r="F1456" s="1527"/>
    </row>
    <row r="1457" spans="5:6">
      <c r="E1457" s="1527"/>
      <c r="F1457" s="1527"/>
    </row>
    <row r="1458" spans="5:6">
      <c r="E1458" s="1527"/>
      <c r="F1458" s="1527"/>
    </row>
    <row r="1459" spans="5:6">
      <c r="E1459" s="1527"/>
      <c r="F1459" s="1527"/>
    </row>
    <row r="1460" spans="5:6">
      <c r="E1460" s="1527"/>
      <c r="F1460" s="1527"/>
    </row>
    <row r="1461" spans="5:6">
      <c r="E1461" s="1527"/>
      <c r="F1461" s="1527"/>
    </row>
    <row r="1462" spans="5:6">
      <c r="E1462" s="1527"/>
      <c r="F1462" s="1527"/>
    </row>
    <row r="1463" spans="5:6">
      <c r="E1463" s="1527"/>
      <c r="F1463" s="1527"/>
    </row>
    <row r="1464" spans="5:6">
      <c r="E1464" s="1527"/>
      <c r="F1464" s="1527"/>
    </row>
    <row r="1465" spans="5:6">
      <c r="E1465" s="1527"/>
      <c r="F1465" s="1527"/>
    </row>
    <row r="1466" spans="5:6">
      <c r="E1466" s="1527"/>
      <c r="F1466" s="1527"/>
    </row>
    <row r="1467" spans="5:6">
      <c r="E1467" s="1527"/>
      <c r="F1467" s="1527"/>
    </row>
    <row r="1468" spans="5:6">
      <c r="E1468" s="1527"/>
      <c r="F1468" s="1527"/>
    </row>
    <row r="1469" spans="5:6">
      <c r="E1469" s="1527"/>
      <c r="F1469" s="1527"/>
    </row>
    <row r="1470" spans="5:6">
      <c r="E1470" s="1527"/>
      <c r="F1470" s="1527"/>
    </row>
    <row r="1471" spans="5:6">
      <c r="E1471" s="1527"/>
      <c r="F1471" s="1527"/>
    </row>
    <row r="1472" spans="5:6">
      <c r="E1472" s="1527"/>
      <c r="F1472" s="1527"/>
    </row>
    <row r="1473" spans="5:6">
      <c r="E1473" s="1527"/>
      <c r="F1473" s="1527"/>
    </row>
    <row r="1474" spans="5:6">
      <c r="E1474" s="1527"/>
      <c r="F1474" s="1527"/>
    </row>
    <row r="1475" spans="5:6">
      <c r="E1475" s="1527"/>
      <c r="F1475" s="1527"/>
    </row>
    <row r="1476" spans="5:6">
      <c r="E1476" s="1527"/>
      <c r="F1476" s="1527"/>
    </row>
    <row r="1477" spans="5:6">
      <c r="E1477" s="1527"/>
      <c r="F1477" s="1527"/>
    </row>
    <row r="1478" spans="5:6">
      <c r="E1478" s="1527"/>
      <c r="F1478" s="1527"/>
    </row>
    <row r="1479" spans="5:6">
      <c r="E1479" s="1527"/>
      <c r="F1479" s="1527"/>
    </row>
    <row r="1480" spans="5:6">
      <c r="E1480" s="1527"/>
      <c r="F1480" s="1527"/>
    </row>
    <row r="1481" spans="5:6">
      <c r="E1481" s="1527"/>
      <c r="F1481" s="1527"/>
    </row>
    <row r="1482" spans="5:6">
      <c r="E1482" s="1527"/>
      <c r="F1482" s="1527"/>
    </row>
    <row r="1483" spans="5:6">
      <c r="E1483" s="1527"/>
      <c r="F1483" s="1527"/>
    </row>
    <row r="1484" spans="5:6">
      <c r="E1484" s="1527"/>
      <c r="F1484" s="1527"/>
    </row>
    <row r="1485" spans="5:6">
      <c r="E1485" s="1527"/>
      <c r="F1485" s="1527"/>
    </row>
    <row r="1486" spans="5:6">
      <c r="E1486" s="1527"/>
      <c r="F1486" s="1527"/>
    </row>
    <row r="1487" spans="5:6">
      <c r="E1487" s="1527"/>
      <c r="F1487" s="1527"/>
    </row>
    <row r="1488" spans="5:6">
      <c r="E1488" s="1527"/>
      <c r="F1488" s="1527"/>
    </row>
    <row r="1489" spans="5:6">
      <c r="E1489" s="1527"/>
      <c r="F1489" s="1527"/>
    </row>
    <row r="1490" spans="5:6">
      <c r="E1490" s="1527"/>
      <c r="F1490" s="1527"/>
    </row>
    <row r="1491" spans="5:6">
      <c r="E1491" s="1527"/>
      <c r="F1491" s="1527"/>
    </row>
    <row r="1492" spans="5:6">
      <c r="E1492" s="1527"/>
      <c r="F1492" s="1527"/>
    </row>
    <row r="1493" spans="5:6">
      <c r="E1493" s="1527"/>
      <c r="F1493" s="1527"/>
    </row>
    <row r="1494" spans="5:6">
      <c r="E1494" s="1527"/>
      <c r="F1494" s="1527"/>
    </row>
    <row r="1495" spans="5:6">
      <c r="E1495" s="1527"/>
      <c r="F1495" s="1527"/>
    </row>
    <row r="1496" spans="5:6">
      <c r="E1496" s="1527"/>
      <c r="F1496" s="1527"/>
    </row>
    <row r="1497" spans="5:6">
      <c r="E1497" s="1527"/>
      <c r="F1497" s="1527"/>
    </row>
    <row r="1498" spans="5:6">
      <c r="E1498" s="1527"/>
      <c r="F1498" s="1527"/>
    </row>
    <row r="1499" spans="5:6">
      <c r="E1499" s="1527"/>
      <c r="F1499" s="1527"/>
    </row>
    <row r="1500" spans="5:6">
      <c r="E1500" s="1527"/>
      <c r="F1500" s="1527"/>
    </row>
    <row r="1501" spans="5:6">
      <c r="E1501" s="1527"/>
      <c r="F1501" s="1527"/>
    </row>
    <row r="1502" spans="5:6">
      <c r="E1502" s="1527"/>
      <c r="F1502" s="1527"/>
    </row>
    <row r="1503" spans="5:6">
      <c r="E1503" s="1527"/>
      <c r="F1503" s="1527"/>
    </row>
    <row r="1504" spans="5:6">
      <c r="E1504" s="1527"/>
      <c r="F1504" s="1527"/>
    </row>
    <row r="1505" spans="5:6">
      <c r="E1505" s="1527"/>
      <c r="F1505" s="1527"/>
    </row>
    <row r="1506" spans="5:6">
      <c r="E1506" s="1527"/>
      <c r="F1506" s="1527"/>
    </row>
    <row r="1507" spans="5:6">
      <c r="E1507" s="1527"/>
      <c r="F1507" s="1527"/>
    </row>
    <row r="1508" spans="5:6">
      <c r="E1508" s="1527"/>
      <c r="F1508" s="1527"/>
    </row>
    <row r="1509" spans="5:6">
      <c r="E1509" s="1527"/>
      <c r="F1509" s="1527"/>
    </row>
    <row r="1510" spans="5:6">
      <c r="E1510" s="1527"/>
      <c r="F1510" s="1527"/>
    </row>
    <row r="1511" spans="5:6">
      <c r="E1511" s="1527"/>
      <c r="F1511" s="1527"/>
    </row>
    <row r="1512" spans="5:6">
      <c r="E1512" s="1527"/>
      <c r="F1512" s="1527"/>
    </row>
    <row r="1513" spans="5:6">
      <c r="E1513" s="1527"/>
      <c r="F1513" s="1527"/>
    </row>
    <row r="1514" spans="5:6">
      <c r="E1514" s="1527"/>
      <c r="F1514" s="1527"/>
    </row>
    <row r="1515" spans="5:6">
      <c r="E1515" s="1527"/>
      <c r="F1515" s="1527"/>
    </row>
    <row r="1516" spans="5:6">
      <c r="E1516" s="1527"/>
      <c r="F1516" s="1527"/>
    </row>
    <row r="1517" spans="5:6">
      <c r="E1517" s="1527"/>
      <c r="F1517" s="1527"/>
    </row>
    <row r="1518" spans="5:6">
      <c r="E1518" s="1527"/>
      <c r="F1518" s="1527"/>
    </row>
    <row r="1519" spans="5:6">
      <c r="E1519" s="1527"/>
      <c r="F1519" s="1527"/>
    </row>
    <row r="1520" spans="5:6">
      <c r="E1520" s="1527"/>
      <c r="F1520" s="1527"/>
    </row>
    <row r="1521" spans="5:6">
      <c r="E1521" s="1527"/>
      <c r="F1521" s="1527"/>
    </row>
    <row r="1522" spans="5:6">
      <c r="E1522" s="1527"/>
      <c r="F1522" s="1527"/>
    </row>
    <row r="1523" spans="5:6">
      <c r="E1523" s="1527"/>
      <c r="F1523" s="1527"/>
    </row>
    <row r="1524" spans="5:6">
      <c r="E1524" s="1527"/>
      <c r="F1524" s="1527"/>
    </row>
    <row r="1525" spans="5:6">
      <c r="E1525" s="1527"/>
      <c r="F1525" s="1527"/>
    </row>
    <row r="1526" spans="5:6">
      <c r="E1526" s="1527"/>
      <c r="F1526" s="1527"/>
    </row>
    <row r="1527" spans="5:6">
      <c r="E1527" s="1527"/>
      <c r="F1527" s="1527"/>
    </row>
    <row r="1528" spans="5:6">
      <c r="E1528" s="1527"/>
      <c r="F1528" s="1527"/>
    </row>
    <row r="1529" spans="5:6">
      <c r="E1529" s="1527"/>
      <c r="F1529" s="1527"/>
    </row>
    <row r="1530" spans="5:6">
      <c r="E1530" s="1527"/>
      <c r="F1530" s="1527"/>
    </row>
    <row r="1531" spans="5:6">
      <c r="E1531" s="1527"/>
      <c r="F1531" s="1527"/>
    </row>
    <row r="1532" spans="5:6">
      <c r="E1532" s="1527"/>
      <c r="F1532" s="1527"/>
    </row>
    <row r="1533" spans="5:6">
      <c r="E1533" s="1527"/>
      <c r="F1533" s="1527"/>
    </row>
    <row r="1534" spans="5:6">
      <c r="E1534" s="1527"/>
      <c r="F1534" s="1527"/>
    </row>
    <row r="1535" spans="5:6">
      <c r="E1535" s="1527"/>
      <c r="F1535" s="1527"/>
    </row>
    <row r="1536" spans="5:6">
      <c r="E1536" s="1527"/>
      <c r="F1536" s="1527"/>
    </row>
    <row r="1537" spans="5:6">
      <c r="E1537" s="1527"/>
      <c r="F1537" s="1527"/>
    </row>
    <row r="1538" spans="5:6">
      <c r="E1538" s="1527"/>
      <c r="F1538" s="1527"/>
    </row>
    <row r="1539" spans="5:6">
      <c r="E1539" s="1527"/>
      <c r="F1539" s="1527"/>
    </row>
    <row r="1540" spans="5:6">
      <c r="E1540" s="1527"/>
      <c r="F1540" s="1527"/>
    </row>
    <row r="1541" spans="5:6">
      <c r="E1541" s="1527"/>
      <c r="F1541" s="1527"/>
    </row>
    <row r="1542" spans="5:6">
      <c r="E1542" s="1527"/>
      <c r="F1542" s="1527"/>
    </row>
    <row r="1543" spans="5:6">
      <c r="E1543" s="1527"/>
      <c r="F1543" s="1527"/>
    </row>
    <row r="1544" spans="5:6">
      <c r="E1544" s="1527"/>
      <c r="F1544" s="1527"/>
    </row>
    <row r="1545" spans="5:6">
      <c r="E1545" s="1527"/>
      <c r="F1545" s="1527"/>
    </row>
    <row r="1546" spans="5:6">
      <c r="E1546" s="1527"/>
      <c r="F1546" s="1527"/>
    </row>
    <row r="1547" spans="5:6">
      <c r="E1547" s="1527"/>
      <c r="F1547" s="1527"/>
    </row>
    <row r="1548" spans="5:6">
      <c r="E1548" s="1527"/>
      <c r="F1548" s="1527"/>
    </row>
    <row r="1549" spans="5:6">
      <c r="E1549" s="1527"/>
      <c r="F1549" s="1527"/>
    </row>
    <row r="1550" spans="5:6">
      <c r="E1550" s="1527"/>
      <c r="F1550" s="1527"/>
    </row>
    <row r="1551" spans="5:6">
      <c r="E1551" s="1527"/>
      <c r="F1551" s="1527"/>
    </row>
    <row r="1552" spans="5:6">
      <c r="E1552" s="1527"/>
      <c r="F1552" s="1527"/>
    </row>
    <row r="1553" spans="5:6">
      <c r="E1553" s="1527"/>
      <c r="F1553" s="1527"/>
    </row>
    <row r="1554" spans="5:6">
      <c r="E1554" s="1527"/>
      <c r="F1554" s="1527"/>
    </row>
    <row r="1555" spans="5:6">
      <c r="E1555" s="1527"/>
      <c r="F1555" s="1527"/>
    </row>
    <row r="1556" spans="5:6">
      <c r="E1556" s="1527"/>
      <c r="F1556" s="1527"/>
    </row>
    <row r="1557" spans="5:6">
      <c r="E1557" s="1527"/>
      <c r="F1557" s="1527"/>
    </row>
    <row r="1558" spans="5:6">
      <c r="E1558" s="1527"/>
      <c r="F1558" s="1527"/>
    </row>
    <row r="1559" spans="5:6">
      <c r="E1559" s="1527"/>
      <c r="F1559" s="1527"/>
    </row>
    <row r="1560" spans="5:6">
      <c r="E1560" s="1527"/>
      <c r="F1560" s="1527"/>
    </row>
    <row r="1561" spans="5:6">
      <c r="E1561" s="1527"/>
      <c r="F1561" s="1527"/>
    </row>
    <row r="1562" spans="5:6">
      <c r="E1562" s="1527"/>
      <c r="F1562" s="1527"/>
    </row>
    <row r="1563" spans="5:6">
      <c r="E1563" s="1527"/>
      <c r="F1563" s="1527"/>
    </row>
    <row r="1564" spans="5:6">
      <c r="E1564" s="1527"/>
      <c r="F1564" s="1527"/>
    </row>
    <row r="1565" spans="5:6">
      <c r="E1565" s="1527"/>
      <c r="F1565" s="1527"/>
    </row>
    <row r="1566" spans="5:6">
      <c r="E1566" s="1527"/>
      <c r="F1566" s="1527"/>
    </row>
    <row r="1567" spans="5:6">
      <c r="E1567" s="1527"/>
      <c r="F1567" s="1527"/>
    </row>
    <row r="1568" spans="5:6">
      <c r="E1568" s="1527"/>
      <c r="F1568" s="1527"/>
    </row>
    <row r="1569" spans="5:6">
      <c r="E1569" s="1527"/>
      <c r="F1569" s="1527"/>
    </row>
    <row r="1570" spans="5:6">
      <c r="E1570" s="1527"/>
      <c r="F1570" s="1527"/>
    </row>
    <row r="1571" spans="5:6">
      <c r="E1571" s="1527"/>
      <c r="F1571" s="1527"/>
    </row>
    <row r="1572" spans="5:6">
      <c r="E1572" s="1527"/>
      <c r="F1572" s="1527"/>
    </row>
    <row r="1573" spans="5:6">
      <c r="E1573" s="1527"/>
      <c r="F1573" s="1527"/>
    </row>
    <row r="1574" spans="5:6">
      <c r="E1574" s="1527"/>
      <c r="F1574" s="1527"/>
    </row>
    <row r="1575" spans="5:6">
      <c r="E1575" s="1527"/>
      <c r="F1575" s="1527"/>
    </row>
    <row r="1576" spans="5:6">
      <c r="E1576" s="1527"/>
      <c r="F1576" s="1527"/>
    </row>
    <row r="1577" spans="5:6">
      <c r="E1577" s="1527"/>
      <c r="F1577" s="1527"/>
    </row>
    <row r="1578" spans="5:6">
      <c r="E1578" s="1527"/>
      <c r="F1578" s="1527"/>
    </row>
    <row r="1579" spans="5:6">
      <c r="E1579" s="1527"/>
      <c r="F1579" s="1527"/>
    </row>
    <row r="1580" spans="5:6">
      <c r="E1580" s="1527"/>
      <c r="F1580" s="1527"/>
    </row>
    <row r="1581" spans="5:6">
      <c r="E1581" s="1527"/>
      <c r="F1581" s="1527"/>
    </row>
    <row r="1582" spans="5:6">
      <c r="E1582" s="1527"/>
      <c r="F1582" s="1527"/>
    </row>
    <row r="1583" spans="5:6">
      <c r="E1583" s="1527"/>
      <c r="F1583" s="1527"/>
    </row>
    <row r="1584" spans="5:6">
      <c r="E1584" s="1527"/>
      <c r="F1584" s="1527"/>
    </row>
    <row r="1585" spans="5:6">
      <c r="E1585" s="1527"/>
      <c r="F1585" s="1527"/>
    </row>
    <row r="1586" spans="5:6">
      <c r="E1586" s="1527"/>
      <c r="F1586" s="1527"/>
    </row>
    <row r="1587" spans="5:6">
      <c r="E1587" s="1527"/>
      <c r="F1587" s="1527"/>
    </row>
    <row r="1588" spans="5:6">
      <c r="E1588" s="1527"/>
      <c r="F1588" s="1527"/>
    </row>
    <row r="1589" spans="5:6">
      <c r="E1589" s="1527"/>
      <c r="F1589" s="1527"/>
    </row>
    <row r="1590" spans="5:6">
      <c r="E1590" s="1527"/>
      <c r="F1590" s="1527"/>
    </row>
    <row r="1591" spans="5:6">
      <c r="E1591" s="1527"/>
      <c r="F1591" s="1527"/>
    </row>
    <row r="1592" spans="5:6">
      <c r="E1592" s="1527"/>
      <c r="F1592" s="1527"/>
    </row>
    <row r="1593" spans="5:6">
      <c r="E1593" s="1527"/>
      <c r="F1593" s="1527"/>
    </row>
    <row r="1594" spans="5:6">
      <c r="E1594" s="1527"/>
      <c r="F1594" s="1527"/>
    </row>
    <row r="1595" spans="5:6">
      <c r="E1595" s="1527"/>
      <c r="F1595" s="1527"/>
    </row>
    <row r="1596" spans="5:6">
      <c r="E1596" s="1527"/>
      <c r="F1596" s="1527"/>
    </row>
    <row r="1597" spans="5:6">
      <c r="E1597" s="1527"/>
      <c r="F1597" s="1527"/>
    </row>
    <row r="1598" spans="5:6">
      <c r="E1598" s="1527"/>
      <c r="F1598" s="1527"/>
    </row>
    <row r="1599" spans="5:6">
      <c r="E1599" s="1527"/>
      <c r="F1599" s="1527"/>
    </row>
    <row r="1600" spans="5:6">
      <c r="E1600" s="1527"/>
      <c r="F1600" s="1527"/>
    </row>
    <row r="1601" spans="5:6">
      <c r="E1601" s="1527"/>
      <c r="F1601" s="1527"/>
    </row>
    <row r="1602" spans="5:6">
      <c r="E1602" s="1527"/>
      <c r="F1602" s="1527"/>
    </row>
    <row r="1603" spans="5:6">
      <c r="E1603" s="1527"/>
      <c r="F1603" s="1527"/>
    </row>
    <row r="1604" spans="5:6">
      <c r="E1604" s="1527"/>
      <c r="F1604" s="1527"/>
    </row>
    <row r="1605" spans="5:6">
      <c r="E1605" s="1527"/>
      <c r="F1605" s="1527"/>
    </row>
    <row r="1606" spans="5:6">
      <c r="E1606" s="1527"/>
      <c r="F1606" s="1527"/>
    </row>
    <row r="1607" spans="5:6">
      <c r="E1607" s="1527"/>
      <c r="F1607" s="1527"/>
    </row>
    <row r="1608" spans="5:6">
      <c r="E1608" s="1527"/>
      <c r="F1608" s="1527"/>
    </row>
    <row r="1609" spans="5:6">
      <c r="E1609" s="1527"/>
      <c r="F1609" s="1527"/>
    </row>
    <row r="1610" spans="5:6">
      <c r="E1610" s="1527"/>
      <c r="F1610" s="1527"/>
    </row>
    <row r="1611" spans="5:6">
      <c r="E1611" s="1527"/>
      <c r="F1611" s="1527"/>
    </row>
    <row r="1612" spans="5:6">
      <c r="E1612" s="1527"/>
      <c r="F1612" s="1527"/>
    </row>
    <row r="1613" spans="5:6">
      <c r="E1613" s="1527"/>
      <c r="F1613" s="1527"/>
    </row>
    <row r="1614" spans="5:6">
      <c r="E1614" s="1527"/>
      <c r="F1614" s="1527"/>
    </row>
    <row r="1615" spans="5:6">
      <c r="E1615" s="1527"/>
      <c r="F1615" s="1527"/>
    </row>
    <row r="1616" spans="5:6">
      <c r="E1616" s="1527"/>
      <c r="F1616" s="1527"/>
    </row>
    <row r="1617" spans="5:6">
      <c r="E1617" s="1527"/>
      <c r="F1617" s="1527"/>
    </row>
    <row r="1618" spans="5:6">
      <c r="E1618" s="1527"/>
      <c r="F1618" s="1527"/>
    </row>
    <row r="1619" spans="5:6">
      <c r="E1619" s="1527"/>
      <c r="F1619" s="1527"/>
    </row>
    <row r="1620" spans="5:6">
      <c r="E1620" s="1527"/>
      <c r="F1620" s="1527"/>
    </row>
    <row r="1621" spans="5:6">
      <c r="E1621" s="1527"/>
      <c r="F1621" s="1527"/>
    </row>
    <row r="1622" spans="5:6">
      <c r="E1622" s="1527"/>
      <c r="F1622" s="1527"/>
    </row>
    <row r="1623" spans="5:6">
      <c r="E1623" s="1527"/>
      <c r="F1623" s="1527"/>
    </row>
    <row r="1624" spans="5:6">
      <c r="E1624" s="1527"/>
      <c r="F1624" s="1527"/>
    </row>
    <row r="1625" spans="5:6">
      <c r="E1625" s="1527"/>
      <c r="F1625" s="1527"/>
    </row>
    <row r="1626" spans="5:6">
      <c r="E1626" s="1527"/>
      <c r="F1626" s="1527"/>
    </row>
    <row r="1627" spans="5:6">
      <c r="E1627" s="1527"/>
      <c r="F1627" s="1527"/>
    </row>
    <row r="1628" spans="5:6">
      <c r="E1628" s="1527"/>
      <c r="F1628" s="1527"/>
    </row>
    <row r="1629" spans="5:6">
      <c r="E1629" s="1527"/>
      <c r="F1629" s="1527"/>
    </row>
    <row r="1630" spans="5:6">
      <c r="E1630" s="1527"/>
      <c r="F1630" s="1527"/>
    </row>
    <row r="1631" spans="5:6">
      <c r="E1631" s="1527"/>
      <c r="F1631" s="1527"/>
    </row>
    <row r="1632" spans="5:6">
      <c r="E1632" s="1527"/>
      <c r="F1632" s="1527"/>
    </row>
    <row r="1633" spans="5:6">
      <c r="E1633" s="1527"/>
      <c r="F1633" s="1527"/>
    </row>
    <row r="1634" spans="5:6">
      <c r="E1634" s="1527"/>
      <c r="F1634" s="1527"/>
    </row>
    <row r="1635" spans="5:6">
      <c r="E1635" s="1527"/>
      <c r="F1635" s="1527"/>
    </row>
    <row r="1636" spans="5:6">
      <c r="E1636" s="1527"/>
      <c r="F1636" s="1527"/>
    </row>
    <row r="1637" spans="5:6">
      <c r="E1637" s="1527"/>
      <c r="F1637" s="1527"/>
    </row>
    <row r="1638" spans="5:6">
      <c r="E1638" s="1527"/>
      <c r="F1638" s="1527"/>
    </row>
    <row r="1639" spans="5:6">
      <c r="E1639" s="1527"/>
      <c r="F1639" s="1527"/>
    </row>
    <row r="1640" spans="5:6">
      <c r="E1640" s="1527"/>
      <c r="F1640" s="1527"/>
    </row>
    <row r="1641" spans="5:6">
      <c r="E1641" s="1527"/>
      <c r="F1641" s="1527"/>
    </row>
    <row r="1642" spans="5:6">
      <c r="E1642" s="1527"/>
      <c r="F1642" s="1527"/>
    </row>
    <row r="1643" spans="5:6">
      <c r="E1643" s="1527"/>
      <c r="F1643" s="1527"/>
    </row>
    <row r="1644" spans="5:6">
      <c r="E1644" s="1527"/>
      <c r="F1644" s="1527"/>
    </row>
    <row r="1645" spans="5:6">
      <c r="E1645" s="1527"/>
      <c r="F1645" s="1527"/>
    </row>
    <row r="1646" spans="5:6">
      <c r="E1646" s="1527"/>
      <c r="F1646" s="1527"/>
    </row>
    <row r="1647" spans="5:6">
      <c r="E1647" s="1527"/>
      <c r="F1647" s="1527"/>
    </row>
    <row r="1648" spans="5:6">
      <c r="E1648" s="1527"/>
      <c r="F1648" s="1527"/>
    </row>
    <row r="1649" spans="5:6">
      <c r="E1649" s="1527"/>
      <c r="F1649" s="1527"/>
    </row>
    <row r="1650" spans="5:6">
      <c r="E1650" s="1527"/>
      <c r="F1650" s="1527"/>
    </row>
    <row r="1651" spans="5:6">
      <c r="E1651" s="1527"/>
      <c r="F1651" s="1527"/>
    </row>
    <row r="1652" spans="5:6">
      <c r="E1652" s="1527"/>
      <c r="F1652" s="1527"/>
    </row>
    <row r="1653" spans="5:6">
      <c r="E1653" s="1527"/>
      <c r="F1653" s="1527"/>
    </row>
    <row r="1654" spans="5:6">
      <c r="E1654" s="1527"/>
      <c r="F1654" s="1527"/>
    </row>
    <row r="1655" spans="5:6">
      <c r="E1655" s="1527"/>
      <c r="F1655" s="1527"/>
    </row>
    <row r="1656" spans="5:6">
      <c r="E1656" s="1527"/>
      <c r="F1656" s="1527"/>
    </row>
    <row r="1657" spans="5:6">
      <c r="E1657" s="1527"/>
      <c r="F1657" s="1527"/>
    </row>
    <row r="1658" spans="5:6">
      <c r="E1658" s="1527"/>
      <c r="F1658" s="1527"/>
    </row>
    <row r="1659" spans="5:6">
      <c r="E1659" s="1527"/>
      <c r="F1659" s="1527"/>
    </row>
    <row r="1660" spans="5:6">
      <c r="E1660" s="1527"/>
      <c r="F1660" s="1527"/>
    </row>
    <row r="1661" spans="5:6">
      <c r="E1661" s="1527"/>
      <c r="F1661" s="1527"/>
    </row>
    <row r="1662" spans="5:6">
      <c r="E1662" s="1527"/>
      <c r="F1662" s="1527"/>
    </row>
    <row r="1663" spans="5:6">
      <c r="E1663" s="1527"/>
      <c r="F1663" s="1527"/>
    </row>
    <row r="1664" spans="5:6">
      <c r="E1664" s="1527"/>
      <c r="F1664" s="1527"/>
    </row>
    <row r="1665" spans="5:6">
      <c r="E1665" s="1527"/>
      <c r="F1665" s="1527"/>
    </row>
    <row r="1666" spans="5:6">
      <c r="E1666" s="1527"/>
      <c r="F1666" s="1527"/>
    </row>
    <row r="1667" spans="5:6">
      <c r="E1667" s="1527"/>
      <c r="F1667" s="1527"/>
    </row>
    <row r="1668" spans="5:6">
      <c r="E1668" s="1527"/>
      <c r="F1668" s="1527"/>
    </row>
    <row r="1669" spans="5:6">
      <c r="E1669" s="1527"/>
      <c r="F1669" s="1527"/>
    </row>
    <row r="1670" spans="5:6">
      <c r="E1670" s="1527"/>
      <c r="F1670" s="1527"/>
    </row>
    <row r="1671" spans="5:6">
      <c r="E1671" s="1527"/>
      <c r="F1671" s="1527"/>
    </row>
    <row r="1672" spans="5:6">
      <c r="E1672" s="1527"/>
      <c r="F1672" s="1527"/>
    </row>
    <row r="1673" spans="5:6">
      <c r="E1673" s="1527"/>
      <c r="F1673" s="1527"/>
    </row>
    <row r="1674" spans="5:6">
      <c r="E1674" s="1527"/>
      <c r="F1674" s="1527"/>
    </row>
    <row r="1675" spans="5:6">
      <c r="E1675" s="1527"/>
      <c r="F1675" s="1527"/>
    </row>
    <row r="1676" spans="5:6">
      <c r="E1676" s="1527"/>
      <c r="F1676" s="1527"/>
    </row>
    <row r="1677" spans="5:6">
      <c r="E1677" s="1527"/>
      <c r="F1677" s="1527"/>
    </row>
    <row r="1678" spans="5:6">
      <c r="E1678" s="1527"/>
      <c r="F1678" s="1527"/>
    </row>
    <row r="1679" spans="5:6">
      <c r="E1679" s="1527"/>
      <c r="F1679" s="1527"/>
    </row>
    <row r="1680" spans="5:6">
      <c r="E1680" s="1527"/>
      <c r="F1680" s="1527"/>
    </row>
    <row r="1681" spans="5:6">
      <c r="E1681" s="1527"/>
      <c r="F1681" s="1527"/>
    </row>
    <row r="1682" spans="5:6">
      <c r="E1682" s="1527"/>
      <c r="F1682" s="1527"/>
    </row>
    <row r="1683" spans="5:6">
      <c r="E1683" s="1527"/>
      <c r="F1683" s="1527"/>
    </row>
    <row r="1684" spans="5:6">
      <c r="E1684" s="1527"/>
      <c r="F1684" s="1527"/>
    </row>
    <row r="1685" spans="5:6">
      <c r="E1685" s="1527"/>
      <c r="F1685" s="1527"/>
    </row>
    <row r="1686" spans="5:6">
      <c r="E1686" s="1527"/>
      <c r="F1686" s="1527"/>
    </row>
    <row r="1687" spans="5:6">
      <c r="E1687" s="1527"/>
      <c r="F1687" s="1527"/>
    </row>
    <row r="1688" spans="5:6">
      <c r="E1688" s="1527"/>
      <c r="F1688" s="1527"/>
    </row>
    <row r="1689" spans="5:6">
      <c r="E1689" s="1527"/>
      <c r="F1689" s="1527"/>
    </row>
    <row r="1690" spans="5:6">
      <c r="E1690" s="1527"/>
      <c r="F1690" s="1527"/>
    </row>
    <row r="1691" spans="5:6">
      <c r="E1691" s="1527"/>
      <c r="F1691" s="1527"/>
    </row>
    <row r="1692" spans="5:6">
      <c r="E1692" s="1527"/>
      <c r="F1692" s="1527"/>
    </row>
    <row r="1693" spans="5:6">
      <c r="E1693" s="1527"/>
      <c r="F1693" s="1527"/>
    </row>
    <row r="1694" spans="5:6">
      <c r="E1694" s="1527"/>
      <c r="F1694" s="1527"/>
    </row>
    <row r="1695" spans="5:6">
      <c r="E1695" s="1527"/>
      <c r="F1695" s="1527"/>
    </row>
    <row r="1696" spans="5:6">
      <c r="E1696" s="1527"/>
      <c r="F1696" s="1527"/>
    </row>
    <row r="1697" spans="5:6">
      <c r="E1697" s="1527"/>
      <c r="F1697" s="1527"/>
    </row>
    <row r="1698" spans="5:6">
      <c r="E1698" s="1527"/>
      <c r="F1698" s="1527"/>
    </row>
    <row r="1699" spans="5:6">
      <c r="E1699" s="1527"/>
      <c r="F1699" s="1527"/>
    </row>
    <row r="1700" spans="5:6">
      <c r="E1700" s="1527"/>
      <c r="F1700" s="1527"/>
    </row>
    <row r="1701" spans="5:6">
      <c r="E1701" s="1527"/>
      <c r="F1701" s="1527"/>
    </row>
    <row r="1702" spans="5:6">
      <c r="E1702" s="1527"/>
      <c r="F1702" s="1527"/>
    </row>
    <row r="1703" spans="5:6">
      <c r="E1703" s="1527"/>
      <c r="F1703" s="1527"/>
    </row>
    <row r="1704" spans="5:6">
      <c r="E1704" s="1527"/>
      <c r="F1704" s="1527"/>
    </row>
    <row r="1705" spans="5:6">
      <c r="E1705" s="1527"/>
      <c r="F1705" s="1527"/>
    </row>
    <row r="1706" spans="5:6">
      <c r="E1706" s="1527"/>
      <c r="F1706" s="1527"/>
    </row>
    <row r="1707" spans="5:6">
      <c r="E1707" s="1527"/>
      <c r="F1707" s="1527"/>
    </row>
    <row r="1708" spans="5:6">
      <c r="E1708" s="1527"/>
      <c r="F1708" s="1527"/>
    </row>
    <row r="1709" spans="5:6">
      <c r="E1709" s="1527"/>
      <c r="F1709" s="1527"/>
    </row>
    <row r="1710" spans="5:6">
      <c r="E1710" s="1527"/>
      <c r="F1710" s="1527"/>
    </row>
    <row r="1711" spans="5:6">
      <c r="E1711" s="1527"/>
      <c r="F1711" s="1527"/>
    </row>
    <row r="1712" spans="5:6">
      <c r="E1712" s="1527"/>
      <c r="F1712" s="1527"/>
    </row>
    <row r="1713" spans="5:6">
      <c r="E1713" s="1527"/>
      <c r="F1713" s="1527"/>
    </row>
    <row r="1714" spans="5:6">
      <c r="E1714" s="1527"/>
      <c r="F1714" s="1527"/>
    </row>
    <row r="1715" spans="5:6">
      <c r="E1715" s="1527"/>
      <c r="F1715" s="1527"/>
    </row>
    <row r="1716" spans="5:6">
      <c r="E1716" s="1527"/>
      <c r="F1716" s="1527"/>
    </row>
    <row r="1717" spans="5:6">
      <c r="E1717" s="1527"/>
      <c r="F1717" s="1527"/>
    </row>
    <row r="1718" spans="5:6">
      <c r="E1718" s="1527"/>
      <c r="F1718" s="1527"/>
    </row>
    <row r="1719" spans="5:6">
      <c r="E1719" s="1527"/>
      <c r="F1719" s="1527"/>
    </row>
    <row r="1720" spans="5:6">
      <c r="E1720" s="1527"/>
      <c r="F1720" s="1527"/>
    </row>
    <row r="1721" spans="5:6">
      <c r="E1721" s="1527"/>
      <c r="F1721" s="1527"/>
    </row>
    <row r="1722" spans="5:6">
      <c r="E1722" s="1527"/>
      <c r="F1722" s="1527"/>
    </row>
    <row r="1723" spans="5:6">
      <c r="E1723" s="1527"/>
      <c r="F1723" s="1527"/>
    </row>
    <row r="1724" spans="5:6">
      <c r="E1724" s="1527"/>
      <c r="F1724" s="1527"/>
    </row>
    <row r="1725" spans="5:6">
      <c r="E1725" s="1527"/>
      <c r="F1725" s="1527"/>
    </row>
    <row r="1726" spans="5:6">
      <c r="E1726" s="1527"/>
      <c r="F1726" s="1527"/>
    </row>
    <row r="1727" spans="5:6">
      <c r="E1727" s="1527"/>
      <c r="F1727" s="1527"/>
    </row>
    <row r="1728" spans="5:6">
      <c r="E1728" s="1527"/>
      <c r="F1728" s="1527"/>
    </row>
    <row r="1729" spans="5:6">
      <c r="E1729" s="1527"/>
      <c r="F1729" s="1527"/>
    </row>
    <row r="1730" spans="5:6">
      <c r="E1730" s="1527"/>
      <c r="F1730" s="1527"/>
    </row>
    <row r="1731" spans="5:6">
      <c r="E1731" s="1527"/>
      <c r="F1731" s="1527"/>
    </row>
    <row r="1732" spans="5:6">
      <c r="E1732" s="1527"/>
      <c r="F1732" s="1527"/>
    </row>
    <row r="1733" spans="5:6">
      <c r="E1733" s="1527"/>
      <c r="F1733" s="1527"/>
    </row>
    <row r="1734" spans="5:6">
      <c r="E1734" s="1527"/>
      <c r="F1734" s="1527"/>
    </row>
    <row r="1735" spans="5:6">
      <c r="E1735" s="1527"/>
      <c r="F1735" s="1527"/>
    </row>
    <row r="1736" spans="5:6">
      <c r="E1736" s="1527"/>
      <c r="F1736" s="1527"/>
    </row>
    <row r="1737" spans="5:6">
      <c r="E1737" s="1527"/>
      <c r="F1737" s="1527"/>
    </row>
    <row r="1738" spans="5:6">
      <c r="E1738" s="1527"/>
      <c r="F1738" s="1527"/>
    </row>
    <row r="1739" spans="5:6">
      <c r="E1739" s="1527"/>
      <c r="F1739" s="1527"/>
    </row>
    <row r="1740" spans="5:6">
      <c r="E1740" s="1527"/>
      <c r="F1740" s="1527"/>
    </row>
    <row r="1741" spans="5:6">
      <c r="E1741" s="1527"/>
      <c r="F1741" s="1527"/>
    </row>
    <row r="1742" spans="5:6">
      <c r="E1742" s="1527"/>
      <c r="F1742" s="1527"/>
    </row>
    <row r="1743" spans="5:6">
      <c r="E1743" s="1527"/>
      <c r="F1743" s="1527"/>
    </row>
    <row r="1744" spans="5:6">
      <c r="E1744" s="1527"/>
      <c r="F1744" s="1527"/>
    </row>
    <row r="1745" spans="5:6">
      <c r="E1745" s="1527"/>
      <c r="F1745" s="1527"/>
    </row>
    <row r="1746" spans="5:6">
      <c r="E1746" s="1527"/>
      <c r="F1746" s="1527"/>
    </row>
    <row r="1747" spans="5:6">
      <c r="E1747" s="1527"/>
      <c r="F1747" s="1527"/>
    </row>
    <row r="1748" spans="5:6">
      <c r="E1748" s="1527"/>
      <c r="F1748" s="1527"/>
    </row>
    <row r="1749" spans="5:6">
      <c r="E1749" s="1527"/>
      <c r="F1749" s="1527"/>
    </row>
    <row r="1750" spans="5:6">
      <c r="E1750" s="1527"/>
      <c r="F1750" s="1527"/>
    </row>
    <row r="1751" spans="5:6">
      <c r="E1751" s="1527"/>
      <c r="F1751" s="1527"/>
    </row>
    <row r="1752" spans="5:6">
      <c r="E1752" s="1527"/>
      <c r="F1752" s="1527"/>
    </row>
    <row r="1753" spans="5:6">
      <c r="E1753" s="1527"/>
      <c r="F1753" s="1527"/>
    </row>
    <row r="1754" spans="5:6">
      <c r="E1754" s="1527"/>
      <c r="F1754" s="1527"/>
    </row>
    <row r="1755" spans="5:6">
      <c r="E1755" s="1527"/>
      <c r="F1755" s="1527"/>
    </row>
    <row r="1756" spans="5:6">
      <c r="E1756" s="1527"/>
      <c r="F1756" s="1527"/>
    </row>
    <row r="1757" spans="5:6">
      <c r="E1757" s="1527"/>
      <c r="F1757" s="1527"/>
    </row>
    <row r="1758" spans="5:6">
      <c r="E1758" s="1527"/>
      <c r="F1758" s="1527"/>
    </row>
    <row r="1759" spans="5:6">
      <c r="E1759" s="1527"/>
      <c r="F1759" s="1527"/>
    </row>
    <row r="1760" spans="5:6">
      <c r="E1760" s="1527"/>
      <c r="F1760" s="1527"/>
    </row>
    <row r="1761" spans="5:6">
      <c r="E1761" s="1527"/>
      <c r="F1761" s="1527"/>
    </row>
    <row r="1762" spans="5:6">
      <c r="E1762" s="1527"/>
      <c r="F1762" s="1527"/>
    </row>
    <row r="1763" spans="5:6">
      <c r="E1763" s="1527"/>
      <c r="F1763" s="1527"/>
    </row>
    <row r="1764" spans="5:6">
      <c r="E1764" s="1527"/>
      <c r="F1764" s="1527"/>
    </row>
    <row r="1765" spans="5:6">
      <c r="E1765" s="1527"/>
      <c r="F1765" s="1527"/>
    </row>
    <row r="1766" spans="5:6">
      <c r="E1766" s="1527"/>
      <c r="F1766" s="1527"/>
    </row>
    <row r="1767" spans="5:6">
      <c r="E1767" s="1527"/>
      <c r="F1767" s="1527"/>
    </row>
    <row r="1768" spans="5:6">
      <c r="E1768" s="1527"/>
      <c r="F1768" s="1527"/>
    </row>
    <row r="1769" spans="5:6">
      <c r="E1769" s="1527"/>
      <c r="F1769" s="1527"/>
    </row>
    <row r="1770" spans="5:6">
      <c r="E1770" s="1527"/>
      <c r="F1770" s="1527"/>
    </row>
    <row r="1771" spans="5:6">
      <c r="E1771" s="1527"/>
      <c r="F1771" s="1527"/>
    </row>
    <row r="1772" spans="5:6">
      <c r="E1772" s="1527"/>
      <c r="F1772" s="1527"/>
    </row>
    <row r="1773" spans="5:6">
      <c r="E1773" s="1527"/>
      <c r="F1773" s="1527"/>
    </row>
    <row r="1774" spans="5:6">
      <c r="E1774" s="1527"/>
      <c r="F1774" s="1527"/>
    </row>
    <row r="1775" spans="5:6">
      <c r="E1775" s="1527"/>
      <c r="F1775" s="1527"/>
    </row>
    <row r="1776" spans="5:6">
      <c r="E1776" s="1527"/>
      <c r="F1776" s="1527"/>
    </row>
    <row r="1777" spans="5:6">
      <c r="E1777" s="1527"/>
      <c r="F1777" s="1527"/>
    </row>
    <row r="1778" spans="5:6">
      <c r="E1778" s="1527"/>
      <c r="F1778" s="1527"/>
    </row>
    <row r="1779" spans="5:6">
      <c r="E1779" s="1527"/>
      <c r="F1779" s="1527"/>
    </row>
    <row r="1780" spans="5:6">
      <c r="E1780" s="1527"/>
      <c r="F1780" s="1527"/>
    </row>
    <row r="1781" spans="5:6">
      <c r="E1781" s="1527"/>
      <c r="F1781" s="1527"/>
    </row>
    <row r="1782" spans="5:6">
      <c r="E1782" s="1527"/>
      <c r="F1782" s="1527"/>
    </row>
    <row r="1783" spans="5:6">
      <c r="E1783" s="1527"/>
      <c r="F1783" s="1527"/>
    </row>
    <row r="1784" spans="5:6">
      <c r="E1784" s="1527"/>
      <c r="F1784" s="1527"/>
    </row>
    <row r="1785" spans="5:6">
      <c r="E1785" s="1527"/>
      <c r="F1785" s="1527"/>
    </row>
    <row r="1786" spans="5:6">
      <c r="E1786" s="1527"/>
      <c r="F1786" s="1527"/>
    </row>
    <row r="1787" spans="5:6">
      <c r="E1787" s="1527"/>
      <c r="F1787" s="1527"/>
    </row>
    <row r="1788" spans="5:6">
      <c r="E1788" s="1527"/>
      <c r="F1788" s="1527"/>
    </row>
    <row r="1789" spans="5:6">
      <c r="E1789" s="1527"/>
      <c r="F1789" s="1527"/>
    </row>
    <row r="1790" spans="5:6">
      <c r="E1790" s="1527"/>
      <c r="F1790" s="1527"/>
    </row>
    <row r="1791" spans="5:6">
      <c r="E1791" s="1527"/>
      <c r="F1791" s="1527"/>
    </row>
    <row r="1792" spans="5:6">
      <c r="E1792" s="1527"/>
      <c r="F1792" s="1527"/>
    </row>
    <row r="1793" spans="5:6">
      <c r="E1793" s="1527"/>
      <c r="F1793" s="1527"/>
    </row>
    <row r="1794" spans="5:6">
      <c r="E1794" s="1527"/>
      <c r="F1794" s="1527"/>
    </row>
    <row r="1795" spans="5:6">
      <c r="E1795" s="1527"/>
      <c r="F1795" s="1527"/>
    </row>
    <row r="1796" spans="5:6">
      <c r="E1796" s="1527"/>
      <c r="F1796" s="1527"/>
    </row>
    <row r="1797" spans="5:6">
      <c r="E1797" s="1527"/>
      <c r="F1797" s="1527"/>
    </row>
    <row r="1798" spans="5:6">
      <c r="E1798" s="1527"/>
      <c r="F1798" s="1527"/>
    </row>
    <row r="1799" spans="5:6">
      <c r="E1799" s="1527"/>
      <c r="F1799" s="1527"/>
    </row>
    <row r="1800" spans="5:6">
      <c r="E1800" s="1527"/>
      <c r="F1800" s="1527"/>
    </row>
    <row r="1801" spans="5:6">
      <c r="E1801" s="1527"/>
      <c r="F1801" s="1527"/>
    </row>
    <row r="1802" spans="5:6">
      <c r="E1802" s="1527"/>
      <c r="F1802" s="1527"/>
    </row>
    <row r="1803" spans="5:6">
      <c r="E1803" s="1527"/>
      <c r="F1803" s="1527"/>
    </row>
    <row r="1804" spans="5:6">
      <c r="E1804" s="1527"/>
      <c r="F1804" s="1527"/>
    </row>
    <row r="1805" spans="5:6">
      <c r="E1805" s="1527"/>
      <c r="F1805" s="1527"/>
    </row>
    <row r="1806" spans="5:6">
      <c r="E1806" s="1527"/>
      <c r="F1806" s="1527"/>
    </row>
    <row r="1807" spans="5:6">
      <c r="E1807" s="1527"/>
      <c r="F1807" s="1527"/>
    </row>
    <row r="1808" spans="5:6">
      <c r="E1808" s="1527"/>
      <c r="F1808" s="1527"/>
    </row>
    <row r="1809" spans="5:6">
      <c r="E1809" s="1527"/>
      <c r="F1809" s="1527"/>
    </row>
    <row r="1810" spans="5:6">
      <c r="E1810" s="1527"/>
      <c r="F1810" s="1527"/>
    </row>
    <row r="1811" spans="5:6">
      <c r="E1811" s="1527"/>
      <c r="F1811" s="1527"/>
    </row>
    <row r="1812" spans="5:6">
      <c r="E1812" s="1527"/>
      <c r="F1812" s="1527"/>
    </row>
    <row r="1813" spans="5:6">
      <c r="E1813" s="1527"/>
      <c r="F1813" s="1527"/>
    </row>
    <row r="1814" spans="5:6">
      <c r="E1814" s="1527"/>
      <c r="F1814" s="1527"/>
    </row>
    <row r="1815" spans="5:6">
      <c r="E1815" s="1527"/>
      <c r="F1815" s="1527"/>
    </row>
    <row r="1816" spans="5:6">
      <c r="E1816" s="1527"/>
      <c r="F1816" s="1527"/>
    </row>
    <row r="1817" spans="5:6">
      <c r="E1817" s="1527"/>
      <c r="F1817" s="1527"/>
    </row>
    <row r="1818" spans="5:6">
      <c r="E1818" s="1527"/>
      <c r="F1818" s="1527"/>
    </row>
    <row r="1819" spans="5:6">
      <c r="E1819" s="1527"/>
      <c r="F1819" s="1527"/>
    </row>
    <row r="1820" spans="5:6">
      <c r="E1820" s="1527"/>
      <c r="F1820" s="1527"/>
    </row>
    <row r="1821" spans="5:6">
      <c r="E1821" s="1527"/>
      <c r="F1821" s="1527"/>
    </row>
    <row r="1822" spans="5:6">
      <c r="E1822" s="1527"/>
      <c r="F1822" s="1527"/>
    </row>
    <row r="1823" spans="5:6">
      <c r="E1823" s="1527"/>
      <c r="F1823" s="1527"/>
    </row>
    <row r="1824" spans="5:6">
      <c r="E1824" s="1527"/>
      <c r="F1824" s="1527"/>
    </row>
    <row r="1825" spans="5:6">
      <c r="E1825" s="1527"/>
      <c r="F1825" s="1527"/>
    </row>
    <row r="1826" spans="5:6">
      <c r="E1826" s="1527"/>
      <c r="F1826" s="1527"/>
    </row>
    <row r="1827" spans="5:6">
      <c r="E1827" s="1527"/>
      <c r="F1827" s="1527"/>
    </row>
    <row r="1828" spans="5:6">
      <c r="E1828" s="1527"/>
      <c r="F1828" s="1527"/>
    </row>
    <row r="1829" spans="5:6">
      <c r="E1829" s="1527"/>
      <c r="F1829" s="1527"/>
    </row>
    <row r="1830" spans="5:6">
      <c r="E1830" s="1527"/>
      <c r="F1830" s="1527"/>
    </row>
    <row r="1831" spans="5:6">
      <c r="E1831" s="1527"/>
      <c r="F1831" s="1527"/>
    </row>
    <row r="1832" spans="5:6">
      <c r="E1832" s="1527"/>
      <c r="F1832" s="1527"/>
    </row>
    <row r="1833" spans="5:6">
      <c r="E1833" s="1527"/>
      <c r="F1833" s="1527"/>
    </row>
    <row r="1834" spans="5:6">
      <c r="E1834" s="1527"/>
      <c r="F1834" s="1527"/>
    </row>
    <row r="1835" spans="5:6">
      <c r="E1835" s="1527"/>
      <c r="F1835" s="1527"/>
    </row>
    <row r="1836" spans="5:6">
      <c r="E1836" s="1527"/>
      <c r="F1836" s="1527"/>
    </row>
    <row r="1837" spans="5:6">
      <c r="E1837" s="1527"/>
      <c r="F1837" s="1527"/>
    </row>
    <row r="1838" spans="5:6">
      <c r="E1838" s="1527"/>
      <c r="F1838" s="1527"/>
    </row>
    <row r="1839" spans="5:6">
      <c r="E1839" s="1527"/>
      <c r="F1839" s="1527"/>
    </row>
    <row r="1840" spans="5:6">
      <c r="E1840" s="1527"/>
      <c r="F1840" s="1527"/>
    </row>
    <row r="1841" spans="5:6">
      <c r="E1841" s="1527"/>
      <c r="F1841" s="1527"/>
    </row>
    <row r="1842" spans="5:6">
      <c r="E1842" s="1527"/>
      <c r="F1842" s="1527"/>
    </row>
    <row r="1843" spans="5:6">
      <c r="E1843" s="1527"/>
      <c r="F1843" s="1527"/>
    </row>
    <row r="1844" spans="5:6">
      <c r="E1844" s="1527"/>
      <c r="F1844" s="1527"/>
    </row>
    <row r="1845" spans="5:6">
      <c r="E1845" s="1527"/>
      <c r="F1845" s="1527"/>
    </row>
    <row r="1846" spans="5:6">
      <c r="E1846" s="1527"/>
      <c r="F1846" s="1527"/>
    </row>
    <row r="1847" spans="5:6">
      <c r="E1847" s="1527"/>
      <c r="F1847" s="1527"/>
    </row>
    <row r="1848" spans="5:6">
      <c r="E1848" s="1527"/>
      <c r="F1848" s="1527"/>
    </row>
    <row r="1849" spans="5:6">
      <c r="E1849" s="1527"/>
      <c r="F1849" s="1527"/>
    </row>
    <row r="1850" spans="5:6">
      <c r="E1850" s="1527"/>
      <c r="F1850" s="1527"/>
    </row>
    <row r="1851" spans="5:6">
      <c r="E1851" s="1527"/>
      <c r="F1851" s="1527"/>
    </row>
    <row r="1852" spans="5:6">
      <c r="E1852" s="1527"/>
      <c r="F1852" s="1527"/>
    </row>
    <row r="1853" spans="5:6">
      <c r="E1853" s="1527"/>
      <c r="F1853" s="1527"/>
    </row>
    <row r="1854" spans="5:6">
      <c r="E1854" s="1527"/>
      <c r="F1854" s="1527"/>
    </row>
    <row r="1855" spans="5:6">
      <c r="E1855" s="1527"/>
      <c r="F1855" s="1527"/>
    </row>
    <row r="1856" spans="5:6">
      <c r="E1856" s="1527"/>
      <c r="F1856" s="1527"/>
    </row>
    <row r="1857" spans="5:6">
      <c r="E1857" s="1527"/>
      <c r="F1857" s="1527"/>
    </row>
    <row r="1858" spans="5:6">
      <c r="E1858" s="1527"/>
      <c r="F1858" s="1527"/>
    </row>
    <row r="1859" spans="5:6">
      <c r="E1859" s="1527"/>
      <c r="F1859" s="1527"/>
    </row>
    <row r="1860" spans="5:6">
      <c r="E1860" s="1527"/>
      <c r="F1860" s="1527"/>
    </row>
    <row r="1861" spans="5:6">
      <c r="E1861" s="1527"/>
      <c r="F1861" s="1527"/>
    </row>
    <row r="1862" spans="5:6">
      <c r="E1862" s="1527"/>
      <c r="F1862" s="1527"/>
    </row>
    <row r="1863" spans="5:6">
      <c r="E1863" s="1527"/>
      <c r="F1863" s="1527"/>
    </row>
    <row r="1864" spans="5:6">
      <c r="E1864" s="1527"/>
      <c r="F1864" s="1527"/>
    </row>
    <row r="1865" spans="5:6">
      <c r="E1865" s="1527"/>
      <c r="F1865" s="1527"/>
    </row>
    <row r="1866" spans="5:6">
      <c r="E1866" s="1527"/>
      <c r="F1866" s="1527"/>
    </row>
    <row r="1867" spans="5:6">
      <c r="E1867" s="1527"/>
      <c r="F1867" s="1527"/>
    </row>
    <row r="1868" spans="5:6">
      <c r="E1868" s="1527"/>
      <c r="F1868" s="1527"/>
    </row>
    <row r="1869" spans="5:6">
      <c r="E1869" s="1527"/>
      <c r="F1869" s="1527"/>
    </row>
    <row r="1870" spans="5:6">
      <c r="E1870" s="1527"/>
      <c r="F1870" s="1527"/>
    </row>
    <row r="1871" spans="5:6">
      <c r="E1871" s="1527"/>
      <c r="F1871" s="1527"/>
    </row>
    <row r="1872" spans="5:6">
      <c r="E1872" s="1527"/>
      <c r="F1872" s="1527"/>
    </row>
    <row r="1873" spans="5:6">
      <c r="E1873" s="1527"/>
      <c r="F1873" s="1527"/>
    </row>
    <row r="1874" spans="5:6">
      <c r="E1874" s="1527"/>
      <c r="F1874" s="1527"/>
    </row>
    <row r="1875" spans="5:6">
      <c r="E1875" s="1527"/>
      <c r="F1875" s="1527"/>
    </row>
    <row r="1876" spans="5:6">
      <c r="E1876" s="1527"/>
      <c r="F1876" s="1527"/>
    </row>
    <row r="1877" spans="5:6">
      <c r="E1877" s="1527"/>
      <c r="F1877" s="1527"/>
    </row>
    <row r="1878" spans="5:6">
      <c r="E1878" s="1527"/>
      <c r="F1878" s="1527"/>
    </row>
    <row r="1879" spans="5:6">
      <c r="E1879" s="1527"/>
      <c r="F1879" s="1527"/>
    </row>
    <row r="1880" spans="5:6">
      <c r="E1880" s="1527"/>
      <c r="F1880" s="1527"/>
    </row>
    <row r="1881" spans="5:6">
      <c r="E1881" s="1527"/>
      <c r="F1881" s="1527"/>
    </row>
    <row r="1882" spans="5:6">
      <c r="E1882" s="1527"/>
      <c r="F1882" s="1527"/>
    </row>
    <row r="1883" spans="5:6">
      <c r="E1883" s="1527"/>
      <c r="F1883" s="1527"/>
    </row>
    <row r="1884" spans="5:6">
      <c r="E1884" s="1527"/>
      <c r="F1884" s="1527"/>
    </row>
    <row r="1885" spans="5:6">
      <c r="E1885" s="1527"/>
      <c r="F1885" s="1527"/>
    </row>
    <row r="1886" spans="5:6">
      <c r="E1886" s="1527"/>
      <c r="F1886" s="1527"/>
    </row>
    <row r="1887" spans="5:6">
      <c r="E1887" s="1527"/>
      <c r="F1887" s="1527"/>
    </row>
    <row r="1888" spans="5:6">
      <c r="E1888" s="1527"/>
      <c r="F1888" s="1527"/>
    </row>
    <row r="1889" spans="5:6">
      <c r="E1889" s="1527"/>
      <c r="F1889" s="1527"/>
    </row>
    <row r="1890" spans="5:6">
      <c r="E1890" s="1527"/>
      <c r="F1890" s="1527"/>
    </row>
    <row r="1891" spans="5:6">
      <c r="E1891" s="1527"/>
      <c r="F1891" s="1527"/>
    </row>
    <row r="1892" spans="5:6">
      <c r="E1892" s="1527"/>
      <c r="F1892" s="1527"/>
    </row>
    <row r="1893" spans="5:6">
      <c r="E1893" s="1527"/>
      <c r="F1893" s="1527"/>
    </row>
    <row r="1894" spans="5:6">
      <c r="E1894" s="1527"/>
      <c r="F1894" s="1527"/>
    </row>
    <row r="1895" spans="5:6">
      <c r="E1895" s="1527"/>
      <c r="F1895" s="1527"/>
    </row>
    <row r="1896" spans="5:6">
      <c r="E1896" s="1527"/>
      <c r="F1896" s="1527"/>
    </row>
    <row r="1897" spans="5:6">
      <c r="E1897" s="1527"/>
      <c r="F1897" s="1527"/>
    </row>
    <row r="1898" spans="5:6">
      <c r="E1898" s="1527"/>
      <c r="F1898" s="1527"/>
    </row>
    <row r="1899" spans="5:6">
      <c r="E1899" s="1527"/>
      <c r="F1899" s="1527"/>
    </row>
    <row r="1900" spans="5:6">
      <c r="E1900" s="1527"/>
      <c r="F1900" s="1527"/>
    </row>
    <row r="1901" spans="5:6">
      <c r="E1901" s="1527"/>
      <c r="F1901" s="1527"/>
    </row>
    <row r="1902" spans="5:6">
      <c r="E1902" s="1527"/>
      <c r="F1902" s="1527"/>
    </row>
    <row r="1903" spans="5:6">
      <c r="E1903" s="1527"/>
      <c r="F1903" s="1527"/>
    </row>
    <row r="1904" spans="5:6">
      <c r="E1904" s="1527"/>
      <c r="F1904" s="1527"/>
    </row>
    <row r="1905" spans="5:6">
      <c r="E1905" s="1527"/>
      <c r="F1905" s="1527"/>
    </row>
    <row r="1906" spans="5:6">
      <c r="E1906" s="1527"/>
      <c r="F1906" s="1527"/>
    </row>
    <row r="1907" spans="5:6">
      <c r="E1907" s="1527"/>
      <c r="F1907" s="1527"/>
    </row>
    <row r="1908" spans="5:6">
      <c r="E1908" s="1527"/>
      <c r="F1908" s="1527"/>
    </row>
    <row r="1909" spans="5:6">
      <c r="E1909" s="1527"/>
      <c r="F1909" s="1527"/>
    </row>
    <row r="1910" spans="5:6">
      <c r="E1910" s="1527"/>
      <c r="F1910" s="1527"/>
    </row>
    <row r="1911" spans="5:6">
      <c r="E1911" s="1527"/>
      <c r="F1911" s="1527"/>
    </row>
    <row r="1912" spans="5:6">
      <c r="E1912" s="1527"/>
      <c r="F1912" s="1527"/>
    </row>
    <row r="1913" spans="5:6">
      <c r="E1913" s="1527"/>
      <c r="F1913" s="1527"/>
    </row>
    <row r="1914" spans="5:6">
      <c r="E1914" s="1527"/>
      <c r="F1914" s="1527"/>
    </row>
    <row r="1915" spans="5:6">
      <c r="E1915" s="1527"/>
      <c r="F1915" s="1527"/>
    </row>
    <row r="1916" spans="5:6">
      <c r="E1916" s="1527"/>
      <c r="F1916" s="1527"/>
    </row>
    <row r="1917" spans="5:6">
      <c r="E1917" s="1527"/>
      <c r="F1917" s="1527"/>
    </row>
    <row r="1918" spans="5:6">
      <c r="E1918" s="1527"/>
      <c r="F1918" s="1527"/>
    </row>
    <row r="1919" spans="5:6">
      <c r="E1919" s="1527"/>
      <c r="F1919" s="1527"/>
    </row>
    <row r="1920" spans="5:6">
      <c r="E1920" s="1527"/>
      <c r="F1920" s="1527"/>
    </row>
    <row r="1921" spans="5:6">
      <c r="E1921" s="1527"/>
      <c r="F1921" s="1527"/>
    </row>
    <row r="1922" spans="5:6">
      <c r="E1922" s="1527"/>
      <c r="F1922" s="1527"/>
    </row>
    <row r="1923" spans="5:6">
      <c r="E1923" s="1527"/>
      <c r="F1923" s="1527"/>
    </row>
    <row r="1924" spans="5:6">
      <c r="E1924" s="1527"/>
      <c r="F1924" s="1527"/>
    </row>
    <row r="1925" spans="5:6">
      <c r="E1925" s="1527"/>
      <c r="F1925" s="1527"/>
    </row>
    <row r="1926" spans="5:6">
      <c r="E1926" s="1527"/>
      <c r="F1926" s="1527"/>
    </row>
    <row r="1927" spans="5:6">
      <c r="E1927" s="1527"/>
      <c r="F1927" s="1527"/>
    </row>
    <row r="1928" spans="5:6">
      <c r="E1928" s="1527"/>
      <c r="F1928" s="1527"/>
    </row>
    <row r="1929" spans="5:6">
      <c r="E1929" s="1527"/>
      <c r="F1929" s="1527"/>
    </row>
    <row r="1930" spans="5:6">
      <c r="E1930" s="1527"/>
      <c r="F1930" s="1527"/>
    </row>
    <row r="1931" spans="5:6">
      <c r="E1931" s="1527"/>
      <c r="F1931" s="1527"/>
    </row>
    <row r="1932" spans="5:6">
      <c r="E1932" s="1527"/>
      <c r="F1932" s="1527"/>
    </row>
    <row r="1933" spans="5:6">
      <c r="E1933" s="1527"/>
      <c r="F1933" s="1527"/>
    </row>
    <row r="1934" spans="5:6">
      <c r="E1934" s="1527"/>
      <c r="F1934" s="1527"/>
    </row>
    <row r="1935" spans="5:6">
      <c r="E1935" s="1527"/>
      <c r="F1935" s="1527"/>
    </row>
    <row r="1936" spans="5:6">
      <c r="E1936" s="1527"/>
      <c r="F1936" s="1527"/>
    </row>
    <row r="1937" spans="5:6">
      <c r="E1937" s="1527"/>
      <c r="F1937" s="1527"/>
    </row>
    <row r="1938" spans="5:6">
      <c r="E1938" s="1527"/>
      <c r="F1938" s="1527"/>
    </row>
    <row r="1939" spans="5:6">
      <c r="E1939" s="1527"/>
      <c r="F1939" s="1527"/>
    </row>
    <row r="1940" spans="5:6">
      <c r="E1940" s="1527"/>
      <c r="F1940" s="1527"/>
    </row>
    <row r="1941" spans="5:6">
      <c r="E1941" s="1527"/>
      <c r="F1941" s="1527"/>
    </row>
    <row r="1942" spans="5:6">
      <c r="E1942" s="1527"/>
      <c r="F1942" s="1527"/>
    </row>
    <row r="1943" spans="5:6">
      <c r="E1943" s="1527"/>
      <c r="F1943" s="1527"/>
    </row>
    <row r="1944" spans="5:6">
      <c r="E1944" s="1527"/>
      <c r="F1944" s="1527"/>
    </row>
    <row r="1945" spans="5:6">
      <c r="E1945" s="1527"/>
      <c r="F1945" s="1527"/>
    </row>
    <row r="1946" spans="5:6">
      <c r="E1946" s="1527"/>
      <c r="F1946" s="1527"/>
    </row>
    <row r="1947" spans="5:6">
      <c r="E1947" s="1527"/>
      <c r="F1947" s="1527"/>
    </row>
    <row r="1948" spans="5:6">
      <c r="E1948" s="1527"/>
      <c r="F1948" s="1527"/>
    </row>
    <row r="1949" spans="5:6">
      <c r="E1949" s="1527"/>
      <c r="F1949" s="1527"/>
    </row>
    <row r="1950" spans="5:6">
      <c r="E1950" s="1527"/>
      <c r="F1950" s="1527"/>
    </row>
    <row r="1951" spans="5:6">
      <c r="E1951" s="1527"/>
      <c r="F1951" s="1527"/>
    </row>
    <row r="1952" spans="5:6">
      <c r="E1952" s="1527"/>
      <c r="F1952" s="1527"/>
    </row>
    <row r="1953" spans="5:6">
      <c r="E1953" s="1527"/>
      <c r="F1953" s="1527"/>
    </row>
    <row r="1954" spans="5:6">
      <c r="E1954" s="1527"/>
      <c r="F1954" s="1527"/>
    </row>
    <row r="1955" spans="5:6">
      <c r="E1955" s="1527"/>
      <c r="F1955" s="1527"/>
    </row>
    <row r="1956" spans="5:6">
      <c r="E1956" s="1527"/>
      <c r="F1956" s="1527"/>
    </row>
    <row r="1957" spans="5:6">
      <c r="E1957" s="1527"/>
      <c r="F1957" s="1527"/>
    </row>
    <row r="1958" spans="5:6">
      <c r="E1958" s="1527"/>
      <c r="F1958" s="1527"/>
    </row>
    <row r="1959" spans="5:6">
      <c r="E1959" s="1527"/>
      <c r="F1959" s="1527"/>
    </row>
    <row r="1960" spans="5:6">
      <c r="E1960" s="1527"/>
      <c r="F1960" s="1527"/>
    </row>
    <row r="1961" spans="5:6">
      <c r="E1961" s="1527"/>
      <c r="F1961" s="1527"/>
    </row>
    <row r="1962" spans="5:6">
      <c r="E1962" s="1527"/>
      <c r="F1962" s="1527"/>
    </row>
    <row r="1963" spans="5:6">
      <c r="E1963" s="1527"/>
      <c r="F1963" s="1527"/>
    </row>
    <row r="1964" spans="5:6">
      <c r="E1964" s="1527"/>
      <c r="F1964" s="1527"/>
    </row>
    <row r="1965" spans="5:6">
      <c r="E1965" s="1527"/>
      <c r="F1965" s="1527"/>
    </row>
    <row r="1966" spans="5:6">
      <c r="E1966" s="1527"/>
      <c r="F1966" s="1527"/>
    </row>
    <row r="1967" spans="5:6">
      <c r="E1967" s="1527"/>
      <c r="F1967" s="1527"/>
    </row>
    <row r="1968" spans="5:6">
      <c r="E1968" s="1527"/>
      <c r="F1968" s="1527"/>
    </row>
    <row r="1969" spans="5:6">
      <c r="E1969" s="1527"/>
      <c r="F1969" s="1527"/>
    </row>
    <row r="1970" spans="5:6">
      <c r="E1970" s="1527"/>
      <c r="F1970" s="1527"/>
    </row>
    <row r="1971" spans="5:6">
      <c r="E1971" s="1527"/>
      <c r="F1971" s="1527"/>
    </row>
    <row r="1972" spans="5:6">
      <c r="E1972" s="1527"/>
      <c r="F1972" s="1527"/>
    </row>
    <row r="1973" spans="5:6">
      <c r="E1973" s="1527"/>
      <c r="F1973" s="1527"/>
    </row>
    <row r="1974" spans="5:6">
      <c r="E1974" s="1527"/>
      <c r="F1974" s="1527"/>
    </row>
    <row r="1975" spans="5:6">
      <c r="E1975" s="1527"/>
      <c r="F1975" s="1527"/>
    </row>
    <row r="1976" spans="5:6">
      <c r="E1976" s="1527"/>
      <c r="F1976" s="1527"/>
    </row>
    <row r="1977" spans="5:6">
      <c r="E1977" s="1527"/>
      <c r="F1977" s="1527"/>
    </row>
    <row r="1978" spans="5:6">
      <c r="E1978" s="1527"/>
      <c r="F1978" s="1527"/>
    </row>
    <row r="1979" spans="5:6">
      <c r="E1979" s="1527"/>
      <c r="F1979" s="1527"/>
    </row>
    <row r="1980" spans="5:6">
      <c r="E1980" s="1527"/>
      <c r="F1980" s="1527"/>
    </row>
    <row r="1981" spans="5:6">
      <c r="E1981" s="1527"/>
      <c r="F1981" s="1527"/>
    </row>
  </sheetData>
  <mergeCells count="1471">
    <mergeCell ref="A49:F49"/>
    <mergeCell ref="A50:F50"/>
    <mergeCell ref="A51:F51"/>
    <mergeCell ref="A52:F52"/>
    <mergeCell ref="A53:F53"/>
    <mergeCell ref="A54:F54"/>
    <mergeCell ref="A55:F55"/>
    <mergeCell ref="A56:F56"/>
    <mergeCell ref="A57:F57"/>
    <mergeCell ref="A58:F58"/>
    <mergeCell ref="A59:F59"/>
    <mergeCell ref="A60:F60"/>
    <mergeCell ref="A61:F61"/>
    <mergeCell ref="A62:F62"/>
    <mergeCell ref="A63:F63"/>
    <mergeCell ref="A64:F64"/>
    <mergeCell ref="A65:F65"/>
    <mergeCell ref="F1160:G1160"/>
    <mergeCell ref="F1161:G1161"/>
    <mergeCell ref="F1162:G1162"/>
    <mergeCell ref="F1154:G1154"/>
    <mergeCell ref="F1155:G1155"/>
    <mergeCell ref="F1156:G1156"/>
    <mergeCell ref="F1157:G1157"/>
    <mergeCell ref="F1158:G1158"/>
    <mergeCell ref="F1159:G1159"/>
    <mergeCell ref="F1148:G1148"/>
    <mergeCell ref="F1149:G1149"/>
    <mergeCell ref="F1150:G1150"/>
    <mergeCell ref="F1151:G1151"/>
    <mergeCell ref="F1152:G1152"/>
    <mergeCell ref="F1153:G1153"/>
    <mergeCell ref="F1142:G1142"/>
    <mergeCell ref="F1143:G1143"/>
    <mergeCell ref="F1144:G1144"/>
    <mergeCell ref="F1145:G1145"/>
    <mergeCell ref="F1146:G1146"/>
    <mergeCell ref="F1147:G1147"/>
    <mergeCell ref="F1136:G1136"/>
    <mergeCell ref="F1137:G1137"/>
    <mergeCell ref="F1138:G1138"/>
    <mergeCell ref="F1139:G1139"/>
    <mergeCell ref="F1140:G1140"/>
    <mergeCell ref="F1141:G1141"/>
    <mergeCell ref="F1130:G1130"/>
    <mergeCell ref="F1131:G1131"/>
    <mergeCell ref="F1132:G1132"/>
    <mergeCell ref="F1133:G1133"/>
    <mergeCell ref="F1134:G1134"/>
    <mergeCell ref="F1135:G1135"/>
    <mergeCell ref="F1124:G1124"/>
    <mergeCell ref="F1125:G1125"/>
    <mergeCell ref="F1126:G1126"/>
    <mergeCell ref="F1127:G1127"/>
    <mergeCell ref="F1128:G1128"/>
    <mergeCell ref="F1129:G1129"/>
    <mergeCell ref="F1118:G1118"/>
    <mergeCell ref="F1119:G1119"/>
    <mergeCell ref="F1120:G1120"/>
    <mergeCell ref="F1121:G1121"/>
    <mergeCell ref="F1122:G1122"/>
    <mergeCell ref="F1123:G1123"/>
    <mergeCell ref="F1112:G1112"/>
    <mergeCell ref="F1113:G1113"/>
    <mergeCell ref="F1114:G1114"/>
    <mergeCell ref="F1115:G1115"/>
    <mergeCell ref="F1116:G1116"/>
    <mergeCell ref="F1117:G1117"/>
    <mergeCell ref="F1106:G1106"/>
    <mergeCell ref="F1107:G1107"/>
    <mergeCell ref="F1108:G1108"/>
    <mergeCell ref="F1109:G1109"/>
    <mergeCell ref="F1110:G1110"/>
    <mergeCell ref="F1111:G1111"/>
    <mergeCell ref="F1100:G1100"/>
    <mergeCell ref="F1101:G1101"/>
    <mergeCell ref="F1102:G1102"/>
    <mergeCell ref="F1103:G1103"/>
    <mergeCell ref="F1104:G1104"/>
    <mergeCell ref="F1105:G1105"/>
    <mergeCell ref="F1094:G1094"/>
    <mergeCell ref="F1095:G1095"/>
    <mergeCell ref="F1096:G1096"/>
    <mergeCell ref="F1097:G1097"/>
    <mergeCell ref="F1098:G1098"/>
    <mergeCell ref="F1099:G1099"/>
    <mergeCell ref="F1088:G1088"/>
    <mergeCell ref="F1089:G1089"/>
    <mergeCell ref="F1090:G1090"/>
    <mergeCell ref="F1091:G1091"/>
    <mergeCell ref="F1092:G1092"/>
    <mergeCell ref="F1093:G1093"/>
    <mergeCell ref="F1082:G1082"/>
    <mergeCell ref="F1083:G1083"/>
    <mergeCell ref="F1084:G1084"/>
    <mergeCell ref="F1085:G1085"/>
    <mergeCell ref="F1086:G1086"/>
    <mergeCell ref="F1087:G1087"/>
    <mergeCell ref="F1076:G1076"/>
    <mergeCell ref="F1077:G1077"/>
    <mergeCell ref="F1078:G1078"/>
    <mergeCell ref="F1079:G1079"/>
    <mergeCell ref="F1080:G1080"/>
    <mergeCell ref="F1081:G1081"/>
    <mergeCell ref="F1070:G1070"/>
    <mergeCell ref="F1071:G1071"/>
    <mergeCell ref="F1072:G1072"/>
    <mergeCell ref="F1073:G1073"/>
    <mergeCell ref="F1074:G1074"/>
    <mergeCell ref="F1075:G1075"/>
    <mergeCell ref="F1064:G1064"/>
    <mergeCell ref="F1065:G1065"/>
    <mergeCell ref="F1066:G1066"/>
    <mergeCell ref="F1067:G1067"/>
    <mergeCell ref="F1068:G1068"/>
    <mergeCell ref="F1069:G1069"/>
    <mergeCell ref="F1058:G1058"/>
    <mergeCell ref="F1059:G1059"/>
    <mergeCell ref="F1060:G1060"/>
    <mergeCell ref="F1061:G1061"/>
    <mergeCell ref="F1062:G1062"/>
    <mergeCell ref="F1063:G1063"/>
    <mergeCell ref="F1052:G1052"/>
    <mergeCell ref="F1053:G1053"/>
    <mergeCell ref="F1054:G1054"/>
    <mergeCell ref="F1055:G1055"/>
    <mergeCell ref="F1056:G1056"/>
    <mergeCell ref="F1057:G1057"/>
    <mergeCell ref="F1046:G1046"/>
    <mergeCell ref="F1047:G1047"/>
    <mergeCell ref="F1048:G1048"/>
    <mergeCell ref="F1049:G1049"/>
    <mergeCell ref="F1050:G1050"/>
    <mergeCell ref="F1051:G1051"/>
    <mergeCell ref="F1040:G1040"/>
    <mergeCell ref="F1041:G1041"/>
    <mergeCell ref="F1042:G1042"/>
    <mergeCell ref="F1043:G1043"/>
    <mergeCell ref="F1044:G1044"/>
    <mergeCell ref="F1045:G1045"/>
    <mergeCell ref="F1034:G1034"/>
    <mergeCell ref="F1035:G1035"/>
    <mergeCell ref="F1036:G1036"/>
    <mergeCell ref="F1037:G1037"/>
    <mergeCell ref="F1038:G1038"/>
    <mergeCell ref="F1039:G1039"/>
    <mergeCell ref="F1028:G1028"/>
    <mergeCell ref="F1029:G1029"/>
    <mergeCell ref="F1030:G1030"/>
    <mergeCell ref="F1031:G1031"/>
    <mergeCell ref="F1032:G1032"/>
    <mergeCell ref="F1033:G1033"/>
    <mergeCell ref="F1022:G1022"/>
    <mergeCell ref="F1023:G1023"/>
    <mergeCell ref="F1024:G1024"/>
    <mergeCell ref="F1025:G1025"/>
    <mergeCell ref="F1026:G1026"/>
    <mergeCell ref="F1027:G1027"/>
    <mergeCell ref="F1016:G1016"/>
    <mergeCell ref="F1017:G1017"/>
    <mergeCell ref="F1018:G1018"/>
    <mergeCell ref="F1019:G1019"/>
    <mergeCell ref="F1020:G1020"/>
    <mergeCell ref="F1021:G1021"/>
    <mergeCell ref="F1010:G1010"/>
    <mergeCell ref="F1011:G1011"/>
    <mergeCell ref="F1012:G1012"/>
    <mergeCell ref="F1013:G1013"/>
    <mergeCell ref="F1014:G1014"/>
    <mergeCell ref="F1015:G1015"/>
    <mergeCell ref="F1004:G1004"/>
    <mergeCell ref="F1005:G1005"/>
    <mergeCell ref="F1006:G1006"/>
    <mergeCell ref="F1007:G1007"/>
    <mergeCell ref="F1008:G1008"/>
    <mergeCell ref="F1009:G1009"/>
    <mergeCell ref="F998:G998"/>
    <mergeCell ref="F999:G999"/>
    <mergeCell ref="F1000:G1000"/>
    <mergeCell ref="F1001:G1001"/>
    <mergeCell ref="F1002:G1002"/>
    <mergeCell ref="F1003:G1003"/>
    <mergeCell ref="F992:G992"/>
    <mergeCell ref="F993:G993"/>
    <mergeCell ref="F994:G994"/>
    <mergeCell ref="F995:G995"/>
    <mergeCell ref="F996:G996"/>
    <mergeCell ref="F997:G997"/>
    <mergeCell ref="F986:G986"/>
    <mergeCell ref="F987:G987"/>
    <mergeCell ref="F988:G988"/>
    <mergeCell ref="F989:G989"/>
    <mergeCell ref="F990:G990"/>
    <mergeCell ref="F991:G991"/>
    <mergeCell ref="F980:G980"/>
    <mergeCell ref="F981:G981"/>
    <mergeCell ref="F982:G982"/>
    <mergeCell ref="F983:G983"/>
    <mergeCell ref="F984:G984"/>
    <mergeCell ref="F985:G985"/>
    <mergeCell ref="F974:G974"/>
    <mergeCell ref="F975:G975"/>
    <mergeCell ref="F976:G976"/>
    <mergeCell ref="F977:G977"/>
    <mergeCell ref="F978:G978"/>
    <mergeCell ref="F979:G979"/>
    <mergeCell ref="F968:G968"/>
    <mergeCell ref="F969:G969"/>
    <mergeCell ref="F970:G970"/>
    <mergeCell ref="F971:G971"/>
    <mergeCell ref="F972:G972"/>
    <mergeCell ref="F973:G973"/>
    <mergeCell ref="F962:G962"/>
    <mergeCell ref="F963:G963"/>
    <mergeCell ref="F964:G964"/>
    <mergeCell ref="F965:G965"/>
    <mergeCell ref="F966:G966"/>
    <mergeCell ref="F967:G967"/>
    <mergeCell ref="F956:G956"/>
    <mergeCell ref="F957:G957"/>
    <mergeCell ref="F958:G958"/>
    <mergeCell ref="F959:G959"/>
    <mergeCell ref="F960:G960"/>
    <mergeCell ref="F961:G961"/>
    <mergeCell ref="F950:G950"/>
    <mergeCell ref="F951:G951"/>
    <mergeCell ref="F952:G952"/>
    <mergeCell ref="F953:G953"/>
    <mergeCell ref="F954:G954"/>
    <mergeCell ref="F955:G955"/>
    <mergeCell ref="F944:G944"/>
    <mergeCell ref="F945:G945"/>
    <mergeCell ref="F946:G946"/>
    <mergeCell ref="F947:G947"/>
    <mergeCell ref="F948:G948"/>
    <mergeCell ref="F949:G949"/>
    <mergeCell ref="F938:G938"/>
    <mergeCell ref="F939:G939"/>
    <mergeCell ref="F940:G940"/>
    <mergeCell ref="F941:G941"/>
    <mergeCell ref="F942:G942"/>
    <mergeCell ref="F943:G943"/>
    <mergeCell ref="F932:G932"/>
    <mergeCell ref="F933:G933"/>
    <mergeCell ref="F934:G934"/>
    <mergeCell ref="F935:G935"/>
    <mergeCell ref="F936:G936"/>
    <mergeCell ref="F937:G937"/>
    <mergeCell ref="F926:G926"/>
    <mergeCell ref="F927:G927"/>
    <mergeCell ref="F928:G928"/>
    <mergeCell ref="F929:G929"/>
    <mergeCell ref="F930:G930"/>
    <mergeCell ref="F931:G931"/>
    <mergeCell ref="F920:G920"/>
    <mergeCell ref="F921:G921"/>
    <mergeCell ref="F922:G922"/>
    <mergeCell ref="F923:G923"/>
    <mergeCell ref="F924:G924"/>
    <mergeCell ref="F925:G925"/>
    <mergeCell ref="F914:G914"/>
    <mergeCell ref="F915:G915"/>
    <mergeCell ref="F916:G916"/>
    <mergeCell ref="F917:G917"/>
    <mergeCell ref="F918:G918"/>
    <mergeCell ref="F919:G919"/>
    <mergeCell ref="F908:G908"/>
    <mergeCell ref="F909:G909"/>
    <mergeCell ref="F910:G910"/>
    <mergeCell ref="F911:G911"/>
    <mergeCell ref="F912:G912"/>
    <mergeCell ref="F913:G913"/>
    <mergeCell ref="F902:G902"/>
    <mergeCell ref="F903:G903"/>
    <mergeCell ref="F904:G904"/>
    <mergeCell ref="F905:G905"/>
    <mergeCell ref="F906:G906"/>
    <mergeCell ref="F907:G907"/>
    <mergeCell ref="F896:G896"/>
    <mergeCell ref="F897:G897"/>
    <mergeCell ref="F898:G898"/>
    <mergeCell ref="F899:G899"/>
    <mergeCell ref="F900:G900"/>
    <mergeCell ref="F901:G901"/>
    <mergeCell ref="F890:G890"/>
    <mergeCell ref="F891:G891"/>
    <mergeCell ref="F892:G892"/>
    <mergeCell ref="F893:G893"/>
    <mergeCell ref="F894:G894"/>
    <mergeCell ref="F895:G895"/>
    <mergeCell ref="F884:G884"/>
    <mergeCell ref="F885:G885"/>
    <mergeCell ref="F886:G886"/>
    <mergeCell ref="F887:G887"/>
    <mergeCell ref="F888:G888"/>
    <mergeCell ref="F889:G889"/>
    <mergeCell ref="F878:G878"/>
    <mergeCell ref="F879:G879"/>
    <mergeCell ref="F880:G880"/>
    <mergeCell ref="F881:G881"/>
    <mergeCell ref="F882:G882"/>
    <mergeCell ref="F883:G883"/>
    <mergeCell ref="F872:G872"/>
    <mergeCell ref="F873:G873"/>
    <mergeCell ref="F874:G874"/>
    <mergeCell ref="F875:G875"/>
    <mergeCell ref="F876:G876"/>
    <mergeCell ref="F877:G877"/>
    <mergeCell ref="F866:G866"/>
    <mergeCell ref="F867:G867"/>
    <mergeCell ref="F868:G868"/>
    <mergeCell ref="F869:G869"/>
    <mergeCell ref="F870:G870"/>
    <mergeCell ref="F871:G871"/>
    <mergeCell ref="F860:G860"/>
    <mergeCell ref="F861:G861"/>
    <mergeCell ref="F862:G862"/>
    <mergeCell ref="F863:G863"/>
    <mergeCell ref="F864:G864"/>
    <mergeCell ref="F865:G865"/>
    <mergeCell ref="F854:G854"/>
    <mergeCell ref="F855:G855"/>
    <mergeCell ref="F856:G856"/>
    <mergeCell ref="F857:G857"/>
    <mergeCell ref="F858:G858"/>
    <mergeCell ref="F859:G859"/>
    <mergeCell ref="F848:G848"/>
    <mergeCell ref="F849:G849"/>
    <mergeCell ref="F850:G850"/>
    <mergeCell ref="F851:G851"/>
    <mergeCell ref="F852:G852"/>
    <mergeCell ref="F853:G853"/>
    <mergeCell ref="F842:G842"/>
    <mergeCell ref="F843:G843"/>
    <mergeCell ref="F844:G844"/>
    <mergeCell ref="F845:G845"/>
    <mergeCell ref="F846:G846"/>
    <mergeCell ref="F847:G847"/>
    <mergeCell ref="F836:G836"/>
    <mergeCell ref="F837:G837"/>
    <mergeCell ref="F838:G838"/>
    <mergeCell ref="F839:G839"/>
    <mergeCell ref="F840:G840"/>
    <mergeCell ref="F841:G841"/>
    <mergeCell ref="F830:G830"/>
    <mergeCell ref="F831:G831"/>
    <mergeCell ref="F832:G832"/>
    <mergeCell ref="F833:G833"/>
    <mergeCell ref="F834:G834"/>
    <mergeCell ref="F835:G835"/>
    <mergeCell ref="F824:G824"/>
    <mergeCell ref="F825:G825"/>
    <mergeCell ref="F826:G826"/>
    <mergeCell ref="F827:G827"/>
    <mergeCell ref="F828:G828"/>
    <mergeCell ref="F829:G829"/>
    <mergeCell ref="F818:G818"/>
    <mergeCell ref="F819:G819"/>
    <mergeCell ref="F820:G820"/>
    <mergeCell ref="F821:G821"/>
    <mergeCell ref="F822:G822"/>
    <mergeCell ref="F823:G823"/>
    <mergeCell ref="F812:G812"/>
    <mergeCell ref="F813:G813"/>
    <mergeCell ref="F814:G814"/>
    <mergeCell ref="F815:G815"/>
    <mergeCell ref="F816:G816"/>
    <mergeCell ref="F817:G817"/>
    <mergeCell ref="F806:G806"/>
    <mergeCell ref="F807:G807"/>
    <mergeCell ref="F808:G808"/>
    <mergeCell ref="F809:G809"/>
    <mergeCell ref="F810:G810"/>
    <mergeCell ref="F811:G811"/>
    <mergeCell ref="F800:G800"/>
    <mergeCell ref="F801:G801"/>
    <mergeCell ref="F802:G802"/>
    <mergeCell ref="F803:G803"/>
    <mergeCell ref="F804:G804"/>
    <mergeCell ref="F805:G805"/>
    <mergeCell ref="F794:G794"/>
    <mergeCell ref="F795:G795"/>
    <mergeCell ref="F796:G796"/>
    <mergeCell ref="F797:G797"/>
    <mergeCell ref="F798:G798"/>
    <mergeCell ref="F799:G799"/>
    <mergeCell ref="F788:G788"/>
    <mergeCell ref="F789:G789"/>
    <mergeCell ref="F790:G790"/>
    <mergeCell ref="F791:G791"/>
    <mergeCell ref="F792:G792"/>
    <mergeCell ref="F793:G793"/>
    <mergeCell ref="F782:G782"/>
    <mergeCell ref="F783:G783"/>
    <mergeCell ref="F784:G784"/>
    <mergeCell ref="F785:G785"/>
    <mergeCell ref="F786:G786"/>
    <mergeCell ref="F787:G787"/>
    <mergeCell ref="F776:G776"/>
    <mergeCell ref="F777:G777"/>
    <mergeCell ref="F778:G778"/>
    <mergeCell ref="F779:G779"/>
    <mergeCell ref="F780:G780"/>
    <mergeCell ref="F781:G781"/>
    <mergeCell ref="F770:G770"/>
    <mergeCell ref="F771:G771"/>
    <mergeCell ref="F772:G772"/>
    <mergeCell ref="F773:G773"/>
    <mergeCell ref="F774:G774"/>
    <mergeCell ref="F775:G775"/>
    <mergeCell ref="F764:G764"/>
    <mergeCell ref="F765:G765"/>
    <mergeCell ref="F766:G766"/>
    <mergeCell ref="F767:G767"/>
    <mergeCell ref="F768:G768"/>
    <mergeCell ref="F769:G769"/>
    <mergeCell ref="F758:G758"/>
    <mergeCell ref="F759:G759"/>
    <mergeCell ref="F760:G760"/>
    <mergeCell ref="F761:G761"/>
    <mergeCell ref="F762:G762"/>
    <mergeCell ref="F763:G763"/>
    <mergeCell ref="F752:G752"/>
    <mergeCell ref="F753:G753"/>
    <mergeCell ref="F754:G754"/>
    <mergeCell ref="F755:G755"/>
    <mergeCell ref="F756:G756"/>
    <mergeCell ref="F757:G757"/>
    <mergeCell ref="F746:G746"/>
    <mergeCell ref="F747:G747"/>
    <mergeCell ref="F748:G748"/>
    <mergeCell ref="F749:G749"/>
    <mergeCell ref="F750:G750"/>
    <mergeCell ref="F751:G751"/>
    <mergeCell ref="F740:G740"/>
    <mergeCell ref="F741:G741"/>
    <mergeCell ref="F742:G742"/>
    <mergeCell ref="F743:G743"/>
    <mergeCell ref="F744:G744"/>
    <mergeCell ref="F745:G745"/>
    <mergeCell ref="F734:G734"/>
    <mergeCell ref="F735:G735"/>
    <mergeCell ref="F736:G736"/>
    <mergeCell ref="F737:G737"/>
    <mergeCell ref="F738:G738"/>
    <mergeCell ref="F739:G739"/>
    <mergeCell ref="F728:G728"/>
    <mergeCell ref="F729:G729"/>
    <mergeCell ref="F730:G730"/>
    <mergeCell ref="F731:G731"/>
    <mergeCell ref="F732:G732"/>
    <mergeCell ref="F733:G733"/>
    <mergeCell ref="F722:G722"/>
    <mergeCell ref="F723:G723"/>
    <mergeCell ref="F724:G724"/>
    <mergeCell ref="F725:G725"/>
    <mergeCell ref="F726:G726"/>
    <mergeCell ref="F727:G727"/>
    <mergeCell ref="F716:G716"/>
    <mergeCell ref="F717:G717"/>
    <mergeCell ref="F718:G718"/>
    <mergeCell ref="F719:G719"/>
    <mergeCell ref="F720:G720"/>
    <mergeCell ref="F721:G721"/>
    <mergeCell ref="F710:G710"/>
    <mergeCell ref="F711:G711"/>
    <mergeCell ref="F712:G712"/>
    <mergeCell ref="F713:G713"/>
    <mergeCell ref="F714:G714"/>
    <mergeCell ref="F715:G715"/>
    <mergeCell ref="F704:G704"/>
    <mergeCell ref="F705:G705"/>
    <mergeCell ref="F706:G706"/>
    <mergeCell ref="F707:G707"/>
    <mergeCell ref="F708:G708"/>
    <mergeCell ref="F709:G709"/>
    <mergeCell ref="F698:G698"/>
    <mergeCell ref="F699:G699"/>
    <mergeCell ref="F700:G700"/>
    <mergeCell ref="F701:G701"/>
    <mergeCell ref="F702:G702"/>
    <mergeCell ref="F703:G703"/>
    <mergeCell ref="F692:G692"/>
    <mergeCell ref="F693:G693"/>
    <mergeCell ref="F694:G694"/>
    <mergeCell ref="F695:G695"/>
    <mergeCell ref="F696:G696"/>
    <mergeCell ref="F697:G697"/>
    <mergeCell ref="F686:G686"/>
    <mergeCell ref="F687:G687"/>
    <mergeCell ref="F688:G688"/>
    <mergeCell ref="F689:G689"/>
    <mergeCell ref="F690:G690"/>
    <mergeCell ref="F691:G691"/>
    <mergeCell ref="F680:G680"/>
    <mergeCell ref="F681:G681"/>
    <mergeCell ref="F682:G682"/>
    <mergeCell ref="F683:G683"/>
    <mergeCell ref="F684:G684"/>
    <mergeCell ref="F685:G685"/>
    <mergeCell ref="F674:G674"/>
    <mergeCell ref="F675:G675"/>
    <mergeCell ref="F676:G676"/>
    <mergeCell ref="F677:G677"/>
    <mergeCell ref="F678:G678"/>
    <mergeCell ref="F679:G679"/>
    <mergeCell ref="F668:G668"/>
    <mergeCell ref="F669:G669"/>
    <mergeCell ref="F670:G670"/>
    <mergeCell ref="F671:G671"/>
    <mergeCell ref="F672:G672"/>
    <mergeCell ref="F673:G673"/>
    <mergeCell ref="F662:G662"/>
    <mergeCell ref="F663:G663"/>
    <mergeCell ref="F664:G664"/>
    <mergeCell ref="F665:G665"/>
    <mergeCell ref="F666:G666"/>
    <mergeCell ref="F667:G667"/>
    <mergeCell ref="F656:G656"/>
    <mergeCell ref="F657:G657"/>
    <mergeCell ref="F658:G658"/>
    <mergeCell ref="F659:G659"/>
    <mergeCell ref="F660:G660"/>
    <mergeCell ref="F661:G661"/>
    <mergeCell ref="F650:G650"/>
    <mergeCell ref="F651:G651"/>
    <mergeCell ref="F652:G652"/>
    <mergeCell ref="F653:G653"/>
    <mergeCell ref="F654:G654"/>
    <mergeCell ref="F655:G655"/>
    <mergeCell ref="F644:G644"/>
    <mergeCell ref="F645:G645"/>
    <mergeCell ref="F646:G646"/>
    <mergeCell ref="F647:G647"/>
    <mergeCell ref="F648:G648"/>
    <mergeCell ref="F649:G649"/>
    <mergeCell ref="F638:G638"/>
    <mergeCell ref="F639:G639"/>
    <mergeCell ref="F640:G640"/>
    <mergeCell ref="F641:G641"/>
    <mergeCell ref="F642:G642"/>
    <mergeCell ref="F643:G643"/>
    <mergeCell ref="F632:G632"/>
    <mergeCell ref="F633:G633"/>
    <mergeCell ref="F634:G634"/>
    <mergeCell ref="F635:G635"/>
    <mergeCell ref="F636:G636"/>
    <mergeCell ref="F637:G637"/>
    <mergeCell ref="F626:G626"/>
    <mergeCell ref="F627:G627"/>
    <mergeCell ref="F628:G628"/>
    <mergeCell ref="F629:G629"/>
    <mergeCell ref="F630:G630"/>
    <mergeCell ref="F631:G631"/>
    <mergeCell ref="F620:G620"/>
    <mergeCell ref="F621:G621"/>
    <mergeCell ref="F622:G622"/>
    <mergeCell ref="F623:G623"/>
    <mergeCell ref="F624:G624"/>
    <mergeCell ref="F625:G625"/>
    <mergeCell ref="F614:G614"/>
    <mergeCell ref="F615:G615"/>
    <mergeCell ref="F616:G616"/>
    <mergeCell ref="F617:G617"/>
    <mergeCell ref="F618:G618"/>
    <mergeCell ref="F619:G619"/>
    <mergeCell ref="F608:G608"/>
    <mergeCell ref="F609:G609"/>
    <mergeCell ref="F610:G610"/>
    <mergeCell ref="F611:G611"/>
    <mergeCell ref="F612:G612"/>
    <mergeCell ref="F613:G613"/>
    <mergeCell ref="F602:G602"/>
    <mergeCell ref="F603:G603"/>
    <mergeCell ref="F604:G604"/>
    <mergeCell ref="F605:G605"/>
    <mergeCell ref="F606:G606"/>
    <mergeCell ref="F607:G607"/>
    <mergeCell ref="F596:G596"/>
    <mergeCell ref="F597:G597"/>
    <mergeCell ref="F598:G598"/>
    <mergeCell ref="F599:G599"/>
    <mergeCell ref="F600:G600"/>
    <mergeCell ref="F601:G601"/>
    <mergeCell ref="F590:G590"/>
    <mergeCell ref="F591:G591"/>
    <mergeCell ref="F592:G592"/>
    <mergeCell ref="F593:G593"/>
    <mergeCell ref="F594:G594"/>
    <mergeCell ref="F595:G595"/>
    <mergeCell ref="F584:G584"/>
    <mergeCell ref="F585:G585"/>
    <mergeCell ref="F586:G586"/>
    <mergeCell ref="F587:G587"/>
    <mergeCell ref="F588:G588"/>
    <mergeCell ref="F589:G589"/>
    <mergeCell ref="F578:G578"/>
    <mergeCell ref="F579:G579"/>
    <mergeCell ref="F580:G580"/>
    <mergeCell ref="F581:G581"/>
    <mergeCell ref="F582:G582"/>
    <mergeCell ref="F583:G583"/>
    <mergeCell ref="F572:G572"/>
    <mergeCell ref="F573:G573"/>
    <mergeCell ref="F574:G574"/>
    <mergeCell ref="F575:G575"/>
    <mergeCell ref="F576:G576"/>
    <mergeCell ref="F577:G577"/>
    <mergeCell ref="F566:G566"/>
    <mergeCell ref="F567:G567"/>
    <mergeCell ref="F568:G568"/>
    <mergeCell ref="F569:G569"/>
    <mergeCell ref="F570:G570"/>
    <mergeCell ref="F571:G571"/>
    <mergeCell ref="F560:G560"/>
    <mergeCell ref="F561:G561"/>
    <mergeCell ref="F562:G562"/>
    <mergeCell ref="F563:G563"/>
    <mergeCell ref="F564:G564"/>
    <mergeCell ref="F565:G565"/>
    <mergeCell ref="F554:G554"/>
    <mergeCell ref="F555:G555"/>
    <mergeCell ref="F556:G556"/>
    <mergeCell ref="F557:G557"/>
    <mergeCell ref="F558:G558"/>
    <mergeCell ref="F559:G559"/>
    <mergeCell ref="F548:G548"/>
    <mergeCell ref="F549:G549"/>
    <mergeCell ref="F550:G550"/>
    <mergeCell ref="F551:G551"/>
    <mergeCell ref="F552:G552"/>
    <mergeCell ref="F553:G553"/>
    <mergeCell ref="F542:G542"/>
    <mergeCell ref="F543:G543"/>
    <mergeCell ref="F544:G544"/>
    <mergeCell ref="F545:G545"/>
    <mergeCell ref="F546:G546"/>
    <mergeCell ref="F547:G547"/>
    <mergeCell ref="F536:G536"/>
    <mergeCell ref="F537:G537"/>
    <mergeCell ref="F538:G538"/>
    <mergeCell ref="F539:G539"/>
    <mergeCell ref="F540:G540"/>
    <mergeCell ref="F541:G541"/>
    <mergeCell ref="F530:G530"/>
    <mergeCell ref="F531:G531"/>
    <mergeCell ref="F532:G532"/>
    <mergeCell ref="F533:G533"/>
    <mergeCell ref="F534:G534"/>
    <mergeCell ref="F535:G535"/>
    <mergeCell ref="F524:G524"/>
    <mergeCell ref="F525:G525"/>
    <mergeCell ref="F526:G526"/>
    <mergeCell ref="F527:G527"/>
    <mergeCell ref="F528:G528"/>
    <mergeCell ref="F529:G529"/>
    <mergeCell ref="F518:G518"/>
    <mergeCell ref="F519:G519"/>
    <mergeCell ref="F520:G520"/>
    <mergeCell ref="F521:G521"/>
    <mergeCell ref="F522:G522"/>
    <mergeCell ref="F523:G523"/>
    <mergeCell ref="F512:G512"/>
    <mergeCell ref="F513:G513"/>
    <mergeCell ref="F514:G514"/>
    <mergeCell ref="F515:G515"/>
    <mergeCell ref="F516:G516"/>
    <mergeCell ref="F517:G517"/>
    <mergeCell ref="F506:G506"/>
    <mergeCell ref="F507:G507"/>
    <mergeCell ref="F508:G508"/>
    <mergeCell ref="F509:G509"/>
    <mergeCell ref="F510:G510"/>
    <mergeCell ref="F511:G511"/>
    <mergeCell ref="F500:G500"/>
    <mergeCell ref="F501:G501"/>
    <mergeCell ref="F502:G502"/>
    <mergeCell ref="F503:G503"/>
    <mergeCell ref="F504:G504"/>
    <mergeCell ref="F505:G505"/>
    <mergeCell ref="F494:G494"/>
    <mergeCell ref="F495:G495"/>
    <mergeCell ref="F496:G496"/>
    <mergeCell ref="F497:G497"/>
    <mergeCell ref="F498:G498"/>
    <mergeCell ref="F499:G499"/>
    <mergeCell ref="F488:G488"/>
    <mergeCell ref="F489:G489"/>
    <mergeCell ref="F490:G490"/>
    <mergeCell ref="F491:G491"/>
    <mergeCell ref="F492:G492"/>
    <mergeCell ref="F493:G493"/>
    <mergeCell ref="F482:G482"/>
    <mergeCell ref="F483:G483"/>
    <mergeCell ref="F484:G484"/>
    <mergeCell ref="F485:G485"/>
    <mergeCell ref="F486:G486"/>
    <mergeCell ref="F487:G487"/>
    <mergeCell ref="F476:G476"/>
    <mergeCell ref="F477:G477"/>
    <mergeCell ref="F478:G478"/>
    <mergeCell ref="F479:G479"/>
    <mergeCell ref="F480:G480"/>
    <mergeCell ref="F481:G481"/>
    <mergeCell ref="F470:G470"/>
    <mergeCell ref="F471:G471"/>
    <mergeCell ref="F472:G472"/>
    <mergeCell ref="F473:G473"/>
    <mergeCell ref="F474:G474"/>
    <mergeCell ref="F475:G475"/>
    <mergeCell ref="F464:G464"/>
    <mergeCell ref="F465:G465"/>
    <mergeCell ref="F466:G466"/>
    <mergeCell ref="F467:G467"/>
    <mergeCell ref="F468:G468"/>
    <mergeCell ref="F469:G469"/>
    <mergeCell ref="F458:G458"/>
    <mergeCell ref="F459:G459"/>
    <mergeCell ref="F460:G460"/>
    <mergeCell ref="F461:G461"/>
    <mergeCell ref="F462:G462"/>
    <mergeCell ref="F463:G463"/>
    <mergeCell ref="F452:G452"/>
    <mergeCell ref="F453:G453"/>
    <mergeCell ref="F454:G454"/>
    <mergeCell ref="F455:G455"/>
    <mergeCell ref="F456:G456"/>
    <mergeCell ref="F457:G457"/>
    <mergeCell ref="F446:G446"/>
    <mergeCell ref="F447:G447"/>
    <mergeCell ref="F448:G448"/>
    <mergeCell ref="F449:G449"/>
    <mergeCell ref="F450:G450"/>
    <mergeCell ref="F451:G451"/>
    <mergeCell ref="F440:G440"/>
    <mergeCell ref="F441:G441"/>
    <mergeCell ref="F442:G442"/>
    <mergeCell ref="F443:G443"/>
    <mergeCell ref="F444:G444"/>
    <mergeCell ref="F445:G445"/>
    <mergeCell ref="F434:G434"/>
    <mergeCell ref="F435:G435"/>
    <mergeCell ref="F436:G436"/>
    <mergeCell ref="F437:G437"/>
    <mergeCell ref="F438:G438"/>
    <mergeCell ref="F439:G439"/>
    <mergeCell ref="F428:G428"/>
    <mergeCell ref="F429:G429"/>
    <mergeCell ref="F430:G430"/>
    <mergeCell ref="F431:G431"/>
    <mergeCell ref="F432:G432"/>
    <mergeCell ref="F433:G433"/>
    <mergeCell ref="F422:G422"/>
    <mergeCell ref="F423:G423"/>
    <mergeCell ref="F424:G424"/>
    <mergeCell ref="F425:G425"/>
    <mergeCell ref="F426:G426"/>
    <mergeCell ref="F427:G427"/>
    <mergeCell ref="F416:G416"/>
    <mergeCell ref="F417:G417"/>
    <mergeCell ref="F418:G418"/>
    <mergeCell ref="F419:G419"/>
    <mergeCell ref="F420:G420"/>
    <mergeCell ref="F421:G421"/>
    <mergeCell ref="F410:G410"/>
    <mergeCell ref="F411:G411"/>
    <mergeCell ref="F412:G412"/>
    <mergeCell ref="F413:G413"/>
    <mergeCell ref="F414:G414"/>
    <mergeCell ref="F415:G415"/>
    <mergeCell ref="F404:G404"/>
    <mergeCell ref="F405:G405"/>
    <mergeCell ref="F406:G406"/>
    <mergeCell ref="F407:G407"/>
    <mergeCell ref="F408:G408"/>
    <mergeCell ref="F409:G409"/>
    <mergeCell ref="F398:G398"/>
    <mergeCell ref="F399:G399"/>
    <mergeCell ref="F400:G400"/>
    <mergeCell ref="F401:G401"/>
    <mergeCell ref="F402:G402"/>
    <mergeCell ref="F403:G403"/>
    <mergeCell ref="F392:G392"/>
    <mergeCell ref="F393:G393"/>
    <mergeCell ref="F394:G394"/>
    <mergeCell ref="F395:G395"/>
    <mergeCell ref="F396:G396"/>
    <mergeCell ref="F397:G397"/>
    <mergeCell ref="F386:G386"/>
    <mergeCell ref="F387:G387"/>
    <mergeCell ref="F388:G388"/>
    <mergeCell ref="F389:G389"/>
    <mergeCell ref="F390:G390"/>
    <mergeCell ref="F391:G391"/>
    <mergeCell ref="F380:G380"/>
    <mergeCell ref="F381:G381"/>
    <mergeCell ref="F382:G382"/>
    <mergeCell ref="F383:G383"/>
    <mergeCell ref="F384:G384"/>
    <mergeCell ref="F385:G385"/>
    <mergeCell ref="F374:G374"/>
    <mergeCell ref="F375:G375"/>
    <mergeCell ref="F376:G376"/>
    <mergeCell ref="F377:G377"/>
    <mergeCell ref="F378:G378"/>
    <mergeCell ref="F379:G379"/>
    <mergeCell ref="F368:G368"/>
    <mergeCell ref="F369:G369"/>
    <mergeCell ref="F370:G370"/>
    <mergeCell ref="F371:G371"/>
    <mergeCell ref="F372:G372"/>
    <mergeCell ref="F373:G373"/>
    <mergeCell ref="F362:G362"/>
    <mergeCell ref="F363:G363"/>
    <mergeCell ref="F364:G364"/>
    <mergeCell ref="F365:G365"/>
    <mergeCell ref="F366:G366"/>
    <mergeCell ref="F367:G367"/>
    <mergeCell ref="F356:G356"/>
    <mergeCell ref="F357:G357"/>
    <mergeCell ref="F358:G358"/>
    <mergeCell ref="F359:G359"/>
    <mergeCell ref="F360:G360"/>
    <mergeCell ref="F361:G361"/>
    <mergeCell ref="F350:G350"/>
    <mergeCell ref="F351:G351"/>
    <mergeCell ref="F352:G352"/>
    <mergeCell ref="F353:G353"/>
    <mergeCell ref="F354:G354"/>
    <mergeCell ref="F355:G355"/>
    <mergeCell ref="F344:G344"/>
    <mergeCell ref="F345:G345"/>
    <mergeCell ref="F346:G346"/>
    <mergeCell ref="F347:G347"/>
    <mergeCell ref="F348:G348"/>
    <mergeCell ref="F349:G349"/>
    <mergeCell ref="F338:G338"/>
    <mergeCell ref="F339:G339"/>
    <mergeCell ref="F340:G340"/>
    <mergeCell ref="F341:G341"/>
    <mergeCell ref="F342:G342"/>
    <mergeCell ref="F343:G343"/>
    <mergeCell ref="F332:G332"/>
    <mergeCell ref="F333:G333"/>
    <mergeCell ref="F334:G334"/>
    <mergeCell ref="F335:G335"/>
    <mergeCell ref="F336:G336"/>
    <mergeCell ref="F337:G337"/>
    <mergeCell ref="F326:G326"/>
    <mergeCell ref="F327:G327"/>
    <mergeCell ref="F328:G328"/>
    <mergeCell ref="F329:G329"/>
    <mergeCell ref="F330:G330"/>
    <mergeCell ref="F331:G331"/>
    <mergeCell ref="F320:G320"/>
    <mergeCell ref="F321:G321"/>
    <mergeCell ref="F322:G322"/>
    <mergeCell ref="F323:G323"/>
    <mergeCell ref="F324:G324"/>
    <mergeCell ref="F325:G325"/>
    <mergeCell ref="B317:C317"/>
    <mergeCell ref="F317:G317"/>
    <mergeCell ref="B318:C318"/>
    <mergeCell ref="F318:G318"/>
    <mergeCell ref="B319:C319"/>
    <mergeCell ref="F319:G319"/>
    <mergeCell ref="B314:C314"/>
    <mergeCell ref="F314:G314"/>
    <mergeCell ref="B315:C315"/>
    <mergeCell ref="F315:G315"/>
    <mergeCell ref="B316:C316"/>
    <mergeCell ref="F316:G316"/>
    <mergeCell ref="B311:C311"/>
    <mergeCell ref="F311:G311"/>
    <mergeCell ref="B312:C312"/>
    <mergeCell ref="F312:G312"/>
    <mergeCell ref="B313:C313"/>
    <mergeCell ref="F313:G313"/>
    <mergeCell ref="B308:C308"/>
    <mergeCell ref="F308:G308"/>
    <mergeCell ref="B309:C309"/>
    <mergeCell ref="F309:G309"/>
    <mergeCell ref="B310:C310"/>
    <mergeCell ref="F310:G310"/>
    <mergeCell ref="B305:C305"/>
    <mergeCell ref="F305:G305"/>
    <mergeCell ref="B306:C306"/>
    <mergeCell ref="F306:G306"/>
    <mergeCell ref="B307:C307"/>
    <mergeCell ref="F307:G307"/>
    <mergeCell ref="B302:C302"/>
    <mergeCell ref="F302:G302"/>
    <mergeCell ref="B303:C303"/>
    <mergeCell ref="F303:G303"/>
    <mergeCell ref="B304:C304"/>
    <mergeCell ref="F304:G304"/>
    <mergeCell ref="B299:C299"/>
    <mergeCell ref="F299:G299"/>
    <mergeCell ref="B300:C300"/>
    <mergeCell ref="F300:G300"/>
    <mergeCell ref="B301:C301"/>
    <mergeCell ref="F301:G301"/>
    <mergeCell ref="B296:C296"/>
    <mergeCell ref="F296:G296"/>
    <mergeCell ref="B297:C297"/>
    <mergeCell ref="F297:G297"/>
    <mergeCell ref="B298:C298"/>
    <mergeCell ref="F298:G298"/>
    <mergeCell ref="B293:C293"/>
    <mergeCell ref="F293:G293"/>
    <mergeCell ref="B294:C294"/>
    <mergeCell ref="F294:G294"/>
    <mergeCell ref="B295:C295"/>
    <mergeCell ref="F295:G295"/>
    <mergeCell ref="B290:C290"/>
    <mergeCell ref="F290:G290"/>
    <mergeCell ref="B291:C291"/>
    <mergeCell ref="F291:G291"/>
    <mergeCell ref="B292:C292"/>
    <mergeCell ref="F292:G292"/>
    <mergeCell ref="B287:C287"/>
    <mergeCell ref="F287:G287"/>
    <mergeCell ref="B288:C288"/>
    <mergeCell ref="F288:G288"/>
    <mergeCell ref="B289:C289"/>
    <mergeCell ref="F289:G289"/>
    <mergeCell ref="B284:C284"/>
    <mergeCell ref="F284:G284"/>
    <mergeCell ref="B285:C285"/>
    <mergeCell ref="F285:G285"/>
    <mergeCell ref="B286:C286"/>
    <mergeCell ref="F286:G286"/>
    <mergeCell ref="B281:C281"/>
    <mergeCell ref="F281:G281"/>
    <mergeCell ref="B282:C282"/>
    <mergeCell ref="F282:G282"/>
    <mergeCell ref="B283:C283"/>
    <mergeCell ref="F283:G283"/>
    <mergeCell ref="B278:C278"/>
    <mergeCell ref="F278:G278"/>
    <mergeCell ref="B279:C279"/>
    <mergeCell ref="F279:G279"/>
    <mergeCell ref="B280:C280"/>
    <mergeCell ref="F280:G280"/>
    <mergeCell ref="B275:C275"/>
    <mergeCell ref="F275:G275"/>
    <mergeCell ref="B276:C276"/>
    <mergeCell ref="F276:G276"/>
    <mergeCell ref="B277:C277"/>
    <mergeCell ref="F277:G277"/>
    <mergeCell ref="B272:C272"/>
    <mergeCell ref="F272:G272"/>
    <mergeCell ref="B273:C273"/>
    <mergeCell ref="F273:G273"/>
    <mergeCell ref="B274:C274"/>
    <mergeCell ref="F274:G274"/>
    <mergeCell ref="B269:C269"/>
    <mergeCell ref="F269:G269"/>
    <mergeCell ref="B270:C270"/>
    <mergeCell ref="F270:G270"/>
    <mergeCell ref="B271:C271"/>
    <mergeCell ref="F271:G271"/>
    <mergeCell ref="B266:C266"/>
    <mergeCell ref="F266:G266"/>
    <mergeCell ref="B267:C267"/>
    <mergeCell ref="F267:G267"/>
    <mergeCell ref="B268:C268"/>
    <mergeCell ref="F268:G268"/>
    <mergeCell ref="B263:C263"/>
    <mergeCell ref="F263:G263"/>
    <mergeCell ref="B264:C264"/>
    <mergeCell ref="F264:G264"/>
    <mergeCell ref="B265:C265"/>
    <mergeCell ref="F265:G265"/>
    <mergeCell ref="B260:C260"/>
    <mergeCell ref="F260:G260"/>
    <mergeCell ref="B261:C261"/>
    <mergeCell ref="F261:G261"/>
    <mergeCell ref="B262:C262"/>
    <mergeCell ref="F262:G262"/>
    <mergeCell ref="B257:C257"/>
    <mergeCell ref="F257:G257"/>
    <mergeCell ref="B258:C258"/>
    <mergeCell ref="F258:G258"/>
    <mergeCell ref="B259:C259"/>
    <mergeCell ref="F259:G259"/>
    <mergeCell ref="B254:C254"/>
    <mergeCell ref="F254:G254"/>
    <mergeCell ref="B255:C255"/>
    <mergeCell ref="F255:G255"/>
    <mergeCell ref="B256:C256"/>
    <mergeCell ref="F256:G256"/>
    <mergeCell ref="B251:C251"/>
    <mergeCell ref="F251:G251"/>
    <mergeCell ref="B252:C252"/>
    <mergeCell ref="F252:G252"/>
    <mergeCell ref="B253:C253"/>
    <mergeCell ref="F253:G253"/>
    <mergeCell ref="B248:C248"/>
    <mergeCell ref="F248:G248"/>
    <mergeCell ref="B249:C249"/>
    <mergeCell ref="F249:G249"/>
    <mergeCell ref="B250:C250"/>
    <mergeCell ref="F250:G250"/>
    <mergeCell ref="B245:C245"/>
    <mergeCell ref="F245:G245"/>
    <mergeCell ref="B246:C246"/>
    <mergeCell ref="F246:G246"/>
    <mergeCell ref="B247:C247"/>
    <mergeCell ref="F247:G247"/>
    <mergeCell ref="B242:C242"/>
    <mergeCell ref="F242:G242"/>
    <mergeCell ref="B243:C243"/>
    <mergeCell ref="F243:G243"/>
    <mergeCell ref="B244:C244"/>
    <mergeCell ref="F244:G244"/>
    <mergeCell ref="B239:C239"/>
    <mergeCell ref="F239:G239"/>
    <mergeCell ref="B240:C240"/>
    <mergeCell ref="F240:G240"/>
    <mergeCell ref="B241:C241"/>
    <mergeCell ref="F241:G241"/>
    <mergeCell ref="B236:C236"/>
    <mergeCell ref="F236:G236"/>
    <mergeCell ref="B237:C237"/>
    <mergeCell ref="F237:G237"/>
    <mergeCell ref="B238:C238"/>
    <mergeCell ref="F238:G238"/>
    <mergeCell ref="B233:C233"/>
    <mergeCell ref="F233:G233"/>
    <mergeCell ref="B234:C234"/>
    <mergeCell ref="F234:G234"/>
    <mergeCell ref="B235:C235"/>
    <mergeCell ref="F235:G235"/>
    <mergeCell ref="B230:C230"/>
    <mergeCell ref="F230:G230"/>
    <mergeCell ref="B231:C231"/>
    <mergeCell ref="F231:G231"/>
    <mergeCell ref="B232:C232"/>
    <mergeCell ref="F232:G232"/>
    <mergeCell ref="B227:C227"/>
    <mergeCell ref="F227:G227"/>
    <mergeCell ref="B228:C228"/>
    <mergeCell ref="F228:G228"/>
    <mergeCell ref="B229:C229"/>
    <mergeCell ref="F229:G229"/>
    <mergeCell ref="B224:C224"/>
    <mergeCell ref="F224:G224"/>
    <mergeCell ref="B225:C225"/>
    <mergeCell ref="F225:G225"/>
    <mergeCell ref="B226:C226"/>
    <mergeCell ref="F226:G226"/>
    <mergeCell ref="B221:C221"/>
    <mergeCell ref="F221:G221"/>
    <mergeCell ref="B222:C222"/>
    <mergeCell ref="F222:G222"/>
    <mergeCell ref="B223:C223"/>
    <mergeCell ref="F223:G223"/>
    <mergeCell ref="B218:C218"/>
    <mergeCell ref="F218:G218"/>
    <mergeCell ref="B219:C219"/>
    <mergeCell ref="F219:G219"/>
    <mergeCell ref="B220:C220"/>
    <mergeCell ref="F220:G220"/>
    <mergeCell ref="B215:C215"/>
    <mergeCell ref="F215:G215"/>
    <mergeCell ref="B216:C216"/>
    <mergeCell ref="F216:G216"/>
    <mergeCell ref="B217:C217"/>
    <mergeCell ref="F217:G217"/>
    <mergeCell ref="B212:C212"/>
    <mergeCell ref="F212:G212"/>
    <mergeCell ref="B213:C213"/>
    <mergeCell ref="F213:G213"/>
    <mergeCell ref="B214:C214"/>
    <mergeCell ref="F214:G214"/>
    <mergeCell ref="B209:C209"/>
    <mergeCell ref="F209:G209"/>
    <mergeCell ref="B210:C210"/>
    <mergeCell ref="F210:G210"/>
    <mergeCell ref="B211:C211"/>
    <mergeCell ref="F211:G211"/>
    <mergeCell ref="B206:C206"/>
    <mergeCell ref="F206:G206"/>
    <mergeCell ref="B207:C207"/>
    <mergeCell ref="F207:G207"/>
    <mergeCell ref="B208:C208"/>
    <mergeCell ref="F208:G208"/>
    <mergeCell ref="B203:C203"/>
    <mergeCell ref="F203:G203"/>
    <mergeCell ref="B204:C204"/>
    <mergeCell ref="F204:G204"/>
    <mergeCell ref="B205:C205"/>
    <mergeCell ref="F205:G205"/>
    <mergeCell ref="B200:C200"/>
    <mergeCell ref="F200:G200"/>
    <mergeCell ref="B201:C201"/>
    <mergeCell ref="F201:G201"/>
    <mergeCell ref="B202:C202"/>
    <mergeCell ref="F202:G202"/>
    <mergeCell ref="B197:C197"/>
    <mergeCell ref="F197:G197"/>
    <mergeCell ref="B198:C198"/>
    <mergeCell ref="F198:G198"/>
    <mergeCell ref="B199:C199"/>
    <mergeCell ref="F199:G199"/>
    <mergeCell ref="B194:C194"/>
    <mergeCell ref="F194:G194"/>
    <mergeCell ref="B195:C195"/>
    <mergeCell ref="F195:G195"/>
    <mergeCell ref="B196:C196"/>
    <mergeCell ref="F196:G196"/>
    <mergeCell ref="B191:C191"/>
    <mergeCell ref="F191:G191"/>
    <mergeCell ref="B192:C192"/>
    <mergeCell ref="F192:G192"/>
    <mergeCell ref="B193:C193"/>
    <mergeCell ref="F193:G193"/>
    <mergeCell ref="B188:C188"/>
    <mergeCell ref="F188:G188"/>
    <mergeCell ref="B189:C189"/>
    <mergeCell ref="F189:G189"/>
    <mergeCell ref="B190:C190"/>
    <mergeCell ref="F190:G190"/>
    <mergeCell ref="B185:C185"/>
    <mergeCell ref="F185:G185"/>
    <mergeCell ref="B186:C186"/>
    <mergeCell ref="F186:G186"/>
    <mergeCell ref="B187:C187"/>
    <mergeCell ref="F187:G187"/>
    <mergeCell ref="B182:C182"/>
    <mergeCell ref="F182:G182"/>
    <mergeCell ref="B183:C183"/>
    <mergeCell ref="F183:G183"/>
    <mergeCell ref="B184:C184"/>
    <mergeCell ref="F184:G184"/>
    <mergeCell ref="B179:C179"/>
    <mergeCell ref="F179:G179"/>
    <mergeCell ref="B180:C180"/>
    <mergeCell ref="F180:G180"/>
    <mergeCell ref="B181:C181"/>
    <mergeCell ref="F181:G181"/>
    <mergeCell ref="B176:C176"/>
    <mergeCell ref="F176:G176"/>
    <mergeCell ref="B177:C177"/>
    <mergeCell ref="F177:G177"/>
    <mergeCell ref="B178:C178"/>
    <mergeCell ref="F178:G178"/>
    <mergeCell ref="B173:C173"/>
    <mergeCell ref="F173:G173"/>
    <mergeCell ref="B174:C174"/>
    <mergeCell ref="F174:G174"/>
    <mergeCell ref="B175:C175"/>
    <mergeCell ref="F175:G175"/>
    <mergeCell ref="B170:C170"/>
    <mergeCell ref="F170:G170"/>
    <mergeCell ref="B171:C171"/>
    <mergeCell ref="F171:G171"/>
    <mergeCell ref="B172:C172"/>
    <mergeCell ref="F172:G172"/>
    <mergeCell ref="B167:C167"/>
    <mergeCell ref="F167:G167"/>
    <mergeCell ref="B168:C168"/>
    <mergeCell ref="F168:G168"/>
    <mergeCell ref="B169:C169"/>
    <mergeCell ref="F169:G169"/>
    <mergeCell ref="B164:C164"/>
    <mergeCell ref="F164:G164"/>
    <mergeCell ref="B165:C165"/>
    <mergeCell ref="F165:G165"/>
    <mergeCell ref="B166:C166"/>
    <mergeCell ref="F166:G166"/>
    <mergeCell ref="B161:C161"/>
    <mergeCell ref="F161:G161"/>
    <mergeCell ref="B162:C162"/>
    <mergeCell ref="F162:G162"/>
    <mergeCell ref="B163:C163"/>
    <mergeCell ref="F163:G163"/>
    <mergeCell ref="B158:C158"/>
    <mergeCell ref="F158:G158"/>
    <mergeCell ref="B159:C159"/>
    <mergeCell ref="F159:G159"/>
    <mergeCell ref="B160:C160"/>
    <mergeCell ref="F160:G160"/>
    <mergeCell ref="B155:C155"/>
    <mergeCell ref="F155:G155"/>
    <mergeCell ref="B156:C156"/>
    <mergeCell ref="F156:G156"/>
    <mergeCell ref="B157:C157"/>
    <mergeCell ref="F157:G157"/>
    <mergeCell ref="B152:C152"/>
    <mergeCell ref="F152:G152"/>
    <mergeCell ref="B153:C153"/>
    <mergeCell ref="F153:G153"/>
    <mergeCell ref="B154:C154"/>
    <mergeCell ref="F154:G154"/>
    <mergeCell ref="B149:C149"/>
    <mergeCell ref="F149:G149"/>
    <mergeCell ref="B150:C150"/>
    <mergeCell ref="F150:G150"/>
    <mergeCell ref="B151:C151"/>
    <mergeCell ref="F151:G151"/>
    <mergeCell ref="B146:C146"/>
    <mergeCell ref="F146:G146"/>
    <mergeCell ref="B147:C147"/>
    <mergeCell ref="F147:G147"/>
    <mergeCell ref="B148:C148"/>
    <mergeCell ref="F148:G148"/>
    <mergeCell ref="B143:C143"/>
    <mergeCell ref="F143:G143"/>
    <mergeCell ref="B144:C144"/>
    <mergeCell ref="F144:G144"/>
    <mergeCell ref="B145:C145"/>
    <mergeCell ref="F145:G145"/>
    <mergeCell ref="B140:C140"/>
    <mergeCell ref="F140:G140"/>
    <mergeCell ref="B141:C141"/>
    <mergeCell ref="F141:G141"/>
    <mergeCell ref="B142:C142"/>
    <mergeCell ref="F142:G142"/>
    <mergeCell ref="B137:C137"/>
    <mergeCell ref="F137:G137"/>
    <mergeCell ref="B138:C138"/>
    <mergeCell ref="F138:G138"/>
    <mergeCell ref="B139:C139"/>
    <mergeCell ref="F139:G139"/>
    <mergeCell ref="B134:C134"/>
    <mergeCell ref="F134:G134"/>
    <mergeCell ref="B135:C135"/>
    <mergeCell ref="F135:G135"/>
    <mergeCell ref="B136:C136"/>
    <mergeCell ref="F136:G136"/>
    <mergeCell ref="B132:C132"/>
    <mergeCell ref="F132:G132"/>
    <mergeCell ref="J132:K132"/>
    <mergeCell ref="B133:C133"/>
    <mergeCell ref="F133:G133"/>
    <mergeCell ref="J133:K133"/>
    <mergeCell ref="B130:C130"/>
    <mergeCell ref="F130:G130"/>
    <mergeCell ref="J130:K130"/>
    <mergeCell ref="B131:C131"/>
    <mergeCell ref="F131:G131"/>
    <mergeCell ref="J131:K131"/>
    <mergeCell ref="B128:C128"/>
    <mergeCell ref="F128:G128"/>
    <mergeCell ref="J128:K128"/>
    <mergeCell ref="B129:C129"/>
    <mergeCell ref="F129:G129"/>
    <mergeCell ref="J129:K129"/>
    <mergeCell ref="B126:C126"/>
    <mergeCell ref="F126:G126"/>
    <mergeCell ref="J126:K126"/>
    <mergeCell ref="B127:C127"/>
    <mergeCell ref="F127:G127"/>
    <mergeCell ref="J127:K127"/>
    <mergeCell ref="B124:C124"/>
    <mergeCell ref="F124:G124"/>
    <mergeCell ref="J124:K124"/>
    <mergeCell ref="B125:C125"/>
    <mergeCell ref="F125:G125"/>
    <mergeCell ref="J125:K125"/>
    <mergeCell ref="B122:C122"/>
    <mergeCell ref="F122:G122"/>
    <mergeCell ref="J122:K122"/>
    <mergeCell ref="B123:C123"/>
    <mergeCell ref="F123:G123"/>
    <mergeCell ref="J123:K123"/>
    <mergeCell ref="B120:C120"/>
    <mergeCell ref="F120:G120"/>
    <mergeCell ref="J120:K120"/>
    <mergeCell ref="B121:C121"/>
    <mergeCell ref="F121:G121"/>
    <mergeCell ref="J121:K121"/>
    <mergeCell ref="B118:C118"/>
    <mergeCell ref="F118:G118"/>
    <mergeCell ref="J118:K118"/>
    <mergeCell ref="B119:C119"/>
    <mergeCell ref="F119:G119"/>
    <mergeCell ref="J119:K119"/>
    <mergeCell ref="B116:C116"/>
    <mergeCell ref="F116:G116"/>
    <mergeCell ref="J116:K116"/>
    <mergeCell ref="B117:C117"/>
    <mergeCell ref="F117:G117"/>
    <mergeCell ref="J117:K117"/>
    <mergeCell ref="B114:C114"/>
    <mergeCell ref="F114:G114"/>
    <mergeCell ref="J114:K114"/>
    <mergeCell ref="B115:C115"/>
    <mergeCell ref="F115:G115"/>
    <mergeCell ref="J115:K115"/>
    <mergeCell ref="B112:C112"/>
    <mergeCell ref="F112:G112"/>
    <mergeCell ref="J112:K112"/>
    <mergeCell ref="B113:C113"/>
    <mergeCell ref="F113:G113"/>
    <mergeCell ref="J113:K113"/>
    <mergeCell ref="B110:C110"/>
    <mergeCell ref="F110:G110"/>
    <mergeCell ref="J110:K110"/>
    <mergeCell ref="B111:C111"/>
    <mergeCell ref="F111:G111"/>
    <mergeCell ref="J111:K111"/>
    <mergeCell ref="B108:C108"/>
    <mergeCell ref="F108:G108"/>
    <mergeCell ref="J108:K108"/>
    <mergeCell ref="B109:C109"/>
    <mergeCell ref="F109:G109"/>
    <mergeCell ref="J109:K109"/>
    <mergeCell ref="B106:C106"/>
    <mergeCell ref="F106:G106"/>
    <mergeCell ref="J106:K106"/>
    <mergeCell ref="B107:C107"/>
    <mergeCell ref="F107:G107"/>
    <mergeCell ref="J107:K107"/>
    <mergeCell ref="B104:C104"/>
    <mergeCell ref="F104:G104"/>
    <mergeCell ref="J104:K104"/>
    <mergeCell ref="B105:C105"/>
    <mergeCell ref="F105:G105"/>
    <mergeCell ref="J105:K105"/>
    <mergeCell ref="B102:C102"/>
    <mergeCell ref="F102:G102"/>
    <mergeCell ref="J102:K102"/>
    <mergeCell ref="B103:C103"/>
    <mergeCell ref="F103:G103"/>
    <mergeCell ref="J103:K103"/>
    <mergeCell ref="B100:C100"/>
    <mergeCell ref="F100:G100"/>
    <mergeCell ref="J100:K100"/>
    <mergeCell ref="B101:C101"/>
    <mergeCell ref="F101:G101"/>
    <mergeCell ref="J101:K101"/>
    <mergeCell ref="B98:C98"/>
    <mergeCell ref="F98:G98"/>
    <mergeCell ref="J98:K98"/>
    <mergeCell ref="B99:C99"/>
    <mergeCell ref="F99:G99"/>
    <mergeCell ref="J99:K99"/>
    <mergeCell ref="B96:C96"/>
    <mergeCell ref="F96:G96"/>
    <mergeCell ref="J96:K96"/>
    <mergeCell ref="B97:C97"/>
    <mergeCell ref="F97:G97"/>
    <mergeCell ref="J97:K97"/>
    <mergeCell ref="B94:C94"/>
    <mergeCell ref="F94:G94"/>
    <mergeCell ref="J94:K94"/>
    <mergeCell ref="B95:C95"/>
    <mergeCell ref="F95:G95"/>
    <mergeCell ref="J95:K95"/>
    <mergeCell ref="B92:C92"/>
    <mergeCell ref="F92:G92"/>
    <mergeCell ref="J92:K92"/>
    <mergeCell ref="B93:C93"/>
    <mergeCell ref="F93:G93"/>
    <mergeCell ref="J93:K93"/>
    <mergeCell ref="B90:C90"/>
    <mergeCell ref="F90:G90"/>
    <mergeCell ref="J90:K90"/>
    <mergeCell ref="B91:C91"/>
    <mergeCell ref="F91:G91"/>
    <mergeCell ref="J91:K91"/>
    <mergeCell ref="B88:C88"/>
    <mergeCell ref="F88:G88"/>
    <mergeCell ref="J88:K88"/>
    <mergeCell ref="B89:C89"/>
    <mergeCell ref="F89:G89"/>
    <mergeCell ref="J89:K89"/>
    <mergeCell ref="B86:C86"/>
    <mergeCell ref="F86:G86"/>
    <mergeCell ref="J86:K86"/>
    <mergeCell ref="B87:C87"/>
    <mergeCell ref="F87:G87"/>
    <mergeCell ref="J87:K87"/>
    <mergeCell ref="B84:C84"/>
    <mergeCell ref="F84:G84"/>
    <mergeCell ref="J84:K84"/>
    <mergeCell ref="B85:C85"/>
    <mergeCell ref="F85:G85"/>
    <mergeCell ref="J85:K85"/>
    <mergeCell ref="B82:C82"/>
    <mergeCell ref="F82:G82"/>
    <mergeCell ref="J82:K82"/>
    <mergeCell ref="B83:C83"/>
    <mergeCell ref="F83:G83"/>
    <mergeCell ref="J83:K83"/>
    <mergeCell ref="J70:K70"/>
    <mergeCell ref="B80:C80"/>
    <mergeCell ref="F80:G80"/>
    <mergeCell ref="J80:K80"/>
    <mergeCell ref="B81:C81"/>
    <mergeCell ref="F81:G81"/>
    <mergeCell ref="J81:K81"/>
    <mergeCell ref="B78:C78"/>
    <mergeCell ref="F78:G78"/>
    <mergeCell ref="J78:K78"/>
    <mergeCell ref="B79:C79"/>
    <mergeCell ref="F79:G79"/>
    <mergeCell ref="J79:K79"/>
    <mergeCell ref="B76:C76"/>
    <mergeCell ref="F76:G76"/>
    <mergeCell ref="J76:K76"/>
    <mergeCell ref="B77:C77"/>
    <mergeCell ref="F77:G77"/>
    <mergeCell ref="J77:K77"/>
    <mergeCell ref="I68:K68"/>
    <mergeCell ref="C13:D13"/>
    <mergeCell ref="E13:F13"/>
    <mergeCell ref="B14:F14"/>
    <mergeCell ref="B15:F15"/>
    <mergeCell ref="B16:F16"/>
    <mergeCell ref="B17:F17"/>
    <mergeCell ref="C9:D9"/>
    <mergeCell ref="E9:F9"/>
    <mergeCell ref="A10:F10"/>
    <mergeCell ref="B11:F11"/>
    <mergeCell ref="C12:D12"/>
    <mergeCell ref="E12:F12"/>
    <mergeCell ref="B74:C74"/>
    <mergeCell ref="F74:G74"/>
    <mergeCell ref="J74:K74"/>
    <mergeCell ref="B75:C75"/>
    <mergeCell ref="F75:G75"/>
    <mergeCell ref="J75:K75"/>
    <mergeCell ref="B71:C71"/>
    <mergeCell ref="F71:G71"/>
    <mergeCell ref="J71:K71"/>
    <mergeCell ref="F72:G72"/>
    <mergeCell ref="J72:K72"/>
    <mergeCell ref="B73:C73"/>
    <mergeCell ref="F73:G73"/>
    <mergeCell ref="J73:K73"/>
    <mergeCell ref="B69:C69"/>
    <mergeCell ref="F69:G69"/>
    <mergeCell ref="J69:K69"/>
    <mergeCell ref="B70:C70"/>
    <mergeCell ref="F70:G70"/>
    <mergeCell ref="C6:D6"/>
    <mergeCell ref="E6:F6"/>
    <mergeCell ref="C7:D7"/>
    <mergeCell ref="E7:F7"/>
    <mergeCell ref="C8:D8"/>
    <mergeCell ref="E8:F8"/>
    <mergeCell ref="A1:F1"/>
    <mergeCell ref="A2:F2"/>
    <mergeCell ref="A3:B3"/>
    <mergeCell ref="C3:F3"/>
    <mergeCell ref="A4:F4"/>
    <mergeCell ref="B5:F5"/>
    <mergeCell ref="A18:F18"/>
    <mergeCell ref="A19:F19"/>
    <mergeCell ref="A26:F26"/>
    <mergeCell ref="A68:C68"/>
    <mergeCell ref="E68:G68"/>
    <mergeCell ref="A34:F34"/>
    <mergeCell ref="A35:F35"/>
    <mergeCell ref="A36:F36"/>
    <mergeCell ref="A37:F37"/>
    <mergeCell ref="A38:F38"/>
    <mergeCell ref="A39:F39"/>
    <mergeCell ref="A40:F40"/>
    <mergeCell ref="A41:F41"/>
    <mergeCell ref="A42:F42"/>
    <mergeCell ref="A43:F43"/>
    <mergeCell ref="A44:F44"/>
    <mergeCell ref="A45:F45"/>
    <mergeCell ref="A46:F46"/>
    <mergeCell ref="A47:F47"/>
    <mergeCell ref="A48:F48"/>
  </mergeCells>
  <phoneticPr fontId="51" type="noConversion"/>
  <dataValidations count="12">
    <dataValidation type="list" allowBlank="1" showInputMessage="1" showErrorMessage="1" sqref="B65580:F65580 IX65580:JB65580 ST65580:SX65580 ACP65580:ACT65580 AML65580:AMP65580 AWH65580:AWL65580 BGD65580:BGH65580 BPZ65580:BQD65580 BZV65580:BZZ65580 CJR65580:CJV65580 CTN65580:CTR65580 DDJ65580:DDN65580 DNF65580:DNJ65580 DXB65580:DXF65580 EGX65580:EHB65580 EQT65580:EQX65580 FAP65580:FAT65580 FKL65580:FKP65580 FUH65580:FUL65580 GED65580:GEH65580 GNZ65580:GOD65580 GXV65580:GXZ65580 HHR65580:HHV65580 HRN65580:HRR65580 IBJ65580:IBN65580 ILF65580:ILJ65580 IVB65580:IVF65580 JEX65580:JFB65580 JOT65580:JOX65580 JYP65580:JYT65580 KIL65580:KIP65580 KSH65580:KSL65580 LCD65580:LCH65580 LLZ65580:LMD65580 LVV65580:LVZ65580 MFR65580:MFV65580 MPN65580:MPR65580 MZJ65580:MZN65580 NJF65580:NJJ65580 NTB65580:NTF65580 OCX65580:ODB65580 OMT65580:OMX65580 OWP65580:OWT65580 PGL65580:PGP65580 PQH65580:PQL65580 QAD65580:QAH65580 QJZ65580:QKD65580 QTV65580:QTZ65580 RDR65580:RDV65580 RNN65580:RNR65580 RXJ65580:RXN65580 SHF65580:SHJ65580 SRB65580:SRF65580 TAX65580:TBB65580 TKT65580:TKX65580 TUP65580:TUT65580 UEL65580:UEP65580 UOH65580:UOL65580 UYD65580:UYH65580 VHZ65580:VID65580 VRV65580:VRZ65580 WBR65580:WBV65580 WLN65580:WLR65580 WVJ65580:WVN65580 B131116:F131116 IX131116:JB131116 ST131116:SX131116 ACP131116:ACT131116 AML131116:AMP131116 AWH131116:AWL131116 BGD131116:BGH131116 BPZ131116:BQD131116 BZV131116:BZZ131116 CJR131116:CJV131116 CTN131116:CTR131116 DDJ131116:DDN131116 DNF131116:DNJ131116 DXB131116:DXF131116 EGX131116:EHB131116 EQT131116:EQX131116 FAP131116:FAT131116 FKL131116:FKP131116 FUH131116:FUL131116 GED131116:GEH131116 GNZ131116:GOD131116 GXV131116:GXZ131116 HHR131116:HHV131116 HRN131116:HRR131116 IBJ131116:IBN131116 ILF131116:ILJ131116 IVB131116:IVF131116 JEX131116:JFB131116 JOT131116:JOX131116 JYP131116:JYT131116 KIL131116:KIP131116 KSH131116:KSL131116 LCD131116:LCH131116 LLZ131116:LMD131116 LVV131116:LVZ131116 MFR131116:MFV131116 MPN131116:MPR131116 MZJ131116:MZN131116 NJF131116:NJJ131116 NTB131116:NTF131116 OCX131116:ODB131116 OMT131116:OMX131116 OWP131116:OWT131116 PGL131116:PGP131116 PQH131116:PQL131116 QAD131116:QAH131116 QJZ131116:QKD131116 QTV131116:QTZ131116 RDR131116:RDV131116 RNN131116:RNR131116 RXJ131116:RXN131116 SHF131116:SHJ131116 SRB131116:SRF131116 TAX131116:TBB131116 TKT131116:TKX131116 TUP131116:TUT131116 UEL131116:UEP131116 UOH131116:UOL131116 UYD131116:UYH131116 VHZ131116:VID131116 VRV131116:VRZ131116 WBR131116:WBV131116 WLN131116:WLR131116 WVJ131116:WVN131116 B196652:F196652 IX196652:JB196652 ST196652:SX196652 ACP196652:ACT196652 AML196652:AMP196652 AWH196652:AWL196652 BGD196652:BGH196652 BPZ196652:BQD196652 BZV196652:BZZ196652 CJR196652:CJV196652 CTN196652:CTR196652 DDJ196652:DDN196652 DNF196652:DNJ196652 DXB196652:DXF196652 EGX196652:EHB196652 EQT196652:EQX196652 FAP196652:FAT196652 FKL196652:FKP196652 FUH196652:FUL196652 GED196652:GEH196652 GNZ196652:GOD196652 GXV196652:GXZ196652 HHR196652:HHV196652 HRN196652:HRR196652 IBJ196652:IBN196652 ILF196652:ILJ196652 IVB196652:IVF196652 JEX196652:JFB196652 JOT196652:JOX196652 JYP196652:JYT196652 KIL196652:KIP196652 KSH196652:KSL196652 LCD196652:LCH196652 LLZ196652:LMD196652 LVV196652:LVZ196652 MFR196652:MFV196652 MPN196652:MPR196652 MZJ196652:MZN196652 NJF196652:NJJ196652 NTB196652:NTF196652 OCX196652:ODB196652 OMT196652:OMX196652 OWP196652:OWT196652 PGL196652:PGP196652 PQH196652:PQL196652 QAD196652:QAH196652 QJZ196652:QKD196652 QTV196652:QTZ196652 RDR196652:RDV196652 RNN196652:RNR196652 RXJ196652:RXN196652 SHF196652:SHJ196652 SRB196652:SRF196652 TAX196652:TBB196652 TKT196652:TKX196652 TUP196652:TUT196652 UEL196652:UEP196652 UOH196652:UOL196652 UYD196652:UYH196652 VHZ196652:VID196652 VRV196652:VRZ196652 WBR196652:WBV196652 WLN196652:WLR196652 WVJ196652:WVN196652 B262188:F262188 IX262188:JB262188 ST262188:SX262188 ACP262188:ACT262188 AML262188:AMP262188 AWH262188:AWL262188 BGD262188:BGH262188 BPZ262188:BQD262188 BZV262188:BZZ262188 CJR262188:CJV262188 CTN262188:CTR262188 DDJ262188:DDN262188 DNF262188:DNJ262188 DXB262188:DXF262188 EGX262188:EHB262188 EQT262188:EQX262188 FAP262188:FAT262188 FKL262188:FKP262188 FUH262188:FUL262188 GED262188:GEH262188 GNZ262188:GOD262188 GXV262188:GXZ262188 HHR262188:HHV262188 HRN262188:HRR262188 IBJ262188:IBN262188 ILF262188:ILJ262188 IVB262188:IVF262188 JEX262188:JFB262188 JOT262188:JOX262188 JYP262188:JYT262188 KIL262188:KIP262188 KSH262188:KSL262188 LCD262188:LCH262188 LLZ262188:LMD262188 LVV262188:LVZ262188 MFR262188:MFV262188 MPN262188:MPR262188 MZJ262188:MZN262188 NJF262188:NJJ262188 NTB262188:NTF262188 OCX262188:ODB262188 OMT262188:OMX262188 OWP262188:OWT262188 PGL262188:PGP262188 PQH262188:PQL262188 QAD262188:QAH262188 QJZ262188:QKD262188 QTV262188:QTZ262188 RDR262188:RDV262188 RNN262188:RNR262188 RXJ262188:RXN262188 SHF262188:SHJ262188 SRB262188:SRF262188 TAX262188:TBB262188 TKT262188:TKX262188 TUP262188:TUT262188 UEL262188:UEP262188 UOH262188:UOL262188 UYD262188:UYH262188 VHZ262188:VID262188 VRV262188:VRZ262188 WBR262188:WBV262188 WLN262188:WLR262188 WVJ262188:WVN262188 B327724:F327724 IX327724:JB327724 ST327724:SX327724 ACP327724:ACT327724 AML327724:AMP327724 AWH327724:AWL327724 BGD327724:BGH327724 BPZ327724:BQD327724 BZV327724:BZZ327724 CJR327724:CJV327724 CTN327724:CTR327724 DDJ327724:DDN327724 DNF327724:DNJ327724 DXB327724:DXF327724 EGX327724:EHB327724 EQT327724:EQX327724 FAP327724:FAT327724 FKL327724:FKP327724 FUH327724:FUL327724 GED327724:GEH327724 GNZ327724:GOD327724 GXV327724:GXZ327724 HHR327724:HHV327724 HRN327724:HRR327724 IBJ327724:IBN327724 ILF327724:ILJ327724 IVB327724:IVF327724 JEX327724:JFB327724 JOT327724:JOX327724 JYP327724:JYT327724 KIL327724:KIP327724 KSH327724:KSL327724 LCD327724:LCH327724 LLZ327724:LMD327724 LVV327724:LVZ327724 MFR327724:MFV327724 MPN327724:MPR327724 MZJ327724:MZN327724 NJF327724:NJJ327724 NTB327724:NTF327724 OCX327724:ODB327724 OMT327724:OMX327724 OWP327724:OWT327724 PGL327724:PGP327724 PQH327724:PQL327724 QAD327724:QAH327724 QJZ327724:QKD327724 QTV327724:QTZ327724 RDR327724:RDV327724 RNN327724:RNR327724 RXJ327724:RXN327724 SHF327724:SHJ327724 SRB327724:SRF327724 TAX327724:TBB327724 TKT327724:TKX327724 TUP327724:TUT327724 UEL327724:UEP327724 UOH327724:UOL327724 UYD327724:UYH327724 VHZ327724:VID327724 VRV327724:VRZ327724 WBR327724:WBV327724 WLN327724:WLR327724 WVJ327724:WVN327724 B393260:F393260 IX393260:JB393260 ST393260:SX393260 ACP393260:ACT393260 AML393260:AMP393260 AWH393260:AWL393260 BGD393260:BGH393260 BPZ393260:BQD393260 BZV393260:BZZ393260 CJR393260:CJV393260 CTN393260:CTR393260 DDJ393260:DDN393260 DNF393260:DNJ393260 DXB393260:DXF393260 EGX393260:EHB393260 EQT393260:EQX393260 FAP393260:FAT393260 FKL393260:FKP393260 FUH393260:FUL393260 GED393260:GEH393260 GNZ393260:GOD393260 GXV393260:GXZ393260 HHR393260:HHV393260 HRN393260:HRR393260 IBJ393260:IBN393260 ILF393260:ILJ393260 IVB393260:IVF393260 JEX393260:JFB393260 JOT393260:JOX393260 JYP393260:JYT393260 KIL393260:KIP393260 KSH393260:KSL393260 LCD393260:LCH393260 LLZ393260:LMD393260 LVV393260:LVZ393260 MFR393260:MFV393260 MPN393260:MPR393260 MZJ393260:MZN393260 NJF393260:NJJ393260 NTB393260:NTF393260 OCX393260:ODB393260 OMT393260:OMX393260 OWP393260:OWT393260 PGL393260:PGP393260 PQH393260:PQL393260 QAD393260:QAH393260 QJZ393260:QKD393260 QTV393260:QTZ393260 RDR393260:RDV393260 RNN393260:RNR393260 RXJ393260:RXN393260 SHF393260:SHJ393260 SRB393260:SRF393260 TAX393260:TBB393260 TKT393260:TKX393260 TUP393260:TUT393260 UEL393260:UEP393260 UOH393260:UOL393260 UYD393260:UYH393260 VHZ393260:VID393260 VRV393260:VRZ393260 WBR393260:WBV393260 WLN393260:WLR393260 WVJ393260:WVN393260 B458796:F458796 IX458796:JB458796 ST458796:SX458796 ACP458796:ACT458796 AML458796:AMP458796 AWH458796:AWL458796 BGD458796:BGH458796 BPZ458796:BQD458796 BZV458796:BZZ458796 CJR458796:CJV458796 CTN458796:CTR458796 DDJ458796:DDN458796 DNF458796:DNJ458796 DXB458796:DXF458796 EGX458796:EHB458796 EQT458796:EQX458796 FAP458796:FAT458796 FKL458796:FKP458796 FUH458796:FUL458796 GED458796:GEH458796 GNZ458796:GOD458796 GXV458796:GXZ458796 HHR458796:HHV458796 HRN458796:HRR458796 IBJ458796:IBN458796 ILF458796:ILJ458796 IVB458796:IVF458796 JEX458796:JFB458796 JOT458796:JOX458796 JYP458796:JYT458796 KIL458796:KIP458796 KSH458796:KSL458796 LCD458796:LCH458796 LLZ458796:LMD458796 LVV458796:LVZ458796 MFR458796:MFV458796 MPN458796:MPR458796 MZJ458796:MZN458796 NJF458796:NJJ458796 NTB458796:NTF458796 OCX458796:ODB458796 OMT458796:OMX458796 OWP458796:OWT458796 PGL458796:PGP458796 PQH458796:PQL458796 QAD458796:QAH458796 QJZ458796:QKD458796 QTV458796:QTZ458796 RDR458796:RDV458796 RNN458796:RNR458796 RXJ458796:RXN458796 SHF458796:SHJ458796 SRB458796:SRF458796 TAX458796:TBB458796 TKT458796:TKX458796 TUP458796:TUT458796 UEL458796:UEP458796 UOH458796:UOL458796 UYD458796:UYH458796 VHZ458796:VID458796 VRV458796:VRZ458796 WBR458796:WBV458796 WLN458796:WLR458796 WVJ458796:WVN458796 B524332:F524332 IX524332:JB524332 ST524332:SX524332 ACP524332:ACT524332 AML524332:AMP524332 AWH524332:AWL524332 BGD524332:BGH524332 BPZ524332:BQD524332 BZV524332:BZZ524332 CJR524332:CJV524332 CTN524332:CTR524332 DDJ524332:DDN524332 DNF524332:DNJ524332 DXB524332:DXF524332 EGX524332:EHB524332 EQT524332:EQX524332 FAP524332:FAT524332 FKL524332:FKP524332 FUH524332:FUL524332 GED524332:GEH524332 GNZ524332:GOD524332 GXV524332:GXZ524332 HHR524332:HHV524332 HRN524332:HRR524332 IBJ524332:IBN524332 ILF524332:ILJ524332 IVB524332:IVF524332 JEX524332:JFB524332 JOT524332:JOX524332 JYP524332:JYT524332 KIL524332:KIP524332 KSH524332:KSL524332 LCD524332:LCH524332 LLZ524332:LMD524332 LVV524332:LVZ524332 MFR524332:MFV524332 MPN524332:MPR524332 MZJ524332:MZN524332 NJF524332:NJJ524332 NTB524332:NTF524332 OCX524332:ODB524332 OMT524332:OMX524332 OWP524332:OWT524332 PGL524332:PGP524332 PQH524332:PQL524332 QAD524332:QAH524332 QJZ524332:QKD524332 QTV524332:QTZ524332 RDR524332:RDV524332 RNN524332:RNR524332 RXJ524332:RXN524332 SHF524332:SHJ524332 SRB524332:SRF524332 TAX524332:TBB524332 TKT524332:TKX524332 TUP524332:TUT524332 UEL524332:UEP524332 UOH524332:UOL524332 UYD524332:UYH524332 VHZ524332:VID524332 VRV524332:VRZ524332 WBR524332:WBV524332 WLN524332:WLR524332 WVJ524332:WVN524332 B589868:F589868 IX589868:JB589868 ST589868:SX589868 ACP589868:ACT589868 AML589868:AMP589868 AWH589868:AWL589868 BGD589868:BGH589868 BPZ589868:BQD589868 BZV589868:BZZ589868 CJR589868:CJV589868 CTN589868:CTR589868 DDJ589868:DDN589868 DNF589868:DNJ589868 DXB589868:DXF589868 EGX589868:EHB589868 EQT589868:EQX589868 FAP589868:FAT589868 FKL589868:FKP589868 FUH589868:FUL589868 GED589868:GEH589868 GNZ589868:GOD589868 GXV589868:GXZ589868 HHR589868:HHV589868 HRN589868:HRR589868 IBJ589868:IBN589868 ILF589868:ILJ589868 IVB589868:IVF589868 JEX589868:JFB589868 JOT589868:JOX589868 JYP589868:JYT589868 KIL589868:KIP589868 KSH589868:KSL589868 LCD589868:LCH589868 LLZ589868:LMD589868 LVV589868:LVZ589868 MFR589868:MFV589868 MPN589868:MPR589868 MZJ589868:MZN589868 NJF589868:NJJ589868 NTB589868:NTF589868 OCX589868:ODB589868 OMT589868:OMX589868 OWP589868:OWT589868 PGL589868:PGP589868 PQH589868:PQL589868 QAD589868:QAH589868 QJZ589868:QKD589868 QTV589868:QTZ589868 RDR589868:RDV589868 RNN589868:RNR589868 RXJ589868:RXN589868 SHF589868:SHJ589868 SRB589868:SRF589868 TAX589868:TBB589868 TKT589868:TKX589868 TUP589868:TUT589868 UEL589868:UEP589868 UOH589868:UOL589868 UYD589868:UYH589868 VHZ589868:VID589868 VRV589868:VRZ589868 WBR589868:WBV589868 WLN589868:WLR589868 WVJ589868:WVN589868 B655404:F655404 IX655404:JB655404 ST655404:SX655404 ACP655404:ACT655404 AML655404:AMP655404 AWH655404:AWL655404 BGD655404:BGH655404 BPZ655404:BQD655404 BZV655404:BZZ655404 CJR655404:CJV655404 CTN655404:CTR655404 DDJ655404:DDN655404 DNF655404:DNJ655404 DXB655404:DXF655404 EGX655404:EHB655404 EQT655404:EQX655404 FAP655404:FAT655404 FKL655404:FKP655404 FUH655404:FUL655404 GED655404:GEH655404 GNZ655404:GOD655404 GXV655404:GXZ655404 HHR655404:HHV655404 HRN655404:HRR655404 IBJ655404:IBN655404 ILF655404:ILJ655404 IVB655404:IVF655404 JEX655404:JFB655404 JOT655404:JOX655404 JYP655404:JYT655404 KIL655404:KIP655404 KSH655404:KSL655404 LCD655404:LCH655404 LLZ655404:LMD655404 LVV655404:LVZ655404 MFR655404:MFV655404 MPN655404:MPR655404 MZJ655404:MZN655404 NJF655404:NJJ655404 NTB655404:NTF655404 OCX655404:ODB655404 OMT655404:OMX655404 OWP655404:OWT655404 PGL655404:PGP655404 PQH655404:PQL655404 QAD655404:QAH655404 QJZ655404:QKD655404 QTV655404:QTZ655404 RDR655404:RDV655404 RNN655404:RNR655404 RXJ655404:RXN655404 SHF655404:SHJ655404 SRB655404:SRF655404 TAX655404:TBB655404 TKT655404:TKX655404 TUP655404:TUT655404 UEL655404:UEP655404 UOH655404:UOL655404 UYD655404:UYH655404 VHZ655404:VID655404 VRV655404:VRZ655404 WBR655404:WBV655404 WLN655404:WLR655404 WVJ655404:WVN655404 B720940:F720940 IX720940:JB720940 ST720940:SX720940 ACP720940:ACT720940 AML720940:AMP720940 AWH720940:AWL720940 BGD720940:BGH720940 BPZ720940:BQD720940 BZV720940:BZZ720940 CJR720940:CJV720940 CTN720940:CTR720940 DDJ720940:DDN720940 DNF720940:DNJ720940 DXB720940:DXF720940 EGX720940:EHB720940 EQT720940:EQX720940 FAP720940:FAT720940 FKL720940:FKP720940 FUH720940:FUL720940 GED720940:GEH720940 GNZ720940:GOD720940 GXV720940:GXZ720940 HHR720940:HHV720940 HRN720940:HRR720940 IBJ720940:IBN720940 ILF720940:ILJ720940 IVB720940:IVF720940 JEX720940:JFB720940 JOT720940:JOX720940 JYP720940:JYT720940 KIL720940:KIP720940 KSH720940:KSL720940 LCD720940:LCH720940 LLZ720940:LMD720940 LVV720940:LVZ720940 MFR720940:MFV720940 MPN720940:MPR720940 MZJ720940:MZN720940 NJF720940:NJJ720940 NTB720940:NTF720940 OCX720940:ODB720940 OMT720940:OMX720940 OWP720940:OWT720940 PGL720940:PGP720940 PQH720940:PQL720940 QAD720940:QAH720940 QJZ720940:QKD720940 QTV720940:QTZ720940 RDR720940:RDV720940 RNN720940:RNR720940 RXJ720940:RXN720940 SHF720940:SHJ720940 SRB720940:SRF720940 TAX720940:TBB720940 TKT720940:TKX720940 TUP720940:TUT720940 UEL720940:UEP720940 UOH720940:UOL720940 UYD720940:UYH720940 VHZ720940:VID720940 VRV720940:VRZ720940 WBR720940:WBV720940 WLN720940:WLR720940 WVJ720940:WVN720940 B786476:F786476 IX786476:JB786476 ST786476:SX786476 ACP786476:ACT786476 AML786476:AMP786476 AWH786476:AWL786476 BGD786476:BGH786476 BPZ786476:BQD786476 BZV786476:BZZ786476 CJR786476:CJV786476 CTN786476:CTR786476 DDJ786476:DDN786476 DNF786476:DNJ786476 DXB786476:DXF786476 EGX786476:EHB786476 EQT786476:EQX786476 FAP786476:FAT786476 FKL786476:FKP786476 FUH786476:FUL786476 GED786476:GEH786476 GNZ786476:GOD786476 GXV786476:GXZ786476 HHR786476:HHV786476 HRN786476:HRR786476 IBJ786476:IBN786476 ILF786476:ILJ786476 IVB786476:IVF786476 JEX786476:JFB786476 JOT786476:JOX786476 JYP786476:JYT786476 KIL786476:KIP786476 KSH786476:KSL786476 LCD786476:LCH786476 LLZ786476:LMD786476 LVV786476:LVZ786476 MFR786476:MFV786476 MPN786476:MPR786476 MZJ786476:MZN786476 NJF786476:NJJ786476 NTB786476:NTF786476 OCX786476:ODB786476 OMT786476:OMX786476 OWP786476:OWT786476 PGL786476:PGP786476 PQH786476:PQL786476 QAD786476:QAH786476 QJZ786476:QKD786476 QTV786476:QTZ786476 RDR786476:RDV786476 RNN786476:RNR786476 RXJ786476:RXN786476 SHF786476:SHJ786476 SRB786476:SRF786476 TAX786476:TBB786476 TKT786476:TKX786476 TUP786476:TUT786476 UEL786476:UEP786476 UOH786476:UOL786476 UYD786476:UYH786476 VHZ786476:VID786476 VRV786476:VRZ786476 WBR786476:WBV786476 WLN786476:WLR786476 WVJ786476:WVN786476 B852012:F852012 IX852012:JB852012 ST852012:SX852012 ACP852012:ACT852012 AML852012:AMP852012 AWH852012:AWL852012 BGD852012:BGH852012 BPZ852012:BQD852012 BZV852012:BZZ852012 CJR852012:CJV852012 CTN852012:CTR852012 DDJ852012:DDN852012 DNF852012:DNJ852012 DXB852012:DXF852012 EGX852012:EHB852012 EQT852012:EQX852012 FAP852012:FAT852012 FKL852012:FKP852012 FUH852012:FUL852012 GED852012:GEH852012 GNZ852012:GOD852012 GXV852012:GXZ852012 HHR852012:HHV852012 HRN852012:HRR852012 IBJ852012:IBN852012 ILF852012:ILJ852012 IVB852012:IVF852012 JEX852012:JFB852012 JOT852012:JOX852012 JYP852012:JYT852012 KIL852012:KIP852012 KSH852012:KSL852012 LCD852012:LCH852012 LLZ852012:LMD852012 LVV852012:LVZ852012 MFR852012:MFV852012 MPN852012:MPR852012 MZJ852012:MZN852012 NJF852012:NJJ852012 NTB852012:NTF852012 OCX852012:ODB852012 OMT852012:OMX852012 OWP852012:OWT852012 PGL852012:PGP852012 PQH852012:PQL852012 QAD852012:QAH852012 QJZ852012:QKD852012 QTV852012:QTZ852012 RDR852012:RDV852012 RNN852012:RNR852012 RXJ852012:RXN852012 SHF852012:SHJ852012 SRB852012:SRF852012 TAX852012:TBB852012 TKT852012:TKX852012 TUP852012:TUT852012 UEL852012:UEP852012 UOH852012:UOL852012 UYD852012:UYH852012 VHZ852012:VID852012 VRV852012:VRZ852012 WBR852012:WBV852012 WLN852012:WLR852012 WVJ852012:WVN852012 B917548:F917548 IX917548:JB917548 ST917548:SX917548 ACP917548:ACT917548 AML917548:AMP917548 AWH917548:AWL917548 BGD917548:BGH917548 BPZ917548:BQD917548 BZV917548:BZZ917548 CJR917548:CJV917548 CTN917548:CTR917548 DDJ917548:DDN917548 DNF917548:DNJ917548 DXB917548:DXF917548 EGX917548:EHB917548 EQT917548:EQX917548 FAP917548:FAT917548 FKL917548:FKP917548 FUH917548:FUL917548 GED917548:GEH917548 GNZ917548:GOD917548 GXV917548:GXZ917548 HHR917548:HHV917548 HRN917548:HRR917548 IBJ917548:IBN917548 ILF917548:ILJ917548 IVB917548:IVF917548 JEX917548:JFB917548 JOT917548:JOX917548 JYP917548:JYT917548 KIL917548:KIP917548 KSH917548:KSL917548 LCD917548:LCH917548 LLZ917548:LMD917548 LVV917548:LVZ917548 MFR917548:MFV917548 MPN917548:MPR917548 MZJ917548:MZN917548 NJF917548:NJJ917548 NTB917548:NTF917548 OCX917548:ODB917548 OMT917548:OMX917548 OWP917548:OWT917548 PGL917548:PGP917548 PQH917548:PQL917548 QAD917548:QAH917548 QJZ917548:QKD917548 QTV917548:QTZ917548 RDR917548:RDV917548 RNN917548:RNR917548 RXJ917548:RXN917548 SHF917548:SHJ917548 SRB917548:SRF917548 TAX917548:TBB917548 TKT917548:TKX917548 TUP917548:TUT917548 UEL917548:UEP917548 UOH917548:UOL917548 UYD917548:UYH917548 VHZ917548:VID917548 VRV917548:VRZ917548 WBR917548:WBV917548 WLN917548:WLR917548 WVJ917548:WVN917548 B983084:F983084 IX983084:JB983084 ST983084:SX983084 ACP983084:ACT983084 AML983084:AMP983084 AWH983084:AWL983084 BGD983084:BGH983084 BPZ983084:BQD983084 BZV983084:BZZ983084 CJR983084:CJV983084 CTN983084:CTR983084 DDJ983084:DDN983084 DNF983084:DNJ983084 DXB983084:DXF983084 EGX983084:EHB983084 EQT983084:EQX983084 FAP983084:FAT983084 FKL983084:FKP983084 FUH983084:FUL983084 GED983084:GEH983084 GNZ983084:GOD983084 GXV983084:GXZ983084 HHR983084:HHV983084 HRN983084:HRR983084 IBJ983084:IBN983084 ILF983084:ILJ983084 IVB983084:IVF983084 JEX983084:JFB983084 JOT983084:JOX983084 JYP983084:JYT983084 KIL983084:KIP983084 KSH983084:KSL983084 LCD983084:LCH983084 LLZ983084:LMD983084 LVV983084:LVZ983084 MFR983084:MFV983084 MPN983084:MPR983084 MZJ983084:MZN983084 NJF983084:NJJ983084 NTB983084:NTF983084 OCX983084:ODB983084 OMT983084:OMX983084 OWP983084:OWT983084 PGL983084:PGP983084 PQH983084:PQL983084 QAD983084:QAH983084 QJZ983084:QKD983084 QTV983084:QTZ983084 RDR983084:RDV983084 RNN983084:RNR983084 RXJ983084:RXN983084 SHF983084:SHJ983084 SRB983084:SRF983084 TAX983084:TBB983084 TKT983084:TKX983084 TUP983084:TUT983084 UEL983084:UEP983084 UOH983084:UOL983084 UYD983084:UYH983084 VHZ983084:VID983084 VRV983084:VRZ983084 WBR983084:WBV983084 WLN983084:WLR983084 WVJ983084:WVN983084 B17:F17 IX17:JB17 ST17:SX17 ACP17:ACT17 AML17:AMP17 AWH17:AWL17 BGD17:BGH17 BPZ17:BQD17 BZV17:BZZ17 CJR17:CJV17 CTN17:CTR17 DDJ17:DDN17 DNF17:DNJ17 DXB17:DXF17 EGX17:EHB17 EQT17:EQX17 FAP17:FAT17 FKL17:FKP17 FUH17:FUL17 GED17:GEH17 GNZ17:GOD17 GXV17:GXZ17 HHR17:HHV17 HRN17:HRR17 IBJ17:IBN17 ILF17:ILJ17 IVB17:IVF17 JEX17:JFB17 JOT17:JOX17 JYP17:JYT17 KIL17:KIP17 KSH17:KSL17 LCD17:LCH17 LLZ17:LMD17 LVV17:LVZ17 MFR17:MFV17 MPN17:MPR17 MZJ17:MZN17 NJF17:NJJ17 NTB17:NTF17 OCX17:ODB17 OMT17:OMX17 OWP17:OWT17 PGL17:PGP17 PQH17:PQL17 QAD17:QAH17 QJZ17:QKD17 QTV17:QTZ17 RDR17:RDV17 RNN17:RNR17 RXJ17:RXN17 SHF17:SHJ17 SRB17:SRF17 TAX17:TBB17 TKT17:TKX17 TUP17:TUT17 UEL17:UEP17 UOH17:UOL17 UYD17:UYH17 VHZ17:VID17 VRV17:VRZ17 WBR17:WBV17 WLN17:WLR17 WVJ17:WVN17">
      <formula1>"应付税款法,资产负债表债务法,其他"</formula1>
    </dataValidation>
    <dataValidation type="list" allowBlank="1" showInputMessage="1" showErrorMessage="1" sqref="B65579:F65579 IX65579:JB65579 ST65579:SX65579 ACP65579:ACT65579 AML65579:AMP65579 AWH65579:AWL65579 BGD65579:BGH65579 BPZ65579:BQD65579 BZV65579:BZZ65579 CJR65579:CJV65579 CTN65579:CTR65579 DDJ65579:DDN65579 DNF65579:DNJ65579 DXB65579:DXF65579 EGX65579:EHB65579 EQT65579:EQX65579 FAP65579:FAT65579 FKL65579:FKP65579 FUH65579:FUL65579 GED65579:GEH65579 GNZ65579:GOD65579 GXV65579:GXZ65579 HHR65579:HHV65579 HRN65579:HRR65579 IBJ65579:IBN65579 ILF65579:ILJ65579 IVB65579:IVF65579 JEX65579:JFB65579 JOT65579:JOX65579 JYP65579:JYT65579 KIL65579:KIP65579 KSH65579:KSL65579 LCD65579:LCH65579 LLZ65579:LMD65579 LVV65579:LVZ65579 MFR65579:MFV65579 MPN65579:MPR65579 MZJ65579:MZN65579 NJF65579:NJJ65579 NTB65579:NTF65579 OCX65579:ODB65579 OMT65579:OMX65579 OWP65579:OWT65579 PGL65579:PGP65579 PQH65579:PQL65579 QAD65579:QAH65579 QJZ65579:QKD65579 QTV65579:QTZ65579 RDR65579:RDV65579 RNN65579:RNR65579 RXJ65579:RXN65579 SHF65579:SHJ65579 SRB65579:SRF65579 TAX65579:TBB65579 TKT65579:TKX65579 TUP65579:TUT65579 UEL65579:UEP65579 UOH65579:UOL65579 UYD65579:UYH65579 VHZ65579:VID65579 VRV65579:VRZ65579 WBR65579:WBV65579 WLN65579:WLR65579 WVJ65579:WVN65579 B131115:F131115 IX131115:JB131115 ST131115:SX131115 ACP131115:ACT131115 AML131115:AMP131115 AWH131115:AWL131115 BGD131115:BGH131115 BPZ131115:BQD131115 BZV131115:BZZ131115 CJR131115:CJV131115 CTN131115:CTR131115 DDJ131115:DDN131115 DNF131115:DNJ131115 DXB131115:DXF131115 EGX131115:EHB131115 EQT131115:EQX131115 FAP131115:FAT131115 FKL131115:FKP131115 FUH131115:FUL131115 GED131115:GEH131115 GNZ131115:GOD131115 GXV131115:GXZ131115 HHR131115:HHV131115 HRN131115:HRR131115 IBJ131115:IBN131115 ILF131115:ILJ131115 IVB131115:IVF131115 JEX131115:JFB131115 JOT131115:JOX131115 JYP131115:JYT131115 KIL131115:KIP131115 KSH131115:KSL131115 LCD131115:LCH131115 LLZ131115:LMD131115 LVV131115:LVZ131115 MFR131115:MFV131115 MPN131115:MPR131115 MZJ131115:MZN131115 NJF131115:NJJ131115 NTB131115:NTF131115 OCX131115:ODB131115 OMT131115:OMX131115 OWP131115:OWT131115 PGL131115:PGP131115 PQH131115:PQL131115 QAD131115:QAH131115 QJZ131115:QKD131115 QTV131115:QTZ131115 RDR131115:RDV131115 RNN131115:RNR131115 RXJ131115:RXN131115 SHF131115:SHJ131115 SRB131115:SRF131115 TAX131115:TBB131115 TKT131115:TKX131115 TUP131115:TUT131115 UEL131115:UEP131115 UOH131115:UOL131115 UYD131115:UYH131115 VHZ131115:VID131115 VRV131115:VRZ131115 WBR131115:WBV131115 WLN131115:WLR131115 WVJ131115:WVN131115 B196651:F196651 IX196651:JB196651 ST196651:SX196651 ACP196651:ACT196651 AML196651:AMP196651 AWH196651:AWL196651 BGD196651:BGH196651 BPZ196651:BQD196651 BZV196651:BZZ196651 CJR196651:CJV196651 CTN196651:CTR196651 DDJ196651:DDN196651 DNF196651:DNJ196651 DXB196651:DXF196651 EGX196651:EHB196651 EQT196651:EQX196651 FAP196651:FAT196651 FKL196651:FKP196651 FUH196651:FUL196651 GED196651:GEH196651 GNZ196651:GOD196651 GXV196651:GXZ196651 HHR196651:HHV196651 HRN196651:HRR196651 IBJ196651:IBN196651 ILF196651:ILJ196651 IVB196651:IVF196651 JEX196651:JFB196651 JOT196651:JOX196651 JYP196651:JYT196651 KIL196651:KIP196651 KSH196651:KSL196651 LCD196651:LCH196651 LLZ196651:LMD196651 LVV196651:LVZ196651 MFR196651:MFV196651 MPN196651:MPR196651 MZJ196651:MZN196651 NJF196651:NJJ196651 NTB196651:NTF196651 OCX196651:ODB196651 OMT196651:OMX196651 OWP196651:OWT196651 PGL196651:PGP196651 PQH196651:PQL196651 QAD196651:QAH196651 QJZ196651:QKD196651 QTV196651:QTZ196651 RDR196651:RDV196651 RNN196651:RNR196651 RXJ196651:RXN196651 SHF196651:SHJ196651 SRB196651:SRF196651 TAX196651:TBB196651 TKT196651:TKX196651 TUP196651:TUT196651 UEL196651:UEP196651 UOH196651:UOL196651 UYD196651:UYH196651 VHZ196651:VID196651 VRV196651:VRZ196651 WBR196651:WBV196651 WLN196651:WLR196651 WVJ196651:WVN196651 B262187:F262187 IX262187:JB262187 ST262187:SX262187 ACP262187:ACT262187 AML262187:AMP262187 AWH262187:AWL262187 BGD262187:BGH262187 BPZ262187:BQD262187 BZV262187:BZZ262187 CJR262187:CJV262187 CTN262187:CTR262187 DDJ262187:DDN262187 DNF262187:DNJ262187 DXB262187:DXF262187 EGX262187:EHB262187 EQT262187:EQX262187 FAP262187:FAT262187 FKL262187:FKP262187 FUH262187:FUL262187 GED262187:GEH262187 GNZ262187:GOD262187 GXV262187:GXZ262187 HHR262187:HHV262187 HRN262187:HRR262187 IBJ262187:IBN262187 ILF262187:ILJ262187 IVB262187:IVF262187 JEX262187:JFB262187 JOT262187:JOX262187 JYP262187:JYT262187 KIL262187:KIP262187 KSH262187:KSL262187 LCD262187:LCH262187 LLZ262187:LMD262187 LVV262187:LVZ262187 MFR262187:MFV262187 MPN262187:MPR262187 MZJ262187:MZN262187 NJF262187:NJJ262187 NTB262187:NTF262187 OCX262187:ODB262187 OMT262187:OMX262187 OWP262187:OWT262187 PGL262187:PGP262187 PQH262187:PQL262187 QAD262187:QAH262187 QJZ262187:QKD262187 QTV262187:QTZ262187 RDR262187:RDV262187 RNN262187:RNR262187 RXJ262187:RXN262187 SHF262187:SHJ262187 SRB262187:SRF262187 TAX262187:TBB262187 TKT262187:TKX262187 TUP262187:TUT262187 UEL262187:UEP262187 UOH262187:UOL262187 UYD262187:UYH262187 VHZ262187:VID262187 VRV262187:VRZ262187 WBR262187:WBV262187 WLN262187:WLR262187 WVJ262187:WVN262187 B327723:F327723 IX327723:JB327723 ST327723:SX327723 ACP327723:ACT327723 AML327723:AMP327723 AWH327723:AWL327723 BGD327723:BGH327723 BPZ327723:BQD327723 BZV327723:BZZ327723 CJR327723:CJV327723 CTN327723:CTR327723 DDJ327723:DDN327723 DNF327723:DNJ327723 DXB327723:DXF327723 EGX327723:EHB327723 EQT327723:EQX327723 FAP327723:FAT327723 FKL327723:FKP327723 FUH327723:FUL327723 GED327723:GEH327723 GNZ327723:GOD327723 GXV327723:GXZ327723 HHR327723:HHV327723 HRN327723:HRR327723 IBJ327723:IBN327723 ILF327723:ILJ327723 IVB327723:IVF327723 JEX327723:JFB327723 JOT327723:JOX327723 JYP327723:JYT327723 KIL327723:KIP327723 KSH327723:KSL327723 LCD327723:LCH327723 LLZ327723:LMD327723 LVV327723:LVZ327723 MFR327723:MFV327723 MPN327723:MPR327723 MZJ327723:MZN327723 NJF327723:NJJ327723 NTB327723:NTF327723 OCX327723:ODB327723 OMT327723:OMX327723 OWP327723:OWT327723 PGL327723:PGP327723 PQH327723:PQL327723 QAD327723:QAH327723 QJZ327723:QKD327723 QTV327723:QTZ327723 RDR327723:RDV327723 RNN327723:RNR327723 RXJ327723:RXN327723 SHF327723:SHJ327723 SRB327723:SRF327723 TAX327723:TBB327723 TKT327723:TKX327723 TUP327723:TUT327723 UEL327723:UEP327723 UOH327723:UOL327723 UYD327723:UYH327723 VHZ327723:VID327723 VRV327723:VRZ327723 WBR327723:WBV327723 WLN327723:WLR327723 WVJ327723:WVN327723 B393259:F393259 IX393259:JB393259 ST393259:SX393259 ACP393259:ACT393259 AML393259:AMP393259 AWH393259:AWL393259 BGD393259:BGH393259 BPZ393259:BQD393259 BZV393259:BZZ393259 CJR393259:CJV393259 CTN393259:CTR393259 DDJ393259:DDN393259 DNF393259:DNJ393259 DXB393259:DXF393259 EGX393259:EHB393259 EQT393259:EQX393259 FAP393259:FAT393259 FKL393259:FKP393259 FUH393259:FUL393259 GED393259:GEH393259 GNZ393259:GOD393259 GXV393259:GXZ393259 HHR393259:HHV393259 HRN393259:HRR393259 IBJ393259:IBN393259 ILF393259:ILJ393259 IVB393259:IVF393259 JEX393259:JFB393259 JOT393259:JOX393259 JYP393259:JYT393259 KIL393259:KIP393259 KSH393259:KSL393259 LCD393259:LCH393259 LLZ393259:LMD393259 LVV393259:LVZ393259 MFR393259:MFV393259 MPN393259:MPR393259 MZJ393259:MZN393259 NJF393259:NJJ393259 NTB393259:NTF393259 OCX393259:ODB393259 OMT393259:OMX393259 OWP393259:OWT393259 PGL393259:PGP393259 PQH393259:PQL393259 QAD393259:QAH393259 QJZ393259:QKD393259 QTV393259:QTZ393259 RDR393259:RDV393259 RNN393259:RNR393259 RXJ393259:RXN393259 SHF393259:SHJ393259 SRB393259:SRF393259 TAX393259:TBB393259 TKT393259:TKX393259 TUP393259:TUT393259 UEL393259:UEP393259 UOH393259:UOL393259 UYD393259:UYH393259 VHZ393259:VID393259 VRV393259:VRZ393259 WBR393259:WBV393259 WLN393259:WLR393259 WVJ393259:WVN393259 B458795:F458795 IX458795:JB458795 ST458795:SX458795 ACP458795:ACT458795 AML458795:AMP458795 AWH458795:AWL458795 BGD458795:BGH458795 BPZ458795:BQD458795 BZV458795:BZZ458795 CJR458795:CJV458795 CTN458795:CTR458795 DDJ458795:DDN458795 DNF458795:DNJ458795 DXB458795:DXF458795 EGX458795:EHB458795 EQT458795:EQX458795 FAP458795:FAT458795 FKL458795:FKP458795 FUH458795:FUL458795 GED458795:GEH458795 GNZ458795:GOD458795 GXV458795:GXZ458795 HHR458795:HHV458795 HRN458795:HRR458795 IBJ458795:IBN458795 ILF458795:ILJ458795 IVB458795:IVF458795 JEX458795:JFB458795 JOT458795:JOX458795 JYP458795:JYT458795 KIL458795:KIP458795 KSH458795:KSL458795 LCD458795:LCH458795 LLZ458795:LMD458795 LVV458795:LVZ458795 MFR458795:MFV458795 MPN458795:MPR458795 MZJ458795:MZN458795 NJF458795:NJJ458795 NTB458795:NTF458795 OCX458795:ODB458795 OMT458795:OMX458795 OWP458795:OWT458795 PGL458795:PGP458795 PQH458795:PQL458795 QAD458795:QAH458795 QJZ458795:QKD458795 QTV458795:QTZ458795 RDR458795:RDV458795 RNN458795:RNR458795 RXJ458795:RXN458795 SHF458795:SHJ458795 SRB458795:SRF458795 TAX458795:TBB458795 TKT458795:TKX458795 TUP458795:TUT458795 UEL458795:UEP458795 UOH458795:UOL458795 UYD458795:UYH458795 VHZ458795:VID458795 VRV458795:VRZ458795 WBR458795:WBV458795 WLN458795:WLR458795 WVJ458795:WVN458795 B524331:F524331 IX524331:JB524331 ST524331:SX524331 ACP524331:ACT524331 AML524331:AMP524331 AWH524331:AWL524331 BGD524331:BGH524331 BPZ524331:BQD524331 BZV524331:BZZ524331 CJR524331:CJV524331 CTN524331:CTR524331 DDJ524331:DDN524331 DNF524331:DNJ524331 DXB524331:DXF524331 EGX524331:EHB524331 EQT524331:EQX524331 FAP524331:FAT524331 FKL524331:FKP524331 FUH524331:FUL524331 GED524331:GEH524331 GNZ524331:GOD524331 GXV524331:GXZ524331 HHR524331:HHV524331 HRN524331:HRR524331 IBJ524331:IBN524331 ILF524331:ILJ524331 IVB524331:IVF524331 JEX524331:JFB524331 JOT524331:JOX524331 JYP524331:JYT524331 KIL524331:KIP524331 KSH524331:KSL524331 LCD524331:LCH524331 LLZ524331:LMD524331 LVV524331:LVZ524331 MFR524331:MFV524331 MPN524331:MPR524331 MZJ524331:MZN524331 NJF524331:NJJ524331 NTB524331:NTF524331 OCX524331:ODB524331 OMT524331:OMX524331 OWP524331:OWT524331 PGL524331:PGP524331 PQH524331:PQL524331 QAD524331:QAH524331 QJZ524331:QKD524331 QTV524331:QTZ524331 RDR524331:RDV524331 RNN524331:RNR524331 RXJ524331:RXN524331 SHF524331:SHJ524331 SRB524331:SRF524331 TAX524331:TBB524331 TKT524331:TKX524331 TUP524331:TUT524331 UEL524331:UEP524331 UOH524331:UOL524331 UYD524331:UYH524331 VHZ524331:VID524331 VRV524331:VRZ524331 WBR524331:WBV524331 WLN524331:WLR524331 WVJ524331:WVN524331 B589867:F589867 IX589867:JB589867 ST589867:SX589867 ACP589867:ACT589867 AML589867:AMP589867 AWH589867:AWL589867 BGD589867:BGH589867 BPZ589867:BQD589867 BZV589867:BZZ589867 CJR589867:CJV589867 CTN589867:CTR589867 DDJ589867:DDN589867 DNF589867:DNJ589867 DXB589867:DXF589867 EGX589867:EHB589867 EQT589867:EQX589867 FAP589867:FAT589867 FKL589867:FKP589867 FUH589867:FUL589867 GED589867:GEH589867 GNZ589867:GOD589867 GXV589867:GXZ589867 HHR589867:HHV589867 HRN589867:HRR589867 IBJ589867:IBN589867 ILF589867:ILJ589867 IVB589867:IVF589867 JEX589867:JFB589867 JOT589867:JOX589867 JYP589867:JYT589867 KIL589867:KIP589867 KSH589867:KSL589867 LCD589867:LCH589867 LLZ589867:LMD589867 LVV589867:LVZ589867 MFR589867:MFV589867 MPN589867:MPR589867 MZJ589867:MZN589867 NJF589867:NJJ589867 NTB589867:NTF589867 OCX589867:ODB589867 OMT589867:OMX589867 OWP589867:OWT589867 PGL589867:PGP589867 PQH589867:PQL589867 QAD589867:QAH589867 QJZ589867:QKD589867 QTV589867:QTZ589867 RDR589867:RDV589867 RNN589867:RNR589867 RXJ589867:RXN589867 SHF589867:SHJ589867 SRB589867:SRF589867 TAX589867:TBB589867 TKT589867:TKX589867 TUP589867:TUT589867 UEL589867:UEP589867 UOH589867:UOL589867 UYD589867:UYH589867 VHZ589867:VID589867 VRV589867:VRZ589867 WBR589867:WBV589867 WLN589867:WLR589867 WVJ589867:WVN589867 B655403:F655403 IX655403:JB655403 ST655403:SX655403 ACP655403:ACT655403 AML655403:AMP655403 AWH655403:AWL655403 BGD655403:BGH655403 BPZ655403:BQD655403 BZV655403:BZZ655403 CJR655403:CJV655403 CTN655403:CTR655403 DDJ655403:DDN655403 DNF655403:DNJ655403 DXB655403:DXF655403 EGX655403:EHB655403 EQT655403:EQX655403 FAP655403:FAT655403 FKL655403:FKP655403 FUH655403:FUL655403 GED655403:GEH655403 GNZ655403:GOD655403 GXV655403:GXZ655403 HHR655403:HHV655403 HRN655403:HRR655403 IBJ655403:IBN655403 ILF655403:ILJ655403 IVB655403:IVF655403 JEX655403:JFB655403 JOT655403:JOX655403 JYP655403:JYT655403 KIL655403:KIP655403 KSH655403:KSL655403 LCD655403:LCH655403 LLZ655403:LMD655403 LVV655403:LVZ655403 MFR655403:MFV655403 MPN655403:MPR655403 MZJ655403:MZN655403 NJF655403:NJJ655403 NTB655403:NTF655403 OCX655403:ODB655403 OMT655403:OMX655403 OWP655403:OWT655403 PGL655403:PGP655403 PQH655403:PQL655403 QAD655403:QAH655403 QJZ655403:QKD655403 QTV655403:QTZ655403 RDR655403:RDV655403 RNN655403:RNR655403 RXJ655403:RXN655403 SHF655403:SHJ655403 SRB655403:SRF655403 TAX655403:TBB655403 TKT655403:TKX655403 TUP655403:TUT655403 UEL655403:UEP655403 UOH655403:UOL655403 UYD655403:UYH655403 VHZ655403:VID655403 VRV655403:VRZ655403 WBR655403:WBV655403 WLN655403:WLR655403 WVJ655403:WVN655403 B720939:F720939 IX720939:JB720939 ST720939:SX720939 ACP720939:ACT720939 AML720939:AMP720939 AWH720939:AWL720939 BGD720939:BGH720939 BPZ720939:BQD720939 BZV720939:BZZ720939 CJR720939:CJV720939 CTN720939:CTR720939 DDJ720939:DDN720939 DNF720939:DNJ720939 DXB720939:DXF720939 EGX720939:EHB720939 EQT720939:EQX720939 FAP720939:FAT720939 FKL720939:FKP720939 FUH720939:FUL720939 GED720939:GEH720939 GNZ720939:GOD720939 GXV720939:GXZ720939 HHR720939:HHV720939 HRN720939:HRR720939 IBJ720939:IBN720939 ILF720939:ILJ720939 IVB720939:IVF720939 JEX720939:JFB720939 JOT720939:JOX720939 JYP720939:JYT720939 KIL720939:KIP720939 KSH720939:KSL720939 LCD720939:LCH720939 LLZ720939:LMD720939 LVV720939:LVZ720939 MFR720939:MFV720939 MPN720939:MPR720939 MZJ720939:MZN720939 NJF720939:NJJ720939 NTB720939:NTF720939 OCX720939:ODB720939 OMT720939:OMX720939 OWP720939:OWT720939 PGL720939:PGP720939 PQH720939:PQL720939 QAD720939:QAH720939 QJZ720939:QKD720939 QTV720939:QTZ720939 RDR720939:RDV720939 RNN720939:RNR720939 RXJ720939:RXN720939 SHF720939:SHJ720939 SRB720939:SRF720939 TAX720939:TBB720939 TKT720939:TKX720939 TUP720939:TUT720939 UEL720939:UEP720939 UOH720939:UOL720939 UYD720939:UYH720939 VHZ720939:VID720939 VRV720939:VRZ720939 WBR720939:WBV720939 WLN720939:WLR720939 WVJ720939:WVN720939 B786475:F786475 IX786475:JB786475 ST786475:SX786475 ACP786475:ACT786475 AML786475:AMP786475 AWH786475:AWL786475 BGD786475:BGH786475 BPZ786475:BQD786475 BZV786475:BZZ786475 CJR786475:CJV786475 CTN786475:CTR786475 DDJ786475:DDN786475 DNF786475:DNJ786475 DXB786475:DXF786475 EGX786475:EHB786475 EQT786475:EQX786475 FAP786475:FAT786475 FKL786475:FKP786475 FUH786475:FUL786475 GED786475:GEH786475 GNZ786475:GOD786475 GXV786475:GXZ786475 HHR786475:HHV786475 HRN786475:HRR786475 IBJ786475:IBN786475 ILF786475:ILJ786475 IVB786475:IVF786475 JEX786475:JFB786475 JOT786475:JOX786475 JYP786475:JYT786475 KIL786475:KIP786475 KSH786475:KSL786475 LCD786475:LCH786475 LLZ786475:LMD786475 LVV786475:LVZ786475 MFR786475:MFV786475 MPN786475:MPR786475 MZJ786475:MZN786475 NJF786475:NJJ786475 NTB786475:NTF786475 OCX786475:ODB786475 OMT786475:OMX786475 OWP786475:OWT786475 PGL786475:PGP786475 PQH786475:PQL786475 QAD786475:QAH786475 QJZ786475:QKD786475 QTV786475:QTZ786475 RDR786475:RDV786475 RNN786475:RNR786475 RXJ786475:RXN786475 SHF786475:SHJ786475 SRB786475:SRF786475 TAX786475:TBB786475 TKT786475:TKX786475 TUP786475:TUT786475 UEL786475:UEP786475 UOH786475:UOL786475 UYD786475:UYH786475 VHZ786475:VID786475 VRV786475:VRZ786475 WBR786475:WBV786475 WLN786475:WLR786475 WVJ786475:WVN786475 B852011:F852011 IX852011:JB852011 ST852011:SX852011 ACP852011:ACT852011 AML852011:AMP852011 AWH852011:AWL852011 BGD852011:BGH852011 BPZ852011:BQD852011 BZV852011:BZZ852011 CJR852011:CJV852011 CTN852011:CTR852011 DDJ852011:DDN852011 DNF852011:DNJ852011 DXB852011:DXF852011 EGX852011:EHB852011 EQT852011:EQX852011 FAP852011:FAT852011 FKL852011:FKP852011 FUH852011:FUL852011 GED852011:GEH852011 GNZ852011:GOD852011 GXV852011:GXZ852011 HHR852011:HHV852011 HRN852011:HRR852011 IBJ852011:IBN852011 ILF852011:ILJ852011 IVB852011:IVF852011 JEX852011:JFB852011 JOT852011:JOX852011 JYP852011:JYT852011 KIL852011:KIP852011 KSH852011:KSL852011 LCD852011:LCH852011 LLZ852011:LMD852011 LVV852011:LVZ852011 MFR852011:MFV852011 MPN852011:MPR852011 MZJ852011:MZN852011 NJF852011:NJJ852011 NTB852011:NTF852011 OCX852011:ODB852011 OMT852011:OMX852011 OWP852011:OWT852011 PGL852011:PGP852011 PQH852011:PQL852011 QAD852011:QAH852011 QJZ852011:QKD852011 QTV852011:QTZ852011 RDR852011:RDV852011 RNN852011:RNR852011 RXJ852011:RXN852011 SHF852011:SHJ852011 SRB852011:SRF852011 TAX852011:TBB852011 TKT852011:TKX852011 TUP852011:TUT852011 UEL852011:UEP852011 UOH852011:UOL852011 UYD852011:UYH852011 VHZ852011:VID852011 VRV852011:VRZ852011 WBR852011:WBV852011 WLN852011:WLR852011 WVJ852011:WVN852011 B917547:F917547 IX917547:JB917547 ST917547:SX917547 ACP917547:ACT917547 AML917547:AMP917547 AWH917547:AWL917547 BGD917547:BGH917547 BPZ917547:BQD917547 BZV917547:BZZ917547 CJR917547:CJV917547 CTN917547:CTR917547 DDJ917547:DDN917547 DNF917547:DNJ917547 DXB917547:DXF917547 EGX917547:EHB917547 EQT917547:EQX917547 FAP917547:FAT917547 FKL917547:FKP917547 FUH917547:FUL917547 GED917547:GEH917547 GNZ917547:GOD917547 GXV917547:GXZ917547 HHR917547:HHV917547 HRN917547:HRR917547 IBJ917547:IBN917547 ILF917547:ILJ917547 IVB917547:IVF917547 JEX917547:JFB917547 JOT917547:JOX917547 JYP917547:JYT917547 KIL917547:KIP917547 KSH917547:KSL917547 LCD917547:LCH917547 LLZ917547:LMD917547 LVV917547:LVZ917547 MFR917547:MFV917547 MPN917547:MPR917547 MZJ917547:MZN917547 NJF917547:NJJ917547 NTB917547:NTF917547 OCX917547:ODB917547 OMT917547:OMX917547 OWP917547:OWT917547 PGL917547:PGP917547 PQH917547:PQL917547 QAD917547:QAH917547 QJZ917547:QKD917547 QTV917547:QTZ917547 RDR917547:RDV917547 RNN917547:RNR917547 RXJ917547:RXN917547 SHF917547:SHJ917547 SRB917547:SRF917547 TAX917547:TBB917547 TKT917547:TKX917547 TUP917547:TUT917547 UEL917547:UEP917547 UOH917547:UOL917547 UYD917547:UYH917547 VHZ917547:VID917547 VRV917547:VRZ917547 WBR917547:WBV917547 WLN917547:WLR917547 WVJ917547:WVN917547 B983083:F983083 IX983083:JB983083 ST983083:SX983083 ACP983083:ACT983083 AML983083:AMP983083 AWH983083:AWL983083 BGD983083:BGH983083 BPZ983083:BQD983083 BZV983083:BZZ983083 CJR983083:CJV983083 CTN983083:CTR983083 DDJ983083:DDN983083 DNF983083:DNJ983083 DXB983083:DXF983083 EGX983083:EHB983083 EQT983083:EQX983083 FAP983083:FAT983083 FKL983083:FKP983083 FUH983083:FUL983083 GED983083:GEH983083 GNZ983083:GOD983083 GXV983083:GXZ983083 HHR983083:HHV983083 HRN983083:HRR983083 IBJ983083:IBN983083 ILF983083:ILJ983083 IVB983083:IVF983083 JEX983083:JFB983083 JOT983083:JOX983083 JYP983083:JYT983083 KIL983083:KIP983083 KSH983083:KSL983083 LCD983083:LCH983083 LLZ983083:LMD983083 LVV983083:LVZ983083 MFR983083:MFV983083 MPN983083:MPR983083 MZJ983083:MZN983083 NJF983083:NJJ983083 NTB983083:NTF983083 OCX983083:ODB983083 OMT983083:OMX983083 OWP983083:OWT983083 PGL983083:PGP983083 PQH983083:PQL983083 QAD983083:QAH983083 QJZ983083:QKD983083 QTV983083:QTZ983083 RDR983083:RDV983083 RNN983083:RNR983083 RXJ983083:RXN983083 SHF983083:SHJ983083 SRB983083:SRF983083 TAX983083:TBB983083 TKT983083:TKX983083 TUP983083:TUT983083 UEL983083:UEP983083 UOH983083:UOL983083 UYD983083:UYH983083 VHZ983083:VID983083 VRV983083:VRZ983083 WBR983083:WBV983083 WLN983083:WLR983083 WVJ983083:WVN983083 B16:F16 IX16:JB16 ST16:SX16 ACP16:ACT16 AML16:AMP16 AWH16:AWL16 BGD16:BGH16 BPZ16:BQD16 BZV16:BZZ16 CJR16:CJV16 CTN16:CTR16 DDJ16:DDN16 DNF16:DNJ16 DXB16:DXF16 EGX16:EHB16 EQT16:EQX16 FAP16:FAT16 FKL16:FKP16 FUH16:FUL16 GED16:GEH16 GNZ16:GOD16 GXV16:GXZ16 HHR16:HHV16 HRN16:HRR16 IBJ16:IBN16 ILF16:ILJ16 IVB16:IVF16 JEX16:JFB16 JOT16:JOX16 JYP16:JYT16 KIL16:KIP16 KSH16:KSL16 LCD16:LCH16 LLZ16:LMD16 LVV16:LVZ16 MFR16:MFV16 MPN16:MPR16 MZJ16:MZN16 NJF16:NJJ16 NTB16:NTF16 OCX16:ODB16 OMT16:OMX16 OWP16:OWT16 PGL16:PGP16 PQH16:PQL16 QAD16:QAH16 QJZ16:QKD16 QTV16:QTZ16 RDR16:RDV16 RNN16:RNR16 RXJ16:RXN16 SHF16:SHJ16 SRB16:SRF16 TAX16:TBB16 TKT16:TKX16 TUP16:TUT16 UEL16:UEP16 UOH16:UOL16 UYD16:UYH16 VHZ16:VID16 VRV16:VRZ16 WBR16:WBV16 WLN16:WLR16 WVJ16:WVN16">
      <formula1>"备抵法,直接核销法"</formula1>
    </dataValidation>
    <dataValidation type="list" allowBlank="1" showInputMessage="1" showErrorMessage="1" sqref="WVJ983082:WVN983082 B65578:F65578 IX65578:JB65578 ST65578:SX65578 ACP65578:ACT65578 AML65578:AMP65578 AWH65578:AWL65578 BGD65578:BGH65578 BPZ65578:BQD65578 BZV65578:BZZ65578 CJR65578:CJV65578 CTN65578:CTR65578 DDJ65578:DDN65578 DNF65578:DNJ65578 DXB65578:DXF65578 EGX65578:EHB65578 EQT65578:EQX65578 FAP65578:FAT65578 FKL65578:FKP65578 FUH65578:FUL65578 GED65578:GEH65578 GNZ65578:GOD65578 GXV65578:GXZ65578 HHR65578:HHV65578 HRN65578:HRR65578 IBJ65578:IBN65578 ILF65578:ILJ65578 IVB65578:IVF65578 JEX65578:JFB65578 JOT65578:JOX65578 JYP65578:JYT65578 KIL65578:KIP65578 KSH65578:KSL65578 LCD65578:LCH65578 LLZ65578:LMD65578 LVV65578:LVZ65578 MFR65578:MFV65578 MPN65578:MPR65578 MZJ65578:MZN65578 NJF65578:NJJ65578 NTB65578:NTF65578 OCX65578:ODB65578 OMT65578:OMX65578 OWP65578:OWT65578 PGL65578:PGP65578 PQH65578:PQL65578 QAD65578:QAH65578 QJZ65578:QKD65578 QTV65578:QTZ65578 RDR65578:RDV65578 RNN65578:RNR65578 RXJ65578:RXN65578 SHF65578:SHJ65578 SRB65578:SRF65578 TAX65578:TBB65578 TKT65578:TKX65578 TUP65578:TUT65578 UEL65578:UEP65578 UOH65578:UOL65578 UYD65578:UYH65578 VHZ65578:VID65578 VRV65578:VRZ65578 WBR65578:WBV65578 WLN65578:WLR65578 WVJ65578:WVN65578 B131114:F131114 IX131114:JB131114 ST131114:SX131114 ACP131114:ACT131114 AML131114:AMP131114 AWH131114:AWL131114 BGD131114:BGH131114 BPZ131114:BQD131114 BZV131114:BZZ131114 CJR131114:CJV131114 CTN131114:CTR131114 DDJ131114:DDN131114 DNF131114:DNJ131114 DXB131114:DXF131114 EGX131114:EHB131114 EQT131114:EQX131114 FAP131114:FAT131114 FKL131114:FKP131114 FUH131114:FUL131114 GED131114:GEH131114 GNZ131114:GOD131114 GXV131114:GXZ131114 HHR131114:HHV131114 HRN131114:HRR131114 IBJ131114:IBN131114 ILF131114:ILJ131114 IVB131114:IVF131114 JEX131114:JFB131114 JOT131114:JOX131114 JYP131114:JYT131114 KIL131114:KIP131114 KSH131114:KSL131114 LCD131114:LCH131114 LLZ131114:LMD131114 LVV131114:LVZ131114 MFR131114:MFV131114 MPN131114:MPR131114 MZJ131114:MZN131114 NJF131114:NJJ131114 NTB131114:NTF131114 OCX131114:ODB131114 OMT131114:OMX131114 OWP131114:OWT131114 PGL131114:PGP131114 PQH131114:PQL131114 QAD131114:QAH131114 QJZ131114:QKD131114 QTV131114:QTZ131114 RDR131114:RDV131114 RNN131114:RNR131114 RXJ131114:RXN131114 SHF131114:SHJ131114 SRB131114:SRF131114 TAX131114:TBB131114 TKT131114:TKX131114 TUP131114:TUT131114 UEL131114:UEP131114 UOH131114:UOL131114 UYD131114:UYH131114 VHZ131114:VID131114 VRV131114:VRZ131114 WBR131114:WBV131114 WLN131114:WLR131114 WVJ131114:WVN131114 B196650:F196650 IX196650:JB196650 ST196650:SX196650 ACP196650:ACT196650 AML196650:AMP196650 AWH196650:AWL196650 BGD196650:BGH196650 BPZ196650:BQD196650 BZV196650:BZZ196650 CJR196650:CJV196650 CTN196650:CTR196650 DDJ196650:DDN196650 DNF196650:DNJ196650 DXB196650:DXF196650 EGX196650:EHB196650 EQT196650:EQX196650 FAP196650:FAT196650 FKL196650:FKP196650 FUH196650:FUL196650 GED196650:GEH196650 GNZ196650:GOD196650 GXV196650:GXZ196650 HHR196650:HHV196650 HRN196650:HRR196650 IBJ196650:IBN196650 ILF196650:ILJ196650 IVB196650:IVF196650 JEX196650:JFB196650 JOT196650:JOX196650 JYP196650:JYT196650 KIL196650:KIP196650 KSH196650:KSL196650 LCD196650:LCH196650 LLZ196650:LMD196650 LVV196650:LVZ196650 MFR196650:MFV196650 MPN196650:MPR196650 MZJ196650:MZN196650 NJF196650:NJJ196650 NTB196650:NTF196650 OCX196650:ODB196650 OMT196650:OMX196650 OWP196650:OWT196650 PGL196650:PGP196650 PQH196650:PQL196650 QAD196650:QAH196650 QJZ196650:QKD196650 QTV196650:QTZ196650 RDR196650:RDV196650 RNN196650:RNR196650 RXJ196650:RXN196650 SHF196650:SHJ196650 SRB196650:SRF196650 TAX196650:TBB196650 TKT196650:TKX196650 TUP196650:TUT196650 UEL196650:UEP196650 UOH196650:UOL196650 UYD196650:UYH196650 VHZ196650:VID196650 VRV196650:VRZ196650 WBR196650:WBV196650 WLN196650:WLR196650 WVJ196650:WVN196650 B262186:F262186 IX262186:JB262186 ST262186:SX262186 ACP262186:ACT262186 AML262186:AMP262186 AWH262186:AWL262186 BGD262186:BGH262186 BPZ262186:BQD262186 BZV262186:BZZ262186 CJR262186:CJV262186 CTN262186:CTR262186 DDJ262186:DDN262186 DNF262186:DNJ262186 DXB262186:DXF262186 EGX262186:EHB262186 EQT262186:EQX262186 FAP262186:FAT262186 FKL262186:FKP262186 FUH262186:FUL262186 GED262186:GEH262186 GNZ262186:GOD262186 GXV262186:GXZ262186 HHR262186:HHV262186 HRN262186:HRR262186 IBJ262186:IBN262186 ILF262186:ILJ262186 IVB262186:IVF262186 JEX262186:JFB262186 JOT262186:JOX262186 JYP262186:JYT262186 KIL262186:KIP262186 KSH262186:KSL262186 LCD262186:LCH262186 LLZ262186:LMD262186 LVV262186:LVZ262186 MFR262186:MFV262186 MPN262186:MPR262186 MZJ262186:MZN262186 NJF262186:NJJ262186 NTB262186:NTF262186 OCX262186:ODB262186 OMT262186:OMX262186 OWP262186:OWT262186 PGL262186:PGP262186 PQH262186:PQL262186 QAD262186:QAH262186 QJZ262186:QKD262186 QTV262186:QTZ262186 RDR262186:RDV262186 RNN262186:RNR262186 RXJ262186:RXN262186 SHF262186:SHJ262186 SRB262186:SRF262186 TAX262186:TBB262186 TKT262186:TKX262186 TUP262186:TUT262186 UEL262186:UEP262186 UOH262186:UOL262186 UYD262186:UYH262186 VHZ262186:VID262186 VRV262186:VRZ262186 WBR262186:WBV262186 WLN262186:WLR262186 WVJ262186:WVN262186 B327722:F327722 IX327722:JB327722 ST327722:SX327722 ACP327722:ACT327722 AML327722:AMP327722 AWH327722:AWL327722 BGD327722:BGH327722 BPZ327722:BQD327722 BZV327722:BZZ327722 CJR327722:CJV327722 CTN327722:CTR327722 DDJ327722:DDN327722 DNF327722:DNJ327722 DXB327722:DXF327722 EGX327722:EHB327722 EQT327722:EQX327722 FAP327722:FAT327722 FKL327722:FKP327722 FUH327722:FUL327722 GED327722:GEH327722 GNZ327722:GOD327722 GXV327722:GXZ327722 HHR327722:HHV327722 HRN327722:HRR327722 IBJ327722:IBN327722 ILF327722:ILJ327722 IVB327722:IVF327722 JEX327722:JFB327722 JOT327722:JOX327722 JYP327722:JYT327722 KIL327722:KIP327722 KSH327722:KSL327722 LCD327722:LCH327722 LLZ327722:LMD327722 LVV327722:LVZ327722 MFR327722:MFV327722 MPN327722:MPR327722 MZJ327722:MZN327722 NJF327722:NJJ327722 NTB327722:NTF327722 OCX327722:ODB327722 OMT327722:OMX327722 OWP327722:OWT327722 PGL327722:PGP327722 PQH327722:PQL327722 QAD327722:QAH327722 QJZ327722:QKD327722 QTV327722:QTZ327722 RDR327722:RDV327722 RNN327722:RNR327722 RXJ327722:RXN327722 SHF327722:SHJ327722 SRB327722:SRF327722 TAX327722:TBB327722 TKT327722:TKX327722 TUP327722:TUT327722 UEL327722:UEP327722 UOH327722:UOL327722 UYD327722:UYH327722 VHZ327722:VID327722 VRV327722:VRZ327722 WBR327722:WBV327722 WLN327722:WLR327722 WVJ327722:WVN327722 B393258:F393258 IX393258:JB393258 ST393258:SX393258 ACP393258:ACT393258 AML393258:AMP393258 AWH393258:AWL393258 BGD393258:BGH393258 BPZ393258:BQD393258 BZV393258:BZZ393258 CJR393258:CJV393258 CTN393258:CTR393258 DDJ393258:DDN393258 DNF393258:DNJ393258 DXB393258:DXF393258 EGX393258:EHB393258 EQT393258:EQX393258 FAP393258:FAT393258 FKL393258:FKP393258 FUH393258:FUL393258 GED393258:GEH393258 GNZ393258:GOD393258 GXV393258:GXZ393258 HHR393258:HHV393258 HRN393258:HRR393258 IBJ393258:IBN393258 ILF393258:ILJ393258 IVB393258:IVF393258 JEX393258:JFB393258 JOT393258:JOX393258 JYP393258:JYT393258 KIL393258:KIP393258 KSH393258:KSL393258 LCD393258:LCH393258 LLZ393258:LMD393258 LVV393258:LVZ393258 MFR393258:MFV393258 MPN393258:MPR393258 MZJ393258:MZN393258 NJF393258:NJJ393258 NTB393258:NTF393258 OCX393258:ODB393258 OMT393258:OMX393258 OWP393258:OWT393258 PGL393258:PGP393258 PQH393258:PQL393258 QAD393258:QAH393258 QJZ393258:QKD393258 QTV393258:QTZ393258 RDR393258:RDV393258 RNN393258:RNR393258 RXJ393258:RXN393258 SHF393258:SHJ393258 SRB393258:SRF393258 TAX393258:TBB393258 TKT393258:TKX393258 TUP393258:TUT393258 UEL393258:UEP393258 UOH393258:UOL393258 UYD393258:UYH393258 VHZ393258:VID393258 VRV393258:VRZ393258 WBR393258:WBV393258 WLN393258:WLR393258 WVJ393258:WVN393258 B458794:F458794 IX458794:JB458794 ST458794:SX458794 ACP458794:ACT458794 AML458794:AMP458794 AWH458794:AWL458794 BGD458794:BGH458794 BPZ458794:BQD458794 BZV458794:BZZ458794 CJR458794:CJV458794 CTN458794:CTR458794 DDJ458794:DDN458794 DNF458794:DNJ458794 DXB458794:DXF458794 EGX458794:EHB458794 EQT458794:EQX458794 FAP458794:FAT458794 FKL458794:FKP458794 FUH458794:FUL458794 GED458794:GEH458794 GNZ458794:GOD458794 GXV458794:GXZ458794 HHR458794:HHV458794 HRN458794:HRR458794 IBJ458794:IBN458794 ILF458794:ILJ458794 IVB458794:IVF458794 JEX458794:JFB458794 JOT458794:JOX458794 JYP458794:JYT458794 KIL458794:KIP458794 KSH458794:KSL458794 LCD458794:LCH458794 LLZ458794:LMD458794 LVV458794:LVZ458794 MFR458794:MFV458794 MPN458794:MPR458794 MZJ458794:MZN458794 NJF458794:NJJ458794 NTB458794:NTF458794 OCX458794:ODB458794 OMT458794:OMX458794 OWP458794:OWT458794 PGL458794:PGP458794 PQH458794:PQL458794 QAD458794:QAH458794 QJZ458794:QKD458794 QTV458794:QTZ458794 RDR458794:RDV458794 RNN458794:RNR458794 RXJ458794:RXN458794 SHF458794:SHJ458794 SRB458794:SRF458794 TAX458794:TBB458794 TKT458794:TKX458794 TUP458794:TUT458794 UEL458794:UEP458794 UOH458794:UOL458794 UYD458794:UYH458794 VHZ458794:VID458794 VRV458794:VRZ458794 WBR458794:WBV458794 WLN458794:WLR458794 WVJ458794:WVN458794 B524330:F524330 IX524330:JB524330 ST524330:SX524330 ACP524330:ACT524330 AML524330:AMP524330 AWH524330:AWL524330 BGD524330:BGH524330 BPZ524330:BQD524330 BZV524330:BZZ524330 CJR524330:CJV524330 CTN524330:CTR524330 DDJ524330:DDN524330 DNF524330:DNJ524330 DXB524330:DXF524330 EGX524330:EHB524330 EQT524330:EQX524330 FAP524330:FAT524330 FKL524330:FKP524330 FUH524330:FUL524330 GED524330:GEH524330 GNZ524330:GOD524330 GXV524330:GXZ524330 HHR524330:HHV524330 HRN524330:HRR524330 IBJ524330:IBN524330 ILF524330:ILJ524330 IVB524330:IVF524330 JEX524330:JFB524330 JOT524330:JOX524330 JYP524330:JYT524330 KIL524330:KIP524330 KSH524330:KSL524330 LCD524330:LCH524330 LLZ524330:LMD524330 LVV524330:LVZ524330 MFR524330:MFV524330 MPN524330:MPR524330 MZJ524330:MZN524330 NJF524330:NJJ524330 NTB524330:NTF524330 OCX524330:ODB524330 OMT524330:OMX524330 OWP524330:OWT524330 PGL524330:PGP524330 PQH524330:PQL524330 QAD524330:QAH524330 QJZ524330:QKD524330 QTV524330:QTZ524330 RDR524330:RDV524330 RNN524330:RNR524330 RXJ524330:RXN524330 SHF524330:SHJ524330 SRB524330:SRF524330 TAX524330:TBB524330 TKT524330:TKX524330 TUP524330:TUT524330 UEL524330:UEP524330 UOH524330:UOL524330 UYD524330:UYH524330 VHZ524330:VID524330 VRV524330:VRZ524330 WBR524330:WBV524330 WLN524330:WLR524330 WVJ524330:WVN524330 B589866:F589866 IX589866:JB589866 ST589866:SX589866 ACP589866:ACT589866 AML589866:AMP589866 AWH589866:AWL589866 BGD589866:BGH589866 BPZ589866:BQD589866 BZV589866:BZZ589866 CJR589866:CJV589866 CTN589866:CTR589866 DDJ589866:DDN589866 DNF589866:DNJ589866 DXB589866:DXF589866 EGX589866:EHB589866 EQT589866:EQX589866 FAP589866:FAT589866 FKL589866:FKP589866 FUH589866:FUL589866 GED589866:GEH589866 GNZ589866:GOD589866 GXV589866:GXZ589866 HHR589866:HHV589866 HRN589866:HRR589866 IBJ589866:IBN589866 ILF589866:ILJ589866 IVB589866:IVF589866 JEX589866:JFB589866 JOT589866:JOX589866 JYP589866:JYT589866 KIL589866:KIP589866 KSH589866:KSL589866 LCD589866:LCH589866 LLZ589866:LMD589866 LVV589866:LVZ589866 MFR589866:MFV589866 MPN589866:MPR589866 MZJ589866:MZN589866 NJF589866:NJJ589866 NTB589866:NTF589866 OCX589866:ODB589866 OMT589866:OMX589866 OWP589866:OWT589866 PGL589866:PGP589866 PQH589866:PQL589866 QAD589866:QAH589866 QJZ589866:QKD589866 QTV589866:QTZ589866 RDR589866:RDV589866 RNN589866:RNR589866 RXJ589866:RXN589866 SHF589866:SHJ589866 SRB589866:SRF589866 TAX589866:TBB589866 TKT589866:TKX589866 TUP589866:TUT589866 UEL589866:UEP589866 UOH589866:UOL589866 UYD589866:UYH589866 VHZ589866:VID589866 VRV589866:VRZ589866 WBR589866:WBV589866 WLN589866:WLR589866 WVJ589866:WVN589866 B655402:F655402 IX655402:JB655402 ST655402:SX655402 ACP655402:ACT655402 AML655402:AMP655402 AWH655402:AWL655402 BGD655402:BGH655402 BPZ655402:BQD655402 BZV655402:BZZ655402 CJR655402:CJV655402 CTN655402:CTR655402 DDJ655402:DDN655402 DNF655402:DNJ655402 DXB655402:DXF655402 EGX655402:EHB655402 EQT655402:EQX655402 FAP655402:FAT655402 FKL655402:FKP655402 FUH655402:FUL655402 GED655402:GEH655402 GNZ655402:GOD655402 GXV655402:GXZ655402 HHR655402:HHV655402 HRN655402:HRR655402 IBJ655402:IBN655402 ILF655402:ILJ655402 IVB655402:IVF655402 JEX655402:JFB655402 JOT655402:JOX655402 JYP655402:JYT655402 KIL655402:KIP655402 KSH655402:KSL655402 LCD655402:LCH655402 LLZ655402:LMD655402 LVV655402:LVZ655402 MFR655402:MFV655402 MPN655402:MPR655402 MZJ655402:MZN655402 NJF655402:NJJ655402 NTB655402:NTF655402 OCX655402:ODB655402 OMT655402:OMX655402 OWP655402:OWT655402 PGL655402:PGP655402 PQH655402:PQL655402 QAD655402:QAH655402 QJZ655402:QKD655402 QTV655402:QTZ655402 RDR655402:RDV655402 RNN655402:RNR655402 RXJ655402:RXN655402 SHF655402:SHJ655402 SRB655402:SRF655402 TAX655402:TBB655402 TKT655402:TKX655402 TUP655402:TUT655402 UEL655402:UEP655402 UOH655402:UOL655402 UYD655402:UYH655402 VHZ655402:VID655402 VRV655402:VRZ655402 WBR655402:WBV655402 WLN655402:WLR655402 WVJ655402:WVN655402 B720938:F720938 IX720938:JB720938 ST720938:SX720938 ACP720938:ACT720938 AML720938:AMP720938 AWH720938:AWL720938 BGD720938:BGH720938 BPZ720938:BQD720938 BZV720938:BZZ720938 CJR720938:CJV720938 CTN720938:CTR720938 DDJ720938:DDN720938 DNF720938:DNJ720938 DXB720938:DXF720938 EGX720938:EHB720938 EQT720938:EQX720938 FAP720938:FAT720938 FKL720938:FKP720938 FUH720938:FUL720938 GED720938:GEH720938 GNZ720938:GOD720938 GXV720938:GXZ720938 HHR720938:HHV720938 HRN720938:HRR720938 IBJ720938:IBN720938 ILF720938:ILJ720938 IVB720938:IVF720938 JEX720938:JFB720938 JOT720938:JOX720938 JYP720938:JYT720938 KIL720938:KIP720938 KSH720938:KSL720938 LCD720938:LCH720938 LLZ720938:LMD720938 LVV720938:LVZ720938 MFR720938:MFV720938 MPN720938:MPR720938 MZJ720938:MZN720938 NJF720938:NJJ720938 NTB720938:NTF720938 OCX720938:ODB720938 OMT720938:OMX720938 OWP720938:OWT720938 PGL720938:PGP720938 PQH720938:PQL720938 QAD720938:QAH720938 QJZ720938:QKD720938 QTV720938:QTZ720938 RDR720938:RDV720938 RNN720938:RNR720938 RXJ720938:RXN720938 SHF720938:SHJ720938 SRB720938:SRF720938 TAX720938:TBB720938 TKT720938:TKX720938 TUP720938:TUT720938 UEL720938:UEP720938 UOH720938:UOL720938 UYD720938:UYH720938 VHZ720938:VID720938 VRV720938:VRZ720938 WBR720938:WBV720938 WLN720938:WLR720938 WVJ720938:WVN720938 B786474:F786474 IX786474:JB786474 ST786474:SX786474 ACP786474:ACT786474 AML786474:AMP786474 AWH786474:AWL786474 BGD786474:BGH786474 BPZ786474:BQD786474 BZV786474:BZZ786474 CJR786474:CJV786474 CTN786474:CTR786474 DDJ786474:DDN786474 DNF786474:DNJ786474 DXB786474:DXF786474 EGX786474:EHB786474 EQT786474:EQX786474 FAP786474:FAT786474 FKL786474:FKP786474 FUH786474:FUL786474 GED786474:GEH786474 GNZ786474:GOD786474 GXV786474:GXZ786474 HHR786474:HHV786474 HRN786474:HRR786474 IBJ786474:IBN786474 ILF786474:ILJ786474 IVB786474:IVF786474 JEX786474:JFB786474 JOT786474:JOX786474 JYP786474:JYT786474 KIL786474:KIP786474 KSH786474:KSL786474 LCD786474:LCH786474 LLZ786474:LMD786474 LVV786474:LVZ786474 MFR786474:MFV786474 MPN786474:MPR786474 MZJ786474:MZN786474 NJF786474:NJJ786474 NTB786474:NTF786474 OCX786474:ODB786474 OMT786474:OMX786474 OWP786474:OWT786474 PGL786474:PGP786474 PQH786474:PQL786474 QAD786474:QAH786474 QJZ786474:QKD786474 QTV786474:QTZ786474 RDR786474:RDV786474 RNN786474:RNR786474 RXJ786474:RXN786474 SHF786474:SHJ786474 SRB786474:SRF786474 TAX786474:TBB786474 TKT786474:TKX786474 TUP786474:TUT786474 UEL786474:UEP786474 UOH786474:UOL786474 UYD786474:UYH786474 VHZ786474:VID786474 VRV786474:VRZ786474 WBR786474:WBV786474 WLN786474:WLR786474 WVJ786474:WVN786474 B852010:F852010 IX852010:JB852010 ST852010:SX852010 ACP852010:ACT852010 AML852010:AMP852010 AWH852010:AWL852010 BGD852010:BGH852010 BPZ852010:BQD852010 BZV852010:BZZ852010 CJR852010:CJV852010 CTN852010:CTR852010 DDJ852010:DDN852010 DNF852010:DNJ852010 DXB852010:DXF852010 EGX852010:EHB852010 EQT852010:EQX852010 FAP852010:FAT852010 FKL852010:FKP852010 FUH852010:FUL852010 GED852010:GEH852010 GNZ852010:GOD852010 GXV852010:GXZ852010 HHR852010:HHV852010 HRN852010:HRR852010 IBJ852010:IBN852010 ILF852010:ILJ852010 IVB852010:IVF852010 JEX852010:JFB852010 JOT852010:JOX852010 JYP852010:JYT852010 KIL852010:KIP852010 KSH852010:KSL852010 LCD852010:LCH852010 LLZ852010:LMD852010 LVV852010:LVZ852010 MFR852010:MFV852010 MPN852010:MPR852010 MZJ852010:MZN852010 NJF852010:NJJ852010 NTB852010:NTF852010 OCX852010:ODB852010 OMT852010:OMX852010 OWP852010:OWT852010 PGL852010:PGP852010 PQH852010:PQL852010 QAD852010:QAH852010 QJZ852010:QKD852010 QTV852010:QTZ852010 RDR852010:RDV852010 RNN852010:RNR852010 RXJ852010:RXN852010 SHF852010:SHJ852010 SRB852010:SRF852010 TAX852010:TBB852010 TKT852010:TKX852010 TUP852010:TUT852010 UEL852010:UEP852010 UOH852010:UOL852010 UYD852010:UYH852010 VHZ852010:VID852010 VRV852010:VRZ852010 WBR852010:WBV852010 WLN852010:WLR852010 WVJ852010:WVN852010 B917546:F917546 IX917546:JB917546 ST917546:SX917546 ACP917546:ACT917546 AML917546:AMP917546 AWH917546:AWL917546 BGD917546:BGH917546 BPZ917546:BQD917546 BZV917546:BZZ917546 CJR917546:CJV917546 CTN917546:CTR917546 DDJ917546:DDN917546 DNF917546:DNJ917546 DXB917546:DXF917546 EGX917546:EHB917546 EQT917546:EQX917546 FAP917546:FAT917546 FKL917546:FKP917546 FUH917546:FUL917546 GED917546:GEH917546 GNZ917546:GOD917546 GXV917546:GXZ917546 HHR917546:HHV917546 HRN917546:HRR917546 IBJ917546:IBN917546 ILF917546:ILJ917546 IVB917546:IVF917546 JEX917546:JFB917546 JOT917546:JOX917546 JYP917546:JYT917546 KIL917546:KIP917546 KSH917546:KSL917546 LCD917546:LCH917546 LLZ917546:LMD917546 LVV917546:LVZ917546 MFR917546:MFV917546 MPN917546:MPR917546 MZJ917546:MZN917546 NJF917546:NJJ917546 NTB917546:NTF917546 OCX917546:ODB917546 OMT917546:OMX917546 OWP917546:OWT917546 PGL917546:PGP917546 PQH917546:PQL917546 QAD917546:QAH917546 QJZ917546:QKD917546 QTV917546:QTZ917546 RDR917546:RDV917546 RNN917546:RNR917546 RXJ917546:RXN917546 SHF917546:SHJ917546 SRB917546:SRF917546 TAX917546:TBB917546 TKT917546:TKX917546 TUP917546:TUT917546 UEL917546:UEP917546 UOH917546:UOL917546 UYD917546:UYH917546 VHZ917546:VID917546 VRV917546:VRZ917546 WBR917546:WBV917546 WLN917546:WLR917546 WVJ917546:WVN917546 B983082:F983082 IX983082:JB983082 ST983082:SX983082 ACP983082:ACT983082 AML983082:AMP983082 AWH983082:AWL983082 BGD983082:BGH983082 BPZ983082:BQD983082 BZV983082:BZZ983082 CJR983082:CJV983082 CTN983082:CTR983082 DDJ983082:DDN983082 DNF983082:DNJ983082 DXB983082:DXF983082 EGX983082:EHB983082 EQT983082:EQX983082 FAP983082:FAT983082 FKL983082:FKP983082 FUH983082:FUL983082 GED983082:GEH983082 GNZ983082:GOD983082 GXV983082:GXZ983082 HHR983082:HHV983082 HRN983082:HRR983082 IBJ983082:IBN983082 ILF983082:ILJ983082 IVB983082:IVF983082 JEX983082:JFB983082 JOT983082:JOX983082 JYP983082:JYT983082 KIL983082:KIP983082 KSH983082:KSL983082 LCD983082:LCH983082 LLZ983082:LMD983082 LVV983082:LVZ983082 MFR983082:MFV983082 MPN983082:MPR983082 MZJ983082:MZN983082 NJF983082:NJJ983082 NTB983082:NTF983082 OCX983082:ODB983082 OMT983082:OMX983082 OWP983082:OWT983082 PGL983082:PGP983082 PQH983082:PQL983082 QAD983082:QAH983082 QJZ983082:QKD983082 QTV983082:QTZ983082 RDR983082:RDV983082 RNN983082:RNR983082 RXJ983082:RXN983082 SHF983082:SHJ983082 SRB983082:SRF983082 TAX983082:TBB983082 TKT983082:TKX983082 TUP983082:TUT983082 UEL983082:UEP983082 UOH983082:UOL983082 UYD983082:UYH983082 VHZ983082:VID983082 VRV983082:VRZ983082 WBR983082:WBV983082 WLN983082:WLR983082 IX15:JB15 ST15:SX15 ACP15:ACT15 AML15:AMP15 AWH15:AWL15 BGD15:BGH15 BPZ15:BQD15 BZV15:BZZ15 CJR15:CJV15 CTN15:CTR15 DDJ15:DDN15 DNF15:DNJ15 DXB15:DXF15 EGX15:EHB15 EQT15:EQX15 FAP15:FAT15 FKL15:FKP15 FUH15:FUL15 GED15:GEH15 GNZ15:GOD15 GXV15:GXZ15 HHR15:HHV15 HRN15:HRR15 IBJ15:IBN15 ILF15:ILJ15 IVB15:IVF15 JEX15:JFB15 JOT15:JOX15 JYP15:JYT15 KIL15:KIP15 KSH15:KSL15 LCD15:LCH15 LLZ15:LMD15 LVV15:LVZ15 MFR15:MFV15 MPN15:MPR15 MZJ15:MZN15 NJF15:NJJ15 NTB15:NTF15 OCX15:ODB15 OMT15:OMX15 OWP15:OWT15 PGL15:PGP15 PQH15:PQL15 QAD15:QAH15 QJZ15:QKD15 QTV15:QTZ15 RDR15:RDV15 RNN15:RNR15 RXJ15:RXN15 SHF15:SHJ15 SRB15:SRF15 TAX15:TBB15 TKT15:TKX15 TUP15:TUT15 UEL15:UEP15 UOH15:UOL15 UYD15:UYH15 VHZ15:VID15 VRV15:VRZ15 WBR15:WBV15 WLN15:WLR15 WVJ15:WVN15">
      <formula1>"先进先出法,移动加权平均法,月末一次加权平均法,个别计价法,毛利率法,零售价法,计划成本法,其他"</formula1>
    </dataValidation>
    <dataValidation type="list" allowBlank="1" showInputMessage="1" showErrorMessage="1" sqref="WVJ983081:WVN983081 B65577:F65577 IX65577:JB65577 ST65577:SX65577 ACP65577:ACT65577 AML65577:AMP65577 AWH65577:AWL65577 BGD65577:BGH65577 BPZ65577:BQD65577 BZV65577:BZZ65577 CJR65577:CJV65577 CTN65577:CTR65577 DDJ65577:DDN65577 DNF65577:DNJ65577 DXB65577:DXF65577 EGX65577:EHB65577 EQT65577:EQX65577 FAP65577:FAT65577 FKL65577:FKP65577 FUH65577:FUL65577 GED65577:GEH65577 GNZ65577:GOD65577 GXV65577:GXZ65577 HHR65577:HHV65577 HRN65577:HRR65577 IBJ65577:IBN65577 ILF65577:ILJ65577 IVB65577:IVF65577 JEX65577:JFB65577 JOT65577:JOX65577 JYP65577:JYT65577 KIL65577:KIP65577 KSH65577:KSL65577 LCD65577:LCH65577 LLZ65577:LMD65577 LVV65577:LVZ65577 MFR65577:MFV65577 MPN65577:MPR65577 MZJ65577:MZN65577 NJF65577:NJJ65577 NTB65577:NTF65577 OCX65577:ODB65577 OMT65577:OMX65577 OWP65577:OWT65577 PGL65577:PGP65577 PQH65577:PQL65577 QAD65577:QAH65577 QJZ65577:QKD65577 QTV65577:QTZ65577 RDR65577:RDV65577 RNN65577:RNR65577 RXJ65577:RXN65577 SHF65577:SHJ65577 SRB65577:SRF65577 TAX65577:TBB65577 TKT65577:TKX65577 TUP65577:TUT65577 UEL65577:UEP65577 UOH65577:UOL65577 UYD65577:UYH65577 VHZ65577:VID65577 VRV65577:VRZ65577 WBR65577:WBV65577 WLN65577:WLR65577 WVJ65577:WVN65577 B131113:F131113 IX131113:JB131113 ST131113:SX131113 ACP131113:ACT131113 AML131113:AMP131113 AWH131113:AWL131113 BGD131113:BGH131113 BPZ131113:BQD131113 BZV131113:BZZ131113 CJR131113:CJV131113 CTN131113:CTR131113 DDJ131113:DDN131113 DNF131113:DNJ131113 DXB131113:DXF131113 EGX131113:EHB131113 EQT131113:EQX131113 FAP131113:FAT131113 FKL131113:FKP131113 FUH131113:FUL131113 GED131113:GEH131113 GNZ131113:GOD131113 GXV131113:GXZ131113 HHR131113:HHV131113 HRN131113:HRR131113 IBJ131113:IBN131113 ILF131113:ILJ131113 IVB131113:IVF131113 JEX131113:JFB131113 JOT131113:JOX131113 JYP131113:JYT131113 KIL131113:KIP131113 KSH131113:KSL131113 LCD131113:LCH131113 LLZ131113:LMD131113 LVV131113:LVZ131113 MFR131113:MFV131113 MPN131113:MPR131113 MZJ131113:MZN131113 NJF131113:NJJ131113 NTB131113:NTF131113 OCX131113:ODB131113 OMT131113:OMX131113 OWP131113:OWT131113 PGL131113:PGP131113 PQH131113:PQL131113 QAD131113:QAH131113 QJZ131113:QKD131113 QTV131113:QTZ131113 RDR131113:RDV131113 RNN131113:RNR131113 RXJ131113:RXN131113 SHF131113:SHJ131113 SRB131113:SRF131113 TAX131113:TBB131113 TKT131113:TKX131113 TUP131113:TUT131113 UEL131113:UEP131113 UOH131113:UOL131113 UYD131113:UYH131113 VHZ131113:VID131113 VRV131113:VRZ131113 WBR131113:WBV131113 WLN131113:WLR131113 WVJ131113:WVN131113 B196649:F196649 IX196649:JB196649 ST196649:SX196649 ACP196649:ACT196649 AML196649:AMP196649 AWH196649:AWL196649 BGD196649:BGH196649 BPZ196649:BQD196649 BZV196649:BZZ196649 CJR196649:CJV196649 CTN196649:CTR196649 DDJ196649:DDN196649 DNF196649:DNJ196649 DXB196649:DXF196649 EGX196649:EHB196649 EQT196649:EQX196649 FAP196649:FAT196649 FKL196649:FKP196649 FUH196649:FUL196649 GED196649:GEH196649 GNZ196649:GOD196649 GXV196649:GXZ196649 HHR196649:HHV196649 HRN196649:HRR196649 IBJ196649:IBN196649 ILF196649:ILJ196649 IVB196649:IVF196649 JEX196649:JFB196649 JOT196649:JOX196649 JYP196649:JYT196649 KIL196649:KIP196649 KSH196649:KSL196649 LCD196649:LCH196649 LLZ196649:LMD196649 LVV196649:LVZ196649 MFR196649:MFV196649 MPN196649:MPR196649 MZJ196649:MZN196649 NJF196649:NJJ196649 NTB196649:NTF196649 OCX196649:ODB196649 OMT196649:OMX196649 OWP196649:OWT196649 PGL196649:PGP196649 PQH196649:PQL196649 QAD196649:QAH196649 QJZ196649:QKD196649 QTV196649:QTZ196649 RDR196649:RDV196649 RNN196649:RNR196649 RXJ196649:RXN196649 SHF196649:SHJ196649 SRB196649:SRF196649 TAX196649:TBB196649 TKT196649:TKX196649 TUP196649:TUT196649 UEL196649:UEP196649 UOH196649:UOL196649 UYD196649:UYH196649 VHZ196649:VID196649 VRV196649:VRZ196649 WBR196649:WBV196649 WLN196649:WLR196649 WVJ196649:WVN196649 B262185:F262185 IX262185:JB262185 ST262185:SX262185 ACP262185:ACT262185 AML262185:AMP262185 AWH262185:AWL262185 BGD262185:BGH262185 BPZ262185:BQD262185 BZV262185:BZZ262185 CJR262185:CJV262185 CTN262185:CTR262185 DDJ262185:DDN262185 DNF262185:DNJ262185 DXB262185:DXF262185 EGX262185:EHB262185 EQT262185:EQX262185 FAP262185:FAT262185 FKL262185:FKP262185 FUH262185:FUL262185 GED262185:GEH262185 GNZ262185:GOD262185 GXV262185:GXZ262185 HHR262185:HHV262185 HRN262185:HRR262185 IBJ262185:IBN262185 ILF262185:ILJ262185 IVB262185:IVF262185 JEX262185:JFB262185 JOT262185:JOX262185 JYP262185:JYT262185 KIL262185:KIP262185 KSH262185:KSL262185 LCD262185:LCH262185 LLZ262185:LMD262185 LVV262185:LVZ262185 MFR262185:MFV262185 MPN262185:MPR262185 MZJ262185:MZN262185 NJF262185:NJJ262185 NTB262185:NTF262185 OCX262185:ODB262185 OMT262185:OMX262185 OWP262185:OWT262185 PGL262185:PGP262185 PQH262185:PQL262185 QAD262185:QAH262185 QJZ262185:QKD262185 QTV262185:QTZ262185 RDR262185:RDV262185 RNN262185:RNR262185 RXJ262185:RXN262185 SHF262185:SHJ262185 SRB262185:SRF262185 TAX262185:TBB262185 TKT262185:TKX262185 TUP262185:TUT262185 UEL262185:UEP262185 UOH262185:UOL262185 UYD262185:UYH262185 VHZ262185:VID262185 VRV262185:VRZ262185 WBR262185:WBV262185 WLN262185:WLR262185 WVJ262185:WVN262185 B327721:F327721 IX327721:JB327721 ST327721:SX327721 ACP327721:ACT327721 AML327721:AMP327721 AWH327721:AWL327721 BGD327721:BGH327721 BPZ327721:BQD327721 BZV327721:BZZ327721 CJR327721:CJV327721 CTN327721:CTR327721 DDJ327721:DDN327721 DNF327721:DNJ327721 DXB327721:DXF327721 EGX327721:EHB327721 EQT327721:EQX327721 FAP327721:FAT327721 FKL327721:FKP327721 FUH327721:FUL327721 GED327721:GEH327721 GNZ327721:GOD327721 GXV327721:GXZ327721 HHR327721:HHV327721 HRN327721:HRR327721 IBJ327721:IBN327721 ILF327721:ILJ327721 IVB327721:IVF327721 JEX327721:JFB327721 JOT327721:JOX327721 JYP327721:JYT327721 KIL327721:KIP327721 KSH327721:KSL327721 LCD327721:LCH327721 LLZ327721:LMD327721 LVV327721:LVZ327721 MFR327721:MFV327721 MPN327721:MPR327721 MZJ327721:MZN327721 NJF327721:NJJ327721 NTB327721:NTF327721 OCX327721:ODB327721 OMT327721:OMX327721 OWP327721:OWT327721 PGL327721:PGP327721 PQH327721:PQL327721 QAD327721:QAH327721 QJZ327721:QKD327721 QTV327721:QTZ327721 RDR327721:RDV327721 RNN327721:RNR327721 RXJ327721:RXN327721 SHF327721:SHJ327721 SRB327721:SRF327721 TAX327721:TBB327721 TKT327721:TKX327721 TUP327721:TUT327721 UEL327721:UEP327721 UOH327721:UOL327721 UYD327721:UYH327721 VHZ327721:VID327721 VRV327721:VRZ327721 WBR327721:WBV327721 WLN327721:WLR327721 WVJ327721:WVN327721 B393257:F393257 IX393257:JB393257 ST393257:SX393257 ACP393257:ACT393257 AML393257:AMP393257 AWH393257:AWL393257 BGD393257:BGH393257 BPZ393257:BQD393257 BZV393257:BZZ393257 CJR393257:CJV393257 CTN393257:CTR393257 DDJ393257:DDN393257 DNF393257:DNJ393257 DXB393257:DXF393257 EGX393257:EHB393257 EQT393257:EQX393257 FAP393257:FAT393257 FKL393257:FKP393257 FUH393257:FUL393257 GED393257:GEH393257 GNZ393257:GOD393257 GXV393257:GXZ393257 HHR393257:HHV393257 HRN393257:HRR393257 IBJ393257:IBN393257 ILF393257:ILJ393257 IVB393257:IVF393257 JEX393257:JFB393257 JOT393257:JOX393257 JYP393257:JYT393257 KIL393257:KIP393257 KSH393257:KSL393257 LCD393257:LCH393257 LLZ393257:LMD393257 LVV393257:LVZ393257 MFR393257:MFV393257 MPN393257:MPR393257 MZJ393257:MZN393257 NJF393257:NJJ393257 NTB393257:NTF393257 OCX393257:ODB393257 OMT393257:OMX393257 OWP393257:OWT393257 PGL393257:PGP393257 PQH393257:PQL393257 QAD393257:QAH393257 QJZ393257:QKD393257 QTV393257:QTZ393257 RDR393257:RDV393257 RNN393257:RNR393257 RXJ393257:RXN393257 SHF393257:SHJ393257 SRB393257:SRF393257 TAX393257:TBB393257 TKT393257:TKX393257 TUP393257:TUT393257 UEL393257:UEP393257 UOH393257:UOL393257 UYD393257:UYH393257 VHZ393257:VID393257 VRV393257:VRZ393257 WBR393257:WBV393257 WLN393257:WLR393257 WVJ393257:WVN393257 B458793:F458793 IX458793:JB458793 ST458793:SX458793 ACP458793:ACT458793 AML458793:AMP458793 AWH458793:AWL458793 BGD458793:BGH458793 BPZ458793:BQD458793 BZV458793:BZZ458793 CJR458793:CJV458793 CTN458793:CTR458793 DDJ458793:DDN458793 DNF458793:DNJ458793 DXB458793:DXF458793 EGX458793:EHB458793 EQT458793:EQX458793 FAP458793:FAT458793 FKL458793:FKP458793 FUH458793:FUL458793 GED458793:GEH458793 GNZ458793:GOD458793 GXV458793:GXZ458793 HHR458793:HHV458793 HRN458793:HRR458793 IBJ458793:IBN458793 ILF458793:ILJ458793 IVB458793:IVF458793 JEX458793:JFB458793 JOT458793:JOX458793 JYP458793:JYT458793 KIL458793:KIP458793 KSH458793:KSL458793 LCD458793:LCH458793 LLZ458793:LMD458793 LVV458793:LVZ458793 MFR458793:MFV458793 MPN458793:MPR458793 MZJ458793:MZN458793 NJF458793:NJJ458793 NTB458793:NTF458793 OCX458793:ODB458793 OMT458793:OMX458793 OWP458793:OWT458793 PGL458793:PGP458793 PQH458793:PQL458793 QAD458793:QAH458793 QJZ458793:QKD458793 QTV458793:QTZ458793 RDR458793:RDV458793 RNN458793:RNR458793 RXJ458793:RXN458793 SHF458793:SHJ458793 SRB458793:SRF458793 TAX458793:TBB458793 TKT458793:TKX458793 TUP458793:TUT458793 UEL458793:UEP458793 UOH458793:UOL458793 UYD458793:UYH458793 VHZ458793:VID458793 VRV458793:VRZ458793 WBR458793:WBV458793 WLN458793:WLR458793 WVJ458793:WVN458793 B524329:F524329 IX524329:JB524329 ST524329:SX524329 ACP524329:ACT524329 AML524329:AMP524329 AWH524329:AWL524329 BGD524329:BGH524329 BPZ524329:BQD524329 BZV524329:BZZ524329 CJR524329:CJV524329 CTN524329:CTR524329 DDJ524329:DDN524329 DNF524329:DNJ524329 DXB524329:DXF524329 EGX524329:EHB524329 EQT524329:EQX524329 FAP524329:FAT524329 FKL524329:FKP524329 FUH524329:FUL524329 GED524329:GEH524329 GNZ524329:GOD524329 GXV524329:GXZ524329 HHR524329:HHV524329 HRN524329:HRR524329 IBJ524329:IBN524329 ILF524329:ILJ524329 IVB524329:IVF524329 JEX524329:JFB524329 JOT524329:JOX524329 JYP524329:JYT524329 KIL524329:KIP524329 KSH524329:KSL524329 LCD524329:LCH524329 LLZ524329:LMD524329 LVV524329:LVZ524329 MFR524329:MFV524329 MPN524329:MPR524329 MZJ524329:MZN524329 NJF524329:NJJ524329 NTB524329:NTF524329 OCX524329:ODB524329 OMT524329:OMX524329 OWP524329:OWT524329 PGL524329:PGP524329 PQH524329:PQL524329 QAD524329:QAH524329 QJZ524329:QKD524329 QTV524329:QTZ524329 RDR524329:RDV524329 RNN524329:RNR524329 RXJ524329:RXN524329 SHF524329:SHJ524329 SRB524329:SRF524329 TAX524329:TBB524329 TKT524329:TKX524329 TUP524329:TUT524329 UEL524329:UEP524329 UOH524329:UOL524329 UYD524329:UYH524329 VHZ524329:VID524329 VRV524329:VRZ524329 WBR524329:WBV524329 WLN524329:WLR524329 WVJ524329:WVN524329 B589865:F589865 IX589865:JB589865 ST589865:SX589865 ACP589865:ACT589865 AML589865:AMP589865 AWH589865:AWL589865 BGD589865:BGH589865 BPZ589865:BQD589865 BZV589865:BZZ589865 CJR589865:CJV589865 CTN589865:CTR589865 DDJ589865:DDN589865 DNF589865:DNJ589865 DXB589865:DXF589865 EGX589865:EHB589865 EQT589865:EQX589865 FAP589865:FAT589865 FKL589865:FKP589865 FUH589865:FUL589865 GED589865:GEH589865 GNZ589865:GOD589865 GXV589865:GXZ589865 HHR589865:HHV589865 HRN589865:HRR589865 IBJ589865:IBN589865 ILF589865:ILJ589865 IVB589865:IVF589865 JEX589865:JFB589865 JOT589865:JOX589865 JYP589865:JYT589865 KIL589865:KIP589865 KSH589865:KSL589865 LCD589865:LCH589865 LLZ589865:LMD589865 LVV589865:LVZ589865 MFR589865:MFV589865 MPN589865:MPR589865 MZJ589865:MZN589865 NJF589865:NJJ589865 NTB589865:NTF589865 OCX589865:ODB589865 OMT589865:OMX589865 OWP589865:OWT589865 PGL589865:PGP589865 PQH589865:PQL589865 QAD589865:QAH589865 QJZ589865:QKD589865 QTV589865:QTZ589865 RDR589865:RDV589865 RNN589865:RNR589865 RXJ589865:RXN589865 SHF589865:SHJ589865 SRB589865:SRF589865 TAX589865:TBB589865 TKT589865:TKX589865 TUP589865:TUT589865 UEL589865:UEP589865 UOH589865:UOL589865 UYD589865:UYH589865 VHZ589865:VID589865 VRV589865:VRZ589865 WBR589865:WBV589865 WLN589865:WLR589865 WVJ589865:WVN589865 B655401:F655401 IX655401:JB655401 ST655401:SX655401 ACP655401:ACT655401 AML655401:AMP655401 AWH655401:AWL655401 BGD655401:BGH655401 BPZ655401:BQD655401 BZV655401:BZZ655401 CJR655401:CJV655401 CTN655401:CTR655401 DDJ655401:DDN655401 DNF655401:DNJ655401 DXB655401:DXF655401 EGX655401:EHB655401 EQT655401:EQX655401 FAP655401:FAT655401 FKL655401:FKP655401 FUH655401:FUL655401 GED655401:GEH655401 GNZ655401:GOD655401 GXV655401:GXZ655401 HHR655401:HHV655401 HRN655401:HRR655401 IBJ655401:IBN655401 ILF655401:ILJ655401 IVB655401:IVF655401 JEX655401:JFB655401 JOT655401:JOX655401 JYP655401:JYT655401 KIL655401:KIP655401 KSH655401:KSL655401 LCD655401:LCH655401 LLZ655401:LMD655401 LVV655401:LVZ655401 MFR655401:MFV655401 MPN655401:MPR655401 MZJ655401:MZN655401 NJF655401:NJJ655401 NTB655401:NTF655401 OCX655401:ODB655401 OMT655401:OMX655401 OWP655401:OWT655401 PGL655401:PGP655401 PQH655401:PQL655401 QAD655401:QAH655401 QJZ655401:QKD655401 QTV655401:QTZ655401 RDR655401:RDV655401 RNN655401:RNR655401 RXJ655401:RXN655401 SHF655401:SHJ655401 SRB655401:SRF655401 TAX655401:TBB655401 TKT655401:TKX655401 TUP655401:TUT655401 UEL655401:UEP655401 UOH655401:UOL655401 UYD655401:UYH655401 VHZ655401:VID655401 VRV655401:VRZ655401 WBR655401:WBV655401 WLN655401:WLR655401 WVJ655401:WVN655401 B720937:F720937 IX720937:JB720937 ST720937:SX720937 ACP720937:ACT720937 AML720937:AMP720937 AWH720937:AWL720937 BGD720937:BGH720937 BPZ720937:BQD720937 BZV720937:BZZ720937 CJR720937:CJV720937 CTN720937:CTR720937 DDJ720937:DDN720937 DNF720937:DNJ720937 DXB720937:DXF720937 EGX720937:EHB720937 EQT720937:EQX720937 FAP720937:FAT720937 FKL720937:FKP720937 FUH720937:FUL720937 GED720937:GEH720937 GNZ720937:GOD720937 GXV720937:GXZ720937 HHR720937:HHV720937 HRN720937:HRR720937 IBJ720937:IBN720937 ILF720937:ILJ720937 IVB720937:IVF720937 JEX720937:JFB720937 JOT720937:JOX720937 JYP720937:JYT720937 KIL720937:KIP720937 KSH720937:KSL720937 LCD720937:LCH720937 LLZ720937:LMD720937 LVV720937:LVZ720937 MFR720937:MFV720937 MPN720937:MPR720937 MZJ720937:MZN720937 NJF720937:NJJ720937 NTB720937:NTF720937 OCX720937:ODB720937 OMT720937:OMX720937 OWP720937:OWT720937 PGL720937:PGP720937 PQH720937:PQL720937 QAD720937:QAH720937 QJZ720937:QKD720937 QTV720937:QTZ720937 RDR720937:RDV720937 RNN720937:RNR720937 RXJ720937:RXN720937 SHF720937:SHJ720937 SRB720937:SRF720937 TAX720937:TBB720937 TKT720937:TKX720937 TUP720937:TUT720937 UEL720937:UEP720937 UOH720937:UOL720937 UYD720937:UYH720937 VHZ720937:VID720937 VRV720937:VRZ720937 WBR720937:WBV720937 WLN720937:WLR720937 WVJ720937:WVN720937 B786473:F786473 IX786473:JB786473 ST786473:SX786473 ACP786473:ACT786473 AML786473:AMP786473 AWH786473:AWL786473 BGD786473:BGH786473 BPZ786473:BQD786473 BZV786473:BZZ786473 CJR786473:CJV786473 CTN786473:CTR786473 DDJ786473:DDN786473 DNF786473:DNJ786473 DXB786473:DXF786473 EGX786473:EHB786473 EQT786473:EQX786473 FAP786473:FAT786473 FKL786473:FKP786473 FUH786473:FUL786473 GED786473:GEH786473 GNZ786473:GOD786473 GXV786473:GXZ786473 HHR786473:HHV786473 HRN786473:HRR786473 IBJ786473:IBN786473 ILF786473:ILJ786473 IVB786473:IVF786473 JEX786473:JFB786473 JOT786473:JOX786473 JYP786473:JYT786473 KIL786473:KIP786473 KSH786473:KSL786473 LCD786473:LCH786473 LLZ786473:LMD786473 LVV786473:LVZ786473 MFR786473:MFV786473 MPN786473:MPR786473 MZJ786473:MZN786473 NJF786473:NJJ786473 NTB786473:NTF786473 OCX786473:ODB786473 OMT786473:OMX786473 OWP786473:OWT786473 PGL786473:PGP786473 PQH786473:PQL786473 QAD786473:QAH786473 QJZ786473:QKD786473 QTV786473:QTZ786473 RDR786473:RDV786473 RNN786473:RNR786473 RXJ786473:RXN786473 SHF786473:SHJ786473 SRB786473:SRF786473 TAX786473:TBB786473 TKT786473:TKX786473 TUP786473:TUT786473 UEL786473:UEP786473 UOH786473:UOL786473 UYD786473:UYH786473 VHZ786473:VID786473 VRV786473:VRZ786473 WBR786473:WBV786473 WLN786473:WLR786473 WVJ786473:WVN786473 B852009:F852009 IX852009:JB852009 ST852009:SX852009 ACP852009:ACT852009 AML852009:AMP852009 AWH852009:AWL852009 BGD852009:BGH852009 BPZ852009:BQD852009 BZV852009:BZZ852009 CJR852009:CJV852009 CTN852009:CTR852009 DDJ852009:DDN852009 DNF852009:DNJ852009 DXB852009:DXF852009 EGX852009:EHB852009 EQT852009:EQX852009 FAP852009:FAT852009 FKL852009:FKP852009 FUH852009:FUL852009 GED852009:GEH852009 GNZ852009:GOD852009 GXV852009:GXZ852009 HHR852009:HHV852009 HRN852009:HRR852009 IBJ852009:IBN852009 ILF852009:ILJ852009 IVB852009:IVF852009 JEX852009:JFB852009 JOT852009:JOX852009 JYP852009:JYT852009 KIL852009:KIP852009 KSH852009:KSL852009 LCD852009:LCH852009 LLZ852009:LMD852009 LVV852009:LVZ852009 MFR852009:MFV852009 MPN852009:MPR852009 MZJ852009:MZN852009 NJF852009:NJJ852009 NTB852009:NTF852009 OCX852009:ODB852009 OMT852009:OMX852009 OWP852009:OWT852009 PGL852009:PGP852009 PQH852009:PQL852009 QAD852009:QAH852009 QJZ852009:QKD852009 QTV852009:QTZ852009 RDR852009:RDV852009 RNN852009:RNR852009 RXJ852009:RXN852009 SHF852009:SHJ852009 SRB852009:SRF852009 TAX852009:TBB852009 TKT852009:TKX852009 TUP852009:TUT852009 UEL852009:UEP852009 UOH852009:UOL852009 UYD852009:UYH852009 VHZ852009:VID852009 VRV852009:VRZ852009 WBR852009:WBV852009 WLN852009:WLR852009 WVJ852009:WVN852009 B917545:F917545 IX917545:JB917545 ST917545:SX917545 ACP917545:ACT917545 AML917545:AMP917545 AWH917545:AWL917545 BGD917545:BGH917545 BPZ917545:BQD917545 BZV917545:BZZ917545 CJR917545:CJV917545 CTN917545:CTR917545 DDJ917545:DDN917545 DNF917545:DNJ917545 DXB917545:DXF917545 EGX917545:EHB917545 EQT917545:EQX917545 FAP917545:FAT917545 FKL917545:FKP917545 FUH917545:FUL917545 GED917545:GEH917545 GNZ917545:GOD917545 GXV917545:GXZ917545 HHR917545:HHV917545 HRN917545:HRR917545 IBJ917545:IBN917545 ILF917545:ILJ917545 IVB917545:IVF917545 JEX917545:JFB917545 JOT917545:JOX917545 JYP917545:JYT917545 KIL917545:KIP917545 KSH917545:KSL917545 LCD917545:LCH917545 LLZ917545:LMD917545 LVV917545:LVZ917545 MFR917545:MFV917545 MPN917545:MPR917545 MZJ917545:MZN917545 NJF917545:NJJ917545 NTB917545:NTF917545 OCX917545:ODB917545 OMT917545:OMX917545 OWP917545:OWT917545 PGL917545:PGP917545 PQH917545:PQL917545 QAD917545:QAH917545 QJZ917545:QKD917545 QTV917545:QTZ917545 RDR917545:RDV917545 RNN917545:RNR917545 RXJ917545:RXN917545 SHF917545:SHJ917545 SRB917545:SRF917545 TAX917545:TBB917545 TKT917545:TKX917545 TUP917545:TUT917545 UEL917545:UEP917545 UOH917545:UOL917545 UYD917545:UYH917545 VHZ917545:VID917545 VRV917545:VRZ917545 WBR917545:WBV917545 WLN917545:WLR917545 WVJ917545:WVN917545 B983081:F983081 IX983081:JB983081 ST983081:SX983081 ACP983081:ACT983081 AML983081:AMP983081 AWH983081:AWL983081 BGD983081:BGH983081 BPZ983081:BQD983081 BZV983081:BZZ983081 CJR983081:CJV983081 CTN983081:CTR983081 DDJ983081:DDN983081 DNF983081:DNJ983081 DXB983081:DXF983081 EGX983081:EHB983081 EQT983081:EQX983081 FAP983081:FAT983081 FKL983081:FKP983081 FUH983081:FUL983081 GED983081:GEH983081 GNZ983081:GOD983081 GXV983081:GXZ983081 HHR983081:HHV983081 HRN983081:HRR983081 IBJ983081:IBN983081 ILF983081:ILJ983081 IVB983081:IVF983081 JEX983081:JFB983081 JOT983081:JOX983081 JYP983081:JYT983081 KIL983081:KIP983081 KSH983081:KSL983081 LCD983081:LCH983081 LLZ983081:LMD983081 LVV983081:LVZ983081 MFR983081:MFV983081 MPN983081:MPR983081 MZJ983081:MZN983081 NJF983081:NJJ983081 NTB983081:NTF983081 OCX983081:ODB983081 OMT983081:OMX983081 OWP983081:OWT983081 PGL983081:PGP983081 PQH983081:PQL983081 QAD983081:QAH983081 QJZ983081:QKD983081 QTV983081:QTZ983081 RDR983081:RDV983081 RNN983081:RNR983081 RXJ983081:RXN983081 SHF983081:SHJ983081 SRB983081:SRF983081 TAX983081:TBB983081 TKT983081:TKX983081 TUP983081:TUT983081 UEL983081:UEP983081 UOH983081:UOL983081 UYD983081:UYH983081 VHZ983081:VID983081 VRV983081:VRZ983081 WBR983081:WBV983081 WLN983081:WLR983081 IX14:JB14 ST14:SX14 ACP14:ACT14 AML14:AMP14 AWH14:AWL14 BGD14:BGH14 BPZ14:BQD14 BZV14:BZZ14 CJR14:CJV14 CTN14:CTR14 DDJ14:DDN14 DNF14:DNJ14 DXB14:DXF14 EGX14:EHB14 EQT14:EQX14 FAP14:FAT14 FKL14:FKP14 FUH14:FUL14 GED14:GEH14 GNZ14:GOD14 GXV14:GXZ14 HHR14:HHV14 HRN14:HRR14 IBJ14:IBN14 ILF14:ILJ14 IVB14:IVF14 JEX14:JFB14 JOT14:JOX14 JYP14:JYT14 KIL14:KIP14 KSH14:KSL14 LCD14:LCH14 LLZ14:LMD14 LVV14:LVZ14 MFR14:MFV14 MPN14:MPR14 MZJ14:MZN14 NJF14:NJJ14 NTB14:NTF14 OCX14:ODB14 OMT14:OMX14 OWP14:OWT14 PGL14:PGP14 PQH14:PQL14 QAD14:QAH14 QJZ14:QKD14 QTV14:QTZ14 RDR14:RDV14 RNN14:RNR14 RXJ14:RXN14 SHF14:SHJ14 SRB14:SRF14 TAX14:TBB14 TKT14:TKX14 TUP14:TUT14 UEL14:UEP14 UOH14:UOL14 UYD14:UYH14 VHZ14:VID14 VRV14:VRZ14 WBR14:WBV14 WLN14:WLR14 WVJ14:WVN14">
      <formula1>"平均年限法,工作量法,双倍余额递减法,年数总和法,其它"</formula1>
    </dataValidation>
    <dataValidation type="list" allowBlank="1" showInputMessage="1" showErrorMessage="1" sqref="B65574:F65574 IX65574:JB65574 ST65574:SX65574 ACP65574:ACT65574 AML65574:AMP65574 AWH65574:AWL65574 BGD65574:BGH65574 BPZ65574:BQD65574 BZV65574:BZZ65574 CJR65574:CJV65574 CTN65574:CTR65574 DDJ65574:DDN65574 DNF65574:DNJ65574 DXB65574:DXF65574 EGX65574:EHB65574 EQT65574:EQX65574 FAP65574:FAT65574 FKL65574:FKP65574 FUH65574:FUL65574 GED65574:GEH65574 GNZ65574:GOD65574 GXV65574:GXZ65574 HHR65574:HHV65574 HRN65574:HRR65574 IBJ65574:IBN65574 ILF65574:ILJ65574 IVB65574:IVF65574 JEX65574:JFB65574 JOT65574:JOX65574 JYP65574:JYT65574 KIL65574:KIP65574 KSH65574:KSL65574 LCD65574:LCH65574 LLZ65574:LMD65574 LVV65574:LVZ65574 MFR65574:MFV65574 MPN65574:MPR65574 MZJ65574:MZN65574 NJF65574:NJJ65574 NTB65574:NTF65574 OCX65574:ODB65574 OMT65574:OMX65574 OWP65574:OWT65574 PGL65574:PGP65574 PQH65574:PQL65574 QAD65574:QAH65574 QJZ65574:QKD65574 QTV65574:QTZ65574 RDR65574:RDV65574 RNN65574:RNR65574 RXJ65574:RXN65574 SHF65574:SHJ65574 SRB65574:SRF65574 TAX65574:TBB65574 TKT65574:TKX65574 TUP65574:TUT65574 UEL65574:UEP65574 UOH65574:UOL65574 UYD65574:UYH65574 VHZ65574:VID65574 VRV65574:VRZ65574 WBR65574:WBV65574 WLN65574:WLR65574 WVJ65574:WVN65574 B131110:F131110 IX131110:JB131110 ST131110:SX131110 ACP131110:ACT131110 AML131110:AMP131110 AWH131110:AWL131110 BGD131110:BGH131110 BPZ131110:BQD131110 BZV131110:BZZ131110 CJR131110:CJV131110 CTN131110:CTR131110 DDJ131110:DDN131110 DNF131110:DNJ131110 DXB131110:DXF131110 EGX131110:EHB131110 EQT131110:EQX131110 FAP131110:FAT131110 FKL131110:FKP131110 FUH131110:FUL131110 GED131110:GEH131110 GNZ131110:GOD131110 GXV131110:GXZ131110 HHR131110:HHV131110 HRN131110:HRR131110 IBJ131110:IBN131110 ILF131110:ILJ131110 IVB131110:IVF131110 JEX131110:JFB131110 JOT131110:JOX131110 JYP131110:JYT131110 KIL131110:KIP131110 KSH131110:KSL131110 LCD131110:LCH131110 LLZ131110:LMD131110 LVV131110:LVZ131110 MFR131110:MFV131110 MPN131110:MPR131110 MZJ131110:MZN131110 NJF131110:NJJ131110 NTB131110:NTF131110 OCX131110:ODB131110 OMT131110:OMX131110 OWP131110:OWT131110 PGL131110:PGP131110 PQH131110:PQL131110 QAD131110:QAH131110 QJZ131110:QKD131110 QTV131110:QTZ131110 RDR131110:RDV131110 RNN131110:RNR131110 RXJ131110:RXN131110 SHF131110:SHJ131110 SRB131110:SRF131110 TAX131110:TBB131110 TKT131110:TKX131110 TUP131110:TUT131110 UEL131110:UEP131110 UOH131110:UOL131110 UYD131110:UYH131110 VHZ131110:VID131110 VRV131110:VRZ131110 WBR131110:WBV131110 WLN131110:WLR131110 WVJ131110:WVN131110 B196646:F196646 IX196646:JB196646 ST196646:SX196646 ACP196646:ACT196646 AML196646:AMP196646 AWH196646:AWL196646 BGD196646:BGH196646 BPZ196646:BQD196646 BZV196646:BZZ196646 CJR196646:CJV196646 CTN196646:CTR196646 DDJ196646:DDN196646 DNF196646:DNJ196646 DXB196646:DXF196646 EGX196646:EHB196646 EQT196646:EQX196646 FAP196646:FAT196646 FKL196646:FKP196646 FUH196646:FUL196646 GED196646:GEH196646 GNZ196646:GOD196646 GXV196646:GXZ196646 HHR196646:HHV196646 HRN196646:HRR196646 IBJ196646:IBN196646 ILF196646:ILJ196646 IVB196646:IVF196646 JEX196646:JFB196646 JOT196646:JOX196646 JYP196646:JYT196646 KIL196646:KIP196646 KSH196646:KSL196646 LCD196646:LCH196646 LLZ196646:LMD196646 LVV196646:LVZ196646 MFR196646:MFV196646 MPN196646:MPR196646 MZJ196646:MZN196646 NJF196646:NJJ196646 NTB196646:NTF196646 OCX196646:ODB196646 OMT196646:OMX196646 OWP196646:OWT196646 PGL196646:PGP196646 PQH196646:PQL196646 QAD196646:QAH196646 QJZ196646:QKD196646 QTV196646:QTZ196646 RDR196646:RDV196646 RNN196646:RNR196646 RXJ196646:RXN196646 SHF196646:SHJ196646 SRB196646:SRF196646 TAX196646:TBB196646 TKT196646:TKX196646 TUP196646:TUT196646 UEL196646:UEP196646 UOH196646:UOL196646 UYD196646:UYH196646 VHZ196646:VID196646 VRV196646:VRZ196646 WBR196646:WBV196646 WLN196646:WLR196646 WVJ196646:WVN196646 B262182:F262182 IX262182:JB262182 ST262182:SX262182 ACP262182:ACT262182 AML262182:AMP262182 AWH262182:AWL262182 BGD262182:BGH262182 BPZ262182:BQD262182 BZV262182:BZZ262182 CJR262182:CJV262182 CTN262182:CTR262182 DDJ262182:DDN262182 DNF262182:DNJ262182 DXB262182:DXF262182 EGX262182:EHB262182 EQT262182:EQX262182 FAP262182:FAT262182 FKL262182:FKP262182 FUH262182:FUL262182 GED262182:GEH262182 GNZ262182:GOD262182 GXV262182:GXZ262182 HHR262182:HHV262182 HRN262182:HRR262182 IBJ262182:IBN262182 ILF262182:ILJ262182 IVB262182:IVF262182 JEX262182:JFB262182 JOT262182:JOX262182 JYP262182:JYT262182 KIL262182:KIP262182 KSH262182:KSL262182 LCD262182:LCH262182 LLZ262182:LMD262182 LVV262182:LVZ262182 MFR262182:MFV262182 MPN262182:MPR262182 MZJ262182:MZN262182 NJF262182:NJJ262182 NTB262182:NTF262182 OCX262182:ODB262182 OMT262182:OMX262182 OWP262182:OWT262182 PGL262182:PGP262182 PQH262182:PQL262182 QAD262182:QAH262182 QJZ262182:QKD262182 QTV262182:QTZ262182 RDR262182:RDV262182 RNN262182:RNR262182 RXJ262182:RXN262182 SHF262182:SHJ262182 SRB262182:SRF262182 TAX262182:TBB262182 TKT262182:TKX262182 TUP262182:TUT262182 UEL262182:UEP262182 UOH262182:UOL262182 UYD262182:UYH262182 VHZ262182:VID262182 VRV262182:VRZ262182 WBR262182:WBV262182 WLN262182:WLR262182 WVJ262182:WVN262182 B327718:F327718 IX327718:JB327718 ST327718:SX327718 ACP327718:ACT327718 AML327718:AMP327718 AWH327718:AWL327718 BGD327718:BGH327718 BPZ327718:BQD327718 BZV327718:BZZ327718 CJR327718:CJV327718 CTN327718:CTR327718 DDJ327718:DDN327718 DNF327718:DNJ327718 DXB327718:DXF327718 EGX327718:EHB327718 EQT327718:EQX327718 FAP327718:FAT327718 FKL327718:FKP327718 FUH327718:FUL327718 GED327718:GEH327718 GNZ327718:GOD327718 GXV327718:GXZ327718 HHR327718:HHV327718 HRN327718:HRR327718 IBJ327718:IBN327718 ILF327718:ILJ327718 IVB327718:IVF327718 JEX327718:JFB327718 JOT327718:JOX327718 JYP327718:JYT327718 KIL327718:KIP327718 KSH327718:KSL327718 LCD327718:LCH327718 LLZ327718:LMD327718 LVV327718:LVZ327718 MFR327718:MFV327718 MPN327718:MPR327718 MZJ327718:MZN327718 NJF327718:NJJ327718 NTB327718:NTF327718 OCX327718:ODB327718 OMT327718:OMX327718 OWP327718:OWT327718 PGL327718:PGP327718 PQH327718:PQL327718 QAD327718:QAH327718 QJZ327718:QKD327718 QTV327718:QTZ327718 RDR327718:RDV327718 RNN327718:RNR327718 RXJ327718:RXN327718 SHF327718:SHJ327718 SRB327718:SRF327718 TAX327718:TBB327718 TKT327718:TKX327718 TUP327718:TUT327718 UEL327718:UEP327718 UOH327718:UOL327718 UYD327718:UYH327718 VHZ327718:VID327718 VRV327718:VRZ327718 WBR327718:WBV327718 WLN327718:WLR327718 WVJ327718:WVN327718 B393254:F393254 IX393254:JB393254 ST393254:SX393254 ACP393254:ACT393254 AML393254:AMP393254 AWH393254:AWL393254 BGD393254:BGH393254 BPZ393254:BQD393254 BZV393254:BZZ393254 CJR393254:CJV393254 CTN393254:CTR393254 DDJ393254:DDN393254 DNF393254:DNJ393254 DXB393254:DXF393254 EGX393254:EHB393254 EQT393254:EQX393254 FAP393254:FAT393254 FKL393254:FKP393254 FUH393254:FUL393254 GED393254:GEH393254 GNZ393254:GOD393254 GXV393254:GXZ393254 HHR393254:HHV393254 HRN393254:HRR393254 IBJ393254:IBN393254 ILF393254:ILJ393254 IVB393254:IVF393254 JEX393254:JFB393254 JOT393254:JOX393254 JYP393254:JYT393254 KIL393254:KIP393254 KSH393254:KSL393254 LCD393254:LCH393254 LLZ393254:LMD393254 LVV393254:LVZ393254 MFR393254:MFV393254 MPN393254:MPR393254 MZJ393254:MZN393254 NJF393254:NJJ393254 NTB393254:NTF393254 OCX393254:ODB393254 OMT393254:OMX393254 OWP393254:OWT393254 PGL393254:PGP393254 PQH393254:PQL393254 QAD393254:QAH393254 QJZ393254:QKD393254 QTV393254:QTZ393254 RDR393254:RDV393254 RNN393254:RNR393254 RXJ393254:RXN393254 SHF393254:SHJ393254 SRB393254:SRF393254 TAX393254:TBB393254 TKT393254:TKX393254 TUP393254:TUT393254 UEL393254:UEP393254 UOH393254:UOL393254 UYD393254:UYH393254 VHZ393254:VID393254 VRV393254:VRZ393254 WBR393254:WBV393254 WLN393254:WLR393254 WVJ393254:WVN393254 B458790:F458790 IX458790:JB458790 ST458790:SX458790 ACP458790:ACT458790 AML458790:AMP458790 AWH458790:AWL458790 BGD458790:BGH458790 BPZ458790:BQD458790 BZV458790:BZZ458790 CJR458790:CJV458790 CTN458790:CTR458790 DDJ458790:DDN458790 DNF458790:DNJ458790 DXB458790:DXF458790 EGX458790:EHB458790 EQT458790:EQX458790 FAP458790:FAT458790 FKL458790:FKP458790 FUH458790:FUL458790 GED458790:GEH458790 GNZ458790:GOD458790 GXV458790:GXZ458790 HHR458790:HHV458790 HRN458790:HRR458790 IBJ458790:IBN458790 ILF458790:ILJ458790 IVB458790:IVF458790 JEX458790:JFB458790 JOT458790:JOX458790 JYP458790:JYT458790 KIL458790:KIP458790 KSH458790:KSL458790 LCD458790:LCH458790 LLZ458790:LMD458790 LVV458790:LVZ458790 MFR458790:MFV458790 MPN458790:MPR458790 MZJ458790:MZN458790 NJF458790:NJJ458790 NTB458790:NTF458790 OCX458790:ODB458790 OMT458790:OMX458790 OWP458790:OWT458790 PGL458790:PGP458790 PQH458790:PQL458790 QAD458790:QAH458790 QJZ458790:QKD458790 QTV458790:QTZ458790 RDR458790:RDV458790 RNN458790:RNR458790 RXJ458790:RXN458790 SHF458790:SHJ458790 SRB458790:SRF458790 TAX458790:TBB458790 TKT458790:TKX458790 TUP458790:TUT458790 UEL458790:UEP458790 UOH458790:UOL458790 UYD458790:UYH458790 VHZ458790:VID458790 VRV458790:VRZ458790 WBR458790:WBV458790 WLN458790:WLR458790 WVJ458790:WVN458790 B524326:F524326 IX524326:JB524326 ST524326:SX524326 ACP524326:ACT524326 AML524326:AMP524326 AWH524326:AWL524326 BGD524326:BGH524326 BPZ524326:BQD524326 BZV524326:BZZ524326 CJR524326:CJV524326 CTN524326:CTR524326 DDJ524326:DDN524326 DNF524326:DNJ524326 DXB524326:DXF524326 EGX524326:EHB524326 EQT524326:EQX524326 FAP524326:FAT524326 FKL524326:FKP524326 FUH524326:FUL524326 GED524326:GEH524326 GNZ524326:GOD524326 GXV524326:GXZ524326 HHR524326:HHV524326 HRN524326:HRR524326 IBJ524326:IBN524326 ILF524326:ILJ524326 IVB524326:IVF524326 JEX524326:JFB524326 JOT524326:JOX524326 JYP524326:JYT524326 KIL524326:KIP524326 KSH524326:KSL524326 LCD524326:LCH524326 LLZ524326:LMD524326 LVV524326:LVZ524326 MFR524326:MFV524326 MPN524326:MPR524326 MZJ524326:MZN524326 NJF524326:NJJ524326 NTB524326:NTF524326 OCX524326:ODB524326 OMT524326:OMX524326 OWP524326:OWT524326 PGL524326:PGP524326 PQH524326:PQL524326 QAD524326:QAH524326 QJZ524326:QKD524326 QTV524326:QTZ524326 RDR524326:RDV524326 RNN524326:RNR524326 RXJ524326:RXN524326 SHF524326:SHJ524326 SRB524326:SRF524326 TAX524326:TBB524326 TKT524326:TKX524326 TUP524326:TUT524326 UEL524326:UEP524326 UOH524326:UOL524326 UYD524326:UYH524326 VHZ524326:VID524326 VRV524326:VRZ524326 WBR524326:WBV524326 WLN524326:WLR524326 WVJ524326:WVN524326 B589862:F589862 IX589862:JB589862 ST589862:SX589862 ACP589862:ACT589862 AML589862:AMP589862 AWH589862:AWL589862 BGD589862:BGH589862 BPZ589862:BQD589862 BZV589862:BZZ589862 CJR589862:CJV589862 CTN589862:CTR589862 DDJ589862:DDN589862 DNF589862:DNJ589862 DXB589862:DXF589862 EGX589862:EHB589862 EQT589862:EQX589862 FAP589862:FAT589862 FKL589862:FKP589862 FUH589862:FUL589862 GED589862:GEH589862 GNZ589862:GOD589862 GXV589862:GXZ589862 HHR589862:HHV589862 HRN589862:HRR589862 IBJ589862:IBN589862 ILF589862:ILJ589862 IVB589862:IVF589862 JEX589862:JFB589862 JOT589862:JOX589862 JYP589862:JYT589862 KIL589862:KIP589862 KSH589862:KSL589862 LCD589862:LCH589862 LLZ589862:LMD589862 LVV589862:LVZ589862 MFR589862:MFV589862 MPN589862:MPR589862 MZJ589862:MZN589862 NJF589862:NJJ589862 NTB589862:NTF589862 OCX589862:ODB589862 OMT589862:OMX589862 OWP589862:OWT589862 PGL589862:PGP589862 PQH589862:PQL589862 QAD589862:QAH589862 QJZ589862:QKD589862 QTV589862:QTZ589862 RDR589862:RDV589862 RNN589862:RNR589862 RXJ589862:RXN589862 SHF589862:SHJ589862 SRB589862:SRF589862 TAX589862:TBB589862 TKT589862:TKX589862 TUP589862:TUT589862 UEL589862:UEP589862 UOH589862:UOL589862 UYD589862:UYH589862 VHZ589862:VID589862 VRV589862:VRZ589862 WBR589862:WBV589862 WLN589862:WLR589862 WVJ589862:WVN589862 B655398:F655398 IX655398:JB655398 ST655398:SX655398 ACP655398:ACT655398 AML655398:AMP655398 AWH655398:AWL655398 BGD655398:BGH655398 BPZ655398:BQD655398 BZV655398:BZZ655398 CJR655398:CJV655398 CTN655398:CTR655398 DDJ655398:DDN655398 DNF655398:DNJ655398 DXB655398:DXF655398 EGX655398:EHB655398 EQT655398:EQX655398 FAP655398:FAT655398 FKL655398:FKP655398 FUH655398:FUL655398 GED655398:GEH655398 GNZ655398:GOD655398 GXV655398:GXZ655398 HHR655398:HHV655398 HRN655398:HRR655398 IBJ655398:IBN655398 ILF655398:ILJ655398 IVB655398:IVF655398 JEX655398:JFB655398 JOT655398:JOX655398 JYP655398:JYT655398 KIL655398:KIP655398 KSH655398:KSL655398 LCD655398:LCH655398 LLZ655398:LMD655398 LVV655398:LVZ655398 MFR655398:MFV655398 MPN655398:MPR655398 MZJ655398:MZN655398 NJF655398:NJJ655398 NTB655398:NTF655398 OCX655398:ODB655398 OMT655398:OMX655398 OWP655398:OWT655398 PGL655398:PGP655398 PQH655398:PQL655398 QAD655398:QAH655398 QJZ655398:QKD655398 QTV655398:QTZ655398 RDR655398:RDV655398 RNN655398:RNR655398 RXJ655398:RXN655398 SHF655398:SHJ655398 SRB655398:SRF655398 TAX655398:TBB655398 TKT655398:TKX655398 TUP655398:TUT655398 UEL655398:UEP655398 UOH655398:UOL655398 UYD655398:UYH655398 VHZ655398:VID655398 VRV655398:VRZ655398 WBR655398:WBV655398 WLN655398:WLR655398 WVJ655398:WVN655398 B720934:F720934 IX720934:JB720934 ST720934:SX720934 ACP720934:ACT720934 AML720934:AMP720934 AWH720934:AWL720934 BGD720934:BGH720934 BPZ720934:BQD720934 BZV720934:BZZ720934 CJR720934:CJV720934 CTN720934:CTR720934 DDJ720934:DDN720934 DNF720934:DNJ720934 DXB720934:DXF720934 EGX720934:EHB720934 EQT720934:EQX720934 FAP720934:FAT720934 FKL720934:FKP720934 FUH720934:FUL720934 GED720934:GEH720934 GNZ720934:GOD720934 GXV720934:GXZ720934 HHR720934:HHV720934 HRN720934:HRR720934 IBJ720934:IBN720934 ILF720934:ILJ720934 IVB720934:IVF720934 JEX720934:JFB720934 JOT720934:JOX720934 JYP720934:JYT720934 KIL720934:KIP720934 KSH720934:KSL720934 LCD720934:LCH720934 LLZ720934:LMD720934 LVV720934:LVZ720934 MFR720934:MFV720934 MPN720934:MPR720934 MZJ720934:MZN720934 NJF720934:NJJ720934 NTB720934:NTF720934 OCX720934:ODB720934 OMT720934:OMX720934 OWP720934:OWT720934 PGL720934:PGP720934 PQH720934:PQL720934 QAD720934:QAH720934 QJZ720934:QKD720934 QTV720934:QTZ720934 RDR720934:RDV720934 RNN720934:RNR720934 RXJ720934:RXN720934 SHF720934:SHJ720934 SRB720934:SRF720934 TAX720934:TBB720934 TKT720934:TKX720934 TUP720934:TUT720934 UEL720934:UEP720934 UOH720934:UOL720934 UYD720934:UYH720934 VHZ720934:VID720934 VRV720934:VRZ720934 WBR720934:WBV720934 WLN720934:WLR720934 WVJ720934:WVN720934 B786470:F786470 IX786470:JB786470 ST786470:SX786470 ACP786470:ACT786470 AML786470:AMP786470 AWH786470:AWL786470 BGD786470:BGH786470 BPZ786470:BQD786470 BZV786470:BZZ786470 CJR786470:CJV786470 CTN786470:CTR786470 DDJ786470:DDN786470 DNF786470:DNJ786470 DXB786470:DXF786470 EGX786470:EHB786470 EQT786470:EQX786470 FAP786470:FAT786470 FKL786470:FKP786470 FUH786470:FUL786470 GED786470:GEH786470 GNZ786470:GOD786470 GXV786470:GXZ786470 HHR786470:HHV786470 HRN786470:HRR786470 IBJ786470:IBN786470 ILF786470:ILJ786470 IVB786470:IVF786470 JEX786470:JFB786470 JOT786470:JOX786470 JYP786470:JYT786470 KIL786470:KIP786470 KSH786470:KSL786470 LCD786470:LCH786470 LLZ786470:LMD786470 LVV786470:LVZ786470 MFR786470:MFV786470 MPN786470:MPR786470 MZJ786470:MZN786470 NJF786470:NJJ786470 NTB786470:NTF786470 OCX786470:ODB786470 OMT786470:OMX786470 OWP786470:OWT786470 PGL786470:PGP786470 PQH786470:PQL786470 QAD786470:QAH786470 QJZ786470:QKD786470 QTV786470:QTZ786470 RDR786470:RDV786470 RNN786470:RNR786470 RXJ786470:RXN786470 SHF786470:SHJ786470 SRB786470:SRF786470 TAX786470:TBB786470 TKT786470:TKX786470 TUP786470:TUT786470 UEL786470:UEP786470 UOH786470:UOL786470 UYD786470:UYH786470 VHZ786470:VID786470 VRV786470:VRZ786470 WBR786470:WBV786470 WLN786470:WLR786470 WVJ786470:WVN786470 B852006:F852006 IX852006:JB852006 ST852006:SX852006 ACP852006:ACT852006 AML852006:AMP852006 AWH852006:AWL852006 BGD852006:BGH852006 BPZ852006:BQD852006 BZV852006:BZZ852006 CJR852006:CJV852006 CTN852006:CTR852006 DDJ852006:DDN852006 DNF852006:DNJ852006 DXB852006:DXF852006 EGX852006:EHB852006 EQT852006:EQX852006 FAP852006:FAT852006 FKL852006:FKP852006 FUH852006:FUL852006 GED852006:GEH852006 GNZ852006:GOD852006 GXV852006:GXZ852006 HHR852006:HHV852006 HRN852006:HRR852006 IBJ852006:IBN852006 ILF852006:ILJ852006 IVB852006:IVF852006 JEX852006:JFB852006 JOT852006:JOX852006 JYP852006:JYT852006 KIL852006:KIP852006 KSH852006:KSL852006 LCD852006:LCH852006 LLZ852006:LMD852006 LVV852006:LVZ852006 MFR852006:MFV852006 MPN852006:MPR852006 MZJ852006:MZN852006 NJF852006:NJJ852006 NTB852006:NTF852006 OCX852006:ODB852006 OMT852006:OMX852006 OWP852006:OWT852006 PGL852006:PGP852006 PQH852006:PQL852006 QAD852006:QAH852006 QJZ852006:QKD852006 QTV852006:QTZ852006 RDR852006:RDV852006 RNN852006:RNR852006 RXJ852006:RXN852006 SHF852006:SHJ852006 SRB852006:SRF852006 TAX852006:TBB852006 TKT852006:TKX852006 TUP852006:TUT852006 UEL852006:UEP852006 UOH852006:UOL852006 UYD852006:UYH852006 VHZ852006:VID852006 VRV852006:VRZ852006 WBR852006:WBV852006 WLN852006:WLR852006 WVJ852006:WVN852006 B917542:F917542 IX917542:JB917542 ST917542:SX917542 ACP917542:ACT917542 AML917542:AMP917542 AWH917542:AWL917542 BGD917542:BGH917542 BPZ917542:BQD917542 BZV917542:BZZ917542 CJR917542:CJV917542 CTN917542:CTR917542 DDJ917542:DDN917542 DNF917542:DNJ917542 DXB917542:DXF917542 EGX917542:EHB917542 EQT917542:EQX917542 FAP917542:FAT917542 FKL917542:FKP917542 FUH917542:FUL917542 GED917542:GEH917542 GNZ917542:GOD917542 GXV917542:GXZ917542 HHR917542:HHV917542 HRN917542:HRR917542 IBJ917542:IBN917542 ILF917542:ILJ917542 IVB917542:IVF917542 JEX917542:JFB917542 JOT917542:JOX917542 JYP917542:JYT917542 KIL917542:KIP917542 KSH917542:KSL917542 LCD917542:LCH917542 LLZ917542:LMD917542 LVV917542:LVZ917542 MFR917542:MFV917542 MPN917542:MPR917542 MZJ917542:MZN917542 NJF917542:NJJ917542 NTB917542:NTF917542 OCX917542:ODB917542 OMT917542:OMX917542 OWP917542:OWT917542 PGL917542:PGP917542 PQH917542:PQL917542 QAD917542:QAH917542 QJZ917542:QKD917542 QTV917542:QTZ917542 RDR917542:RDV917542 RNN917542:RNR917542 RXJ917542:RXN917542 SHF917542:SHJ917542 SRB917542:SRF917542 TAX917542:TBB917542 TKT917542:TKX917542 TUP917542:TUT917542 UEL917542:UEP917542 UOH917542:UOL917542 UYD917542:UYH917542 VHZ917542:VID917542 VRV917542:VRZ917542 WBR917542:WBV917542 WLN917542:WLR917542 WVJ917542:WVN917542 B983078:F983078 IX983078:JB983078 ST983078:SX983078 ACP983078:ACT983078 AML983078:AMP983078 AWH983078:AWL983078 BGD983078:BGH983078 BPZ983078:BQD983078 BZV983078:BZZ983078 CJR983078:CJV983078 CTN983078:CTR983078 DDJ983078:DDN983078 DNF983078:DNJ983078 DXB983078:DXF983078 EGX983078:EHB983078 EQT983078:EQX983078 FAP983078:FAT983078 FKL983078:FKP983078 FUH983078:FUL983078 GED983078:GEH983078 GNZ983078:GOD983078 GXV983078:GXZ983078 HHR983078:HHV983078 HRN983078:HRR983078 IBJ983078:IBN983078 ILF983078:ILJ983078 IVB983078:IVF983078 JEX983078:JFB983078 JOT983078:JOX983078 JYP983078:JYT983078 KIL983078:KIP983078 KSH983078:KSL983078 LCD983078:LCH983078 LLZ983078:LMD983078 LVV983078:LVZ983078 MFR983078:MFV983078 MPN983078:MPR983078 MZJ983078:MZN983078 NJF983078:NJJ983078 NTB983078:NTF983078 OCX983078:ODB983078 OMT983078:OMX983078 OWP983078:OWT983078 PGL983078:PGP983078 PQH983078:PQL983078 QAD983078:QAH983078 QJZ983078:QKD983078 QTV983078:QTZ983078 RDR983078:RDV983078 RNN983078:RNR983078 RXJ983078:RXN983078 SHF983078:SHJ983078 SRB983078:SRF983078 TAX983078:TBB983078 TKT983078:TKX983078 TUP983078:TUT983078 UEL983078:UEP983078 UOH983078:UOL983078 UYD983078:UYH983078 VHZ983078:VID983078 VRV983078:VRZ983078 WBR983078:WBV983078 WLN983078:WLR983078 WVJ983078:WVN983078 WVJ11:WVN11 IX11:JB11 ST11:SX11 ACP11:ACT11 AML11:AMP11 AWH11:AWL11 BGD11:BGH11 BPZ11:BQD11 BZV11:BZZ11 CJR11:CJV11 CTN11:CTR11 DDJ11:DDN11 DNF11:DNJ11 DXB11:DXF11 EGX11:EHB11 EQT11:EQX11 FAP11:FAT11 FKL11:FKP11 FUH11:FUL11 GED11:GEH11 GNZ11:GOD11 GXV11:GXZ11 HHR11:HHV11 HRN11:HRR11 IBJ11:IBN11 ILF11:ILJ11 IVB11:IVF11 JEX11:JFB11 JOT11:JOX11 JYP11:JYT11 KIL11:KIP11 KSH11:KSL11 LCD11:LCH11 LLZ11:LMD11 LVV11:LVZ11 MFR11:MFV11 MPN11:MPR11 MZJ11:MZN11 NJF11:NJJ11 NTB11:NTF11 OCX11:ODB11 OMT11:OMX11 OWP11:OWT11 PGL11:PGP11 PQH11:PQL11 QAD11:QAH11 QJZ11:QKD11 QTV11:QTZ11 RDR11:RDV11 RNN11:RNR11 RXJ11:RXN11 SHF11:SHJ11 SRB11:SRF11 TAX11:TBB11 TKT11:TKX11 TUP11:TUT11 UEL11:UEP11 UOH11:UOL11 UYD11:UYH11 VHZ11:VID11 VRV11:VRZ11 WBR11:WBV11 WLN11:WLR11">
      <formula1>"企业会计准则_一般企业,企业会计准则_银行,企业会计准则_证券,企业会计准则_保险,企业会计准则_担保,小企业会计准则,企业会计制度,事业单位会计准则_事业单位会计制度,事业单位会计准则_科学事业单位会计制度,事业单位会计准则_医院会计制度,事业单位会计准则_高等学校会计制度,事业单位会计准则_中小学校会计制度,事业单位会计准则_彩票机构会计制度,民间非营利组织会计制度,村集体经济组织会计制度,农民专业合作社财务会计制度（试行）,其他"</formula1>
    </dataValidation>
    <dataValidation type="list" allowBlank="1" showInputMessage="1" showErrorMessage="1" sqref="B65576 IX65576 ST65576 ACP65576 AML65576 AWH65576 BGD65576 BPZ65576 BZV65576 CJR65576 CTN65576 DDJ65576 DNF65576 DXB65576 EGX65576 EQT65576 FAP65576 FKL65576 FUH65576 GED65576 GNZ65576 GXV65576 HHR65576 HRN65576 IBJ65576 ILF65576 IVB65576 JEX65576 JOT65576 JYP65576 KIL65576 KSH65576 LCD65576 LLZ65576 LVV65576 MFR65576 MPN65576 MZJ65576 NJF65576 NTB65576 OCX65576 OMT65576 OWP65576 PGL65576 PQH65576 QAD65576 QJZ65576 QTV65576 RDR65576 RNN65576 RXJ65576 SHF65576 SRB65576 TAX65576 TKT65576 TUP65576 UEL65576 UOH65576 UYD65576 VHZ65576 VRV65576 WBR65576 WLN65576 WVJ65576 B131112 IX131112 ST131112 ACP131112 AML131112 AWH131112 BGD131112 BPZ131112 BZV131112 CJR131112 CTN131112 DDJ131112 DNF131112 DXB131112 EGX131112 EQT131112 FAP131112 FKL131112 FUH131112 GED131112 GNZ131112 GXV131112 HHR131112 HRN131112 IBJ131112 ILF131112 IVB131112 JEX131112 JOT131112 JYP131112 KIL131112 KSH131112 LCD131112 LLZ131112 LVV131112 MFR131112 MPN131112 MZJ131112 NJF131112 NTB131112 OCX131112 OMT131112 OWP131112 PGL131112 PQH131112 QAD131112 QJZ131112 QTV131112 RDR131112 RNN131112 RXJ131112 SHF131112 SRB131112 TAX131112 TKT131112 TUP131112 UEL131112 UOH131112 UYD131112 VHZ131112 VRV131112 WBR131112 WLN131112 WVJ131112 B196648 IX196648 ST196648 ACP196648 AML196648 AWH196648 BGD196648 BPZ196648 BZV196648 CJR196648 CTN196648 DDJ196648 DNF196648 DXB196648 EGX196648 EQT196648 FAP196648 FKL196648 FUH196648 GED196648 GNZ196648 GXV196648 HHR196648 HRN196648 IBJ196648 ILF196648 IVB196648 JEX196648 JOT196648 JYP196648 KIL196648 KSH196648 LCD196648 LLZ196648 LVV196648 MFR196648 MPN196648 MZJ196648 NJF196648 NTB196648 OCX196648 OMT196648 OWP196648 PGL196648 PQH196648 QAD196648 QJZ196648 QTV196648 RDR196648 RNN196648 RXJ196648 SHF196648 SRB196648 TAX196648 TKT196648 TUP196648 UEL196648 UOH196648 UYD196648 VHZ196648 VRV196648 WBR196648 WLN196648 WVJ196648 B262184 IX262184 ST262184 ACP262184 AML262184 AWH262184 BGD262184 BPZ262184 BZV262184 CJR262184 CTN262184 DDJ262184 DNF262184 DXB262184 EGX262184 EQT262184 FAP262184 FKL262184 FUH262184 GED262184 GNZ262184 GXV262184 HHR262184 HRN262184 IBJ262184 ILF262184 IVB262184 JEX262184 JOT262184 JYP262184 KIL262184 KSH262184 LCD262184 LLZ262184 LVV262184 MFR262184 MPN262184 MZJ262184 NJF262184 NTB262184 OCX262184 OMT262184 OWP262184 PGL262184 PQH262184 QAD262184 QJZ262184 QTV262184 RDR262184 RNN262184 RXJ262184 SHF262184 SRB262184 TAX262184 TKT262184 TUP262184 UEL262184 UOH262184 UYD262184 VHZ262184 VRV262184 WBR262184 WLN262184 WVJ262184 B327720 IX327720 ST327720 ACP327720 AML327720 AWH327720 BGD327720 BPZ327720 BZV327720 CJR327720 CTN327720 DDJ327720 DNF327720 DXB327720 EGX327720 EQT327720 FAP327720 FKL327720 FUH327720 GED327720 GNZ327720 GXV327720 HHR327720 HRN327720 IBJ327720 ILF327720 IVB327720 JEX327720 JOT327720 JYP327720 KIL327720 KSH327720 LCD327720 LLZ327720 LVV327720 MFR327720 MPN327720 MZJ327720 NJF327720 NTB327720 OCX327720 OMT327720 OWP327720 PGL327720 PQH327720 QAD327720 QJZ327720 QTV327720 RDR327720 RNN327720 RXJ327720 SHF327720 SRB327720 TAX327720 TKT327720 TUP327720 UEL327720 UOH327720 UYD327720 VHZ327720 VRV327720 WBR327720 WLN327720 WVJ327720 B393256 IX393256 ST393256 ACP393256 AML393256 AWH393256 BGD393256 BPZ393256 BZV393256 CJR393256 CTN393256 DDJ393256 DNF393256 DXB393256 EGX393256 EQT393256 FAP393256 FKL393256 FUH393256 GED393256 GNZ393256 GXV393256 HHR393256 HRN393256 IBJ393256 ILF393256 IVB393256 JEX393256 JOT393256 JYP393256 KIL393256 KSH393256 LCD393256 LLZ393256 LVV393256 MFR393256 MPN393256 MZJ393256 NJF393256 NTB393256 OCX393256 OMT393256 OWP393256 PGL393256 PQH393256 QAD393256 QJZ393256 QTV393256 RDR393256 RNN393256 RXJ393256 SHF393256 SRB393256 TAX393256 TKT393256 TUP393256 UEL393256 UOH393256 UYD393256 VHZ393256 VRV393256 WBR393256 WLN393256 WVJ393256 B458792 IX458792 ST458792 ACP458792 AML458792 AWH458792 BGD458792 BPZ458792 BZV458792 CJR458792 CTN458792 DDJ458792 DNF458792 DXB458792 EGX458792 EQT458792 FAP458792 FKL458792 FUH458792 GED458792 GNZ458792 GXV458792 HHR458792 HRN458792 IBJ458792 ILF458792 IVB458792 JEX458792 JOT458792 JYP458792 KIL458792 KSH458792 LCD458792 LLZ458792 LVV458792 MFR458792 MPN458792 MZJ458792 NJF458792 NTB458792 OCX458792 OMT458792 OWP458792 PGL458792 PQH458792 QAD458792 QJZ458792 QTV458792 RDR458792 RNN458792 RXJ458792 SHF458792 SRB458792 TAX458792 TKT458792 TUP458792 UEL458792 UOH458792 UYD458792 VHZ458792 VRV458792 WBR458792 WLN458792 WVJ458792 B524328 IX524328 ST524328 ACP524328 AML524328 AWH524328 BGD524328 BPZ524328 BZV524328 CJR524328 CTN524328 DDJ524328 DNF524328 DXB524328 EGX524328 EQT524328 FAP524328 FKL524328 FUH524328 GED524328 GNZ524328 GXV524328 HHR524328 HRN524328 IBJ524328 ILF524328 IVB524328 JEX524328 JOT524328 JYP524328 KIL524328 KSH524328 LCD524328 LLZ524328 LVV524328 MFR524328 MPN524328 MZJ524328 NJF524328 NTB524328 OCX524328 OMT524328 OWP524328 PGL524328 PQH524328 QAD524328 QJZ524328 QTV524328 RDR524328 RNN524328 RXJ524328 SHF524328 SRB524328 TAX524328 TKT524328 TUP524328 UEL524328 UOH524328 UYD524328 VHZ524328 VRV524328 WBR524328 WLN524328 WVJ524328 B589864 IX589864 ST589864 ACP589864 AML589864 AWH589864 BGD589864 BPZ589864 BZV589864 CJR589864 CTN589864 DDJ589864 DNF589864 DXB589864 EGX589864 EQT589864 FAP589864 FKL589864 FUH589864 GED589864 GNZ589864 GXV589864 HHR589864 HRN589864 IBJ589864 ILF589864 IVB589864 JEX589864 JOT589864 JYP589864 KIL589864 KSH589864 LCD589864 LLZ589864 LVV589864 MFR589864 MPN589864 MZJ589864 NJF589864 NTB589864 OCX589864 OMT589864 OWP589864 PGL589864 PQH589864 QAD589864 QJZ589864 QTV589864 RDR589864 RNN589864 RXJ589864 SHF589864 SRB589864 TAX589864 TKT589864 TUP589864 UEL589864 UOH589864 UYD589864 VHZ589864 VRV589864 WBR589864 WLN589864 WVJ589864 B655400 IX655400 ST655400 ACP655400 AML655400 AWH655400 BGD655400 BPZ655400 BZV655400 CJR655400 CTN655400 DDJ655400 DNF655400 DXB655400 EGX655400 EQT655400 FAP655400 FKL655400 FUH655400 GED655400 GNZ655400 GXV655400 HHR655400 HRN655400 IBJ655400 ILF655400 IVB655400 JEX655400 JOT655400 JYP655400 KIL655400 KSH655400 LCD655400 LLZ655400 LVV655400 MFR655400 MPN655400 MZJ655400 NJF655400 NTB655400 OCX655400 OMT655400 OWP655400 PGL655400 PQH655400 QAD655400 QJZ655400 QTV655400 RDR655400 RNN655400 RXJ655400 SHF655400 SRB655400 TAX655400 TKT655400 TUP655400 UEL655400 UOH655400 UYD655400 VHZ655400 VRV655400 WBR655400 WLN655400 WVJ655400 B720936 IX720936 ST720936 ACP720936 AML720936 AWH720936 BGD720936 BPZ720936 BZV720936 CJR720936 CTN720936 DDJ720936 DNF720936 DXB720936 EGX720936 EQT720936 FAP720936 FKL720936 FUH720936 GED720936 GNZ720936 GXV720936 HHR720936 HRN720936 IBJ720936 ILF720936 IVB720936 JEX720936 JOT720936 JYP720936 KIL720936 KSH720936 LCD720936 LLZ720936 LVV720936 MFR720936 MPN720936 MZJ720936 NJF720936 NTB720936 OCX720936 OMT720936 OWP720936 PGL720936 PQH720936 QAD720936 QJZ720936 QTV720936 RDR720936 RNN720936 RXJ720936 SHF720936 SRB720936 TAX720936 TKT720936 TUP720936 UEL720936 UOH720936 UYD720936 VHZ720936 VRV720936 WBR720936 WLN720936 WVJ720936 B786472 IX786472 ST786472 ACP786472 AML786472 AWH786472 BGD786472 BPZ786472 BZV786472 CJR786472 CTN786472 DDJ786472 DNF786472 DXB786472 EGX786472 EQT786472 FAP786472 FKL786472 FUH786472 GED786472 GNZ786472 GXV786472 HHR786472 HRN786472 IBJ786472 ILF786472 IVB786472 JEX786472 JOT786472 JYP786472 KIL786472 KSH786472 LCD786472 LLZ786472 LVV786472 MFR786472 MPN786472 MZJ786472 NJF786472 NTB786472 OCX786472 OMT786472 OWP786472 PGL786472 PQH786472 QAD786472 QJZ786472 QTV786472 RDR786472 RNN786472 RXJ786472 SHF786472 SRB786472 TAX786472 TKT786472 TUP786472 UEL786472 UOH786472 UYD786472 VHZ786472 VRV786472 WBR786472 WLN786472 WVJ786472 B852008 IX852008 ST852008 ACP852008 AML852008 AWH852008 BGD852008 BPZ852008 BZV852008 CJR852008 CTN852008 DDJ852008 DNF852008 DXB852008 EGX852008 EQT852008 FAP852008 FKL852008 FUH852008 GED852008 GNZ852008 GXV852008 HHR852008 HRN852008 IBJ852008 ILF852008 IVB852008 JEX852008 JOT852008 JYP852008 KIL852008 KSH852008 LCD852008 LLZ852008 LVV852008 MFR852008 MPN852008 MZJ852008 NJF852008 NTB852008 OCX852008 OMT852008 OWP852008 PGL852008 PQH852008 QAD852008 QJZ852008 QTV852008 RDR852008 RNN852008 RXJ852008 SHF852008 SRB852008 TAX852008 TKT852008 TUP852008 UEL852008 UOH852008 UYD852008 VHZ852008 VRV852008 WBR852008 WLN852008 WVJ852008 B917544 IX917544 ST917544 ACP917544 AML917544 AWH917544 BGD917544 BPZ917544 BZV917544 CJR917544 CTN917544 DDJ917544 DNF917544 DXB917544 EGX917544 EQT917544 FAP917544 FKL917544 FUH917544 GED917544 GNZ917544 GXV917544 HHR917544 HRN917544 IBJ917544 ILF917544 IVB917544 JEX917544 JOT917544 JYP917544 KIL917544 KSH917544 LCD917544 LLZ917544 LVV917544 MFR917544 MPN917544 MZJ917544 NJF917544 NTB917544 OCX917544 OMT917544 OWP917544 PGL917544 PQH917544 QAD917544 QJZ917544 QTV917544 RDR917544 RNN917544 RXJ917544 SHF917544 SRB917544 TAX917544 TKT917544 TUP917544 UEL917544 UOH917544 UYD917544 VHZ917544 VRV917544 WBR917544 WLN917544 WVJ917544 B983080 IX983080 ST983080 ACP983080 AML983080 AWH983080 BGD983080 BPZ983080 BZV983080 CJR983080 CTN983080 DDJ983080 DNF983080 DXB983080 EGX983080 EQT983080 FAP983080 FKL983080 FUH983080 GED983080 GNZ983080 GXV983080 HHR983080 HRN983080 IBJ983080 ILF983080 IVB983080 JEX983080 JOT983080 JYP983080 KIL983080 KSH983080 LCD983080 LLZ983080 LVV983080 MFR983080 MPN983080 MZJ983080 NJF983080 NTB983080 OCX983080 OMT983080 OWP983080 PGL983080 PQH983080 QAD983080 QJZ983080 QTV983080 RDR983080 RNN983080 RXJ983080 SHF983080 SRB983080 TAX983080 TKT983080 TUP983080 UEL983080 UOH983080 UYD983080 VHZ983080 VRV983080 WBR983080 WLN983080 WVJ983080 B13 IX13 ST13 ACP13 AML13 AWH13 BGD13 BPZ13 BZV13 CJR13 CTN13 DDJ13 DNF13 DXB13 EGX13 EQT13 FAP13 FKL13 FUH13 GED13 GNZ13 GXV13 HHR13 HRN13 IBJ13 ILF13 IVB13 JEX13 JOT13 JYP13 KIL13 KSH13 LCD13 LLZ13 LVV13 MFR13 MPN13 MZJ13 NJF13 NTB13 OCX13 OMT13 OWP13 PGL13 PQH13 QAD13 QJZ13 QTV13 RDR13 RNN13 RXJ13 SHF13 SRB13 TAX13 TKT13 TUP13 UEL13 UOH13 UYD13 VHZ13 VRV13 WBR13 WLN13 WVJ13">
      <formula1>"人民币,其他"</formula1>
    </dataValidation>
    <dataValidation type="list" allowBlank="1" showInputMessage="1" showErrorMessage="1" sqref="E65572:F65572 JA65572:JB65572 SW65572:SX65572 ACS65572:ACT65572 AMO65572:AMP65572 AWK65572:AWL65572 BGG65572:BGH65572 BQC65572:BQD65572 BZY65572:BZZ65572 CJU65572:CJV65572 CTQ65572:CTR65572 DDM65572:DDN65572 DNI65572:DNJ65572 DXE65572:DXF65572 EHA65572:EHB65572 EQW65572:EQX65572 FAS65572:FAT65572 FKO65572:FKP65572 FUK65572:FUL65572 GEG65572:GEH65572 GOC65572:GOD65572 GXY65572:GXZ65572 HHU65572:HHV65572 HRQ65572:HRR65572 IBM65572:IBN65572 ILI65572:ILJ65572 IVE65572:IVF65572 JFA65572:JFB65572 JOW65572:JOX65572 JYS65572:JYT65572 KIO65572:KIP65572 KSK65572:KSL65572 LCG65572:LCH65572 LMC65572:LMD65572 LVY65572:LVZ65572 MFU65572:MFV65572 MPQ65572:MPR65572 MZM65572:MZN65572 NJI65572:NJJ65572 NTE65572:NTF65572 ODA65572:ODB65572 OMW65572:OMX65572 OWS65572:OWT65572 PGO65572:PGP65572 PQK65572:PQL65572 QAG65572:QAH65572 QKC65572:QKD65572 QTY65572:QTZ65572 RDU65572:RDV65572 RNQ65572:RNR65572 RXM65572:RXN65572 SHI65572:SHJ65572 SRE65572:SRF65572 TBA65572:TBB65572 TKW65572:TKX65572 TUS65572:TUT65572 UEO65572:UEP65572 UOK65572:UOL65572 UYG65572:UYH65572 VIC65572:VID65572 VRY65572:VRZ65572 WBU65572:WBV65572 WLQ65572:WLR65572 WVM65572:WVN65572 E131108:F131108 JA131108:JB131108 SW131108:SX131108 ACS131108:ACT131108 AMO131108:AMP131108 AWK131108:AWL131108 BGG131108:BGH131108 BQC131108:BQD131108 BZY131108:BZZ131108 CJU131108:CJV131108 CTQ131108:CTR131108 DDM131108:DDN131108 DNI131108:DNJ131108 DXE131108:DXF131108 EHA131108:EHB131108 EQW131108:EQX131108 FAS131108:FAT131108 FKO131108:FKP131108 FUK131108:FUL131108 GEG131108:GEH131108 GOC131108:GOD131108 GXY131108:GXZ131108 HHU131108:HHV131108 HRQ131108:HRR131108 IBM131108:IBN131108 ILI131108:ILJ131108 IVE131108:IVF131108 JFA131108:JFB131108 JOW131108:JOX131108 JYS131108:JYT131108 KIO131108:KIP131108 KSK131108:KSL131108 LCG131108:LCH131108 LMC131108:LMD131108 LVY131108:LVZ131108 MFU131108:MFV131108 MPQ131108:MPR131108 MZM131108:MZN131108 NJI131108:NJJ131108 NTE131108:NTF131108 ODA131108:ODB131108 OMW131108:OMX131108 OWS131108:OWT131108 PGO131108:PGP131108 PQK131108:PQL131108 QAG131108:QAH131108 QKC131108:QKD131108 QTY131108:QTZ131108 RDU131108:RDV131108 RNQ131108:RNR131108 RXM131108:RXN131108 SHI131108:SHJ131108 SRE131108:SRF131108 TBA131108:TBB131108 TKW131108:TKX131108 TUS131108:TUT131108 UEO131108:UEP131108 UOK131108:UOL131108 UYG131108:UYH131108 VIC131108:VID131108 VRY131108:VRZ131108 WBU131108:WBV131108 WLQ131108:WLR131108 WVM131108:WVN131108 E196644:F196644 JA196644:JB196644 SW196644:SX196644 ACS196644:ACT196644 AMO196644:AMP196644 AWK196644:AWL196644 BGG196644:BGH196644 BQC196644:BQD196644 BZY196644:BZZ196644 CJU196644:CJV196644 CTQ196644:CTR196644 DDM196644:DDN196644 DNI196644:DNJ196644 DXE196644:DXF196644 EHA196644:EHB196644 EQW196644:EQX196644 FAS196644:FAT196644 FKO196644:FKP196644 FUK196644:FUL196644 GEG196644:GEH196644 GOC196644:GOD196644 GXY196644:GXZ196644 HHU196644:HHV196644 HRQ196644:HRR196644 IBM196644:IBN196644 ILI196644:ILJ196644 IVE196644:IVF196644 JFA196644:JFB196644 JOW196644:JOX196644 JYS196644:JYT196644 KIO196644:KIP196644 KSK196644:KSL196644 LCG196644:LCH196644 LMC196644:LMD196644 LVY196644:LVZ196644 MFU196644:MFV196644 MPQ196644:MPR196644 MZM196644:MZN196644 NJI196644:NJJ196644 NTE196644:NTF196644 ODA196644:ODB196644 OMW196644:OMX196644 OWS196644:OWT196644 PGO196644:PGP196644 PQK196644:PQL196644 QAG196644:QAH196644 QKC196644:QKD196644 QTY196644:QTZ196644 RDU196644:RDV196644 RNQ196644:RNR196644 RXM196644:RXN196644 SHI196644:SHJ196644 SRE196644:SRF196644 TBA196644:TBB196644 TKW196644:TKX196644 TUS196644:TUT196644 UEO196644:UEP196644 UOK196644:UOL196644 UYG196644:UYH196644 VIC196644:VID196644 VRY196644:VRZ196644 WBU196644:WBV196644 WLQ196644:WLR196644 WVM196644:WVN196644 E262180:F262180 JA262180:JB262180 SW262180:SX262180 ACS262180:ACT262180 AMO262180:AMP262180 AWK262180:AWL262180 BGG262180:BGH262180 BQC262180:BQD262180 BZY262180:BZZ262180 CJU262180:CJV262180 CTQ262180:CTR262180 DDM262180:DDN262180 DNI262180:DNJ262180 DXE262180:DXF262180 EHA262180:EHB262180 EQW262180:EQX262180 FAS262180:FAT262180 FKO262180:FKP262180 FUK262180:FUL262180 GEG262180:GEH262180 GOC262180:GOD262180 GXY262180:GXZ262180 HHU262180:HHV262180 HRQ262180:HRR262180 IBM262180:IBN262180 ILI262180:ILJ262180 IVE262180:IVF262180 JFA262180:JFB262180 JOW262180:JOX262180 JYS262180:JYT262180 KIO262180:KIP262180 KSK262180:KSL262180 LCG262180:LCH262180 LMC262180:LMD262180 LVY262180:LVZ262180 MFU262180:MFV262180 MPQ262180:MPR262180 MZM262180:MZN262180 NJI262180:NJJ262180 NTE262180:NTF262180 ODA262180:ODB262180 OMW262180:OMX262180 OWS262180:OWT262180 PGO262180:PGP262180 PQK262180:PQL262180 QAG262180:QAH262180 QKC262180:QKD262180 QTY262180:QTZ262180 RDU262180:RDV262180 RNQ262180:RNR262180 RXM262180:RXN262180 SHI262180:SHJ262180 SRE262180:SRF262180 TBA262180:TBB262180 TKW262180:TKX262180 TUS262180:TUT262180 UEO262180:UEP262180 UOK262180:UOL262180 UYG262180:UYH262180 VIC262180:VID262180 VRY262180:VRZ262180 WBU262180:WBV262180 WLQ262180:WLR262180 WVM262180:WVN262180 E327716:F327716 JA327716:JB327716 SW327716:SX327716 ACS327716:ACT327716 AMO327716:AMP327716 AWK327716:AWL327716 BGG327716:BGH327716 BQC327716:BQD327716 BZY327716:BZZ327716 CJU327716:CJV327716 CTQ327716:CTR327716 DDM327716:DDN327716 DNI327716:DNJ327716 DXE327716:DXF327716 EHA327716:EHB327716 EQW327716:EQX327716 FAS327716:FAT327716 FKO327716:FKP327716 FUK327716:FUL327716 GEG327716:GEH327716 GOC327716:GOD327716 GXY327716:GXZ327716 HHU327716:HHV327716 HRQ327716:HRR327716 IBM327716:IBN327716 ILI327716:ILJ327716 IVE327716:IVF327716 JFA327716:JFB327716 JOW327716:JOX327716 JYS327716:JYT327716 KIO327716:KIP327716 KSK327716:KSL327716 LCG327716:LCH327716 LMC327716:LMD327716 LVY327716:LVZ327716 MFU327716:MFV327716 MPQ327716:MPR327716 MZM327716:MZN327716 NJI327716:NJJ327716 NTE327716:NTF327716 ODA327716:ODB327716 OMW327716:OMX327716 OWS327716:OWT327716 PGO327716:PGP327716 PQK327716:PQL327716 QAG327716:QAH327716 QKC327716:QKD327716 QTY327716:QTZ327716 RDU327716:RDV327716 RNQ327716:RNR327716 RXM327716:RXN327716 SHI327716:SHJ327716 SRE327716:SRF327716 TBA327716:TBB327716 TKW327716:TKX327716 TUS327716:TUT327716 UEO327716:UEP327716 UOK327716:UOL327716 UYG327716:UYH327716 VIC327716:VID327716 VRY327716:VRZ327716 WBU327716:WBV327716 WLQ327716:WLR327716 WVM327716:WVN327716 E393252:F393252 JA393252:JB393252 SW393252:SX393252 ACS393252:ACT393252 AMO393252:AMP393252 AWK393252:AWL393252 BGG393252:BGH393252 BQC393252:BQD393252 BZY393252:BZZ393252 CJU393252:CJV393252 CTQ393252:CTR393252 DDM393252:DDN393252 DNI393252:DNJ393252 DXE393252:DXF393252 EHA393252:EHB393252 EQW393252:EQX393252 FAS393252:FAT393252 FKO393252:FKP393252 FUK393252:FUL393252 GEG393252:GEH393252 GOC393252:GOD393252 GXY393252:GXZ393252 HHU393252:HHV393252 HRQ393252:HRR393252 IBM393252:IBN393252 ILI393252:ILJ393252 IVE393252:IVF393252 JFA393252:JFB393252 JOW393252:JOX393252 JYS393252:JYT393252 KIO393252:KIP393252 KSK393252:KSL393252 LCG393252:LCH393252 LMC393252:LMD393252 LVY393252:LVZ393252 MFU393252:MFV393252 MPQ393252:MPR393252 MZM393252:MZN393252 NJI393252:NJJ393252 NTE393252:NTF393252 ODA393252:ODB393252 OMW393252:OMX393252 OWS393252:OWT393252 PGO393252:PGP393252 PQK393252:PQL393252 QAG393252:QAH393252 QKC393252:QKD393252 QTY393252:QTZ393252 RDU393252:RDV393252 RNQ393252:RNR393252 RXM393252:RXN393252 SHI393252:SHJ393252 SRE393252:SRF393252 TBA393252:TBB393252 TKW393252:TKX393252 TUS393252:TUT393252 UEO393252:UEP393252 UOK393252:UOL393252 UYG393252:UYH393252 VIC393252:VID393252 VRY393252:VRZ393252 WBU393252:WBV393252 WLQ393252:WLR393252 WVM393252:WVN393252 E458788:F458788 JA458788:JB458788 SW458788:SX458788 ACS458788:ACT458788 AMO458788:AMP458788 AWK458788:AWL458788 BGG458788:BGH458788 BQC458788:BQD458788 BZY458788:BZZ458788 CJU458788:CJV458788 CTQ458788:CTR458788 DDM458788:DDN458788 DNI458788:DNJ458788 DXE458788:DXF458788 EHA458788:EHB458788 EQW458788:EQX458788 FAS458788:FAT458788 FKO458788:FKP458788 FUK458788:FUL458788 GEG458788:GEH458788 GOC458788:GOD458788 GXY458788:GXZ458788 HHU458788:HHV458788 HRQ458788:HRR458788 IBM458788:IBN458788 ILI458788:ILJ458788 IVE458788:IVF458788 JFA458788:JFB458788 JOW458788:JOX458788 JYS458788:JYT458788 KIO458788:KIP458788 KSK458788:KSL458788 LCG458788:LCH458788 LMC458788:LMD458788 LVY458788:LVZ458788 MFU458788:MFV458788 MPQ458788:MPR458788 MZM458788:MZN458788 NJI458788:NJJ458788 NTE458788:NTF458788 ODA458788:ODB458788 OMW458788:OMX458788 OWS458788:OWT458788 PGO458788:PGP458788 PQK458788:PQL458788 QAG458788:QAH458788 QKC458788:QKD458788 QTY458788:QTZ458788 RDU458788:RDV458788 RNQ458788:RNR458788 RXM458788:RXN458788 SHI458788:SHJ458788 SRE458788:SRF458788 TBA458788:TBB458788 TKW458788:TKX458788 TUS458788:TUT458788 UEO458788:UEP458788 UOK458788:UOL458788 UYG458788:UYH458788 VIC458788:VID458788 VRY458788:VRZ458788 WBU458788:WBV458788 WLQ458788:WLR458788 WVM458788:WVN458788 E524324:F524324 JA524324:JB524324 SW524324:SX524324 ACS524324:ACT524324 AMO524324:AMP524324 AWK524324:AWL524324 BGG524324:BGH524324 BQC524324:BQD524324 BZY524324:BZZ524324 CJU524324:CJV524324 CTQ524324:CTR524324 DDM524324:DDN524324 DNI524324:DNJ524324 DXE524324:DXF524324 EHA524324:EHB524324 EQW524324:EQX524324 FAS524324:FAT524324 FKO524324:FKP524324 FUK524324:FUL524324 GEG524324:GEH524324 GOC524324:GOD524324 GXY524324:GXZ524324 HHU524324:HHV524324 HRQ524324:HRR524324 IBM524324:IBN524324 ILI524324:ILJ524324 IVE524324:IVF524324 JFA524324:JFB524324 JOW524324:JOX524324 JYS524324:JYT524324 KIO524324:KIP524324 KSK524324:KSL524324 LCG524324:LCH524324 LMC524324:LMD524324 LVY524324:LVZ524324 MFU524324:MFV524324 MPQ524324:MPR524324 MZM524324:MZN524324 NJI524324:NJJ524324 NTE524324:NTF524324 ODA524324:ODB524324 OMW524324:OMX524324 OWS524324:OWT524324 PGO524324:PGP524324 PQK524324:PQL524324 QAG524324:QAH524324 QKC524324:QKD524324 QTY524324:QTZ524324 RDU524324:RDV524324 RNQ524324:RNR524324 RXM524324:RXN524324 SHI524324:SHJ524324 SRE524324:SRF524324 TBA524324:TBB524324 TKW524324:TKX524324 TUS524324:TUT524324 UEO524324:UEP524324 UOK524324:UOL524324 UYG524324:UYH524324 VIC524324:VID524324 VRY524324:VRZ524324 WBU524324:WBV524324 WLQ524324:WLR524324 WVM524324:WVN524324 E589860:F589860 JA589860:JB589860 SW589860:SX589860 ACS589860:ACT589860 AMO589860:AMP589860 AWK589860:AWL589860 BGG589860:BGH589860 BQC589860:BQD589860 BZY589860:BZZ589860 CJU589860:CJV589860 CTQ589860:CTR589860 DDM589860:DDN589860 DNI589860:DNJ589860 DXE589860:DXF589860 EHA589860:EHB589860 EQW589860:EQX589860 FAS589860:FAT589860 FKO589860:FKP589860 FUK589860:FUL589860 GEG589860:GEH589860 GOC589860:GOD589860 GXY589860:GXZ589860 HHU589860:HHV589860 HRQ589860:HRR589860 IBM589860:IBN589860 ILI589860:ILJ589860 IVE589860:IVF589860 JFA589860:JFB589860 JOW589860:JOX589860 JYS589860:JYT589860 KIO589860:KIP589860 KSK589860:KSL589860 LCG589860:LCH589860 LMC589860:LMD589860 LVY589860:LVZ589860 MFU589860:MFV589860 MPQ589860:MPR589860 MZM589860:MZN589860 NJI589860:NJJ589860 NTE589860:NTF589860 ODA589860:ODB589860 OMW589860:OMX589860 OWS589860:OWT589860 PGO589860:PGP589860 PQK589860:PQL589860 QAG589860:QAH589860 QKC589860:QKD589860 QTY589860:QTZ589860 RDU589860:RDV589860 RNQ589860:RNR589860 RXM589860:RXN589860 SHI589860:SHJ589860 SRE589860:SRF589860 TBA589860:TBB589860 TKW589860:TKX589860 TUS589860:TUT589860 UEO589860:UEP589860 UOK589860:UOL589860 UYG589860:UYH589860 VIC589860:VID589860 VRY589860:VRZ589860 WBU589860:WBV589860 WLQ589860:WLR589860 WVM589860:WVN589860 E655396:F655396 JA655396:JB655396 SW655396:SX655396 ACS655396:ACT655396 AMO655396:AMP655396 AWK655396:AWL655396 BGG655396:BGH655396 BQC655396:BQD655396 BZY655396:BZZ655396 CJU655396:CJV655396 CTQ655396:CTR655396 DDM655396:DDN655396 DNI655396:DNJ655396 DXE655396:DXF655396 EHA655396:EHB655396 EQW655396:EQX655396 FAS655396:FAT655396 FKO655396:FKP655396 FUK655396:FUL655396 GEG655396:GEH655396 GOC655396:GOD655396 GXY655396:GXZ655396 HHU655396:HHV655396 HRQ655396:HRR655396 IBM655396:IBN655396 ILI655396:ILJ655396 IVE655396:IVF655396 JFA655396:JFB655396 JOW655396:JOX655396 JYS655396:JYT655396 KIO655396:KIP655396 KSK655396:KSL655396 LCG655396:LCH655396 LMC655396:LMD655396 LVY655396:LVZ655396 MFU655396:MFV655396 MPQ655396:MPR655396 MZM655396:MZN655396 NJI655396:NJJ655396 NTE655396:NTF655396 ODA655396:ODB655396 OMW655396:OMX655396 OWS655396:OWT655396 PGO655396:PGP655396 PQK655396:PQL655396 QAG655396:QAH655396 QKC655396:QKD655396 QTY655396:QTZ655396 RDU655396:RDV655396 RNQ655396:RNR655396 RXM655396:RXN655396 SHI655396:SHJ655396 SRE655396:SRF655396 TBA655396:TBB655396 TKW655396:TKX655396 TUS655396:TUT655396 UEO655396:UEP655396 UOK655396:UOL655396 UYG655396:UYH655396 VIC655396:VID655396 VRY655396:VRZ655396 WBU655396:WBV655396 WLQ655396:WLR655396 WVM655396:WVN655396 E720932:F720932 JA720932:JB720932 SW720932:SX720932 ACS720932:ACT720932 AMO720932:AMP720932 AWK720932:AWL720932 BGG720932:BGH720932 BQC720932:BQD720932 BZY720932:BZZ720932 CJU720932:CJV720932 CTQ720932:CTR720932 DDM720932:DDN720932 DNI720932:DNJ720932 DXE720932:DXF720932 EHA720932:EHB720932 EQW720932:EQX720932 FAS720932:FAT720932 FKO720932:FKP720932 FUK720932:FUL720932 GEG720932:GEH720932 GOC720932:GOD720932 GXY720932:GXZ720932 HHU720932:HHV720932 HRQ720932:HRR720932 IBM720932:IBN720932 ILI720932:ILJ720932 IVE720932:IVF720932 JFA720932:JFB720932 JOW720932:JOX720932 JYS720932:JYT720932 KIO720932:KIP720932 KSK720932:KSL720932 LCG720932:LCH720932 LMC720932:LMD720932 LVY720932:LVZ720932 MFU720932:MFV720932 MPQ720932:MPR720932 MZM720932:MZN720932 NJI720932:NJJ720932 NTE720932:NTF720932 ODA720932:ODB720932 OMW720932:OMX720932 OWS720932:OWT720932 PGO720932:PGP720932 PQK720932:PQL720932 QAG720932:QAH720932 QKC720932:QKD720932 QTY720932:QTZ720932 RDU720932:RDV720932 RNQ720932:RNR720932 RXM720932:RXN720932 SHI720932:SHJ720932 SRE720932:SRF720932 TBA720932:TBB720932 TKW720932:TKX720932 TUS720932:TUT720932 UEO720932:UEP720932 UOK720932:UOL720932 UYG720932:UYH720932 VIC720932:VID720932 VRY720932:VRZ720932 WBU720932:WBV720932 WLQ720932:WLR720932 WVM720932:WVN720932 E786468:F786468 JA786468:JB786468 SW786468:SX786468 ACS786468:ACT786468 AMO786468:AMP786468 AWK786468:AWL786468 BGG786468:BGH786468 BQC786468:BQD786468 BZY786468:BZZ786468 CJU786468:CJV786468 CTQ786468:CTR786468 DDM786468:DDN786468 DNI786468:DNJ786468 DXE786468:DXF786468 EHA786468:EHB786468 EQW786468:EQX786468 FAS786468:FAT786468 FKO786468:FKP786468 FUK786468:FUL786468 GEG786468:GEH786468 GOC786468:GOD786468 GXY786468:GXZ786468 HHU786468:HHV786468 HRQ786468:HRR786468 IBM786468:IBN786468 ILI786468:ILJ786468 IVE786468:IVF786468 JFA786468:JFB786468 JOW786468:JOX786468 JYS786468:JYT786468 KIO786468:KIP786468 KSK786468:KSL786468 LCG786468:LCH786468 LMC786468:LMD786468 LVY786468:LVZ786468 MFU786468:MFV786468 MPQ786468:MPR786468 MZM786468:MZN786468 NJI786468:NJJ786468 NTE786468:NTF786468 ODA786468:ODB786468 OMW786468:OMX786468 OWS786468:OWT786468 PGO786468:PGP786468 PQK786468:PQL786468 QAG786468:QAH786468 QKC786468:QKD786468 QTY786468:QTZ786468 RDU786468:RDV786468 RNQ786468:RNR786468 RXM786468:RXN786468 SHI786468:SHJ786468 SRE786468:SRF786468 TBA786468:TBB786468 TKW786468:TKX786468 TUS786468:TUT786468 UEO786468:UEP786468 UOK786468:UOL786468 UYG786468:UYH786468 VIC786468:VID786468 VRY786468:VRZ786468 WBU786468:WBV786468 WLQ786468:WLR786468 WVM786468:WVN786468 E852004:F852004 JA852004:JB852004 SW852004:SX852004 ACS852004:ACT852004 AMO852004:AMP852004 AWK852004:AWL852004 BGG852004:BGH852004 BQC852004:BQD852004 BZY852004:BZZ852004 CJU852004:CJV852004 CTQ852004:CTR852004 DDM852004:DDN852004 DNI852004:DNJ852004 DXE852004:DXF852004 EHA852004:EHB852004 EQW852004:EQX852004 FAS852004:FAT852004 FKO852004:FKP852004 FUK852004:FUL852004 GEG852004:GEH852004 GOC852004:GOD852004 GXY852004:GXZ852004 HHU852004:HHV852004 HRQ852004:HRR852004 IBM852004:IBN852004 ILI852004:ILJ852004 IVE852004:IVF852004 JFA852004:JFB852004 JOW852004:JOX852004 JYS852004:JYT852004 KIO852004:KIP852004 KSK852004:KSL852004 LCG852004:LCH852004 LMC852004:LMD852004 LVY852004:LVZ852004 MFU852004:MFV852004 MPQ852004:MPR852004 MZM852004:MZN852004 NJI852004:NJJ852004 NTE852004:NTF852004 ODA852004:ODB852004 OMW852004:OMX852004 OWS852004:OWT852004 PGO852004:PGP852004 PQK852004:PQL852004 QAG852004:QAH852004 QKC852004:QKD852004 QTY852004:QTZ852004 RDU852004:RDV852004 RNQ852004:RNR852004 RXM852004:RXN852004 SHI852004:SHJ852004 SRE852004:SRF852004 TBA852004:TBB852004 TKW852004:TKX852004 TUS852004:TUT852004 UEO852004:UEP852004 UOK852004:UOL852004 UYG852004:UYH852004 VIC852004:VID852004 VRY852004:VRZ852004 WBU852004:WBV852004 WLQ852004:WLR852004 WVM852004:WVN852004 E917540:F917540 JA917540:JB917540 SW917540:SX917540 ACS917540:ACT917540 AMO917540:AMP917540 AWK917540:AWL917540 BGG917540:BGH917540 BQC917540:BQD917540 BZY917540:BZZ917540 CJU917540:CJV917540 CTQ917540:CTR917540 DDM917540:DDN917540 DNI917540:DNJ917540 DXE917540:DXF917540 EHA917540:EHB917540 EQW917540:EQX917540 FAS917540:FAT917540 FKO917540:FKP917540 FUK917540:FUL917540 GEG917540:GEH917540 GOC917540:GOD917540 GXY917540:GXZ917540 HHU917540:HHV917540 HRQ917540:HRR917540 IBM917540:IBN917540 ILI917540:ILJ917540 IVE917540:IVF917540 JFA917540:JFB917540 JOW917540:JOX917540 JYS917540:JYT917540 KIO917540:KIP917540 KSK917540:KSL917540 LCG917540:LCH917540 LMC917540:LMD917540 LVY917540:LVZ917540 MFU917540:MFV917540 MPQ917540:MPR917540 MZM917540:MZN917540 NJI917540:NJJ917540 NTE917540:NTF917540 ODA917540:ODB917540 OMW917540:OMX917540 OWS917540:OWT917540 PGO917540:PGP917540 PQK917540:PQL917540 QAG917540:QAH917540 QKC917540:QKD917540 QTY917540:QTZ917540 RDU917540:RDV917540 RNQ917540:RNR917540 RXM917540:RXN917540 SHI917540:SHJ917540 SRE917540:SRF917540 TBA917540:TBB917540 TKW917540:TKX917540 TUS917540:TUT917540 UEO917540:UEP917540 UOK917540:UOL917540 UYG917540:UYH917540 VIC917540:VID917540 VRY917540:VRZ917540 WBU917540:WBV917540 WLQ917540:WLR917540 WVM917540:WVN917540 E983076:F983076 JA983076:JB983076 SW983076:SX983076 ACS983076:ACT983076 AMO983076:AMP983076 AWK983076:AWL983076 BGG983076:BGH983076 BQC983076:BQD983076 BZY983076:BZZ983076 CJU983076:CJV983076 CTQ983076:CTR983076 DDM983076:DDN983076 DNI983076:DNJ983076 DXE983076:DXF983076 EHA983076:EHB983076 EQW983076:EQX983076 FAS983076:FAT983076 FKO983076:FKP983076 FUK983076:FUL983076 GEG983076:GEH983076 GOC983076:GOD983076 GXY983076:GXZ983076 HHU983076:HHV983076 HRQ983076:HRR983076 IBM983076:IBN983076 ILI983076:ILJ983076 IVE983076:IVF983076 JFA983076:JFB983076 JOW983076:JOX983076 JYS983076:JYT983076 KIO983076:KIP983076 KSK983076:KSL983076 LCG983076:LCH983076 LMC983076:LMD983076 LVY983076:LVZ983076 MFU983076:MFV983076 MPQ983076:MPR983076 MZM983076:MZN983076 NJI983076:NJJ983076 NTE983076:NTF983076 ODA983076:ODB983076 OMW983076:OMX983076 OWS983076:OWT983076 PGO983076:PGP983076 PQK983076:PQL983076 QAG983076:QAH983076 QKC983076:QKD983076 QTY983076:QTZ983076 RDU983076:RDV983076 RNQ983076:RNR983076 RXM983076:RXN983076 SHI983076:SHJ983076 SRE983076:SRF983076 TBA983076:TBB983076 TKW983076:TKX983076 TUS983076:TUT983076 UEO983076:UEP983076 UOK983076:UOL983076 UYG983076:UYH983076 VIC983076:VID983076 VRY983076:VRZ983076 WBU983076:WBV983076 WLQ983076:WLR983076 WVM983076:WVN983076 WVM9:WVN9 JA9:JB9 SW9:SX9 ACS9:ACT9 AMO9:AMP9 AWK9:AWL9 BGG9:BGH9 BQC9:BQD9 BZY9:BZZ9 CJU9:CJV9 CTQ9:CTR9 DDM9:DDN9 DNI9:DNJ9 DXE9:DXF9 EHA9:EHB9 EQW9:EQX9 FAS9:FAT9 FKO9:FKP9 FUK9:FUL9 GEG9:GEH9 GOC9:GOD9 GXY9:GXZ9 HHU9:HHV9 HRQ9:HRR9 IBM9:IBN9 ILI9:ILJ9 IVE9:IVF9 JFA9:JFB9 JOW9:JOX9 JYS9:JYT9 KIO9:KIP9 KSK9:KSL9 LCG9:LCH9 LMC9:LMD9 LVY9:LVZ9 MFU9:MFV9 MPQ9:MPR9 MZM9:MZN9 NJI9:NJJ9 NTE9:NTF9 ODA9:ODB9 OMW9:OMX9 OWS9:OWT9 PGO9:PGP9 PQK9:PQL9 QAG9:QAH9 QKC9:QKD9 QTY9:QTZ9 RDU9:RDV9 RNQ9:RNR9 RXM9:RXN9 SHI9:SHJ9 SRE9:SRF9 TBA9:TBB9 TKW9:TKX9 TUS9:TUT9 UEO9:UEP9 UOK9:UOL9 UYG9:UYH9 VIC9:VID9 VRY9:VRZ9 WBU9:WBV9 WLQ9:WLR9">
      <formula1>"境内上市,境外上市,非上市"</formula1>
    </dataValidation>
    <dataValidation type="list" allowBlank="1" showInputMessage="1" showErrorMessage="1" sqref="E65569:F65571 JA65569:JB65571 SW65569:SX65571 ACS65569:ACT65571 AMO65569:AMP65571 AWK65569:AWL65571 BGG65569:BGH65571 BQC65569:BQD65571 BZY65569:BZZ65571 CJU65569:CJV65571 CTQ65569:CTR65571 DDM65569:DDN65571 DNI65569:DNJ65571 DXE65569:DXF65571 EHA65569:EHB65571 EQW65569:EQX65571 FAS65569:FAT65571 FKO65569:FKP65571 FUK65569:FUL65571 GEG65569:GEH65571 GOC65569:GOD65571 GXY65569:GXZ65571 HHU65569:HHV65571 HRQ65569:HRR65571 IBM65569:IBN65571 ILI65569:ILJ65571 IVE65569:IVF65571 JFA65569:JFB65571 JOW65569:JOX65571 JYS65569:JYT65571 KIO65569:KIP65571 KSK65569:KSL65571 LCG65569:LCH65571 LMC65569:LMD65571 LVY65569:LVZ65571 MFU65569:MFV65571 MPQ65569:MPR65571 MZM65569:MZN65571 NJI65569:NJJ65571 NTE65569:NTF65571 ODA65569:ODB65571 OMW65569:OMX65571 OWS65569:OWT65571 PGO65569:PGP65571 PQK65569:PQL65571 QAG65569:QAH65571 QKC65569:QKD65571 QTY65569:QTZ65571 RDU65569:RDV65571 RNQ65569:RNR65571 RXM65569:RXN65571 SHI65569:SHJ65571 SRE65569:SRF65571 TBA65569:TBB65571 TKW65569:TKX65571 TUS65569:TUT65571 UEO65569:UEP65571 UOK65569:UOL65571 UYG65569:UYH65571 VIC65569:VID65571 VRY65569:VRZ65571 WBU65569:WBV65571 WLQ65569:WLR65571 WVM65569:WVN65571 E131105:F131107 JA131105:JB131107 SW131105:SX131107 ACS131105:ACT131107 AMO131105:AMP131107 AWK131105:AWL131107 BGG131105:BGH131107 BQC131105:BQD131107 BZY131105:BZZ131107 CJU131105:CJV131107 CTQ131105:CTR131107 DDM131105:DDN131107 DNI131105:DNJ131107 DXE131105:DXF131107 EHA131105:EHB131107 EQW131105:EQX131107 FAS131105:FAT131107 FKO131105:FKP131107 FUK131105:FUL131107 GEG131105:GEH131107 GOC131105:GOD131107 GXY131105:GXZ131107 HHU131105:HHV131107 HRQ131105:HRR131107 IBM131105:IBN131107 ILI131105:ILJ131107 IVE131105:IVF131107 JFA131105:JFB131107 JOW131105:JOX131107 JYS131105:JYT131107 KIO131105:KIP131107 KSK131105:KSL131107 LCG131105:LCH131107 LMC131105:LMD131107 LVY131105:LVZ131107 MFU131105:MFV131107 MPQ131105:MPR131107 MZM131105:MZN131107 NJI131105:NJJ131107 NTE131105:NTF131107 ODA131105:ODB131107 OMW131105:OMX131107 OWS131105:OWT131107 PGO131105:PGP131107 PQK131105:PQL131107 QAG131105:QAH131107 QKC131105:QKD131107 QTY131105:QTZ131107 RDU131105:RDV131107 RNQ131105:RNR131107 RXM131105:RXN131107 SHI131105:SHJ131107 SRE131105:SRF131107 TBA131105:TBB131107 TKW131105:TKX131107 TUS131105:TUT131107 UEO131105:UEP131107 UOK131105:UOL131107 UYG131105:UYH131107 VIC131105:VID131107 VRY131105:VRZ131107 WBU131105:WBV131107 WLQ131105:WLR131107 WVM131105:WVN131107 E196641:F196643 JA196641:JB196643 SW196641:SX196643 ACS196641:ACT196643 AMO196641:AMP196643 AWK196641:AWL196643 BGG196641:BGH196643 BQC196641:BQD196643 BZY196641:BZZ196643 CJU196641:CJV196643 CTQ196641:CTR196643 DDM196641:DDN196643 DNI196641:DNJ196643 DXE196641:DXF196643 EHA196641:EHB196643 EQW196641:EQX196643 FAS196641:FAT196643 FKO196641:FKP196643 FUK196641:FUL196643 GEG196641:GEH196643 GOC196641:GOD196643 GXY196641:GXZ196643 HHU196641:HHV196643 HRQ196641:HRR196643 IBM196641:IBN196643 ILI196641:ILJ196643 IVE196641:IVF196643 JFA196641:JFB196643 JOW196641:JOX196643 JYS196641:JYT196643 KIO196641:KIP196643 KSK196641:KSL196643 LCG196641:LCH196643 LMC196641:LMD196643 LVY196641:LVZ196643 MFU196641:MFV196643 MPQ196641:MPR196643 MZM196641:MZN196643 NJI196641:NJJ196643 NTE196641:NTF196643 ODA196641:ODB196643 OMW196641:OMX196643 OWS196641:OWT196643 PGO196641:PGP196643 PQK196641:PQL196643 QAG196641:QAH196643 QKC196641:QKD196643 QTY196641:QTZ196643 RDU196641:RDV196643 RNQ196641:RNR196643 RXM196641:RXN196643 SHI196641:SHJ196643 SRE196641:SRF196643 TBA196641:TBB196643 TKW196641:TKX196643 TUS196641:TUT196643 UEO196641:UEP196643 UOK196641:UOL196643 UYG196641:UYH196643 VIC196641:VID196643 VRY196641:VRZ196643 WBU196641:WBV196643 WLQ196641:WLR196643 WVM196641:WVN196643 E262177:F262179 JA262177:JB262179 SW262177:SX262179 ACS262177:ACT262179 AMO262177:AMP262179 AWK262177:AWL262179 BGG262177:BGH262179 BQC262177:BQD262179 BZY262177:BZZ262179 CJU262177:CJV262179 CTQ262177:CTR262179 DDM262177:DDN262179 DNI262177:DNJ262179 DXE262177:DXF262179 EHA262177:EHB262179 EQW262177:EQX262179 FAS262177:FAT262179 FKO262177:FKP262179 FUK262177:FUL262179 GEG262177:GEH262179 GOC262177:GOD262179 GXY262177:GXZ262179 HHU262177:HHV262179 HRQ262177:HRR262179 IBM262177:IBN262179 ILI262177:ILJ262179 IVE262177:IVF262179 JFA262177:JFB262179 JOW262177:JOX262179 JYS262177:JYT262179 KIO262177:KIP262179 KSK262177:KSL262179 LCG262177:LCH262179 LMC262177:LMD262179 LVY262177:LVZ262179 MFU262177:MFV262179 MPQ262177:MPR262179 MZM262177:MZN262179 NJI262177:NJJ262179 NTE262177:NTF262179 ODA262177:ODB262179 OMW262177:OMX262179 OWS262177:OWT262179 PGO262177:PGP262179 PQK262177:PQL262179 QAG262177:QAH262179 QKC262177:QKD262179 QTY262177:QTZ262179 RDU262177:RDV262179 RNQ262177:RNR262179 RXM262177:RXN262179 SHI262177:SHJ262179 SRE262177:SRF262179 TBA262177:TBB262179 TKW262177:TKX262179 TUS262177:TUT262179 UEO262177:UEP262179 UOK262177:UOL262179 UYG262177:UYH262179 VIC262177:VID262179 VRY262177:VRZ262179 WBU262177:WBV262179 WLQ262177:WLR262179 WVM262177:WVN262179 E327713:F327715 JA327713:JB327715 SW327713:SX327715 ACS327713:ACT327715 AMO327713:AMP327715 AWK327713:AWL327715 BGG327713:BGH327715 BQC327713:BQD327715 BZY327713:BZZ327715 CJU327713:CJV327715 CTQ327713:CTR327715 DDM327713:DDN327715 DNI327713:DNJ327715 DXE327713:DXF327715 EHA327713:EHB327715 EQW327713:EQX327715 FAS327713:FAT327715 FKO327713:FKP327715 FUK327713:FUL327715 GEG327713:GEH327715 GOC327713:GOD327715 GXY327713:GXZ327715 HHU327713:HHV327715 HRQ327713:HRR327715 IBM327713:IBN327715 ILI327713:ILJ327715 IVE327713:IVF327715 JFA327713:JFB327715 JOW327713:JOX327715 JYS327713:JYT327715 KIO327713:KIP327715 KSK327713:KSL327715 LCG327713:LCH327715 LMC327713:LMD327715 LVY327713:LVZ327715 MFU327713:MFV327715 MPQ327713:MPR327715 MZM327713:MZN327715 NJI327713:NJJ327715 NTE327713:NTF327715 ODA327713:ODB327715 OMW327713:OMX327715 OWS327713:OWT327715 PGO327713:PGP327715 PQK327713:PQL327715 QAG327713:QAH327715 QKC327713:QKD327715 QTY327713:QTZ327715 RDU327713:RDV327715 RNQ327713:RNR327715 RXM327713:RXN327715 SHI327713:SHJ327715 SRE327713:SRF327715 TBA327713:TBB327715 TKW327713:TKX327715 TUS327713:TUT327715 UEO327713:UEP327715 UOK327713:UOL327715 UYG327713:UYH327715 VIC327713:VID327715 VRY327713:VRZ327715 WBU327713:WBV327715 WLQ327713:WLR327715 WVM327713:WVN327715 E393249:F393251 JA393249:JB393251 SW393249:SX393251 ACS393249:ACT393251 AMO393249:AMP393251 AWK393249:AWL393251 BGG393249:BGH393251 BQC393249:BQD393251 BZY393249:BZZ393251 CJU393249:CJV393251 CTQ393249:CTR393251 DDM393249:DDN393251 DNI393249:DNJ393251 DXE393249:DXF393251 EHA393249:EHB393251 EQW393249:EQX393251 FAS393249:FAT393251 FKO393249:FKP393251 FUK393249:FUL393251 GEG393249:GEH393251 GOC393249:GOD393251 GXY393249:GXZ393251 HHU393249:HHV393251 HRQ393249:HRR393251 IBM393249:IBN393251 ILI393249:ILJ393251 IVE393249:IVF393251 JFA393249:JFB393251 JOW393249:JOX393251 JYS393249:JYT393251 KIO393249:KIP393251 KSK393249:KSL393251 LCG393249:LCH393251 LMC393249:LMD393251 LVY393249:LVZ393251 MFU393249:MFV393251 MPQ393249:MPR393251 MZM393249:MZN393251 NJI393249:NJJ393251 NTE393249:NTF393251 ODA393249:ODB393251 OMW393249:OMX393251 OWS393249:OWT393251 PGO393249:PGP393251 PQK393249:PQL393251 QAG393249:QAH393251 QKC393249:QKD393251 QTY393249:QTZ393251 RDU393249:RDV393251 RNQ393249:RNR393251 RXM393249:RXN393251 SHI393249:SHJ393251 SRE393249:SRF393251 TBA393249:TBB393251 TKW393249:TKX393251 TUS393249:TUT393251 UEO393249:UEP393251 UOK393249:UOL393251 UYG393249:UYH393251 VIC393249:VID393251 VRY393249:VRZ393251 WBU393249:WBV393251 WLQ393249:WLR393251 WVM393249:WVN393251 E458785:F458787 JA458785:JB458787 SW458785:SX458787 ACS458785:ACT458787 AMO458785:AMP458787 AWK458785:AWL458787 BGG458785:BGH458787 BQC458785:BQD458787 BZY458785:BZZ458787 CJU458785:CJV458787 CTQ458785:CTR458787 DDM458785:DDN458787 DNI458785:DNJ458787 DXE458785:DXF458787 EHA458785:EHB458787 EQW458785:EQX458787 FAS458785:FAT458787 FKO458785:FKP458787 FUK458785:FUL458787 GEG458785:GEH458787 GOC458785:GOD458787 GXY458785:GXZ458787 HHU458785:HHV458787 HRQ458785:HRR458787 IBM458785:IBN458787 ILI458785:ILJ458787 IVE458785:IVF458787 JFA458785:JFB458787 JOW458785:JOX458787 JYS458785:JYT458787 KIO458785:KIP458787 KSK458785:KSL458787 LCG458785:LCH458787 LMC458785:LMD458787 LVY458785:LVZ458787 MFU458785:MFV458787 MPQ458785:MPR458787 MZM458785:MZN458787 NJI458785:NJJ458787 NTE458785:NTF458787 ODA458785:ODB458787 OMW458785:OMX458787 OWS458785:OWT458787 PGO458785:PGP458787 PQK458785:PQL458787 QAG458785:QAH458787 QKC458785:QKD458787 QTY458785:QTZ458787 RDU458785:RDV458787 RNQ458785:RNR458787 RXM458785:RXN458787 SHI458785:SHJ458787 SRE458785:SRF458787 TBA458785:TBB458787 TKW458785:TKX458787 TUS458785:TUT458787 UEO458785:UEP458787 UOK458785:UOL458787 UYG458785:UYH458787 VIC458785:VID458787 VRY458785:VRZ458787 WBU458785:WBV458787 WLQ458785:WLR458787 WVM458785:WVN458787 E524321:F524323 JA524321:JB524323 SW524321:SX524323 ACS524321:ACT524323 AMO524321:AMP524323 AWK524321:AWL524323 BGG524321:BGH524323 BQC524321:BQD524323 BZY524321:BZZ524323 CJU524321:CJV524323 CTQ524321:CTR524323 DDM524321:DDN524323 DNI524321:DNJ524323 DXE524321:DXF524323 EHA524321:EHB524323 EQW524321:EQX524323 FAS524321:FAT524323 FKO524321:FKP524323 FUK524321:FUL524323 GEG524321:GEH524323 GOC524321:GOD524323 GXY524321:GXZ524323 HHU524321:HHV524323 HRQ524321:HRR524323 IBM524321:IBN524323 ILI524321:ILJ524323 IVE524321:IVF524323 JFA524321:JFB524323 JOW524321:JOX524323 JYS524321:JYT524323 KIO524321:KIP524323 KSK524321:KSL524323 LCG524321:LCH524323 LMC524321:LMD524323 LVY524321:LVZ524323 MFU524321:MFV524323 MPQ524321:MPR524323 MZM524321:MZN524323 NJI524321:NJJ524323 NTE524321:NTF524323 ODA524321:ODB524323 OMW524321:OMX524323 OWS524321:OWT524323 PGO524321:PGP524323 PQK524321:PQL524323 QAG524321:QAH524323 QKC524321:QKD524323 QTY524321:QTZ524323 RDU524321:RDV524323 RNQ524321:RNR524323 RXM524321:RXN524323 SHI524321:SHJ524323 SRE524321:SRF524323 TBA524321:TBB524323 TKW524321:TKX524323 TUS524321:TUT524323 UEO524321:UEP524323 UOK524321:UOL524323 UYG524321:UYH524323 VIC524321:VID524323 VRY524321:VRZ524323 WBU524321:WBV524323 WLQ524321:WLR524323 WVM524321:WVN524323 E589857:F589859 JA589857:JB589859 SW589857:SX589859 ACS589857:ACT589859 AMO589857:AMP589859 AWK589857:AWL589859 BGG589857:BGH589859 BQC589857:BQD589859 BZY589857:BZZ589859 CJU589857:CJV589859 CTQ589857:CTR589859 DDM589857:DDN589859 DNI589857:DNJ589859 DXE589857:DXF589859 EHA589857:EHB589859 EQW589857:EQX589859 FAS589857:FAT589859 FKO589857:FKP589859 FUK589857:FUL589859 GEG589857:GEH589859 GOC589857:GOD589859 GXY589857:GXZ589859 HHU589857:HHV589859 HRQ589857:HRR589859 IBM589857:IBN589859 ILI589857:ILJ589859 IVE589857:IVF589859 JFA589857:JFB589859 JOW589857:JOX589859 JYS589857:JYT589859 KIO589857:KIP589859 KSK589857:KSL589859 LCG589857:LCH589859 LMC589857:LMD589859 LVY589857:LVZ589859 MFU589857:MFV589859 MPQ589857:MPR589859 MZM589857:MZN589859 NJI589857:NJJ589859 NTE589857:NTF589859 ODA589857:ODB589859 OMW589857:OMX589859 OWS589857:OWT589859 PGO589857:PGP589859 PQK589857:PQL589859 QAG589857:QAH589859 QKC589857:QKD589859 QTY589857:QTZ589859 RDU589857:RDV589859 RNQ589857:RNR589859 RXM589857:RXN589859 SHI589857:SHJ589859 SRE589857:SRF589859 TBA589857:TBB589859 TKW589857:TKX589859 TUS589857:TUT589859 UEO589857:UEP589859 UOK589857:UOL589859 UYG589857:UYH589859 VIC589857:VID589859 VRY589857:VRZ589859 WBU589857:WBV589859 WLQ589857:WLR589859 WVM589857:WVN589859 E655393:F655395 JA655393:JB655395 SW655393:SX655395 ACS655393:ACT655395 AMO655393:AMP655395 AWK655393:AWL655395 BGG655393:BGH655395 BQC655393:BQD655395 BZY655393:BZZ655395 CJU655393:CJV655395 CTQ655393:CTR655395 DDM655393:DDN655395 DNI655393:DNJ655395 DXE655393:DXF655395 EHA655393:EHB655395 EQW655393:EQX655395 FAS655393:FAT655395 FKO655393:FKP655395 FUK655393:FUL655395 GEG655393:GEH655395 GOC655393:GOD655395 GXY655393:GXZ655395 HHU655393:HHV655395 HRQ655393:HRR655395 IBM655393:IBN655395 ILI655393:ILJ655395 IVE655393:IVF655395 JFA655393:JFB655395 JOW655393:JOX655395 JYS655393:JYT655395 KIO655393:KIP655395 KSK655393:KSL655395 LCG655393:LCH655395 LMC655393:LMD655395 LVY655393:LVZ655395 MFU655393:MFV655395 MPQ655393:MPR655395 MZM655393:MZN655395 NJI655393:NJJ655395 NTE655393:NTF655395 ODA655393:ODB655395 OMW655393:OMX655395 OWS655393:OWT655395 PGO655393:PGP655395 PQK655393:PQL655395 QAG655393:QAH655395 QKC655393:QKD655395 QTY655393:QTZ655395 RDU655393:RDV655395 RNQ655393:RNR655395 RXM655393:RXN655395 SHI655393:SHJ655395 SRE655393:SRF655395 TBA655393:TBB655395 TKW655393:TKX655395 TUS655393:TUT655395 UEO655393:UEP655395 UOK655393:UOL655395 UYG655393:UYH655395 VIC655393:VID655395 VRY655393:VRZ655395 WBU655393:WBV655395 WLQ655393:WLR655395 WVM655393:WVN655395 E720929:F720931 JA720929:JB720931 SW720929:SX720931 ACS720929:ACT720931 AMO720929:AMP720931 AWK720929:AWL720931 BGG720929:BGH720931 BQC720929:BQD720931 BZY720929:BZZ720931 CJU720929:CJV720931 CTQ720929:CTR720931 DDM720929:DDN720931 DNI720929:DNJ720931 DXE720929:DXF720931 EHA720929:EHB720931 EQW720929:EQX720931 FAS720929:FAT720931 FKO720929:FKP720931 FUK720929:FUL720931 GEG720929:GEH720931 GOC720929:GOD720931 GXY720929:GXZ720931 HHU720929:HHV720931 HRQ720929:HRR720931 IBM720929:IBN720931 ILI720929:ILJ720931 IVE720929:IVF720931 JFA720929:JFB720931 JOW720929:JOX720931 JYS720929:JYT720931 KIO720929:KIP720931 KSK720929:KSL720931 LCG720929:LCH720931 LMC720929:LMD720931 LVY720929:LVZ720931 MFU720929:MFV720931 MPQ720929:MPR720931 MZM720929:MZN720931 NJI720929:NJJ720931 NTE720929:NTF720931 ODA720929:ODB720931 OMW720929:OMX720931 OWS720929:OWT720931 PGO720929:PGP720931 PQK720929:PQL720931 QAG720929:QAH720931 QKC720929:QKD720931 QTY720929:QTZ720931 RDU720929:RDV720931 RNQ720929:RNR720931 RXM720929:RXN720931 SHI720929:SHJ720931 SRE720929:SRF720931 TBA720929:TBB720931 TKW720929:TKX720931 TUS720929:TUT720931 UEO720929:UEP720931 UOK720929:UOL720931 UYG720929:UYH720931 VIC720929:VID720931 VRY720929:VRZ720931 WBU720929:WBV720931 WLQ720929:WLR720931 WVM720929:WVN720931 E786465:F786467 JA786465:JB786467 SW786465:SX786467 ACS786465:ACT786467 AMO786465:AMP786467 AWK786465:AWL786467 BGG786465:BGH786467 BQC786465:BQD786467 BZY786465:BZZ786467 CJU786465:CJV786467 CTQ786465:CTR786467 DDM786465:DDN786467 DNI786465:DNJ786467 DXE786465:DXF786467 EHA786465:EHB786467 EQW786465:EQX786467 FAS786465:FAT786467 FKO786465:FKP786467 FUK786465:FUL786467 GEG786465:GEH786467 GOC786465:GOD786467 GXY786465:GXZ786467 HHU786465:HHV786467 HRQ786465:HRR786467 IBM786465:IBN786467 ILI786465:ILJ786467 IVE786465:IVF786467 JFA786465:JFB786467 JOW786465:JOX786467 JYS786465:JYT786467 KIO786465:KIP786467 KSK786465:KSL786467 LCG786465:LCH786467 LMC786465:LMD786467 LVY786465:LVZ786467 MFU786465:MFV786467 MPQ786465:MPR786467 MZM786465:MZN786467 NJI786465:NJJ786467 NTE786465:NTF786467 ODA786465:ODB786467 OMW786465:OMX786467 OWS786465:OWT786467 PGO786465:PGP786467 PQK786465:PQL786467 QAG786465:QAH786467 QKC786465:QKD786467 QTY786465:QTZ786467 RDU786465:RDV786467 RNQ786465:RNR786467 RXM786465:RXN786467 SHI786465:SHJ786467 SRE786465:SRF786467 TBA786465:TBB786467 TKW786465:TKX786467 TUS786465:TUT786467 UEO786465:UEP786467 UOK786465:UOL786467 UYG786465:UYH786467 VIC786465:VID786467 VRY786465:VRZ786467 WBU786465:WBV786467 WLQ786465:WLR786467 WVM786465:WVN786467 E852001:F852003 JA852001:JB852003 SW852001:SX852003 ACS852001:ACT852003 AMO852001:AMP852003 AWK852001:AWL852003 BGG852001:BGH852003 BQC852001:BQD852003 BZY852001:BZZ852003 CJU852001:CJV852003 CTQ852001:CTR852003 DDM852001:DDN852003 DNI852001:DNJ852003 DXE852001:DXF852003 EHA852001:EHB852003 EQW852001:EQX852003 FAS852001:FAT852003 FKO852001:FKP852003 FUK852001:FUL852003 GEG852001:GEH852003 GOC852001:GOD852003 GXY852001:GXZ852003 HHU852001:HHV852003 HRQ852001:HRR852003 IBM852001:IBN852003 ILI852001:ILJ852003 IVE852001:IVF852003 JFA852001:JFB852003 JOW852001:JOX852003 JYS852001:JYT852003 KIO852001:KIP852003 KSK852001:KSL852003 LCG852001:LCH852003 LMC852001:LMD852003 LVY852001:LVZ852003 MFU852001:MFV852003 MPQ852001:MPR852003 MZM852001:MZN852003 NJI852001:NJJ852003 NTE852001:NTF852003 ODA852001:ODB852003 OMW852001:OMX852003 OWS852001:OWT852003 PGO852001:PGP852003 PQK852001:PQL852003 QAG852001:QAH852003 QKC852001:QKD852003 QTY852001:QTZ852003 RDU852001:RDV852003 RNQ852001:RNR852003 RXM852001:RXN852003 SHI852001:SHJ852003 SRE852001:SRF852003 TBA852001:TBB852003 TKW852001:TKX852003 TUS852001:TUT852003 UEO852001:UEP852003 UOK852001:UOL852003 UYG852001:UYH852003 VIC852001:VID852003 VRY852001:VRZ852003 WBU852001:WBV852003 WLQ852001:WLR852003 WVM852001:WVN852003 E917537:F917539 JA917537:JB917539 SW917537:SX917539 ACS917537:ACT917539 AMO917537:AMP917539 AWK917537:AWL917539 BGG917537:BGH917539 BQC917537:BQD917539 BZY917537:BZZ917539 CJU917537:CJV917539 CTQ917537:CTR917539 DDM917537:DDN917539 DNI917537:DNJ917539 DXE917537:DXF917539 EHA917537:EHB917539 EQW917537:EQX917539 FAS917537:FAT917539 FKO917537:FKP917539 FUK917537:FUL917539 GEG917537:GEH917539 GOC917537:GOD917539 GXY917537:GXZ917539 HHU917537:HHV917539 HRQ917537:HRR917539 IBM917537:IBN917539 ILI917537:ILJ917539 IVE917537:IVF917539 JFA917537:JFB917539 JOW917537:JOX917539 JYS917537:JYT917539 KIO917537:KIP917539 KSK917537:KSL917539 LCG917537:LCH917539 LMC917537:LMD917539 LVY917537:LVZ917539 MFU917537:MFV917539 MPQ917537:MPR917539 MZM917537:MZN917539 NJI917537:NJJ917539 NTE917537:NTF917539 ODA917537:ODB917539 OMW917537:OMX917539 OWS917537:OWT917539 PGO917537:PGP917539 PQK917537:PQL917539 QAG917537:QAH917539 QKC917537:QKD917539 QTY917537:QTZ917539 RDU917537:RDV917539 RNQ917537:RNR917539 RXM917537:RXN917539 SHI917537:SHJ917539 SRE917537:SRF917539 TBA917537:TBB917539 TKW917537:TKX917539 TUS917537:TUT917539 UEO917537:UEP917539 UOK917537:UOL917539 UYG917537:UYH917539 VIC917537:VID917539 VRY917537:VRZ917539 WBU917537:WBV917539 WLQ917537:WLR917539 WVM917537:WVN917539 E983073:F983075 JA983073:JB983075 SW983073:SX983075 ACS983073:ACT983075 AMO983073:AMP983075 AWK983073:AWL983075 BGG983073:BGH983075 BQC983073:BQD983075 BZY983073:BZZ983075 CJU983073:CJV983075 CTQ983073:CTR983075 DDM983073:DDN983075 DNI983073:DNJ983075 DXE983073:DXF983075 EHA983073:EHB983075 EQW983073:EQX983075 FAS983073:FAT983075 FKO983073:FKP983075 FUK983073:FUL983075 GEG983073:GEH983075 GOC983073:GOD983075 GXY983073:GXZ983075 HHU983073:HHV983075 HRQ983073:HRR983075 IBM983073:IBN983075 ILI983073:ILJ983075 IVE983073:IVF983075 JFA983073:JFB983075 JOW983073:JOX983075 JYS983073:JYT983075 KIO983073:KIP983075 KSK983073:KSL983075 LCG983073:LCH983075 LMC983073:LMD983075 LVY983073:LVZ983075 MFU983073:MFV983075 MPQ983073:MPR983075 MZM983073:MZN983075 NJI983073:NJJ983075 NTE983073:NTF983075 ODA983073:ODB983075 OMW983073:OMX983075 OWS983073:OWT983075 PGO983073:PGP983075 PQK983073:PQL983075 QAG983073:QAH983075 QKC983073:QKD983075 QTY983073:QTZ983075 RDU983073:RDV983075 RNQ983073:RNR983075 RXM983073:RXN983075 SHI983073:SHJ983075 SRE983073:SRF983075 TBA983073:TBB983075 TKW983073:TKX983075 TUS983073:TUT983075 UEO983073:UEP983075 UOK983073:UOL983075 UYG983073:UYH983075 VIC983073:VID983075 VRY983073:VRZ983075 WBU983073:WBV983075 WLQ983073:WLR983075 WVM983073:WVN983075 E65576 JA65576 SW65576 ACS65576 AMO65576 AWK65576 BGG65576 BQC65576 BZY65576 CJU65576 CTQ65576 DDM65576 DNI65576 DXE65576 EHA65576 EQW65576 FAS65576 FKO65576 FUK65576 GEG65576 GOC65576 GXY65576 HHU65576 HRQ65576 IBM65576 ILI65576 IVE65576 JFA65576 JOW65576 JYS65576 KIO65576 KSK65576 LCG65576 LMC65576 LVY65576 MFU65576 MPQ65576 MZM65576 NJI65576 NTE65576 ODA65576 OMW65576 OWS65576 PGO65576 PQK65576 QAG65576 QKC65576 QTY65576 RDU65576 RNQ65576 RXM65576 SHI65576 SRE65576 TBA65576 TKW65576 TUS65576 UEO65576 UOK65576 UYG65576 VIC65576 VRY65576 WBU65576 WLQ65576 WVM65576 E131112 JA131112 SW131112 ACS131112 AMO131112 AWK131112 BGG131112 BQC131112 BZY131112 CJU131112 CTQ131112 DDM131112 DNI131112 DXE131112 EHA131112 EQW131112 FAS131112 FKO131112 FUK131112 GEG131112 GOC131112 GXY131112 HHU131112 HRQ131112 IBM131112 ILI131112 IVE131112 JFA131112 JOW131112 JYS131112 KIO131112 KSK131112 LCG131112 LMC131112 LVY131112 MFU131112 MPQ131112 MZM131112 NJI131112 NTE131112 ODA131112 OMW131112 OWS131112 PGO131112 PQK131112 QAG131112 QKC131112 QTY131112 RDU131112 RNQ131112 RXM131112 SHI131112 SRE131112 TBA131112 TKW131112 TUS131112 UEO131112 UOK131112 UYG131112 VIC131112 VRY131112 WBU131112 WLQ131112 WVM131112 E196648 JA196648 SW196648 ACS196648 AMO196648 AWK196648 BGG196648 BQC196648 BZY196648 CJU196648 CTQ196648 DDM196648 DNI196648 DXE196648 EHA196648 EQW196648 FAS196648 FKO196648 FUK196648 GEG196648 GOC196648 GXY196648 HHU196648 HRQ196648 IBM196648 ILI196648 IVE196648 JFA196648 JOW196648 JYS196648 KIO196648 KSK196648 LCG196648 LMC196648 LVY196648 MFU196648 MPQ196648 MZM196648 NJI196648 NTE196648 ODA196648 OMW196648 OWS196648 PGO196648 PQK196648 QAG196648 QKC196648 QTY196648 RDU196648 RNQ196648 RXM196648 SHI196648 SRE196648 TBA196648 TKW196648 TUS196648 UEO196648 UOK196648 UYG196648 VIC196648 VRY196648 WBU196648 WLQ196648 WVM196648 E262184 JA262184 SW262184 ACS262184 AMO262184 AWK262184 BGG262184 BQC262184 BZY262184 CJU262184 CTQ262184 DDM262184 DNI262184 DXE262184 EHA262184 EQW262184 FAS262184 FKO262184 FUK262184 GEG262184 GOC262184 GXY262184 HHU262184 HRQ262184 IBM262184 ILI262184 IVE262184 JFA262184 JOW262184 JYS262184 KIO262184 KSK262184 LCG262184 LMC262184 LVY262184 MFU262184 MPQ262184 MZM262184 NJI262184 NTE262184 ODA262184 OMW262184 OWS262184 PGO262184 PQK262184 QAG262184 QKC262184 QTY262184 RDU262184 RNQ262184 RXM262184 SHI262184 SRE262184 TBA262184 TKW262184 TUS262184 UEO262184 UOK262184 UYG262184 VIC262184 VRY262184 WBU262184 WLQ262184 WVM262184 E327720 JA327720 SW327720 ACS327720 AMO327720 AWK327720 BGG327720 BQC327720 BZY327720 CJU327720 CTQ327720 DDM327720 DNI327720 DXE327720 EHA327720 EQW327720 FAS327720 FKO327720 FUK327720 GEG327720 GOC327720 GXY327720 HHU327720 HRQ327720 IBM327720 ILI327720 IVE327720 JFA327720 JOW327720 JYS327720 KIO327720 KSK327720 LCG327720 LMC327720 LVY327720 MFU327720 MPQ327720 MZM327720 NJI327720 NTE327720 ODA327720 OMW327720 OWS327720 PGO327720 PQK327720 QAG327720 QKC327720 QTY327720 RDU327720 RNQ327720 RXM327720 SHI327720 SRE327720 TBA327720 TKW327720 TUS327720 UEO327720 UOK327720 UYG327720 VIC327720 VRY327720 WBU327720 WLQ327720 WVM327720 E393256 JA393256 SW393256 ACS393256 AMO393256 AWK393256 BGG393256 BQC393256 BZY393256 CJU393256 CTQ393256 DDM393256 DNI393256 DXE393256 EHA393256 EQW393256 FAS393256 FKO393256 FUK393256 GEG393256 GOC393256 GXY393256 HHU393256 HRQ393256 IBM393256 ILI393256 IVE393256 JFA393256 JOW393256 JYS393256 KIO393256 KSK393256 LCG393256 LMC393256 LVY393256 MFU393256 MPQ393256 MZM393256 NJI393256 NTE393256 ODA393256 OMW393256 OWS393256 PGO393256 PQK393256 QAG393256 QKC393256 QTY393256 RDU393256 RNQ393256 RXM393256 SHI393256 SRE393256 TBA393256 TKW393256 TUS393256 UEO393256 UOK393256 UYG393256 VIC393256 VRY393256 WBU393256 WLQ393256 WVM393256 E458792 JA458792 SW458792 ACS458792 AMO458792 AWK458792 BGG458792 BQC458792 BZY458792 CJU458792 CTQ458792 DDM458792 DNI458792 DXE458792 EHA458792 EQW458792 FAS458792 FKO458792 FUK458792 GEG458792 GOC458792 GXY458792 HHU458792 HRQ458792 IBM458792 ILI458792 IVE458792 JFA458792 JOW458792 JYS458792 KIO458792 KSK458792 LCG458792 LMC458792 LVY458792 MFU458792 MPQ458792 MZM458792 NJI458792 NTE458792 ODA458792 OMW458792 OWS458792 PGO458792 PQK458792 QAG458792 QKC458792 QTY458792 RDU458792 RNQ458792 RXM458792 SHI458792 SRE458792 TBA458792 TKW458792 TUS458792 UEO458792 UOK458792 UYG458792 VIC458792 VRY458792 WBU458792 WLQ458792 WVM458792 E524328 JA524328 SW524328 ACS524328 AMO524328 AWK524328 BGG524328 BQC524328 BZY524328 CJU524328 CTQ524328 DDM524328 DNI524328 DXE524328 EHA524328 EQW524328 FAS524328 FKO524328 FUK524328 GEG524328 GOC524328 GXY524328 HHU524328 HRQ524328 IBM524328 ILI524328 IVE524328 JFA524328 JOW524328 JYS524328 KIO524328 KSK524328 LCG524328 LMC524328 LVY524328 MFU524328 MPQ524328 MZM524328 NJI524328 NTE524328 ODA524328 OMW524328 OWS524328 PGO524328 PQK524328 QAG524328 QKC524328 QTY524328 RDU524328 RNQ524328 RXM524328 SHI524328 SRE524328 TBA524328 TKW524328 TUS524328 UEO524328 UOK524328 UYG524328 VIC524328 VRY524328 WBU524328 WLQ524328 WVM524328 E589864 JA589864 SW589864 ACS589864 AMO589864 AWK589864 BGG589864 BQC589864 BZY589864 CJU589864 CTQ589864 DDM589864 DNI589864 DXE589864 EHA589864 EQW589864 FAS589864 FKO589864 FUK589864 GEG589864 GOC589864 GXY589864 HHU589864 HRQ589864 IBM589864 ILI589864 IVE589864 JFA589864 JOW589864 JYS589864 KIO589864 KSK589864 LCG589864 LMC589864 LVY589864 MFU589864 MPQ589864 MZM589864 NJI589864 NTE589864 ODA589864 OMW589864 OWS589864 PGO589864 PQK589864 QAG589864 QKC589864 QTY589864 RDU589864 RNQ589864 RXM589864 SHI589864 SRE589864 TBA589864 TKW589864 TUS589864 UEO589864 UOK589864 UYG589864 VIC589864 VRY589864 WBU589864 WLQ589864 WVM589864 E655400 JA655400 SW655400 ACS655400 AMO655400 AWK655400 BGG655400 BQC655400 BZY655400 CJU655400 CTQ655400 DDM655400 DNI655400 DXE655400 EHA655400 EQW655400 FAS655400 FKO655400 FUK655400 GEG655400 GOC655400 GXY655400 HHU655400 HRQ655400 IBM655400 ILI655400 IVE655400 JFA655400 JOW655400 JYS655400 KIO655400 KSK655400 LCG655400 LMC655400 LVY655400 MFU655400 MPQ655400 MZM655400 NJI655400 NTE655400 ODA655400 OMW655400 OWS655400 PGO655400 PQK655400 QAG655400 QKC655400 QTY655400 RDU655400 RNQ655400 RXM655400 SHI655400 SRE655400 TBA655400 TKW655400 TUS655400 UEO655400 UOK655400 UYG655400 VIC655400 VRY655400 WBU655400 WLQ655400 WVM655400 E720936 JA720936 SW720936 ACS720936 AMO720936 AWK720936 BGG720936 BQC720936 BZY720936 CJU720936 CTQ720936 DDM720936 DNI720936 DXE720936 EHA720936 EQW720936 FAS720936 FKO720936 FUK720936 GEG720936 GOC720936 GXY720936 HHU720936 HRQ720936 IBM720936 ILI720936 IVE720936 JFA720936 JOW720936 JYS720936 KIO720936 KSK720936 LCG720936 LMC720936 LVY720936 MFU720936 MPQ720936 MZM720936 NJI720936 NTE720936 ODA720936 OMW720936 OWS720936 PGO720936 PQK720936 QAG720936 QKC720936 QTY720936 RDU720936 RNQ720936 RXM720936 SHI720936 SRE720936 TBA720936 TKW720936 TUS720936 UEO720936 UOK720936 UYG720936 VIC720936 VRY720936 WBU720936 WLQ720936 WVM720936 E786472 JA786472 SW786472 ACS786472 AMO786472 AWK786472 BGG786472 BQC786472 BZY786472 CJU786472 CTQ786472 DDM786472 DNI786472 DXE786472 EHA786472 EQW786472 FAS786472 FKO786472 FUK786472 GEG786472 GOC786472 GXY786472 HHU786472 HRQ786472 IBM786472 ILI786472 IVE786472 JFA786472 JOW786472 JYS786472 KIO786472 KSK786472 LCG786472 LMC786472 LVY786472 MFU786472 MPQ786472 MZM786472 NJI786472 NTE786472 ODA786472 OMW786472 OWS786472 PGO786472 PQK786472 QAG786472 QKC786472 QTY786472 RDU786472 RNQ786472 RXM786472 SHI786472 SRE786472 TBA786472 TKW786472 TUS786472 UEO786472 UOK786472 UYG786472 VIC786472 VRY786472 WBU786472 WLQ786472 WVM786472 E852008 JA852008 SW852008 ACS852008 AMO852008 AWK852008 BGG852008 BQC852008 BZY852008 CJU852008 CTQ852008 DDM852008 DNI852008 DXE852008 EHA852008 EQW852008 FAS852008 FKO852008 FUK852008 GEG852008 GOC852008 GXY852008 HHU852008 HRQ852008 IBM852008 ILI852008 IVE852008 JFA852008 JOW852008 JYS852008 KIO852008 KSK852008 LCG852008 LMC852008 LVY852008 MFU852008 MPQ852008 MZM852008 NJI852008 NTE852008 ODA852008 OMW852008 OWS852008 PGO852008 PQK852008 QAG852008 QKC852008 QTY852008 RDU852008 RNQ852008 RXM852008 SHI852008 SRE852008 TBA852008 TKW852008 TUS852008 UEO852008 UOK852008 UYG852008 VIC852008 VRY852008 WBU852008 WLQ852008 WVM852008 E917544 JA917544 SW917544 ACS917544 AMO917544 AWK917544 BGG917544 BQC917544 BZY917544 CJU917544 CTQ917544 DDM917544 DNI917544 DXE917544 EHA917544 EQW917544 FAS917544 FKO917544 FUK917544 GEG917544 GOC917544 GXY917544 HHU917544 HRQ917544 IBM917544 ILI917544 IVE917544 JFA917544 JOW917544 JYS917544 KIO917544 KSK917544 LCG917544 LMC917544 LVY917544 MFU917544 MPQ917544 MZM917544 NJI917544 NTE917544 ODA917544 OMW917544 OWS917544 PGO917544 PQK917544 QAG917544 QKC917544 QTY917544 RDU917544 RNQ917544 RXM917544 SHI917544 SRE917544 TBA917544 TKW917544 TUS917544 UEO917544 UOK917544 UYG917544 VIC917544 VRY917544 WBU917544 WLQ917544 WVM917544 E983080 JA983080 SW983080 ACS983080 AMO983080 AWK983080 BGG983080 BQC983080 BZY983080 CJU983080 CTQ983080 DDM983080 DNI983080 DXE983080 EHA983080 EQW983080 FAS983080 FKO983080 FUK983080 GEG983080 GOC983080 GXY983080 HHU983080 HRQ983080 IBM983080 ILI983080 IVE983080 JFA983080 JOW983080 JYS983080 KIO983080 KSK983080 LCG983080 LMC983080 LVY983080 MFU983080 MPQ983080 MZM983080 NJI983080 NTE983080 ODA983080 OMW983080 OWS983080 PGO983080 PQK983080 QAG983080 QKC983080 QTY983080 RDU983080 RNQ983080 RXM983080 SHI983080 SRE983080 TBA983080 TKW983080 TUS983080 UEO983080 UOK983080 UYG983080 VIC983080 VRY983080 WBU983080 WLQ983080 WVM983080 E6:F8 JA6:JB8 SW6:SX8 ACS6:ACT8 AMO6:AMP8 AWK6:AWL8 BGG6:BGH8 BQC6:BQD8 BZY6:BZZ8 CJU6:CJV8 CTQ6:CTR8 DDM6:DDN8 DNI6:DNJ8 DXE6:DXF8 EHA6:EHB8 EQW6:EQX8 FAS6:FAT8 FKO6:FKP8 FUK6:FUL8 GEG6:GEH8 GOC6:GOD8 GXY6:GXZ8 HHU6:HHV8 HRQ6:HRR8 IBM6:IBN8 ILI6:ILJ8 IVE6:IVF8 JFA6:JFB8 JOW6:JOX8 JYS6:JYT8 KIO6:KIP8 KSK6:KSL8 LCG6:LCH8 LMC6:LMD8 LVY6:LVZ8 MFU6:MFV8 MPQ6:MPR8 MZM6:MZN8 NJI6:NJJ8 NTE6:NTF8 ODA6:ODB8 OMW6:OMX8 OWS6:OWT8 PGO6:PGP8 PQK6:PQL8 QAG6:QAH8 QKC6:QKD8 QTY6:QTZ8 RDU6:RDV8 RNQ6:RNR8 RXM6:RXN8 SHI6:SHJ8 SRE6:SRF8 TBA6:TBB8 TKW6:TKX8 TUS6:TUT8 UEO6:UEP8 UOK6:UOL8 UYG6:UYH8 VIC6:VID8 VRY6:VRZ8 WBU6:WBV8 WLQ6:WLR8 WVM6:WVN8 E13 JA13 SW13 ACS13 AMO13 AWK13 BGG13 BQC13 BZY13 CJU13 CTQ13 DDM13 DNI13 DXE13 EHA13 EQW13 FAS13 FKO13 FUK13 GEG13 GOC13 GXY13 HHU13 HRQ13 IBM13 ILI13 IVE13 JFA13 JOW13 JYS13 KIO13 KSK13 LCG13 LMC13 LVY13 MFU13 MPQ13 MZM13 NJI13 NTE13 ODA13 OMW13 OWS13 PGO13 PQK13 QAG13 QKC13 QTY13 RDU13 RNQ13 RXM13 SHI13 SRE13 TBA13 TKW13 TUS13 UEO13 UOK13 UYG13 VIC13 VRY13 WBU13 WLQ13 WVM13">
      <formula1>"是,否"</formula1>
    </dataValidation>
    <dataValidation type="list" allowBlank="1" showInputMessage="1" showErrorMessage="1" sqref="B65568:F65568 IX65568:JB65568 ST65568:SX65568 ACP65568:ACT65568 AML65568:AMP65568 AWH65568:AWL65568 BGD65568:BGH65568 BPZ65568:BQD65568 BZV65568:BZZ65568 CJR65568:CJV65568 CTN65568:CTR65568 DDJ65568:DDN65568 DNF65568:DNJ65568 DXB65568:DXF65568 EGX65568:EHB65568 EQT65568:EQX65568 FAP65568:FAT65568 FKL65568:FKP65568 FUH65568:FUL65568 GED65568:GEH65568 GNZ65568:GOD65568 GXV65568:GXZ65568 HHR65568:HHV65568 HRN65568:HRR65568 IBJ65568:IBN65568 ILF65568:ILJ65568 IVB65568:IVF65568 JEX65568:JFB65568 JOT65568:JOX65568 JYP65568:JYT65568 KIL65568:KIP65568 KSH65568:KSL65568 LCD65568:LCH65568 LLZ65568:LMD65568 LVV65568:LVZ65568 MFR65568:MFV65568 MPN65568:MPR65568 MZJ65568:MZN65568 NJF65568:NJJ65568 NTB65568:NTF65568 OCX65568:ODB65568 OMT65568:OMX65568 OWP65568:OWT65568 PGL65568:PGP65568 PQH65568:PQL65568 QAD65568:QAH65568 QJZ65568:QKD65568 QTV65568:QTZ65568 RDR65568:RDV65568 RNN65568:RNR65568 RXJ65568:RXN65568 SHF65568:SHJ65568 SRB65568:SRF65568 TAX65568:TBB65568 TKT65568:TKX65568 TUP65568:TUT65568 UEL65568:UEP65568 UOH65568:UOL65568 UYD65568:UYH65568 VHZ65568:VID65568 VRV65568:VRZ65568 WBR65568:WBV65568 WLN65568:WLR65568 WVJ65568:WVN65568 B131104:F131104 IX131104:JB131104 ST131104:SX131104 ACP131104:ACT131104 AML131104:AMP131104 AWH131104:AWL131104 BGD131104:BGH131104 BPZ131104:BQD131104 BZV131104:BZZ131104 CJR131104:CJV131104 CTN131104:CTR131104 DDJ131104:DDN131104 DNF131104:DNJ131104 DXB131104:DXF131104 EGX131104:EHB131104 EQT131104:EQX131104 FAP131104:FAT131104 FKL131104:FKP131104 FUH131104:FUL131104 GED131104:GEH131104 GNZ131104:GOD131104 GXV131104:GXZ131104 HHR131104:HHV131104 HRN131104:HRR131104 IBJ131104:IBN131104 ILF131104:ILJ131104 IVB131104:IVF131104 JEX131104:JFB131104 JOT131104:JOX131104 JYP131104:JYT131104 KIL131104:KIP131104 KSH131104:KSL131104 LCD131104:LCH131104 LLZ131104:LMD131104 LVV131104:LVZ131104 MFR131104:MFV131104 MPN131104:MPR131104 MZJ131104:MZN131104 NJF131104:NJJ131104 NTB131104:NTF131104 OCX131104:ODB131104 OMT131104:OMX131104 OWP131104:OWT131104 PGL131104:PGP131104 PQH131104:PQL131104 QAD131104:QAH131104 QJZ131104:QKD131104 QTV131104:QTZ131104 RDR131104:RDV131104 RNN131104:RNR131104 RXJ131104:RXN131104 SHF131104:SHJ131104 SRB131104:SRF131104 TAX131104:TBB131104 TKT131104:TKX131104 TUP131104:TUT131104 UEL131104:UEP131104 UOH131104:UOL131104 UYD131104:UYH131104 VHZ131104:VID131104 VRV131104:VRZ131104 WBR131104:WBV131104 WLN131104:WLR131104 WVJ131104:WVN131104 B196640:F196640 IX196640:JB196640 ST196640:SX196640 ACP196640:ACT196640 AML196640:AMP196640 AWH196640:AWL196640 BGD196640:BGH196640 BPZ196640:BQD196640 BZV196640:BZZ196640 CJR196640:CJV196640 CTN196640:CTR196640 DDJ196640:DDN196640 DNF196640:DNJ196640 DXB196640:DXF196640 EGX196640:EHB196640 EQT196640:EQX196640 FAP196640:FAT196640 FKL196640:FKP196640 FUH196640:FUL196640 GED196640:GEH196640 GNZ196640:GOD196640 GXV196640:GXZ196640 HHR196640:HHV196640 HRN196640:HRR196640 IBJ196640:IBN196640 ILF196640:ILJ196640 IVB196640:IVF196640 JEX196640:JFB196640 JOT196640:JOX196640 JYP196640:JYT196640 KIL196640:KIP196640 KSH196640:KSL196640 LCD196640:LCH196640 LLZ196640:LMD196640 LVV196640:LVZ196640 MFR196640:MFV196640 MPN196640:MPR196640 MZJ196640:MZN196640 NJF196640:NJJ196640 NTB196640:NTF196640 OCX196640:ODB196640 OMT196640:OMX196640 OWP196640:OWT196640 PGL196640:PGP196640 PQH196640:PQL196640 QAD196640:QAH196640 QJZ196640:QKD196640 QTV196640:QTZ196640 RDR196640:RDV196640 RNN196640:RNR196640 RXJ196640:RXN196640 SHF196640:SHJ196640 SRB196640:SRF196640 TAX196640:TBB196640 TKT196640:TKX196640 TUP196640:TUT196640 UEL196640:UEP196640 UOH196640:UOL196640 UYD196640:UYH196640 VHZ196640:VID196640 VRV196640:VRZ196640 WBR196640:WBV196640 WLN196640:WLR196640 WVJ196640:WVN196640 B262176:F262176 IX262176:JB262176 ST262176:SX262176 ACP262176:ACT262176 AML262176:AMP262176 AWH262176:AWL262176 BGD262176:BGH262176 BPZ262176:BQD262176 BZV262176:BZZ262176 CJR262176:CJV262176 CTN262176:CTR262176 DDJ262176:DDN262176 DNF262176:DNJ262176 DXB262176:DXF262176 EGX262176:EHB262176 EQT262176:EQX262176 FAP262176:FAT262176 FKL262176:FKP262176 FUH262176:FUL262176 GED262176:GEH262176 GNZ262176:GOD262176 GXV262176:GXZ262176 HHR262176:HHV262176 HRN262176:HRR262176 IBJ262176:IBN262176 ILF262176:ILJ262176 IVB262176:IVF262176 JEX262176:JFB262176 JOT262176:JOX262176 JYP262176:JYT262176 KIL262176:KIP262176 KSH262176:KSL262176 LCD262176:LCH262176 LLZ262176:LMD262176 LVV262176:LVZ262176 MFR262176:MFV262176 MPN262176:MPR262176 MZJ262176:MZN262176 NJF262176:NJJ262176 NTB262176:NTF262176 OCX262176:ODB262176 OMT262176:OMX262176 OWP262176:OWT262176 PGL262176:PGP262176 PQH262176:PQL262176 QAD262176:QAH262176 QJZ262176:QKD262176 QTV262176:QTZ262176 RDR262176:RDV262176 RNN262176:RNR262176 RXJ262176:RXN262176 SHF262176:SHJ262176 SRB262176:SRF262176 TAX262176:TBB262176 TKT262176:TKX262176 TUP262176:TUT262176 UEL262176:UEP262176 UOH262176:UOL262176 UYD262176:UYH262176 VHZ262176:VID262176 VRV262176:VRZ262176 WBR262176:WBV262176 WLN262176:WLR262176 WVJ262176:WVN262176 B327712:F327712 IX327712:JB327712 ST327712:SX327712 ACP327712:ACT327712 AML327712:AMP327712 AWH327712:AWL327712 BGD327712:BGH327712 BPZ327712:BQD327712 BZV327712:BZZ327712 CJR327712:CJV327712 CTN327712:CTR327712 DDJ327712:DDN327712 DNF327712:DNJ327712 DXB327712:DXF327712 EGX327712:EHB327712 EQT327712:EQX327712 FAP327712:FAT327712 FKL327712:FKP327712 FUH327712:FUL327712 GED327712:GEH327712 GNZ327712:GOD327712 GXV327712:GXZ327712 HHR327712:HHV327712 HRN327712:HRR327712 IBJ327712:IBN327712 ILF327712:ILJ327712 IVB327712:IVF327712 JEX327712:JFB327712 JOT327712:JOX327712 JYP327712:JYT327712 KIL327712:KIP327712 KSH327712:KSL327712 LCD327712:LCH327712 LLZ327712:LMD327712 LVV327712:LVZ327712 MFR327712:MFV327712 MPN327712:MPR327712 MZJ327712:MZN327712 NJF327712:NJJ327712 NTB327712:NTF327712 OCX327712:ODB327712 OMT327712:OMX327712 OWP327712:OWT327712 PGL327712:PGP327712 PQH327712:PQL327712 QAD327712:QAH327712 QJZ327712:QKD327712 QTV327712:QTZ327712 RDR327712:RDV327712 RNN327712:RNR327712 RXJ327712:RXN327712 SHF327712:SHJ327712 SRB327712:SRF327712 TAX327712:TBB327712 TKT327712:TKX327712 TUP327712:TUT327712 UEL327712:UEP327712 UOH327712:UOL327712 UYD327712:UYH327712 VHZ327712:VID327712 VRV327712:VRZ327712 WBR327712:WBV327712 WLN327712:WLR327712 WVJ327712:WVN327712 B393248:F393248 IX393248:JB393248 ST393248:SX393248 ACP393248:ACT393248 AML393248:AMP393248 AWH393248:AWL393248 BGD393248:BGH393248 BPZ393248:BQD393248 BZV393248:BZZ393248 CJR393248:CJV393248 CTN393248:CTR393248 DDJ393248:DDN393248 DNF393248:DNJ393248 DXB393248:DXF393248 EGX393248:EHB393248 EQT393248:EQX393248 FAP393248:FAT393248 FKL393248:FKP393248 FUH393248:FUL393248 GED393248:GEH393248 GNZ393248:GOD393248 GXV393248:GXZ393248 HHR393248:HHV393248 HRN393248:HRR393248 IBJ393248:IBN393248 ILF393248:ILJ393248 IVB393248:IVF393248 JEX393248:JFB393248 JOT393248:JOX393248 JYP393248:JYT393248 KIL393248:KIP393248 KSH393248:KSL393248 LCD393248:LCH393248 LLZ393248:LMD393248 LVV393248:LVZ393248 MFR393248:MFV393248 MPN393248:MPR393248 MZJ393248:MZN393248 NJF393248:NJJ393248 NTB393248:NTF393248 OCX393248:ODB393248 OMT393248:OMX393248 OWP393248:OWT393248 PGL393248:PGP393248 PQH393248:PQL393248 QAD393248:QAH393248 QJZ393248:QKD393248 QTV393248:QTZ393248 RDR393248:RDV393248 RNN393248:RNR393248 RXJ393248:RXN393248 SHF393248:SHJ393248 SRB393248:SRF393248 TAX393248:TBB393248 TKT393248:TKX393248 TUP393248:TUT393248 UEL393248:UEP393248 UOH393248:UOL393248 UYD393248:UYH393248 VHZ393248:VID393248 VRV393248:VRZ393248 WBR393248:WBV393248 WLN393248:WLR393248 WVJ393248:WVN393248 B458784:F458784 IX458784:JB458784 ST458784:SX458784 ACP458784:ACT458784 AML458784:AMP458784 AWH458784:AWL458784 BGD458784:BGH458784 BPZ458784:BQD458784 BZV458784:BZZ458784 CJR458784:CJV458784 CTN458784:CTR458784 DDJ458784:DDN458784 DNF458784:DNJ458784 DXB458784:DXF458784 EGX458784:EHB458784 EQT458784:EQX458784 FAP458784:FAT458784 FKL458784:FKP458784 FUH458784:FUL458784 GED458784:GEH458784 GNZ458784:GOD458784 GXV458784:GXZ458784 HHR458784:HHV458784 HRN458784:HRR458784 IBJ458784:IBN458784 ILF458784:ILJ458784 IVB458784:IVF458784 JEX458784:JFB458784 JOT458784:JOX458784 JYP458784:JYT458784 KIL458784:KIP458784 KSH458784:KSL458784 LCD458784:LCH458784 LLZ458784:LMD458784 LVV458784:LVZ458784 MFR458784:MFV458784 MPN458784:MPR458784 MZJ458784:MZN458784 NJF458784:NJJ458784 NTB458784:NTF458784 OCX458784:ODB458784 OMT458784:OMX458784 OWP458784:OWT458784 PGL458784:PGP458784 PQH458784:PQL458784 QAD458784:QAH458784 QJZ458784:QKD458784 QTV458784:QTZ458784 RDR458784:RDV458784 RNN458784:RNR458784 RXJ458784:RXN458784 SHF458784:SHJ458784 SRB458784:SRF458784 TAX458784:TBB458784 TKT458784:TKX458784 TUP458784:TUT458784 UEL458784:UEP458784 UOH458784:UOL458784 UYD458784:UYH458784 VHZ458784:VID458784 VRV458784:VRZ458784 WBR458784:WBV458784 WLN458784:WLR458784 WVJ458784:WVN458784 B524320:F524320 IX524320:JB524320 ST524320:SX524320 ACP524320:ACT524320 AML524320:AMP524320 AWH524320:AWL524320 BGD524320:BGH524320 BPZ524320:BQD524320 BZV524320:BZZ524320 CJR524320:CJV524320 CTN524320:CTR524320 DDJ524320:DDN524320 DNF524320:DNJ524320 DXB524320:DXF524320 EGX524320:EHB524320 EQT524320:EQX524320 FAP524320:FAT524320 FKL524320:FKP524320 FUH524320:FUL524320 GED524320:GEH524320 GNZ524320:GOD524320 GXV524320:GXZ524320 HHR524320:HHV524320 HRN524320:HRR524320 IBJ524320:IBN524320 ILF524320:ILJ524320 IVB524320:IVF524320 JEX524320:JFB524320 JOT524320:JOX524320 JYP524320:JYT524320 KIL524320:KIP524320 KSH524320:KSL524320 LCD524320:LCH524320 LLZ524320:LMD524320 LVV524320:LVZ524320 MFR524320:MFV524320 MPN524320:MPR524320 MZJ524320:MZN524320 NJF524320:NJJ524320 NTB524320:NTF524320 OCX524320:ODB524320 OMT524320:OMX524320 OWP524320:OWT524320 PGL524320:PGP524320 PQH524320:PQL524320 QAD524320:QAH524320 QJZ524320:QKD524320 QTV524320:QTZ524320 RDR524320:RDV524320 RNN524320:RNR524320 RXJ524320:RXN524320 SHF524320:SHJ524320 SRB524320:SRF524320 TAX524320:TBB524320 TKT524320:TKX524320 TUP524320:TUT524320 UEL524320:UEP524320 UOH524320:UOL524320 UYD524320:UYH524320 VHZ524320:VID524320 VRV524320:VRZ524320 WBR524320:WBV524320 WLN524320:WLR524320 WVJ524320:WVN524320 B589856:F589856 IX589856:JB589856 ST589856:SX589856 ACP589856:ACT589856 AML589856:AMP589856 AWH589856:AWL589856 BGD589856:BGH589856 BPZ589856:BQD589856 BZV589856:BZZ589856 CJR589856:CJV589856 CTN589856:CTR589856 DDJ589856:DDN589856 DNF589856:DNJ589856 DXB589856:DXF589856 EGX589856:EHB589856 EQT589856:EQX589856 FAP589856:FAT589856 FKL589856:FKP589856 FUH589856:FUL589856 GED589856:GEH589856 GNZ589856:GOD589856 GXV589856:GXZ589856 HHR589856:HHV589856 HRN589856:HRR589856 IBJ589856:IBN589856 ILF589856:ILJ589856 IVB589856:IVF589856 JEX589856:JFB589856 JOT589856:JOX589856 JYP589856:JYT589856 KIL589856:KIP589856 KSH589856:KSL589856 LCD589856:LCH589856 LLZ589856:LMD589856 LVV589856:LVZ589856 MFR589856:MFV589856 MPN589856:MPR589856 MZJ589856:MZN589856 NJF589856:NJJ589856 NTB589856:NTF589856 OCX589856:ODB589856 OMT589856:OMX589856 OWP589856:OWT589856 PGL589856:PGP589856 PQH589856:PQL589856 QAD589856:QAH589856 QJZ589856:QKD589856 QTV589856:QTZ589856 RDR589856:RDV589856 RNN589856:RNR589856 RXJ589856:RXN589856 SHF589856:SHJ589856 SRB589856:SRF589856 TAX589856:TBB589856 TKT589856:TKX589856 TUP589856:TUT589856 UEL589856:UEP589856 UOH589856:UOL589856 UYD589856:UYH589856 VHZ589856:VID589856 VRV589856:VRZ589856 WBR589856:WBV589856 WLN589856:WLR589856 WVJ589856:WVN589856 B655392:F655392 IX655392:JB655392 ST655392:SX655392 ACP655392:ACT655392 AML655392:AMP655392 AWH655392:AWL655392 BGD655392:BGH655392 BPZ655392:BQD655392 BZV655392:BZZ655392 CJR655392:CJV655392 CTN655392:CTR655392 DDJ655392:DDN655392 DNF655392:DNJ655392 DXB655392:DXF655392 EGX655392:EHB655392 EQT655392:EQX655392 FAP655392:FAT655392 FKL655392:FKP655392 FUH655392:FUL655392 GED655392:GEH655392 GNZ655392:GOD655392 GXV655392:GXZ655392 HHR655392:HHV655392 HRN655392:HRR655392 IBJ655392:IBN655392 ILF655392:ILJ655392 IVB655392:IVF655392 JEX655392:JFB655392 JOT655392:JOX655392 JYP655392:JYT655392 KIL655392:KIP655392 KSH655392:KSL655392 LCD655392:LCH655392 LLZ655392:LMD655392 LVV655392:LVZ655392 MFR655392:MFV655392 MPN655392:MPR655392 MZJ655392:MZN655392 NJF655392:NJJ655392 NTB655392:NTF655392 OCX655392:ODB655392 OMT655392:OMX655392 OWP655392:OWT655392 PGL655392:PGP655392 PQH655392:PQL655392 QAD655392:QAH655392 QJZ655392:QKD655392 QTV655392:QTZ655392 RDR655392:RDV655392 RNN655392:RNR655392 RXJ655392:RXN655392 SHF655392:SHJ655392 SRB655392:SRF655392 TAX655392:TBB655392 TKT655392:TKX655392 TUP655392:TUT655392 UEL655392:UEP655392 UOH655392:UOL655392 UYD655392:UYH655392 VHZ655392:VID655392 VRV655392:VRZ655392 WBR655392:WBV655392 WLN655392:WLR655392 WVJ655392:WVN655392 B720928:F720928 IX720928:JB720928 ST720928:SX720928 ACP720928:ACT720928 AML720928:AMP720928 AWH720928:AWL720928 BGD720928:BGH720928 BPZ720928:BQD720928 BZV720928:BZZ720928 CJR720928:CJV720928 CTN720928:CTR720928 DDJ720928:DDN720928 DNF720928:DNJ720928 DXB720928:DXF720928 EGX720928:EHB720928 EQT720928:EQX720928 FAP720928:FAT720928 FKL720928:FKP720928 FUH720928:FUL720928 GED720928:GEH720928 GNZ720928:GOD720928 GXV720928:GXZ720928 HHR720928:HHV720928 HRN720928:HRR720928 IBJ720928:IBN720928 ILF720928:ILJ720928 IVB720928:IVF720928 JEX720928:JFB720928 JOT720928:JOX720928 JYP720928:JYT720928 KIL720928:KIP720928 KSH720928:KSL720928 LCD720928:LCH720928 LLZ720928:LMD720928 LVV720928:LVZ720928 MFR720928:MFV720928 MPN720928:MPR720928 MZJ720928:MZN720928 NJF720928:NJJ720928 NTB720928:NTF720928 OCX720928:ODB720928 OMT720928:OMX720928 OWP720928:OWT720928 PGL720928:PGP720928 PQH720928:PQL720928 QAD720928:QAH720928 QJZ720928:QKD720928 QTV720928:QTZ720928 RDR720928:RDV720928 RNN720928:RNR720928 RXJ720928:RXN720928 SHF720928:SHJ720928 SRB720928:SRF720928 TAX720928:TBB720928 TKT720928:TKX720928 TUP720928:TUT720928 UEL720928:UEP720928 UOH720928:UOL720928 UYD720928:UYH720928 VHZ720928:VID720928 VRV720928:VRZ720928 WBR720928:WBV720928 WLN720928:WLR720928 WVJ720928:WVN720928 B786464:F786464 IX786464:JB786464 ST786464:SX786464 ACP786464:ACT786464 AML786464:AMP786464 AWH786464:AWL786464 BGD786464:BGH786464 BPZ786464:BQD786464 BZV786464:BZZ786464 CJR786464:CJV786464 CTN786464:CTR786464 DDJ786464:DDN786464 DNF786464:DNJ786464 DXB786464:DXF786464 EGX786464:EHB786464 EQT786464:EQX786464 FAP786464:FAT786464 FKL786464:FKP786464 FUH786464:FUL786464 GED786464:GEH786464 GNZ786464:GOD786464 GXV786464:GXZ786464 HHR786464:HHV786464 HRN786464:HRR786464 IBJ786464:IBN786464 ILF786464:ILJ786464 IVB786464:IVF786464 JEX786464:JFB786464 JOT786464:JOX786464 JYP786464:JYT786464 KIL786464:KIP786464 KSH786464:KSL786464 LCD786464:LCH786464 LLZ786464:LMD786464 LVV786464:LVZ786464 MFR786464:MFV786464 MPN786464:MPR786464 MZJ786464:MZN786464 NJF786464:NJJ786464 NTB786464:NTF786464 OCX786464:ODB786464 OMT786464:OMX786464 OWP786464:OWT786464 PGL786464:PGP786464 PQH786464:PQL786464 QAD786464:QAH786464 QJZ786464:QKD786464 QTV786464:QTZ786464 RDR786464:RDV786464 RNN786464:RNR786464 RXJ786464:RXN786464 SHF786464:SHJ786464 SRB786464:SRF786464 TAX786464:TBB786464 TKT786464:TKX786464 TUP786464:TUT786464 UEL786464:UEP786464 UOH786464:UOL786464 UYD786464:UYH786464 VHZ786464:VID786464 VRV786464:VRZ786464 WBR786464:WBV786464 WLN786464:WLR786464 WVJ786464:WVN786464 B852000:F852000 IX852000:JB852000 ST852000:SX852000 ACP852000:ACT852000 AML852000:AMP852000 AWH852000:AWL852000 BGD852000:BGH852000 BPZ852000:BQD852000 BZV852000:BZZ852000 CJR852000:CJV852000 CTN852000:CTR852000 DDJ852000:DDN852000 DNF852000:DNJ852000 DXB852000:DXF852000 EGX852000:EHB852000 EQT852000:EQX852000 FAP852000:FAT852000 FKL852000:FKP852000 FUH852000:FUL852000 GED852000:GEH852000 GNZ852000:GOD852000 GXV852000:GXZ852000 HHR852000:HHV852000 HRN852000:HRR852000 IBJ852000:IBN852000 ILF852000:ILJ852000 IVB852000:IVF852000 JEX852000:JFB852000 JOT852000:JOX852000 JYP852000:JYT852000 KIL852000:KIP852000 KSH852000:KSL852000 LCD852000:LCH852000 LLZ852000:LMD852000 LVV852000:LVZ852000 MFR852000:MFV852000 MPN852000:MPR852000 MZJ852000:MZN852000 NJF852000:NJJ852000 NTB852000:NTF852000 OCX852000:ODB852000 OMT852000:OMX852000 OWP852000:OWT852000 PGL852000:PGP852000 PQH852000:PQL852000 QAD852000:QAH852000 QJZ852000:QKD852000 QTV852000:QTZ852000 RDR852000:RDV852000 RNN852000:RNR852000 RXJ852000:RXN852000 SHF852000:SHJ852000 SRB852000:SRF852000 TAX852000:TBB852000 TKT852000:TKX852000 TUP852000:TUT852000 UEL852000:UEP852000 UOH852000:UOL852000 UYD852000:UYH852000 VHZ852000:VID852000 VRV852000:VRZ852000 WBR852000:WBV852000 WLN852000:WLR852000 WVJ852000:WVN852000 B917536:F917536 IX917536:JB917536 ST917536:SX917536 ACP917536:ACT917536 AML917536:AMP917536 AWH917536:AWL917536 BGD917536:BGH917536 BPZ917536:BQD917536 BZV917536:BZZ917536 CJR917536:CJV917536 CTN917536:CTR917536 DDJ917536:DDN917536 DNF917536:DNJ917536 DXB917536:DXF917536 EGX917536:EHB917536 EQT917536:EQX917536 FAP917536:FAT917536 FKL917536:FKP917536 FUH917536:FUL917536 GED917536:GEH917536 GNZ917536:GOD917536 GXV917536:GXZ917536 HHR917536:HHV917536 HRN917536:HRR917536 IBJ917536:IBN917536 ILF917536:ILJ917536 IVB917536:IVF917536 JEX917536:JFB917536 JOT917536:JOX917536 JYP917536:JYT917536 KIL917536:KIP917536 KSH917536:KSL917536 LCD917536:LCH917536 LLZ917536:LMD917536 LVV917536:LVZ917536 MFR917536:MFV917536 MPN917536:MPR917536 MZJ917536:MZN917536 NJF917536:NJJ917536 NTB917536:NTF917536 OCX917536:ODB917536 OMT917536:OMX917536 OWP917536:OWT917536 PGL917536:PGP917536 PQH917536:PQL917536 QAD917536:QAH917536 QJZ917536:QKD917536 QTV917536:QTZ917536 RDR917536:RDV917536 RNN917536:RNR917536 RXJ917536:RXN917536 SHF917536:SHJ917536 SRB917536:SRF917536 TAX917536:TBB917536 TKT917536:TKX917536 TUP917536:TUT917536 UEL917536:UEP917536 UOH917536:UOL917536 UYD917536:UYH917536 VHZ917536:VID917536 VRV917536:VRZ917536 WBR917536:WBV917536 WLN917536:WLR917536 WVJ917536:WVN917536 B983072:F983072 IX983072:JB983072 ST983072:SX983072 ACP983072:ACT983072 AML983072:AMP983072 AWH983072:AWL983072 BGD983072:BGH983072 BPZ983072:BQD983072 BZV983072:BZZ983072 CJR983072:CJV983072 CTN983072:CTR983072 DDJ983072:DDN983072 DNF983072:DNJ983072 DXB983072:DXF983072 EGX983072:EHB983072 EQT983072:EQX983072 FAP983072:FAT983072 FKL983072:FKP983072 FUH983072:FUL983072 GED983072:GEH983072 GNZ983072:GOD983072 GXV983072:GXZ983072 HHR983072:HHV983072 HRN983072:HRR983072 IBJ983072:IBN983072 ILF983072:ILJ983072 IVB983072:IVF983072 JEX983072:JFB983072 JOT983072:JOX983072 JYP983072:JYT983072 KIL983072:KIP983072 KSH983072:KSL983072 LCD983072:LCH983072 LLZ983072:LMD983072 LVV983072:LVZ983072 MFR983072:MFV983072 MPN983072:MPR983072 MZJ983072:MZN983072 NJF983072:NJJ983072 NTB983072:NTF983072 OCX983072:ODB983072 OMT983072:OMX983072 OWP983072:OWT983072 PGL983072:PGP983072 PQH983072:PQL983072 QAD983072:QAH983072 QJZ983072:QKD983072 QTV983072:QTZ983072 RDR983072:RDV983072 RNN983072:RNR983072 RXJ983072:RXN983072 SHF983072:SHJ983072 SRB983072:SRF983072 TAX983072:TBB983072 TKT983072:TKX983072 TUP983072:TUT983072 UEL983072:UEP983072 UOH983072:UOL983072 UYD983072:UYH983072 VHZ983072:VID983072 VRV983072:VRZ983072 WBR983072:WBV983072 WLN983072:WLR983072 WVJ983072:WVN983072 B5:F5 IX5:JB5 ST5:SX5 ACP5:ACT5 AML5:AMP5 AWH5:AWL5 BGD5:BGH5 BPZ5:BQD5 BZV5:BZZ5 CJR5:CJV5 CTN5:CTR5 DDJ5:DDN5 DNF5:DNJ5 DXB5:DXF5 EGX5:EHB5 EQT5:EQX5 FAP5:FAT5 FKL5:FKP5 FUH5:FUL5 GED5:GEH5 GNZ5:GOD5 GXV5:GXZ5 HHR5:HHV5 HRN5:HRR5 IBJ5:IBN5 ILF5:ILJ5 IVB5:IVF5 JEX5:JFB5 JOT5:JOX5 JYP5:JYT5 KIL5:KIP5 KSH5:KSL5 LCD5:LCH5 LLZ5:LMD5 LVV5:LVZ5 MFR5:MFV5 MPN5:MPR5 MZJ5:MZN5 NJF5:NJJ5 NTB5:NTF5 OCX5:ODB5 OMT5:OMX5 OWP5:OWT5 PGL5:PGP5 PQH5:PQL5 QAD5:QAH5 QJZ5:QKD5 QTV5:QTZ5 RDR5:RDV5 RNN5:RNR5 RXJ5:RXN5 SHF5:SHJ5 SRB5:SRF5 TAX5:TBB5 TKT5:TKX5 TUP5:TUT5 UEL5:UEP5 UOH5:UOL5 UYD5:UYH5 VHZ5:VID5 VRV5:VRZ5 WBR5:WBV5 WLN5:WLR5 WVJ5:WVN5">
      <formula1>"总机构,否"</formula1>
    </dataValidation>
    <dataValidation type="list" allowBlank="1" showInputMessage="1" showErrorMessage="1" sqref="C65566:F65566 IY65566:JB65566 SU65566:SX65566 ACQ65566:ACT65566 AMM65566:AMP65566 AWI65566:AWL65566 BGE65566:BGH65566 BQA65566:BQD65566 BZW65566:BZZ65566 CJS65566:CJV65566 CTO65566:CTR65566 DDK65566:DDN65566 DNG65566:DNJ65566 DXC65566:DXF65566 EGY65566:EHB65566 EQU65566:EQX65566 FAQ65566:FAT65566 FKM65566:FKP65566 FUI65566:FUL65566 GEE65566:GEH65566 GOA65566:GOD65566 GXW65566:GXZ65566 HHS65566:HHV65566 HRO65566:HRR65566 IBK65566:IBN65566 ILG65566:ILJ65566 IVC65566:IVF65566 JEY65566:JFB65566 JOU65566:JOX65566 JYQ65566:JYT65566 KIM65566:KIP65566 KSI65566:KSL65566 LCE65566:LCH65566 LMA65566:LMD65566 LVW65566:LVZ65566 MFS65566:MFV65566 MPO65566:MPR65566 MZK65566:MZN65566 NJG65566:NJJ65566 NTC65566:NTF65566 OCY65566:ODB65566 OMU65566:OMX65566 OWQ65566:OWT65566 PGM65566:PGP65566 PQI65566:PQL65566 QAE65566:QAH65566 QKA65566:QKD65566 QTW65566:QTZ65566 RDS65566:RDV65566 RNO65566:RNR65566 RXK65566:RXN65566 SHG65566:SHJ65566 SRC65566:SRF65566 TAY65566:TBB65566 TKU65566:TKX65566 TUQ65566:TUT65566 UEM65566:UEP65566 UOI65566:UOL65566 UYE65566:UYH65566 VIA65566:VID65566 VRW65566:VRZ65566 WBS65566:WBV65566 WLO65566:WLR65566 WVK65566:WVN65566 C131102:F131102 IY131102:JB131102 SU131102:SX131102 ACQ131102:ACT131102 AMM131102:AMP131102 AWI131102:AWL131102 BGE131102:BGH131102 BQA131102:BQD131102 BZW131102:BZZ131102 CJS131102:CJV131102 CTO131102:CTR131102 DDK131102:DDN131102 DNG131102:DNJ131102 DXC131102:DXF131102 EGY131102:EHB131102 EQU131102:EQX131102 FAQ131102:FAT131102 FKM131102:FKP131102 FUI131102:FUL131102 GEE131102:GEH131102 GOA131102:GOD131102 GXW131102:GXZ131102 HHS131102:HHV131102 HRO131102:HRR131102 IBK131102:IBN131102 ILG131102:ILJ131102 IVC131102:IVF131102 JEY131102:JFB131102 JOU131102:JOX131102 JYQ131102:JYT131102 KIM131102:KIP131102 KSI131102:KSL131102 LCE131102:LCH131102 LMA131102:LMD131102 LVW131102:LVZ131102 MFS131102:MFV131102 MPO131102:MPR131102 MZK131102:MZN131102 NJG131102:NJJ131102 NTC131102:NTF131102 OCY131102:ODB131102 OMU131102:OMX131102 OWQ131102:OWT131102 PGM131102:PGP131102 PQI131102:PQL131102 QAE131102:QAH131102 QKA131102:QKD131102 QTW131102:QTZ131102 RDS131102:RDV131102 RNO131102:RNR131102 RXK131102:RXN131102 SHG131102:SHJ131102 SRC131102:SRF131102 TAY131102:TBB131102 TKU131102:TKX131102 TUQ131102:TUT131102 UEM131102:UEP131102 UOI131102:UOL131102 UYE131102:UYH131102 VIA131102:VID131102 VRW131102:VRZ131102 WBS131102:WBV131102 WLO131102:WLR131102 WVK131102:WVN131102 C196638:F196638 IY196638:JB196638 SU196638:SX196638 ACQ196638:ACT196638 AMM196638:AMP196638 AWI196638:AWL196638 BGE196638:BGH196638 BQA196638:BQD196638 BZW196638:BZZ196638 CJS196638:CJV196638 CTO196638:CTR196638 DDK196638:DDN196638 DNG196638:DNJ196638 DXC196638:DXF196638 EGY196638:EHB196638 EQU196638:EQX196638 FAQ196638:FAT196638 FKM196638:FKP196638 FUI196638:FUL196638 GEE196638:GEH196638 GOA196638:GOD196638 GXW196638:GXZ196638 HHS196638:HHV196638 HRO196638:HRR196638 IBK196638:IBN196638 ILG196638:ILJ196638 IVC196638:IVF196638 JEY196638:JFB196638 JOU196638:JOX196638 JYQ196638:JYT196638 KIM196638:KIP196638 KSI196638:KSL196638 LCE196638:LCH196638 LMA196638:LMD196638 LVW196638:LVZ196638 MFS196638:MFV196638 MPO196638:MPR196638 MZK196638:MZN196638 NJG196638:NJJ196638 NTC196638:NTF196638 OCY196638:ODB196638 OMU196638:OMX196638 OWQ196638:OWT196638 PGM196638:PGP196638 PQI196638:PQL196638 QAE196638:QAH196638 QKA196638:QKD196638 QTW196638:QTZ196638 RDS196638:RDV196638 RNO196638:RNR196638 RXK196638:RXN196638 SHG196638:SHJ196638 SRC196638:SRF196638 TAY196638:TBB196638 TKU196638:TKX196638 TUQ196638:TUT196638 UEM196638:UEP196638 UOI196638:UOL196638 UYE196638:UYH196638 VIA196638:VID196638 VRW196638:VRZ196638 WBS196638:WBV196638 WLO196638:WLR196638 WVK196638:WVN196638 C262174:F262174 IY262174:JB262174 SU262174:SX262174 ACQ262174:ACT262174 AMM262174:AMP262174 AWI262174:AWL262174 BGE262174:BGH262174 BQA262174:BQD262174 BZW262174:BZZ262174 CJS262174:CJV262174 CTO262174:CTR262174 DDK262174:DDN262174 DNG262174:DNJ262174 DXC262174:DXF262174 EGY262174:EHB262174 EQU262174:EQX262174 FAQ262174:FAT262174 FKM262174:FKP262174 FUI262174:FUL262174 GEE262174:GEH262174 GOA262174:GOD262174 GXW262174:GXZ262174 HHS262174:HHV262174 HRO262174:HRR262174 IBK262174:IBN262174 ILG262174:ILJ262174 IVC262174:IVF262174 JEY262174:JFB262174 JOU262174:JOX262174 JYQ262174:JYT262174 KIM262174:KIP262174 KSI262174:KSL262174 LCE262174:LCH262174 LMA262174:LMD262174 LVW262174:LVZ262174 MFS262174:MFV262174 MPO262174:MPR262174 MZK262174:MZN262174 NJG262174:NJJ262174 NTC262174:NTF262174 OCY262174:ODB262174 OMU262174:OMX262174 OWQ262174:OWT262174 PGM262174:PGP262174 PQI262174:PQL262174 QAE262174:QAH262174 QKA262174:QKD262174 QTW262174:QTZ262174 RDS262174:RDV262174 RNO262174:RNR262174 RXK262174:RXN262174 SHG262174:SHJ262174 SRC262174:SRF262174 TAY262174:TBB262174 TKU262174:TKX262174 TUQ262174:TUT262174 UEM262174:UEP262174 UOI262174:UOL262174 UYE262174:UYH262174 VIA262174:VID262174 VRW262174:VRZ262174 WBS262174:WBV262174 WLO262174:WLR262174 WVK262174:WVN262174 C327710:F327710 IY327710:JB327710 SU327710:SX327710 ACQ327710:ACT327710 AMM327710:AMP327710 AWI327710:AWL327710 BGE327710:BGH327710 BQA327710:BQD327710 BZW327710:BZZ327710 CJS327710:CJV327710 CTO327710:CTR327710 DDK327710:DDN327710 DNG327710:DNJ327710 DXC327710:DXF327710 EGY327710:EHB327710 EQU327710:EQX327710 FAQ327710:FAT327710 FKM327710:FKP327710 FUI327710:FUL327710 GEE327710:GEH327710 GOA327710:GOD327710 GXW327710:GXZ327710 HHS327710:HHV327710 HRO327710:HRR327710 IBK327710:IBN327710 ILG327710:ILJ327710 IVC327710:IVF327710 JEY327710:JFB327710 JOU327710:JOX327710 JYQ327710:JYT327710 KIM327710:KIP327710 KSI327710:KSL327710 LCE327710:LCH327710 LMA327710:LMD327710 LVW327710:LVZ327710 MFS327710:MFV327710 MPO327710:MPR327710 MZK327710:MZN327710 NJG327710:NJJ327710 NTC327710:NTF327710 OCY327710:ODB327710 OMU327710:OMX327710 OWQ327710:OWT327710 PGM327710:PGP327710 PQI327710:PQL327710 QAE327710:QAH327710 QKA327710:QKD327710 QTW327710:QTZ327710 RDS327710:RDV327710 RNO327710:RNR327710 RXK327710:RXN327710 SHG327710:SHJ327710 SRC327710:SRF327710 TAY327710:TBB327710 TKU327710:TKX327710 TUQ327710:TUT327710 UEM327710:UEP327710 UOI327710:UOL327710 UYE327710:UYH327710 VIA327710:VID327710 VRW327710:VRZ327710 WBS327710:WBV327710 WLO327710:WLR327710 WVK327710:WVN327710 C393246:F393246 IY393246:JB393246 SU393246:SX393246 ACQ393246:ACT393246 AMM393246:AMP393246 AWI393246:AWL393246 BGE393246:BGH393246 BQA393246:BQD393246 BZW393246:BZZ393246 CJS393246:CJV393246 CTO393246:CTR393246 DDK393246:DDN393246 DNG393246:DNJ393246 DXC393246:DXF393246 EGY393246:EHB393246 EQU393246:EQX393246 FAQ393246:FAT393246 FKM393246:FKP393246 FUI393246:FUL393246 GEE393246:GEH393246 GOA393246:GOD393246 GXW393246:GXZ393246 HHS393246:HHV393246 HRO393246:HRR393246 IBK393246:IBN393246 ILG393246:ILJ393246 IVC393246:IVF393246 JEY393246:JFB393246 JOU393246:JOX393246 JYQ393246:JYT393246 KIM393246:KIP393246 KSI393246:KSL393246 LCE393246:LCH393246 LMA393246:LMD393246 LVW393246:LVZ393246 MFS393246:MFV393246 MPO393246:MPR393246 MZK393246:MZN393246 NJG393246:NJJ393246 NTC393246:NTF393246 OCY393246:ODB393246 OMU393246:OMX393246 OWQ393246:OWT393246 PGM393246:PGP393246 PQI393246:PQL393246 QAE393246:QAH393246 QKA393246:QKD393246 QTW393246:QTZ393246 RDS393246:RDV393246 RNO393246:RNR393246 RXK393246:RXN393246 SHG393246:SHJ393246 SRC393246:SRF393246 TAY393246:TBB393246 TKU393246:TKX393246 TUQ393246:TUT393246 UEM393246:UEP393246 UOI393246:UOL393246 UYE393246:UYH393246 VIA393246:VID393246 VRW393246:VRZ393246 WBS393246:WBV393246 WLO393246:WLR393246 WVK393246:WVN393246 C458782:F458782 IY458782:JB458782 SU458782:SX458782 ACQ458782:ACT458782 AMM458782:AMP458782 AWI458782:AWL458782 BGE458782:BGH458782 BQA458782:BQD458782 BZW458782:BZZ458782 CJS458782:CJV458782 CTO458782:CTR458782 DDK458782:DDN458782 DNG458782:DNJ458782 DXC458782:DXF458782 EGY458782:EHB458782 EQU458782:EQX458782 FAQ458782:FAT458782 FKM458782:FKP458782 FUI458782:FUL458782 GEE458782:GEH458782 GOA458782:GOD458782 GXW458782:GXZ458782 HHS458782:HHV458782 HRO458782:HRR458782 IBK458782:IBN458782 ILG458782:ILJ458782 IVC458782:IVF458782 JEY458782:JFB458782 JOU458782:JOX458782 JYQ458782:JYT458782 KIM458782:KIP458782 KSI458782:KSL458782 LCE458782:LCH458782 LMA458782:LMD458782 LVW458782:LVZ458782 MFS458782:MFV458782 MPO458782:MPR458782 MZK458782:MZN458782 NJG458782:NJJ458782 NTC458782:NTF458782 OCY458782:ODB458782 OMU458782:OMX458782 OWQ458782:OWT458782 PGM458782:PGP458782 PQI458782:PQL458782 QAE458782:QAH458782 QKA458782:QKD458782 QTW458782:QTZ458782 RDS458782:RDV458782 RNO458782:RNR458782 RXK458782:RXN458782 SHG458782:SHJ458782 SRC458782:SRF458782 TAY458782:TBB458782 TKU458782:TKX458782 TUQ458782:TUT458782 UEM458782:UEP458782 UOI458782:UOL458782 UYE458782:UYH458782 VIA458782:VID458782 VRW458782:VRZ458782 WBS458782:WBV458782 WLO458782:WLR458782 WVK458782:WVN458782 C524318:F524318 IY524318:JB524318 SU524318:SX524318 ACQ524318:ACT524318 AMM524318:AMP524318 AWI524318:AWL524318 BGE524318:BGH524318 BQA524318:BQD524318 BZW524318:BZZ524318 CJS524318:CJV524318 CTO524318:CTR524318 DDK524318:DDN524318 DNG524318:DNJ524318 DXC524318:DXF524318 EGY524318:EHB524318 EQU524318:EQX524318 FAQ524318:FAT524318 FKM524318:FKP524318 FUI524318:FUL524318 GEE524318:GEH524318 GOA524318:GOD524318 GXW524318:GXZ524318 HHS524318:HHV524318 HRO524318:HRR524318 IBK524318:IBN524318 ILG524318:ILJ524318 IVC524318:IVF524318 JEY524318:JFB524318 JOU524318:JOX524318 JYQ524318:JYT524318 KIM524318:KIP524318 KSI524318:KSL524318 LCE524318:LCH524318 LMA524318:LMD524318 LVW524318:LVZ524318 MFS524318:MFV524318 MPO524318:MPR524318 MZK524318:MZN524318 NJG524318:NJJ524318 NTC524318:NTF524318 OCY524318:ODB524318 OMU524318:OMX524318 OWQ524318:OWT524318 PGM524318:PGP524318 PQI524318:PQL524318 QAE524318:QAH524318 QKA524318:QKD524318 QTW524318:QTZ524318 RDS524318:RDV524318 RNO524318:RNR524318 RXK524318:RXN524318 SHG524318:SHJ524318 SRC524318:SRF524318 TAY524318:TBB524318 TKU524318:TKX524318 TUQ524318:TUT524318 UEM524318:UEP524318 UOI524318:UOL524318 UYE524318:UYH524318 VIA524318:VID524318 VRW524318:VRZ524318 WBS524318:WBV524318 WLO524318:WLR524318 WVK524318:WVN524318 C589854:F589854 IY589854:JB589854 SU589854:SX589854 ACQ589854:ACT589854 AMM589854:AMP589854 AWI589854:AWL589854 BGE589854:BGH589854 BQA589854:BQD589854 BZW589854:BZZ589854 CJS589854:CJV589854 CTO589854:CTR589854 DDK589854:DDN589854 DNG589854:DNJ589854 DXC589854:DXF589854 EGY589854:EHB589854 EQU589854:EQX589854 FAQ589854:FAT589854 FKM589854:FKP589854 FUI589854:FUL589854 GEE589854:GEH589854 GOA589854:GOD589854 GXW589854:GXZ589854 HHS589854:HHV589854 HRO589854:HRR589854 IBK589854:IBN589854 ILG589854:ILJ589854 IVC589854:IVF589854 JEY589854:JFB589854 JOU589854:JOX589854 JYQ589854:JYT589854 KIM589854:KIP589854 KSI589854:KSL589854 LCE589854:LCH589854 LMA589854:LMD589854 LVW589854:LVZ589854 MFS589854:MFV589854 MPO589854:MPR589854 MZK589854:MZN589854 NJG589854:NJJ589854 NTC589854:NTF589854 OCY589854:ODB589854 OMU589854:OMX589854 OWQ589854:OWT589854 PGM589854:PGP589854 PQI589854:PQL589854 QAE589854:QAH589854 QKA589854:QKD589854 QTW589854:QTZ589854 RDS589854:RDV589854 RNO589854:RNR589854 RXK589854:RXN589854 SHG589854:SHJ589854 SRC589854:SRF589854 TAY589854:TBB589854 TKU589854:TKX589854 TUQ589854:TUT589854 UEM589854:UEP589854 UOI589854:UOL589854 UYE589854:UYH589854 VIA589854:VID589854 VRW589854:VRZ589854 WBS589854:WBV589854 WLO589854:WLR589854 WVK589854:WVN589854 C655390:F655390 IY655390:JB655390 SU655390:SX655390 ACQ655390:ACT655390 AMM655390:AMP655390 AWI655390:AWL655390 BGE655390:BGH655390 BQA655390:BQD655390 BZW655390:BZZ655390 CJS655390:CJV655390 CTO655390:CTR655390 DDK655390:DDN655390 DNG655390:DNJ655390 DXC655390:DXF655390 EGY655390:EHB655390 EQU655390:EQX655390 FAQ655390:FAT655390 FKM655390:FKP655390 FUI655390:FUL655390 GEE655390:GEH655390 GOA655390:GOD655390 GXW655390:GXZ655390 HHS655390:HHV655390 HRO655390:HRR655390 IBK655390:IBN655390 ILG655390:ILJ655390 IVC655390:IVF655390 JEY655390:JFB655390 JOU655390:JOX655390 JYQ655390:JYT655390 KIM655390:KIP655390 KSI655390:KSL655390 LCE655390:LCH655390 LMA655390:LMD655390 LVW655390:LVZ655390 MFS655390:MFV655390 MPO655390:MPR655390 MZK655390:MZN655390 NJG655390:NJJ655390 NTC655390:NTF655390 OCY655390:ODB655390 OMU655390:OMX655390 OWQ655390:OWT655390 PGM655390:PGP655390 PQI655390:PQL655390 QAE655390:QAH655390 QKA655390:QKD655390 QTW655390:QTZ655390 RDS655390:RDV655390 RNO655390:RNR655390 RXK655390:RXN655390 SHG655390:SHJ655390 SRC655390:SRF655390 TAY655390:TBB655390 TKU655390:TKX655390 TUQ655390:TUT655390 UEM655390:UEP655390 UOI655390:UOL655390 UYE655390:UYH655390 VIA655390:VID655390 VRW655390:VRZ655390 WBS655390:WBV655390 WLO655390:WLR655390 WVK655390:WVN655390 C720926:F720926 IY720926:JB720926 SU720926:SX720926 ACQ720926:ACT720926 AMM720926:AMP720926 AWI720926:AWL720926 BGE720926:BGH720926 BQA720926:BQD720926 BZW720926:BZZ720926 CJS720926:CJV720926 CTO720926:CTR720926 DDK720926:DDN720926 DNG720926:DNJ720926 DXC720926:DXF720926 EGY720926:EHB720926 EQU720926:EQX720926 FAQ720926:FAT720926 FKM720926:FKP720926 FUI720926:FUL720926 GEE720926:GEH720926 GOA720926:GOD720926 GXW720926:GXZ720926 HHS720926:HHV720926 HRO720926:HRR720926 IBK720926:IBN720926 ILG720926:ILJ720926 IVC720926:IVF720926 JEY720926:JFB720926 JOU720926:JOX720926 JYQ720926:JYT720926 KIM720926:KIP720926 KSI720926:KSL720926 LCE720926:LCH720926 LMA720926:LMD720926 LVW720926:LVZ720926 MFS720926:MFV720926 MPO720926:MPR720926 MZK720926:MZN720926 NJG720926:NJJ720926 NTC720926:NTF720926 OCY720926:ODB720926 OMU720926:OMX720926 OWQ720926:OWT720926 PGM720926:PGP720926 PQI720926:PQL720926 QAE720926:QAH720926 QKA720926:QKD720926 QTW720926:QTZ720926 RDS720926:RDV720926 RNO720926:RNR720926 RXK720926:RXN720926 SHG720926:SHJ720926 SRC720926:SRF720926 TAY720926:TBB720926 TKU720926:TKX720926 TUQ720926:TUT720926 UEM720926:UEP720926 UOI720926:UOL720926 UYE720926:UYH720926 VIA720926:VID720926 VRW720926:VRZ720926 WBS720926:WBV720926 WLO720926:WLR720926 WVK720926:WVN720926 C786462:F786462 IY786462:JB786462 SU786462:SX786462 ACQ786462:ACT786462 AMM786462:AMP786462 AWI786462:AWL786462 BGE786462:BGH786462 BQA786462:BQD786462 BZW786462:BZZ786462 CJS786462:CJV786462 CTO786462:CTR786462 DDK786462:DDN786462 DNG786462:DNJ786462 DXC786462:DXF786462 EGY786462:EHB786462 EQU786462:EQX786462 FAQ786462:FAT786462 FKM786462:FKP786462 FUI786462:FUL786462 GEE786462:GEH786462 GOA786462:GOD786462 GXW786462:GXZ786462 HHS786462:HHV786462 HRO786462:HRR786462 IBK786462:IBN786462 ILG786462:ILJ786462 IVC786462:IVF786462 JEY786462:JFB786462 JOU786462:JOX786462 JYQ786462:JYT786462 KIM786462:KIP786462 KSI786462:KSL786462 LCE786462:LCH786462 LMA786462:LMD786462 LVW786462:LVZ786462 MFS786462:MFV786462 MPO786462:MPR786462 MZK786462:MZN786462 NJG786462:NJJ786462 NTC786462:NTF786462 OCY786462:ODB786462 OMU786462:OMX786462 OWQ786462:OWT786462 PGM786462:PGP786462 PQI786462:PQL786462 QAE786462:QAH786462 QKA786462:QKD786462 QTW786462:QTZ786462 RDS786462:RDV786462 RNO786462:RNR786462 RXK786462:RXN786462 SHG786462:SHJ786462 SRC786462:SRF786462 TAY786462:TBB786462 TKU786462:TKX786462 TUQ786462:TUT786462 UEM786462:UEP786462 UOI786462:UOL786462 UYE786462:UYH786462 VIA786462:VID786462 VRW786462:VRZ786462 WBS786462:WBV786462 WLO786462:WLR786462 WVK786462:WVN786462 C851998:F851998 IY851998:JB851998 SU851998:SX851998 ACQ851998:ACT851998 AMM851998:AMP851998 AWI851998:AWL851998 BGE851998:BGH851998 BQA851998:BQD851998 BZW851998:BZZ851998 CJS851998:CJV851998 CTO851998:CTR851998 DDK851998:DDN851998 DNG851998:DNJ851998 DXC851998:DXF851998 EGY851998:EHB851998 EQU851998:EQX851998 FAQ851998:FAT851998 FKM851998:FKP851998 FUI851998:FUL851998 GEE851998:GEH851998 GOA851998:GOD851998 GXW851998:GXZ851998 HHS851998:HHV851998 HRO851998:HRR851998 IBK851998:IBN851998 ILG851998:ILJ851998 IVC851998:IVF851998 JEY851998:JFB851998 JOU851998:JOX851998 JYQ851998:JYT851998 KIM851998:KIP851998 KSI851998:KSL851998 LCE851998:LCH851998 LMA851998:LMD851998 LVW851998:LVZ851998 MFS851998:MFV851998 MPO851998:MPR851998 MZK851998:MZN851998 NJG851998:NJJ851998 NTC851998:NTF851998 OCY851998:ODB851998 OMU851998:OMX851998 OWQ851998:OWT851998 PGM851998:PGP851998 PQI851998:PQL851998 QAE851998:QAH851998 QKA851998:QKD851998 QTW851998:QTZ851998 RDS851998:RDV851998 RNO851998:RNR851998 RXK851998:RXN851998 SHG851998:SHJ851998 SRC851998:SRF851998 TAY851998:TBB851998 TKU851998:TKX851998 TUQ851998:TUT851998 UEM851998:UEP851998 UOI851998:UOL851998 UYE851998:UYH851998 VIA851998:VID851998 VRW851998:VRZ851998 WBS851998:WBV851998 WLO851998:WLR851998 WVK851998:WVN851998 C917534:F917534 IY917534:JB917534 SU917534:SX917534 ACQ917534:ACT917534 AMM917534:AMP917534 AWI917534:AWL917534 BGE917534:BGH917534 BQA917534:BQD917534 BZW917534:BZZ917534 CJS917534:CJV917534 CTO917534:CTR917534 DDK917534:DDN917534 DNG917534:DNJ917534 DXC917534:DXF917534 EGY917534:EHB917534 EQU917534:EQX917534 FAQ917534:FAT917534 FKM917534:FKP917534 FUI917534:FUL917534 GEE917534:GEH917534 GOA917534:GOD917534 GXW917534:GXZ917534 HHS917534:HHV917534 HRO917534:HRR917534 IBK917534:IBN917534 ILG917534:ILJ917534 IVC917534:IVF917534 JEY917534:JFB917534 JOU917534:JOX917534 JYQ917534:JYT917534 KIM917534:KIP917534 KSI917534:KSL917534 LCE917534:LCH917534 LMA917534:LMD917534 LVW917534:LVZ917534 MFS917534:MFV917534 MPO917534:MPR917534 MZK917534:MZN917534 NJG917534:NJJ917534 NTC917534:NTF917534 OCY917534:ODB917534 OMU917534:OMX917534 OWQ917534:OWT917534 PGM917534:PGP917534 PQI917534:PQL917534 QAE917534:QAH917534 QKA917534:QKD917534 QTW917534:QTZ917534 RDS917534:RDV917534 RNO917534:RNR917534 RXK917534:RXN917534 SHG917534:SHJ917534 SRC917534:SRF917534 TAY917534:TBB917534 TKU917534:TKX917534 TUQ917534:TUT917534 UEM917534:UEP917534 UOI917534:UOL917534 UYE917534:UYH917534 VIA917534:VID917534 VRW917534:VRZ917534 WBS917534:WBV917534 WLO917534:WLR917534 WVK917534:WVN917534 C983070:F983070 IY983070:JB983070 SU983070:SX983070 ACQ983070:ACT983070 AMM983070:AMP983070 AWI983070:AWL983070 BGE983070:BGH983070 BQA983070:BQD983070 BZW983070:BZZ983070 CJS983070:CJV983070 CTO983070:CTR983070 DDK983070:DDN983070 DNG983070:DNJ983070 DXC983070:DXF983070 EGY983070:EHB983070 EQU983070:EQX983070 FAQ983070:FAT983070 FKM983070:FKP983070 FUI983070:FUL983070 GEE983070:GEH983070 GOA983070:GOD983070 GXW983070:GXZ983070 HHS983070:HHV983070 HRO983070:HRR983070 IBK983070:IBN983070 ILG983070:ILJ983070 IVC983070:IVF983070 JEY983070:JFB983070 JOU983070:JOX983070 JYQ983070:JYT983070 KIM983070:KIP983070 KSI983070:KSL983070 LCE983070:LCH983070 LMA983070:LMD983070 LVW983070:LVZ983070 MFS983070:MFV983070 MPO983070:MPR983070 MZK983070:MZN983070 NJG983070:NJJ983070 NTC983070:NTF983070 OCY983070:ODB983070 OMU983070:OMX983070 OWQ983070:OWT983070 PGM983070:PGP983070 PQI983070:PQL983070 QAE983070:QAH983070 QKA983070:QKD983070 QTW983070:QTZ983070 RDS983070:RDV983070 RNO983070:RNR983070 RXK983070:RXN983070 SHG983070:SHJ983070 SRC983070:SRF983070 TAY983070:TBB983070 TKU983070:TKX983070 TUQ983070:TUT983070 UEM983070:UEP983070 UOI983070:UOL983070 UYE983070:UYH983070 VIA983070:VID983070 VRW983070:VRZ983070 WBS983070:WBV983070 WLO983070:WLR983070 WVK983070:WVN983070 C3:F3 IY3:JB3 SU3:SX3 ACQ3:ACT3 AMM3:AMP3 AWI3:AWL3 BGE3:BGH3 BQA3:BQD3 BZW3:BZZ3 CJS3:CJV3 CTO3:CTR3 DDK3:DDN3 DNG3:DNJ3 DXC3:DXF3 EGY3:EHB3 EQU3:EQX3 FAQ3:FAT3 FKM3:FKP3 FUI3:FUL3 GEE3:GEH3 GOA3:GOD3 GXW3:GXZ3 HHS3:HHV3 HRO3:HRR3 IBK3:IBN3 ILG3:ILJ3 IVC3:IVF3 JEY3:JFB3 JOU3:JOX3 JYQ3:JYT3 KIM3:KIP3 KSI3:KSL3 LCE3:LCH3 LMA3:LMD3 LVW3:LVZ3 MFS3:MFV3 MPO3:MPR3 MZK3:MZN3 NJG3:NJJ3 NTC3:NTF3 OCY3:ODB3 OMU3:OMX3 OWQ3:OWT3 PGM3:PGP3 PQI3:PQL3 QAE3:QAH3 QKA3:QKD3 QTW3:QTZ3 RDS3:RDV3 RNO3:RNR3 RXK3:RXN3 SHG3:SHJ3 SRC3:SRF3 TAY3:TBB3 TKU3:TKX3 TUQ3:TUT3 UEM3:UEP3 UOI3:UOL3 UYE3:UYH3 VIA3:VID3 VRW3:VRZ3 WBS3:WBV3 WLO3:WLR3 WVK3:WVN3">
      <formula1>"正常申报,更正申报,补充申报"</formula1>
    </dataValidation>
    <dataValidation type="list" allowBlank="1" showInputMessage="1" showErrorMessage="1" sqref="B65584:B65588 IX65584:IX65588 ST65584:ST65588 ACP65584:ACP65588 AML65584:AML65588 AWH65584:AWH65588 BGD65584:BGD65588 BPZ65584:BPZ65588 BZV65584:BZV65588 CJR65584:CJR65588 CTN65584:CTN65588 DDJ65584:DDJ65588 DNF65584:DNF65588 DXB65584:DXB65588 EGX65584:EGX65588 EQT65584:EQT65588 FAP65584:FAP65588 FKL65584:FKL65588 FUH65584:FUH65588 GED65584:GED65588 GNZ65584:GNZ65588 GXV65584:GXV65588 HHR65584:HHR65588 HRN65584:HRN65588 IBJ65584:IBJ65588 ILF65584:ILF65588 IVB65584:IVB65588 JEX65584:JEX65588 JOT65584:JOT65588 JYP65584:JYP65588 KIL65584:KIL65588 KSH65584:KSH65588 LCD65584:LCD65588 LLZ65584:LLZ65588 LVV65584:LVV65588 MFR65584:MFR65588 MPN65584:MPN65588 MZJ65584:MZJ65588 NJF65584:NJF65588 NTB65584:NTB65588 OCX65584:OCX65588 OMT65584:OMT65588 OWP65584:OWP65588 PGL65584:PGL65588 PQH65584:PQH65588 QAD65584:QAD65588 QJZ65584:QJZ65588 QTV65584:QTV65588 RDR65584:RDR65588 RNN65584:RNN65588 RXJ65584:RXJ65588 SHF65584:SHF65588 SRB65584:SRB65588 TAX65584:TAX65588 TKT65584:TKT65588 TUP65584:TUP65588 UEL65584:UEL65588 UOH65584:UOH65588 UYD65584:UYD65588 VHZ65584:VHZ65588 VRV65584:VRV65588 WBR65584:WBR65588 WLN65584:WLN65588 WVJ65584:WVJ65588 B131120:B131124 IX131120:IX131124 ST131120:ST131124 ACP131120:ACP131124 AML131120:AML131124 AWH131120:AWH131124 BGD131120:BGD131124 BPZ131120:BPZ131124 BZV131120:BZV131124 CJR131120:CJR131124 CTN131120:CTN131124 DDJ131120:DDJ131124 DNF131120:DNF131124 DXB131120:DXB131124 EGX131120:EGX131124 EQT131120:EQT131124 FAP131120:FAP131124 FKL131120:FKL131124 FUH131120:FUH131124 GED131120:GED131124 GNZ131120:GNZ131124 GXV131120:GXV131124 HHR131120:HHR131124 HRN131120:HRN131124 IBJ131120:IBJ131124 ILF131120:ILF131124 IVB131120:IVB131124 JEX131120:JEX131124 JOT131120:JOT131124 JYP131120:JYP131124 KIL131120:KIL131124 KSH131120:KSH131124 LCD131120:LCD131124 LLZ131120:LLZ131124 LVV131120:LVV131124 MFR131120:MFR131124 MPN131120:MPN131124 MZJ131120:MZJ131124 NJF131120:NJF131124 NTB131120:NTB131124 OCX131120:OCX131124 OMT131120:OMT131124 OWP131120:OWP131124 PGL131120:PGL131124 PQH131120:PQH131124 QAD131120:QAD131124 QJZ131120:QJZ131124 QTV131120:QTV131124 RDR131120:RDR131124 RNN131120:RNN131124 RXJ131120:RXJ131124 SHF131120:SHF131124 SRB131120:SRB131124 TAX131120:TAX131124 TKT131120:TKT131124 TUP131120:TUP131124 UEL131120:UEL131124 UOH131120:UOH131124 UYD131120:UYD131124 VHZ131120:VHZ131124 VRV131120:VRV131124 WBR131120:WBR131124 WLN131120:WLN131124 WVJ131120:WVJ131124 B196656:B196660 IX196656:IX196660 ST196656:ST196660 ACP196656:ACP196660 AML196656:AML196660 AWH196656:AWH196660 BGD196656:BGD196660 BPZ196656:BPZ196660 BZV196656:BZV196660 CJR196656:CJR196660 CTN196656:CTN196660 DDJ196656:DDJ196660 DNF196656:DNF196660 DXB196656:DXB196660 EGX196656:EGX196660 EQT196656:EQT196660 FAP196656:FAP196660 FKL196656:FKL196660 FUH196656:FUH196660 GED196656:GED196660 GNZ196656:GNZ196660 GXV196656:GXV196660 HHR196656:HHR196660 HRN196656:HRN196660 IBJ196656:IBJ196660 ILF196656:ILF196660 IVB196656:IVB196660 JEX196656:JEX196660 JOT196656:JOT196660 JYP196656:JYP196660 KIL196656:KIL196660 KSH196656:KSH196660 LCD196656:LCD196660 LLZ196656:LLZ196660 LVV196656:LVV196660 MFR196656:MFR196660 MPN196656:MPN196660 MZJ196656:MZJ196660 NJF196656:NJF196660 NTB196656:NTB196660 OCX196656:OCX196660 OMT196656:OMT196660 OWP196656:OWP196660 PGL196656:PGL196660 PQH196656:PQH196660 QAD196656:QAD196660 QJZ196656:QJZ196660 QTV196656:QTV196660 RDR196656:RDR196660 RNN196656:RNN196660 RXJ196656:RXJ196660 SHF196656:SHF196660 SRB196656:SRB196660 TAX196656:TAX196660 TKT196656:TKT196660 TUP196656:TUP196660 UEL196656:UEL196660 UOH196656:UOH196660 UYD196656:UYD196660 VHZ196656:VHZ196660 VRV196656:VRV196660 WBR196656:WBR196660 WLN196656:WLN196660 WVJ196656:WVJ196660 B262192:B262196 IX262192:IX262196 ST262192:ST262196 ACP262192:ACP262196 AML262192:AML262196 AWH262192:AWH262196 BGD262192:BGD262196 BPZ262192:BPZ262196 BZV262192:BZV262196 CJR262192:CJR262196 CTN262192:CTN262196 DDJ262192:DDJ262196 DNF262192:DNF262196 DXB262192:DXB262196 EGX262192:EGX262196 EQT262192:EQT262196 FAP262192:FAP262196 FKL262192:FKL262196 FUH262192:FUH262196 GED262192:GED262196 GNZ262192:GNZ262196 GXV262192:GXV262196 HHR262192:HHR262196 HRN262192:HRN262196 IBJ262192:IBJ262196 ILF262192:ILF262196 IVB262192:IVB262196 JEX262192:JEX262196 JOT262192:JOT262196 JYP262192:JYP262196 KIL262192:KIL262196 KSH262192:KSH262196 LCD262192:LCD262196 LLZ262192:LLZ262196 LVV262192:LVV262196 MFR262192:MFR262196 MPN262192:MPN262196 MZJ262192:MZJ262196 NJF262192:NJF262196 NTB262192:NTB262196 OCX262192:OCX262196 OMT262192:OMT262196 OWP262192:OWP262196 PGL262192:PGL262196 PQH262192:PQH262196 QAD262192:QAD262196 QJZ262192:QJZ262196 QTV262192:QTV262196 RDR262192:RDR262196 RNN262192:RNN262196 RXJ262192:RXJ262196 SHF262192:SHF262196 SRB262192:SRB262196 TAX262192:TAX262196 TKT262192:TKT262196 TUP262192:TUP262196 UEL262192:UEL262196 UOH262192:UOH262196 UYD262192:UYD262196 VHZ262192:VHZ262196 VRV262192:VRV262196 WBR262192:WBR262196 WLN262192:WLN262196 WVJ262192:WVJ262196 B327728:B327732 IX327728:IX327732 ST327728:ST327732 ACP327728:ACP327732 AML327728:AML327732 AWH327728:AWH327732 BGD327728:BGD327732 BPZ327728:BPZ327732 BZV327728:BZV327732 CJR327728:CJR327732 CTN327728:CTN327732 DDJ327728:DDJ327732 DNF327728:DNF327732 DXB327728:DXB327732 EGX327728:EGX327732 EQT327728:EQT327732 FAP327728:FAP327732 FKL327728:FKL327732 FUH327728:FUH327732 GED327728:GED327732 GNZ327728:GNZ327732 GXV327728:GXV327732 HHR327728:HHR327732 HRN327728:HRN327732 IBJ327728:IBJ327732 ILF327728:ILF327732 IVB327728:IVB327732 JEX327728:JEX327732 JOT327728:JOT327732 JYP327728:JYP327732 KIL327728:KIL327732 KSH327728:KSH327732 LCD327728:LCD327732 LLZ327728:LLZ327732 LVV327728:LVV327732 MFR327728:MFR327732 MPN327728:MPN327732 MZJ327728:MZJ327732 NJF327728:NJF327732 NTB327728:NTB327732 OCX327728:OCX327732 OMT327728:OMT327732 OWP327728:OWP327732 PGL327728:PGL327732 PQH327728:PQH327732 QAD327728:QAD327732 QJZ327728:QJZ327732 QTV327728:QTV327732 RDR327728:RDR327732 RNN327728:RNN327732 RXJ327728:RXJ327732 SHF327728:SHF327732 SRB327728:SRB327732 TAX327728:TAX327732 TKT327728:TKT327732 TUP327728:TUP327732 UEL327728:UEL327732 UOH327728:UOH327732 UYD327728:UYD327732 VHZ327728:VHZ327732 VRV327728:VRV327732 WBR327728:WBR327732 WLN327728:WLN327732 WVJ327728:WVJ327732 B393264:B393268 IX393264:IX393268 ST393264:ST393268 ACP393264:ACP393268 AML393264:AML393268 AWH393264:AWH393268 BGD393264:BGD393268 BPZ393264:BPZ393268 BZV393264:BZV393268 CJR393264:CJR393268 CTN393264:CTN393268 DDJ393264:DDJ393268 DNF393264:DNF393268 DXB393264:DXB393268 EGX393264:EGX393268 EQT393264:EQT393268 FAP393264:FAP393268 FKL393264:FKL393268 FUH393264:FUH393268 GED393264:GED393268 GNZ393264:GNZ393268 GXV393264:GXV393268 HHR393264:HHR393268 HRN393264:HRN393268 IBJ393264:IBJ393268 ILF393264:ILF393268 IVB393264:IVB393268 JEX393264:JEX393268 JOT393264:JOT393268 JYP393264:JYP393268 KIL393264:KIL393268 KSH393264:KSH393268 LCD393264:LCD393268 LLZ393264:LLZ393268 LVV393264:LVV393268 MFR393264:MFR393268 MPN393264:MPN393268 MZJ393264:MZJ393268 NJF393264:NJF393268 NTB393264:NTB393268 OCX393264:OCX393268 OMT393264:OMT393268 OWP393264:OWP393268 PGL393264:PGL393268 PQH393264:PQH393268 QAD393264:QAD393268 QJZ393264:QJZ393268 QTV393264:QTV393268 RDR393264:RDR393268 RNN393264:RNN393268 RXJ393264:RXJ393268 SHF393264:SHF393268 SRB393264:SRB393268 TAX393264:TAX393268 TKT393264:TKT393268 TUP393264:TUP393268 UEL393264:UEL393268 UOH393264:UOH393268 UYD393264:UYD393268 VHZ393264:VHZ393268 VRV393264:VRV393268 WBR393264:WBR393268 WLN393264:WLN393268 WVJ393264:WVJ393268 B458800:B458804 IX458800:IX458804 ST458800:ST458804 ACP458800:ACP458804 AML458800:AML458804 AWH458800:AWH458804 BGD458800:BGD458804 BPZ458800:BPZ458804 BZV458800:BZV458804 CJR458800:CJR458804 CTN458800:CTN458804 DDJ458800:DDJ458804 DNF458800:DNF458804 DXB458800:DXB458804 EGX458800:EGX458804 EQT458800:EQT458804 FAP458800:FAP458804 FKL458800:FKL458804 FUH458800:FUH458804 GED458800:GED458804 GNZ458800:GNZ458804 GXV458800:GXV458804 HHR458800:HHR458804 HRN458800:HRN458804 IBJ458800:IBJ458804 ILF458800:ILF458804 IVB458800:IVB458804 JEX458800:JEX458804 JOT458800:JOT458804 JYP458800:JYP458804 KIL458800:KIL458804 KSH458800:KSH458804 LCD458800:LCD458804 LLZ458800:LLZ458804 LVV458800:LVV458804 MFR458800:MFR458804 MPN458800:MPN458804 MZJ458800:MZJ458804 NJF458800:NJF458804 NTB458800:NTB458804 OCX458800:OCX458804 OMT458800:OMT458804 OWP458800:OWP458804 PGL458800:PGL458804 PQH458800:PQH458804 QAD458800:QAD458804 QJZ458800:QJZ458804 QTV458800:QTV458804 RDR458800:RDR458804 RNN458800:RNN458804 RXJ458800:RXJ458804 SHF458800:SHF458804 SRB458800:SRB458804 TAX458800:TAX458804 TKT458800:TKT458804 TUP458800:TUP458804 UEL458800:UEL458804 UOH458800:UOH458804 UYD458800:UYD458804 VHZ458800:VHZ458804 VRV458800:VRV458804 WBR458800:WBR458804 WLN458800:WLN458804 WVJ458800:WVJ458804 B524336:B524340 IX524336:IX524340 ST524336:ST524340 ACP524336:ACP524340 AML524336:AML524340 AWH524336:AWH524340 BGD524336:BGD524340 BPZ524336:BPZ524340 BZV524336:BZV524340 CJR524336:CJR524340 CTN524336:CTN524340 DDJ524336:DDJ524340 DNF524336:DNF524340 DXB524336:DXB524340 EGX524336:EGX524340 EQT524336:EQT524340 FAP524336:FAP524340 FKL524336:FKL524340 FUH524336:FUH524340 GED524336:GED524340 GNZ524336:GNZ524340 GXV524336:GXV524340 HHR524336:HHR524340 HRN524336:HRN524340 IBJ524336:IBJ524340 ILF524336:ILF524340 IVB524336:IVB524340 JEX524336:JEX524340 JOT524336:JOT524340 JYP524336:JYP524340 KIL524336:KIL524340 KSH524336:KSH524340 LCD524336:LCD524340 LLZ524336:LLZ524340 LVV524336:LVV524340 MFR524336:MFR524340 MPN524336:MPN524340 MZJ524336:MZJ524340 NJF524336:NJF524340 NTB524336:NTB524340 OCX524336:OCX524340 OMT524336:OMT524340 OWP524336:OWP524340 PGL524336:PGL524340 PQH524336:PQH524340 QAD524336:QAD524340 QJZ524336:QJZ524340 QTV524336:QTV524340 RDR524336:RDR524340 RNN524336:RNN524340 RXJ524336:RXJ524340 SHF524336:SHF524340 SRB524336:SRB524340 TAX524336:TAX524340 TKT524336:TKT524340 TUP524336:TUP524340 UEL524336:UEL524340 UOH524336:UOH524340 UYD524336:UYD524340 VHZ524336:VHZ524340 VRV524336:VRV524340 WBR524336:WBR524340 WLN524336:WLN524340 WVJ524336:WVJ524340 B589872:B589876 IX589872:IX589876 ST589872:ST589876 ACP589872:ACP589876 AML589872:AML589876 AWH589872:AWH589876 BGD589872:BGD589876 BPZ589872:BPZ589876 BZV589872:BZV589876 CJR589872:CJR589876 CTN589872:CTN589876 DDJ589872:DDJ589876 DNF589872:DNF589876 DXB589872:DXB589876 EGX589872:EGX589876 EQT589872:EQT589876 FAP589872:FAP589876 FKL589872:FKL589876 FUH589872:FUH589876 GED589872:GED589876 GNZ589872:GNZ589876 GXV589872:GXV589876 HHR589872:HHR589876 HRN589872:HRN589876 IBJ589872:IBJ589876 ILF589872:ILF589876 IVB589872:IVB589876 JEX589872:JEX589876 JOT589872:JOT589876 JYP589872:JYP589876 KIL589872:KIL589876 KSH589872:KSH589876 LCD589872:LCD589876 LLZ589872:LLZ589876 LVV589872:LVV589876 MFR589872:MFR589876 MPN589872:MPN589876 MZJ589872:MZJ589876 NJF589872:NJF589876 NTB589872:NTB589876 OCX589872:OCX589876 OMT589872:OMT589876 OWP589872:OWP589876 PGL589872:PGL589876 PQH589872:PQH589876 QAD589872:QAD589876 QJZ589872:QJZ589876 QTV589872:QTV589876 RDR589872:RDR589876 RNN589872:RNN589876 RXJ589872:RXJ589876 SHF589872:SHF589876 SRB589872:SRB589876 TAX589872:TAX589876 TKT589872:TKT589876 TUP589872:TUP589876 UEL589872:UEL589876 UOH589872:UOH589876 UYD589872:UYD589876 VHZ589872:VHZ589876 VRV589872:VRV589876 WBR589872:WBR589876 WLN589872:WLN589876 WVJ589872:WVJ589876 B655408:B655412 IX655408:IX655412 ST655408:ST655412 ACP655408:ACP655412 AML655408:AML655412 AWH655408:AWH655412 BGD655408:BGD655412 BPZ655408:BPZ655412 BZV655408:BZV655412 CJR655408:CJR655412 CTN655408:CTN655412 DDJ655408:DDJ655412 DNF655408:DNF655412 DXB655408:DXB655412 EGX655408:EGX655412 EQT655408:EQT655412 FAP655408:FAP655412 FKL655408:FKL655412 FUH655408:FUH655412 GED655408:GED655412 GNZ655408:GNZ655412 GXV655408:GXV655412 HHR655408:HHR655412 HRN655408:HRN655412 IBJ655408:IBJ655412 ILF655408:ILF655412 IVB655408:IVB655412 JEX655408:JEX655412 JOT655408:JOT655412 JYP655408:JYP655412 KIL655408:KIL655412 KSH655408:KSH655412 LCD655408:LCD655412 LLZ655408:LLZ655412 LVV655408:LVV655412 MFR655408:MFR655412 MPN655408:MPN655412 MZJ655408:MZJ655412 NJF655408:NJF655412 NTB655408:NTB655412 OCX655408:OCX655412 OMT655408:OMT655412 OWP655408:OWP655412 PGL655408:PGL655412 PQH655408:PQH655412 QAD655408:QAD655412 QJZ655408:QJZ655412 QTV655408:QTV655412 RDR655408:RDR655412 RNN655408:RNN655412 RXJ655408:RXJ655412 SHF655408:SHF655412 SRB655408:SRB655412 TAX655408:TAX655412 TKT655408:TKT655412 TUP655408:TUP655412 UEL655408:UEL655412 UOH655408:UOH655412 UYD655408:UYD655412 VHZ655408:VHZ655412 VRV655408:VRV655412 WBR655408:WBR655412 WLN655408:WLN655412 WVJ655408:WVJ655412 B720944:B720948 IX720944:IX720948 ST720944:ST720948 ACP720944:ACP720948 AML720944:AML720948 AWH720944:AWH720948 BGD720944:BGD720948 BPZ720944:BPZ720948 BZV720944:BZV720948 CJR720944:CJR720948 CTN720944:CTN720948 DDJ720944:DDJ720948 DNF720944:DNF720948 DXB720944:DXB720948 EGX720944:EGX720948 EQT720944:EQT720948 FAP720944:FAP720948 FKL720944:FKL720948 FUH720944:FUH720948 GED720944:GED720948 GNZ720944:GNZ720948 GXV720944:GXV720948 HHR720944:HHR720948 HRN720944:HRN720948 IBJ720944:IBJ720948 ILF720944:ILF720948 IVB720944:IVB720948 JEX720944:JEX720948 JOT720944:JOT720948 JYP720944:JYP720948 KIL720944:KIL720948 KSH720944:KSH720948 LCD720944:LCD720948 LLZ720944:LLZ720948 LVV720944:LVV720948 MFR720944:MFR720948 MPN720944:MPN720948 MZJ720944:MZJ720948 NJF720944:NJF720948 NTB720944:NTB720948 OCX720944:OCX720948 OMT720944:OMT720948 OWP720944:OWP720948 PGL720944:PGL720948 PQH720944:PQH720948 QAD720944:QAD720948 QJZ720944:QJZ720948 QTV720944:QTV720948 RDR720944:RDR720948 RNN720944:RNN720948 RXJ720944:RXJ720948 SHF720944:SHF720948 SRB720944:SRB720948 TAX720944:TAX720948 TKT720944:TKT720948 TUP720944:TUP720948 UEL720944:UEL720948 UOH720944:UOH720948 UYD720944:UYD720948 VHZ720944:VHZ720948 VRV720944:VRV720948 WBR720944:WBR720948 WLN720944:WLN720948 WVJ720944:WVJ720948 B786480:B786484 IX786480:IX786484 ST786480:ST786484 ACP786480:ACP786484 AML786480:AML786484 AWH786480:AWH786484 BGD786480:BGD786484 BPZ786480:BPZ786484 BZV786480:BZV786484 CJR786480:CJR786484 CTN786480:CTN786484 DDJ786480:DDJ786484 DNF786480:DNF786484 DXB786480:DXB786484 EGX786480:EGX786484 EQT786480:EQT786484 FAP786480:FAP786484 FKL786480:FKL786484 FUH786480:FUH786484 GED786480:GED786484 GNZ786480:GNZ786484 GXV786480:GXV786484 HHR786480:HHR786484 HRN786480:HRN786484 IBJ786480:IBJ786484 ILF786480:ILF786484 IVB786480:IVB786484 JEX786480:JEX786484 JOT786480:JOT786484 JYP786480:JYP786484 KIL786480:KIL786484 KSH786480:KSH786484 LCD786480:LCD786484 LLZ786480:LLZ786484 LVV786480:LVV786484 MFR786480:MFR786484 MPN786480:MPN786484 MZJ786480:MZJ786484 NJF786480:NJF786484 NTB786480:NTB786484 OCX786480:OCX786484 OMT786480:OMT786484 OWP786480:OWP786484 PGL786480:PGL786484 PQH786480:PQH786484 QAD786480:QAD786484 QJZ786480:QJZ786484 QTV786480:QTV786484 RDR786480:RDR786484 RNN786480:RNN786484 RXJ786480:RXJ786484 SHF786480:SHF786484 SRB786480:SRB786484 TAX786480:TAX786484 TKT786480:TKT786484 TUP786480:TUP786484 UEL786480:UEL786484 UOH786480:UOH786484 UYD786480:UYD786484 VHZ786480:VHZ786484 VRV786480:VRV786484 WBR786480:WBR786484 WLN786480:WLN786484 WVJ786480:WVJ786484 B852016:B852020 IX852016:IX852020 ST852016:ST852020 ACP852016:ACP852020 AML852016:AML852020 AWH852016:AWH852020 BGD852016:BGD852020 BPZ852016:BPZ852020 BZV852016:BZV852020 CJR852016:CJR852020 CTN852016:CTN852020 DDJ852016:DDJ852020 DNF852016:DNF852020 DXB852016:DXB852020 EGX852016:EGX852020 EQT852016:EQT852020 FAP852016:FAP852020 FKL852016:FKL852020 FUH852016:FUH852020 GED852016:GED852020 GNZ852016:GNZ852020 GXV852016:GXV852020 HHR852016:HHR852020 HRN852016:HRN852020 IBJ852016:IBJ852020 ILF852016:ILF852020 IVB852016:IVB852020 JEX852016:JEX852020 JOT852016:JOT852020 JYP852016:JYP852020 KIL852016:KIL852020 KSH852016:KSH852020 LCD852016:LCD852020 LLZ852016:LLZ852020 LVV852016:LVV852020 MFR852016:MFR852020 MPN852016:MPN852020 MZJ852016:MZJ852020 NJF852016:NJF852020 NTB852016:NTB852020 OCX852016:OCX852020 OMT852016:OMT852020 OWP852016:OWP852020 PGL852016:PGL852020 PQH852016:PQH852020 QAD852016:QAD852020 QJZ852016:QJZ852020 QTV852016:QTV852020 RDR852016:RDR852020 RNN852016:RNN852020 RXJ852016:RXJ852020 SHF852016:SHF852020 SRB852016:SRB852020 TAX852016:TAX852020 TKT852016:TKT852020 TUP852016:TUP852020 UEL852016:UEL852020 UOH852016:UOH852020 UYD852016:UYD852020 VHZ852016:VHZ852020 VRV852016:VRV852020 WBR852016:WBR852020 WLN852016:WLN852020 WVJ852016:WVJ852020 B917552:B917556 IX917552:IX917556 ST917552:ST917556 ACP917552:ACP917556 AML917552:AML917556 AWH917552:AWH917556 BGD917552:BGD917556 BPZ917552:BPZ917556 BZV917552:BZV917556 CJR917552:CJR917556 CTN917552:CTN917556 DDJ917552:DDJ917556 DNF917552:DNF917556 DXB917552:DXB917556 EGX917552:EGX917556 EQT917552:EQT917556 FAP917552:FAP917556 FKL917552:FKL917556 FUH917552:FUH917556 GED917552:GED917556 GNZ917552:GNZ917556 GXV917552:GXV917556 HHR917552:HHR917556 HRN917552:HRN917556 IBJ917552:IBJ917556 ILF917552:ILF917556 IVB917552:IVB917556 JEX917552:JEX917556 JOT917552:JOT917556 JYP917552:JYP917556 KIL917552:KIL917556 KSH917552:KSH917556 LCD917552:LCD917556 LLZ917552:LLZ917556 LVV917552:LVV917556 MFR917552:MFR917556 MPN917552:MPN917556 MZJ917552:MZJ917556 NJF917552:NJF917556 NTB917552:NTB917556 OCX917552:OCX917556 OMT917552:OMT917556 OWP917552:OWP917556 PGL917552:PGL917556 PQH917552:PQH917556 QAD917552:QAD917556 QJZ917552:QJZ917556 QTV917552:QTV917556 RDR917552:RDR917556 RNN917552:RNN917556 RXJ917552:RXJ917556 SHF917552:SHF917556 SRB917552:SRB917556 TAX917552:TAX917556 TKT917552:TKT917556 TUP917552:TUP917556 UEL917552:UEL917556 UOH917552:UOH917556 UYD917552:UYD917556 VHZ917552:VHZ917556 VRV917552:VRV917556 WBR917552:WBR917556 WLN917552:WLN917556 WVJ917552:WVJ917556 B983088:B983092 IX983088:IX983092 ST983088:ST983092 ACP983088:ACP983092 AML983088:AML983092 AWH983088:AWH983092 BGD983088:BGD983092 BPZ983088:BPZ983092 BZV983088:BZV983092 CJR983088:CJR983092 CTN983088:CTN983092 DDJ983088:DDJ983092 DNF983088:DNF983092 DXB983088:DXB983092 EGX983088:EGX983092 EQT983088:EQT983092 FAP983088:FAP983092 FKL983088:FKL983092 FUH983088:FUH983092 GED983088:GED983092 GNZ983088:GNZ983092 GXV983088:GXV983092 HHR983088:HHR983092 HRN983088:HRN983092 IBJ983088:IBJ983092 ILF983088:ILF983092 IVB983088:IVB983092 JEX983088:JEX983092 JOT983088:JOT983092 JYP983088:JYP983092 KIL983088:KIL983092 KSH983088:KSH983092 LCD983088:LCD983092 LLZ983088:LLZ983092 LVV983088:LVV983092 MFR983088:MFR983092 MPN983088:MPN983092 MZJ983088:MZJ983092 NJF983088:NJF983092 NTB983088:NTB983092 OCX983088:OCX983092 OMT983088:OMT983092 OWP983088:OWP983092 PGL983088:PGL983092 PQH983088:PQH983092 QAD983088:QAD983092 QJZ983088:QJZ983092 QTV983088:QTV983092 RDR983088:RDR983092 RNN983088:RNN983092 RXJ983088:RXJ983092 SHF983088:SHF983092 SRB983088:SRB983092 TAX983088:TAX983092 TKT983088:TKT983092 TUP983088:TUP983092 UEL983088:UEL983092 UOH983088:UOH983092 UYD983088:UYD983092 VHZ983088:VHZ983092 VRV983088:VRV983092 WBR983088:WBR983092 WLN983088:WLN983092 WVJ983088:WVJ983092 B21:B25 IX21:IX25 ST21:ST25 ACP21:ACP25 AML21:AML25 AWH21:AWH25 BGD21:BGD25 BPZ21:BPZ25 BZV21:BZV25 CJR21:CJR25 CTN21:CTN25 DDJ21:DDJ25 DNF21:DNF25 DXB21:DXB25 EGX21:EGX25 EQT21:EQT25 FAP21:FAP25 FKL21:FKL25 FUH21:FUH25 GED21:GED25 GNZ21:GNZ25 GXV21:GXV25 HHR21:HHR25 HRN21:HRN25 IBJ21:IBJ25 ILF21:ILF25 IVB21:IVB25 JEX21:JEX25 JOT21:JOT25 JYP21:JYP25 KIL21:KIL25 KSH21:KSH25 LCD21:LCD25 LLZ21:LLZ25 LVV21:LVV25 MFR21:MFR25 MPN21:MPN25 MZJ21:MZJ25 NJF21:NJF25 NTB21:NTB25 OCX21:OCX25 OMT21:OMT25 OWP21:OWP25 PGL21:PGL25 PQH21:PQH25 QAD21:QAD25 QJZ21:QJZ25 QTV21:QTV25 RDR21:RDR25 RNN21:RNN25 RXJ21:RXJ25 SHF21:SHF25 SRB21:SRB25 TAX21:TAX25 TKT21:TKT25 TUP21:TUP25 UEL21:UEL25 UOH21:UOH25 UYD21:UYD25 VHZ21:VHZ25 VRV21:VRV25 WBR21:WBR25 WLN21:WLN25 WVJ21:WVJ25">
      <formula1>"身份证,护照,军官证,港澳台通行证,税务登记证,其他证件"</formula1>
    </dataValidation>
    <dataValidation type="list" allowBlank="1" showInputMessage="1" showErrorMessage="1" sqref="E9:F9">
      <formula1>"境内上市,境外上市,否"</formula1>
    </dataValidation>
  </dataValidations>
  <printOptions horizontalCentered="1"/>
  <pageMargins left="0.78740157480314998" right="0.35433070866141703" top="0.511811023622047" bottom="0.11811023622047198" header="0.511811023622047" footer="0.511811023622047"/>
  <pageSetup paperSize="9" scale="80" fitToHeight="0" orientation="portrait" r:id="rId1"/>
</worksheet>
</file>

<file path=xl/worksheets/sheet1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16">
    <pageSetUpPr fitToPage="1"/>
  </sheetPr>
  <dimension ref="A1:E41"/>
  <sheetViews>
    <sheetView workbookViewId="0">
      <selection activeCell="D5" sqref="D5"/>
    </sheetView>
  </sheetViews>
  <sheetFormatPr defaultColWidth="20.3984375" defaultRowHeight="22.2"/>
  <cols>
    <col min="1" max="1" width="4.19921875" style="1528" customWidth="1"/>
    <col min="2" max="2" width="5.09765625" style="1531" customWidth="1"/>
    <col min="3" max="3" width="47.09765625" style="1528" customWidth="1"/>
    <col min="4" max="4" width="16.5" style="1528" customWidth="1"/>
    <col min="5" max="5" width="24.3984375" style="1528" customWidth="1"/>
    <col min="6" max="256" width="20.3984375" style="1528"/>
    <col min="257" max="257" width="4.19921875" style="1528" customWidth="1"/>
    <col min="258" max="258" width="5.09765625" style="1528" customWidth="1"/>
    <col min="259" max="259" width="47.09765625" style="1528" customWidth="1"/>
    <col min="260" max="260" width="10.5" style="1528" customWidth="1"/>
    <col min="261" max="261" width="24.3984375" style="1528" customWidth="1"/>
    <col min="262" max="512" width="20.3984375" style="1528"/>
    <col min="513" max="513" width="4.19921875" style="1528" customWidth="1"/>
    <col min="514" max="514" width="5.09765625" style="1528" customWidth="1"/>
    <col min="515" max="515" width="47.09765625" style="1528" customWidth="1"/>
    <col min="516" max="516" width="10.5" style="1528" customWidth="1"/>
    <col min="517" max="517" width="24.3984375" style="1528" customWidth="1"/>
    <col min="518" max="768" width="20.3984375" style="1528"/>
    <col min="769" max="769" width="4.19921875" style="1528" customWidth="1"/>
    <col min="770" max="770" width="5.09765625" style="1528" customWidth="1"/>
    <col min="771" max="771" width="47.09765625" style="1528" customWidth="1"/>
    <col min="772" max="772" width="10.5" style="1528" customWidth="1"/>
    <col min="773" max="773" width="24.3984375" style="1528" customWidth="1"/>
    <col min="774" max="1024" width="20.3984375" style="1528"/>
    <col min="1025" max="1025" width="4.19921875" style="1528" customWidth="1"/>
    <col min="1026" max="1026" width="5.09765625" style="1528" customWidth="1"/>
    <col min="1027" max="1027" width="47.09765625" style="1528" customWidth="1"/>
    <col min="1028" max="1028" width="10.5" style="1528" customWidth="1"/>
    <col min="1029" max="1029" width="24.3984375" style="1528" customWidth="1"/>
    <col min="1030" max="1280" width="20.3984375" style="1528"/>
    <col min="1281" max="1281" width="4.19921875" style="1528" customWidth="1"/>
    <col min="1282" max="1282" width="5.09765625" style="1528" customWidth="1"/>
    <col min="1283" max="1283" width="47.09765625" style="1528" customWidth="1"/>
    <col min="1284" max="1284" width="10.5" style="1528" customWidth="1"/>
    <col min="1285" max="1285" width="24.3984375" style="1528" customWidth="1"/>
    <col min="1286" max="1536" width="20.3984375" style="1528"/>
    <col min="1537" max="1537" width="4.19921875" style="1528" customWidth="1"/>
    <col min="1538" max="1538" width="5.09765625" style="1528" customWidth="1"/>
    <col min="1539" max="1539" width="47.09765625" style="1528" customWidth="1"/>
    <col min="1540" max="1540" width="10.5" style="1528" customWidth="1"/>
    <col min="1541" max="1541" width="24.3984375" style="1528" customWidth="1"/>
    <col min="1542" max="1792" width="20.3984375" style="1528"/>
    <col min="1793" max="1793" width="4.19921875" style="1528" customWidth="1"/>
    <col min="1794" max="1794" width="5.09765625" style="1528" customWidth="1"/>
    <col min="1795" max="1795" width="47.09765625" style="1528" customWidth="1"/>
    <col min="1796" max="1796" width="10.5" style="1528" customWidth="1"/>
    <col min="1797" max="1797" width="24.3984375" style="1528" customWidth="1"/>
    <col min="1798" max="2048" width="20.3984375" style="1528"/>
    <col min="2049" max="2049" width="4.19921875" style="1528" customWidth="1"/>
    <col min="2050" max="2050" width="5.09765625" style="1528" customWidth="1"/>
    <col min="2051" max="2051" width="47.09765625" style="1528" customWidth="1"/>
    <col min="2052" max="2052" width="10.5" style="1528" customWidth="1"/>
    <col min="2053" max="2053" width="24.3984375" style="1528" customWidth="1"/>
    <col min="2054" max="2304" width="20.3984375" style="1528"/>
    <col min="2305" max="2305" width="4.19921875" style="1528" customWidth="1"/>
    <col min="2306" max="2306" width="5.09765625" style="1528" customWidth="1"/>
    <col min="2307" max="2307" width="47.09765625" style="1528" customWidth="1"/>
    <col min="2308" max="2308" width="10.5" style="1528" customWidth="1"/>
    <col min="2309" max="2309" width="24.3984375" style="1528" customWidth="1"/>
    <col min="2310" max="2560" width="20.3984375" style="1528"/>
    <col min="2561" max="2561" width="4.19921875" style="1528" customWidth="1"/>
    <col min="2562" max="2562" width="5.09765625" style="1528" customWidth="1"/>
    <col min="2563" max="2563" width="47.09765625" style="1528" customWidth="1"/>
    <col min="2564" max="2564" width="10.5" style="1528" customWidth="1"/>
    <col min="2565" max="2565" width="24.3984375" style="1528" customWidth="1"/>
    <col min="2566" max="2816" width="20.3984375" style="1528"/>
    <col min="2817" max="2817" width="4.19921875" style="1528" customWidth="1"/>
    <col min="2818" max="2818" width="5.09765625" style="1528" customWidth="1"/>
    <col min="2819" max="2819" width="47.09765625" style="1528" customWidth="1"/>
    <col min="2820" max="2820" width="10.5" style="1528" customWidth="1"/>
    <col min="2821" max="2821" width="24.3984375" style="1528" customWidth="1"/>
    <col min="2822" max="3072" width="20.3984375" style="1528"/>
    <col min="3073" max="3073" width="4.19921875" style="1528" customWidth="1"/>
    <col min="3074" max="3074" width="5.09765625" style="1528" customWidth="1"/>
    <col min="3075" max="3075" width="47.09765625" style="1528" customWidth="1"/>
    <col min="3076" max="3076" width="10.5" style="1528" customWidth="1"/>
    <col min="3077" max="3077" width="24.3984375" style="1528" customWidth="1"/>
    <col min="3078" max="3328" width="20.3984375" style="1528"/>
    <col min="3329" max="3329" width="4.19921875" style="1528" customWidth="1"/>
    <col min="3330" max="3330" width="5.09765625" style="1528" customWidth="1"/>
    <col min="3331" max="3331" width="47.09765625" style="1528" customWidth="1"/>
    <col min="3332" max="3332" width="10.5" style="1528" customWidth="1"/>
    <col min="3333" max="3333" width="24.3984375" style="1528" customWidth="1"/>
    <col min="3334" max="3584" width="20.3984375" style="1528"/>
    <col min="3585" max="3585" width="4.19921875" style="1528" customWidth="1"/>
    <col min="3586" max="3586" width="5.09765625" style="1528" customWidth="1"/>
    <col min="3587" max="3587" width="47.09765625" style="1528" customWidth="1"/>
    <col min="3588" max="3588" width="10.5" style="1528" customWidth="1"/>
    <col min="3589" max="3589" width="24.3984375" style="1528" customWidth="1"/>
    <col min="3590" max="3840" width="20.3984375" style="1528"/>
    <col min="3841" max="3841" width="4.19921875" style="1528" customWidth="1"/>
    <col min="3842" max="3842" width="5.09765625" style="1528" customWidth="1"/>
    <col min="3843" max="3843" width="47.09765625" style="1528" customWidth="1"/>
    <col min="3844" max="3844" width="10.5" style="1528" customWidth="1"/>
    <col min="3845" max="3845" width="24.3984375" style="1528" customWidth="1"/>
    <col min="3846" max="4096" width="20.3984375" style="1528"/>
    <col min="4097" max="4097" width="4.19921875" style="1528" customWidth="1"/>
    <col min="4098" max="4098" width="5.09765625" style="1528" customWidth="1"/>
    <col min="4099" max="4099" width="47.09765625" style="1528" customWidth="1"/>
    <col min="4100" max="4100" width="10.5" style="1528" customWidth="1"/>
    <col min="4101" max="4101" width="24.3984375" style="1528" customWidth="1"/>
    <col min="4102" max="4352" width="20.3984375" style="1528"/>
    <col min="4353" max="4353" width="4.19921875" style="1528" customWidth="1"/>
    <col min="4354" max="4354" width="5.09765625" style="1528" customWidth="1"/>
    <col min="4355" max="4355" width="47.09765625" style="1528" customWidth="1"/>
    <col min="4356" max="4356" width="10.5" style="1528" customWidth="1"/>
    <col min="4357" max="4357" width="24.3984375" style="1528" customWidth="1"/>
    <col min="4358" max="4608" width="20.3984375" style="1528"/>
    <col min="4609" max="4609" width="4.19921875" style="1528" customWidth="1"/>
    <col min="4610" max="4610" width="5.09765625" style="1528" customWidth="1"/>
    <col min="4611" max="4611" width="47.09765625" style="1528" customWidth="1"/>
    <col min="4612" max="4612" width="10.5" style="1528" customWidth="1"/>
    <col min="4613" max="4613" width="24.3984375" style="1528" customWidth="1"/>
    <col min="4614" max="4864" width="20.3984375" style="1528"/>
    <col min="4865" max="4865" width="4.19921875" style="1528" customWidth="1"/>
    <col min="4866" max="4866" width="5.09765625" style="1528" customWidth="1"/>
    <col min="4867" max="4867" width="47.09765625" style="1528" customWidth="1"/>
    <col min="4868" max="4868" width="10.5" style="1528" customWidth="1"/>
    <col min="4869" max="4869" width="24.3984375" style="1528" customWidth="1"/>
    <col min="4870" max="5120" width="20.3984375" style="1528"/>
    <col min="5121" max="5121" width="4.19921875" style="1528" customWidth="1"/>
    <col min="5122" max="5122" width="5.09765625" style="1528" customWidth="1"/>
    <col min="5123" max="5123" width="47.09765625" style="1528" customWidth="1"/>
    <col min="5124" max="5124" width="10.5" style="1528" customWidth="1"/>
    <col min="5125" max="5125" width="24.3984375" style="1528" customWidth="1"/>
    <col min="5126" max="5376" width="20.3984375" style="1528"/>
    <col min="5377" max="5377" width="4.19921875" style="1528" customWidth="1"/>
    <col min="5378" max="5378" width="5.09765625" style="1528" customWidth="1"/>
    <col min="5379" max="5379" width="47.09765625" style="1528" customWidth="1"/>
    <col min="5380" max="5380" width="10.5" style="1528" customWidth="1"/>
    <col min="5381" max="5381" width="24.3984375" style="1528" customWidth="1"/>
    <col min="5382" max="5632" width="20.3984375" style="1528"/>
    <col min="5633" max="5633" width="4.19921875" style="1528" customWidth="1"/>
    <col min="5634" max="5634" width="5.09765625" style="1528" customWidth="1"/>
    <col min="5635" max="5635" width="47.09765625" style="1528" customWidth="1"/>
    <col min="5636" max="5636" width="10.5" style="1528" customWidth="1"/>
    <col min="5637" max="5637" width="24.3984375" style="1528" customWidth="1"/>
    <col min="5638" max="5888" width="20.3984375" style="1528"/>
    <col min="5889" max="5889" width="4.19921875" style="1528" customWidth="1"/>
    <col min="5890" max="5890" width="5.09765625" style="1528" customWidth="1"/>
    <col min="5891" max="5891" width="47.09765625" style="1528" customWidth="1"/>
    <col min="5892" max="5892" width="10.5" style="1528" customWidth="1"/>
    <col min="5893" max="5893" width="24.3984375" style="1528" customWidth="1"/>
    <col min="5894" max="6144" width="20.3984375" style="1528"/>
    <col min="6145" max="6145" width="4.19921875" style="1528" customWidth="1"/>
    <col min="6146" max="6146" width="5.09765625" style="1528" customWidth="1"/>
    <col min="6147" max="6147" width="47.09765625" style="1528" customWidth="1"/>
    <col min="6148" max="6148" width="10.5" style="1528" customWidth="1"/>
    <col min="6149" max="6149" width="24.3984375" style="1528" customWidth="1"/>
    <col min="6150" max="6400" width="20.3984375" style="1528"/>
    <col min="6401" max="6401" width="4.19921875" style="1528" customWidth="1"/>
    <col min="6402" max="6402" width="5.09765625" style="1528" customWidth="1"/>
    <col min="6403" max="6403" width="47.09765625" style="1528" customWidth="1"/>
    <col min="6404" max="6404" width="10.5" style="1528" customWidth="1"/>
    <col min="6405" max="6405" width="24.3984375" style="1528" customWidth="1"/>
    <col min="6406" max="6656" width="20.3984375" style="1528"/>
    <col min="6657" max="6657" width="4.19921875" style="1528" customWidth="1"/>
    <col min="6658" max="6658" width="5.09765625" style="1528" customWidth="1"/>
    <col min="6659" max="6659" width="47.09765625" style="1528" customWidth="1"/>
    <col min="6660" max="6660" width="10.5" style="1528" customWidth="1"/>
    <col min="6661" max="6661" width="24.3984375" style="1528" customWidth="1"/>
    <col min="6662" max="6912" width="20.3984375" style="1528"/>
    <col min="6913" max="6913" width="4.19921875" style="1528" customWidth="1"/>
    <col min="6914" max="6914" width="5.09765625" style="1528" customWidth="1"/>
    <col min="6915" max="6915" width="47.09765625" style="1528" customWidth="1"/>
    <col min="6916" max="6916" width="10.5" style="1528" customWidth="1"/>
    <col min="6917" max="6917" width="24.3984375" style="1528" customWidth="1"/>
    <col min="6918" max="7168" width="20.3984375" style="1528"/>
    <col min="7169" max="7169" width="4.19921875" style="1528" customWidth="1"/>
    <col min="7170" max="7170" width="5.09765625" style="1528" customWidth="1"/>
    <col min="7171" max="7171" width="47.09765625" style="1528" customWidth="1"/>
    <col min="7172" max="7172" width="10.5" style="1528" customWidth="1"/>
    <col min="7173" max="7173" width="24.3984375" style="1528" customWidth="1"/>
    <col min="7174" max="7424" width="20.3984375" style="1528"/>
    <col min="7425" max="7425" width="4.19921875" style="1528" customWidth="1"/>
    <col min="7426" max="7426" width="5.09765625" style="1528" customWidth="1"/>
    <col min="7427" max="7427" width="47.09765625" style="1528" customWidth="1"/>
    <col min="7428" max="7428" width="10.5" style="1528" customWidth="1"/>
    <col min="7429" max="7429" width="24.3984375" style="1528" customWidth="1"/>
    <col min="7430" max="7680" width="20.3984375" style="1528"/>
    <col min="7681" max="7681" width="4.19921875" style="1528" customWidth="1"/>
    <col min="7682" max="7682" width="5.09765625" style="1528" customWidth="1"/>
    <col min="7683" max="7683" width="47.09765625" style="1528" customWidth="1"/>
    <col min="7684" max="7684" width="10.5" style="1528" customWidth="1"/>
    <col min="7685" max="7685" width="24.3984375" style="1528" customWidth="1"/>
    <col min="7686" max="7936" width="20.3984375" style="1528"/>
    <col min="7937" max="7937" width="4.19921875" style="1528" customWidth="1"/>
    <col min="7938" max="7938" width="5.09765625" style="1528" customWidth="1"/>
    <col min="7939" max="7939" width="47.09765625" style="1528" customWidth="1"/>
    <col min="7940" max="7940" width="10.5" style="1528" customWidth="1"/>
    <col min="7941" max="7941" width="24.3984375" style="1528" customWidth="1"/>
    <col min="7942" max="8192" width="20.3984375" style="1528"/>
    <col min="8193" max="8193" width="4.19921875" style="1528" customWidth="1"/>
    <col min="8194" max="8194" width="5.09765625" style="1528" customWidth="1"/>
    <col min="8195" max="8195" width="47.09765625" style="1528" customWidth="1"/>
    <col min="8196" max="8196" width="10.5" style="1528" customWidth="1"/>
    <col min="8197" max="8197" width="24.3984375" style="1528" customWidth="1"/>
    <col min="8198" max="8448" width="20.3984375" style="1528"/>
    <col min="8449" max="8449" width="4.19921875" style="1528" customWidth="1"/>
    <col min="8450" max="8450" width="5.09765625" style="1528" customWidth="1"/>
    <col min="8451" max="8451" width="47.09765625" style="1528" customWidth="1"/>
    <col min="8452" max="8452" width="10.5" style="1528" customWidth="1"/>
    <col min="8453" max="8453" width="24.3984375" style="1528" customWidth="1"/>
    <col min="8454" max="8704" width="20.3984375" style="1528"/>
    <col min="8705" max="8705" width="4.19921875" style="1528" customWidth="1"/>
    <col min="8706" max="8706" width="5.09765625" style="1528" customWidth="1"/>
    <col min="8707" max="8707" width="47.09765625" style="1528" customWidth="1"/>
    <col min="8708" max="8708" width="10.5" style="1528" customWidth="1"/>
    <col min="8709" max="8709" width="24.3984375" style="1528" customWidth="1"/>
    <col min="8710" max="8960" width="20.3984375" style="1528"/>
    <col min="8961" max="8961" width="4.19921875" style="1528" customWidth="1"/>
    <col min="8962" max="8962" width="5.09765625" style="1528" customWidth="1"/>
    <col min="8963" max="8963" width="47.09765625" style="1528" customWidth="1"/>
    <col min="8964" max="8964" width="10.5" style="1528" customWidth="1"/>
    <col min="8965" max="8965" width="24.3984375" style="1528" customWidth="1"/>
    <col min="8966" max="9216" width="20.3984375" style="1528"/>
    <col min="9217" max="9217" width="4.19921875" style="1528" customWidth="1"/>
    <col min="9218" max="9218" width="5.09765625" style="1528" customWidth="1"/>
    <col min="9219" max="9219" width="47.09765625" style="1528" customWidth="1"/>
    <col min="9220" max="9220" width="10.5" style="1528" customWidth="1"/>
    <col min="9221" max="9221" width="24.3984375" style="1528" customWidth="1"/>
    <col min="9222" max="9472" width="20.3984375" style="1528"/>
    <col min="9473" max="9473" width="4.19921875" style="1528" customWidth="1"/>
    <col min="9474" max="9474" width="5.09765625" style="1528" customWidth="1"/>
    <col min="9475" max="9475" width="47.09765625" style="1528" customWidth="1"/>
    <col min="9476" max="9476" width="10.5" style="1528" customWidth="1"/>
    <col min="9477" max="9477" width="24.3984375" style="1528" customWidth="1"/>
    <col min="9478" max="9728" width="20.3984375" style="1528"/>
    <col min="9729" max="9729" width="4.19921875" style="1528" customWidth="1"/>
    <col min="9730" max="9730" width="5.09765625" style="1528" customWidth="1"/>
    <col min="9731" max="9731" width="47.09765625" style="1528" customWidth="1"/>
    <col min="9732" max="9732" width="10.5" style="1528" customWidth="1"/>
    <col min="9733" max="9733" width="24.3984375" style="1528" customWidth="1"/>
    <col min="9734" max="9984" width="20.3984375" style="1528"/>
    <col min="9985" max="9985" width="4.19921875" style="1528" customWidth="1"/>
    <col min="9986" max="9986" width="5.09765625" style="1528" customWidth="1"/>
    <col min="9987" max="9987" width="47.09765625" style="1528" customWidth="1"/>
    <col min="9988" max="9988" width="10.5" style="1528" customWidth="1"/>
    <col min="9989" max="9989" width="24.3984375" style="1528" customWidth="1"/>
    <col min="9990" max="10240" width="20.3984375" style="1528"/>
    <col min="10241" max="10241" width="4.19921875" style="1528" customWidth="1"/>
    <col min="10242" max="10242" width="5.09765625" style="1528" customWidth="1"/>
    <col min="10243" max="10243" width="47.09765625" style="1528" customWidth="1"/>
    <col min="10244" max="10244" width="10.5" style="1528" customWidth="1"/>
    <col min="10245" max="10245" width="24.3984375" style="1528" customWidth="1"/>
    <col min="10246" max="10496" width="20.3984375" style="1528"/>
    <col min="10497" max="10497" width="4.19921875" style="1528" customWidth="1"/>
    <col min="10498" max="10498" width="5.09765625" style="1528" customWidth="1"/>
    <col min="10499" max="10499" width="47.09765625" style="1528" customWidth="1"/>
    <col min="10500" max="10500" width="10.5" style="1528" customWidth="1"/>
    <col min="10501" max="10501" width="24.3984375" style="1528" customWidth="1"/>
    <col min="10502" max="10752" width="20.3984375" style="1528"/>
    <col min="10753" max="10753" width="4.19921875" style="1528" customWidth="1"/>
    <col min="10754" max="10754" width="5.09765625" style="1528" customWidth="1"/>
    <col min="10755" max="10755" width="47.09765625" style="1528" customWidth="1"/>
    <col min="10756" max="10756" width="10.5" style="1528" customWidth="1"/>
    <col min="10757" max="10757" width="24.3984375" style="1528" customWidth="1"/>
    <col min="10758" max="11008" width="20.3984375" style="1528"/>
    <col min="11009" max="11009" width="4.19921875" style="1528" customWidth="1"/>
    <col min="11010" max="11010" width="5.09765625" style="1528" customWidth="1"/>
    <col min="11011" max="11011" width="47.09765625" style="1528" customWidth="1"/>
    <col min="11012" max="11012" width="10.5" style="1528" customWidth="1"/>
    <col min="11013" max="11013" width="24.3984375" style="1528" customWidth="1"/>
    <col min="11014" max="11264" width="20.3984375" style="1528"/>
    <col min="11265" max="11265" width="4.19921875" style="1528" customWidth="1"/>
    <col min="11266" max="11266" width="5.09765625" style="1528" customWidth="1"/>
    <col min="11267" max="11267" width="47.09765625" style="1528" customWidth="1"/>
    <col min="11268" max="11268" width="10.5" style="1528" customWidth="1"/>
    <col min="11269" max="11269" width="24.3984375" style="1528" customWidth="1"/>
    <col min="11270" max="11520" width="20.3984375" style="1528"/>
    <col min="11521" max="11521" width="4.19921875" style="1528" customWidth="1"/>
    <col min="11522" max="11522" width="5.09765625" style="1528" customWidth="1"/>
    <col min="11523" max="11523" width="47.09765625" style="1528" customWidth="1"/>
    <col min="11524" max="11524" width="10.5" style="1528" customWidth="1"/>
    <col min="11525" max="11525" width="24.3984375" style="1528" customWidth="1"/>
    <col min="11526" max="11776" width="20.3984375" style="1528"/>
    <col min="11777" max="11777" width="4.19921875" style="1528" customWidth="1"/>
    <col min="11778" max="11778" width="5.09765625" style="1528" customWidth="1"/>
    <col min="11779" max="11779" width="47.09765625" style="1528" customWidth="1"/>
    <col min="11780" max="11780" width="10.5" style="1528" customWidth="1"/>
    <col min="11781" max="11781" width="24.3984375" style="1528" customWidth="1"/>
    <col min="11782" max="12032" width="20.3984375" style="1528"/>
    <col min="12033" max="12033" width="4.19921875" style="1528" customWidth="1"/>
    <col min="12034" max="12034" width="5.09765625" style="1528" customWidth="1"/>
    <col min="12035" max="12035" width="47.09765625" style="1528" customWidth="1"/>
    <col min="12036" max="12036" width="10.5" style="1528" customWidth="1"/>
    <col min="12037" max="12037" width="24.3984375" style="1528" customWidth="1"/>
    <col min="12038" max="12288" width="20.3984375" style="1528"/>
    <col min="12289" max="12289" width="4.19921875" style="1528" customWidth="1"/>
    <col min="12290" max="12290" width="5.09765625" style="1528" customWidth="1"/>
    <col min="12291" max="12291" width="47.09765625" style="1528" customWidth="1"/>
    <col min="12292" max="12292" width="10.5" style="1528" customWidth="1"/>
    <col min="12293" max="12293" width="24.3984375" style="1528" customWidth="1"/>
    <col min="12294" max="12544" width="20.3984375" style="1528"/>
    <col min="12545" max="12545" width="4.19921875" style="1528" customWidth="1"/>
    <col min="12546" max="12546" width="5.09765625" style="1528" customWidth="1"/>
    <col min="12547" max="12547" width="47.09765625" style="1528" customWidth="1"/>
    <col min="12548" max="12548" width="10.5" style="1528" customWidth="1"/>
    <col min="12549" max="12549" width="24.3984375" style="1528" customWidth="1"/>
    <col min="12550" max="12800" width="20.3984375" style="1528"/>
    <col min="12801" max="12801" width="4.19921875" style="1528" customWidth="1"/>
    <col min="12802" max="12802" width="5.09765625" style="1528" customWidth="1"/>
    <col min="12803" max="12803" width="47.09765625" style="1528" customWidth="1"/>
    <col min="12804" max="12804" width="10.5" style="1528" customWidth="1"/>
    <col min="12805" max="12805" width="24.3984375" style="1528" customWidth="1"/>
    <col min="12806" max="13056" width="20.3984375" style="1528"/>
    <col min="13057" max="13057" width="4.19921875" style="1528" customWidth="1"/>
    <col min="13058" max="13058" width="5.09765625" style="1528" customWidth="1"/>
    <col min="13059" max="13059" width="47.09765625" style="1528" customWidth="1"/>
    <col min="13060" max="13060" width="10.5" style="1528" customWidth="1"/>
    <col min="13061" max="13061" width="24.3984375" style="1528" customWidth="1"/>
    <col min="13062" max="13312" width="20.3984375" style="1528"/>
    <col min="13313" max="13313" width="4.19921875" style="1528" customWidth="1"/>
    <col min="13314" max="13314" width="5.09765625" style="1528" customWidth="1"/>
    <col min="13315" max="13315" width="47.09765625" style="1528" customWidth="1"/>
    <col min="13316" max="13316" width="10.5" style="1528" customWidth="1"/>
    <col min="13317" max="13317" width="24.3984375" style="1528" customWidth="1"/>
    <col min="13318" max="13568" width="20.3984375" style="1528"/>
    <col min="13569" max="13569" width="4.19921875" style="1528" customWidth="1"/>
    <col min="13570" max="13570" width="5.09765625" style="1528" customWidth="1"/>
    <col min="13571" max="13571" width="47.09765625" style="1528" customWidth="1"/>
    <col min="13572" max="13572" width="10.5" style="1528" customWidth="1"/>
    <col min="13573" max="13573" width="24.3984375" style="1528" customWidth="1"/>
    <col min="13574" max="13824" width="20.3984375" style="1528"/>
    <col min="13825" max="13825" width="4.19921875" style="1528" customWidth="1"/>
    <col min="13826" max="13826" width="5.09765625" style="1528" customWidth="1"/>
    <col min="13827" max="13827" width="47.09765625" style="1528" customWidth="1"/>
    <col min="13828" max="13828" width="10.5" style="1528" customWidth="1"/>
    <col min="13829" max="13829" width="24.3984375" style="1528" customWidth="1"/>
    <col min="13830" max="14080" width="20.3984375" style="1528"/>
    <col min="14081" max="14081" width="4.19921875" style="1528" customWidth="1"/>
    <col min="14082" max="14082" width="5.09765625" style="1528" customWidth="1"/>
    <col min="14083" max="14083" width="47.09765625" style="1528" customWidth="1"/>
    <col min="14084" max="14084" width="10.5" style="1528" customWidth="1"/>
    <col min="14085" max="14085" width="24.3984375" style="1528" customWidth="1"/>
    <col min="14086" max="14336" width="20.3984375" style="1528"/>
    <col min="14337" max="14337" width="4.19921875" style="1528" customWidth="1"/>
    <col min="14338" max="14338" width="5.09765625" style="1528" customWidth="1"/>
    <col min="14339" max="14339" width="47.09765625" style="1528" customWidth="1"/>
    <col min="14340" max="14340" width="10.5" style="1528" customWidth="1"/>
    <col min="14341" max="14341" width="24.3984375" style="1528" customWidth="1"/>
    <col min="14342" max="14592" width="20.3984375" style="1528"/>
    <col min="14593" max="14593" width="4.19921875" style="1528" customWidth="1"/>
    <col min="14594" max="14594" width="5.09765625" style="1528" customWidth="1"/>
    <col min="14595" max="14595" width="47.09765625" style="1528" customWidth="1"/>
    <col min="14596" max="14596" width="10.5" style="1528" customWidth="1"/>
    <col min="14597" max="14597" width="24.3984375" style="1528" customWidth="1"/>
    <col min="14598" max="14848" width="20.3984375" style="1528"/>
    <col min="14849" max="14849" width="4.19921875" style="1528" customWidth="1"/>
    <col min="14850" max="14850" width="5.09765625" style="1528" customWidth="1"/>
    <col min="14851" max="14851" width="47.09765625" style="1528" customWidth="1"/>
    <col min="14852" max="14852" width="10.5" style="1528" customWidth="1"/>
    <col min="14853" max="14853" width="24.3984375" style="1528" customWidth="1"/>
    <col min="14854" max="15104" width="20.3984375" style="1528"/>
    <col min="15105" max="15105" width="4.19921875" style="1528" customWidth="1"/>
    <col min="15106" max="15106" width="5.09765625" style="1528" customWidth="1"/>
    <col min="15107" max="15107" width="47.09765625" style="1528" customWidth="1"/>
    <col min="15108" max="15108" width="10.5" style="1528" customWidth="1"/>
    <col min="15109" max="15109" width="24.3984375" style="1528" customWidth="1"/>
    <col min="15110" max="15360" width="20.3984375" style="1528"/>
    <col min="15361" max="15361" width="4.19921875" style="1528" customWidth="1"/>
    <col min="15362" max="15362" width="5.09765625" style="1528" customWidth="1"/>
    <col min="15363" max="15363" width="47.09765625" style="1528" customWidth="1"/>
    <col min="15364" max="15364" width="10.5" style="1528" customWidth="1"/>
    <col min="15365" max="15365" width="24.3984375" style="1528" customWidth="1"/>
    <col min="15366" max="15616" width="20.3984375" style="1528"/>
    <col min="15617" max="15617" width="4.19921875" style="1528" customWidth="1"/>
    <col min="15618" max="15618" width="5.09765625" style="1528" customWidth="1"/>
    <col min="15619" max="15619" width="47.09765625" style="1528" customWidth="1"/>
    <col min="15620" max="15620" width="10.5" style="1528" customWidth="1"/>
    <col min="15621" max="15621" width="24.3984375" style="1528" customWidth="1"/>
    <col min="15622" max="15872" width="20.3984375" style="1528"/>
    <col min="15873" max="15873" width="4.19921875" style="1528" customWidth="1"/>
    <col min="15874" max="15874" width="5.09765625" style="1528" customWidth="1"/>
    <col min="15875" max="15875" width="47.09765625" style="1528" customWidth="1"/>
    <col min="15876" max="15876" width="10.5" style="1528" customWidth="1"/>
    <col min="15877" max="15877" width="24.3984375" style="1528" customWidth="1"/>
    <col min="15878" max="16128" width="20.3984375" style="1528"/>
    <col min="16129" max="16129" width="4.19921875" style="1528" customWidth="1"/>
    <col min="16130" max="16130" width="5.09765625" style="1528" customWidth="1"/>
    <col min="16131" max="16131" width="47.09765625" style="1528" customWidth="1"/>
    <col min="16132" max="16132" width="10.5" style="1528" customWidth="1"/>
    <col min="16133" max="16133" width="24.3984375" style="1528" customWidth="1"/>
    <col min="16134" max="16384" width="20.3984375" style="1528"/>
  </cols>
  <sheetData>
    <row r="1" spans="1:5" ht="20.100000000000001" customHeight="1">
      <c r="A1" s="3916" t="s">
        <v>4808</v>
      </c>
      <c r="B1" s="3916"/>
      <c r="C1" s="3916"/>
      <c r="D1" s="3916"/>
      <c r="E1" s="2634"/>
    </row>
    <row r="2" spans="1:5" ht="25.5" customHeight="1">
      <c r="A2" s="3917" t="s">
        <v>1632</v>
      </c>
      <c r="B2" s="3917"/>
      <c r="C2" s="3917"/>
      <c r="D2" s="3917"/>
      <c r="E2" s="2633"/>
    </row>
    <row r="3" spans="1:5" s="1529" customFormat="1" ht="14.25" customHeight="1">
      <c r="A3" s="1848" t="s">
        <v>1854</v>
      </c>
      <c r="B3" s="1850" t="s">
        <v>25</v>
      </c>
      <c r="C3" s="1848" t="s">
        <v>4809</v>
      </c>
      <c r="D3" s="1848" t="s">
        <v>4810</v>
      </c>
      <c r="E3" s="1848" t="s">
        <v>4811</v>
      </c>
    </row>
    <row r="4" spans="1:5" s="1529" customFormat="1" ht="57" customHeight="1">
      <c r="A4" s="1842">
        <v>1</v>
      </c>
      <c r="B4" s="3385" t="s">
        <v>1634</v>
      </c>
      <c r="C4" s="1820" t="s">
        <v>4812</v>
      </c>
      <c r="D4" s="2077">
        <f>A101010一般企业收入明细表!C4+A101020金融企业收入明细表!C4+SUM(A103000事业单位、民间非营利组织收入、支出明细表!C5:C9,A103000事业单位、民间非营利组织收入、支出明细表!C14:C18)</f>
        <v>0</v>
      </c>
      <c r="E4" s="1958" t="s">
        <v>4813</v>
      </c>
    </row>
    <row r="5" spans="1:5" s="1529" customFormat="1" ht="57" customHeight="1">
      <c r="A5" s="1842">
        <v>2</v>
      </c>
      <c r="B5" s="3385"/>
      <c r="C5" s="1820" t="s">
        <v>4814</v>
      </c>
      <c r="D5" s="2077">
        <f>A102010一般企业成本支出明细表!C4+A102020金融企业支出明细表!C4+SUM(A103000事业单位、民间非营利组织收入、支出明细表!C22:C25,A103000事业单位、民间非营利组织收入、支出明细表!C28:C30)</f>
        <v>0</v>
      </c>
      <c r="E5" s="1958" t="s">
        <v>4815</v>
      </c>
    </row>
    <row r="6" spans="1:5" s="1529" customFormat="1" ht="14.25" customHeight="1">
      <c r="A6" s="1842">
        <v>3</v>
      </c>
      <c r="B6" s="3385"/>
      <c r="C6" s="1820" t="s">
        <v>234</v>
      </c>
      <c r="D6" s="2077">
        <f>主营税金!E42</f>
        <v>0</v>
      </c>
      <c r="E6" s="1958"/>
    </row>
    <row r="7" spans="1:5" s="1529" customFormat="1" ht="13.5" customHeight="1">
      <c r="A7" s="1842">
        <v>4</v>
      </c>
      <c r="B7" s="3385"/>
      <c r="C7" s="1820" t="s">
        <v>4816</v>
      </c>
      <c r="D7" s="2077">
        <f>A104000期间费用明细表!C30</f>
        <v>0</v>
      </c>
      <c r="E7" s="1958" t="s">
        <v>4817</v>
      </c>
    </row>
    <row r="8" spans="1:5" s="1529" customFormat="1" ht="14.25" customHeight="1">
      <c r="A8" s="1842">
        <v>5</v>
      </c>
      <c r="B8" s="3385"/>
      <c r="C8" s="1820" t="s">
        <v>4818</v>
      </c>
      <c r="D8" s="2077">
        <f>A104000期间费用明细表!E30</f>
        <v>0</v>
      </c>
      <c r="E8" s="1958" t="s">
        <v>4819</v>
      </c>
    </row>
    <row r="9" spans="1:5" s="1529" customFormat="1" ht="14.25" customHeight="1">
      <c r="A9" s="1842">
        <v>6</v>
      </c>
      <c r="B9" s="3385"/>
      <c r="C9" s="1820" t="s">
        <v>4820</v>
      </c>
      <c r="D9" s="2077">
        <f>A104000期间费用明细表!G30</f>
        <v>0</v>
      </c>
      <c r="E9" s="1958" t="s">
        <v>4821</v>
      </c>
    </row>
    <row r="10" spans="1:5" s="1529" customFormat="1" ht="14.25" customHeight="1">
      <c r="A10" s="1842">
        <v>7</v>
      </c>
      <c r="B10" s="3385"/>
      <c r="C10" s="1820" t="s">
        <v>653</v>
      </c>
      <c r="D10" s="2077">
        <f>减值准备审核表!H22</f>
        <v>0</v>
      </c>
      <c r="E10" s="1958"/>
    </row>
    <row r="11" spans="1:5" s="1529" customFormat="1" ht="14.25" customHeight="1">
      <c r="A11" s="1842">
        <v>8</v>
      </c>
      <c r="B11" s="3385"/>
      <c r="C11" s="1820" t="s">
        <v>4822</v>
      </c>
      <c r="D11" s="2077">
        <f>公允价值变动审定表!G17</f>
        <v>0</v>
      </c>
      <c r="E11" s="1958"/>
    </row>
    <row r="12" spans="1:5" s="1529" customFormat="1" ht="14.25" customHeight="1">
      <c r="A12" s="1842">
        <v>9</v>
      </c>
      <c r="B12" s="3385"/>
      <c r="C12" s="1820" t="s">
        <v>235</v>
      </c>
      <c r="D12" s="2077">
        <f>利润!C26</f>
        <v>0</v>
      </c>
      <c r="E12" s="1958"/>
    </row>
    <row r="13" spans="1:5" s="1529" customFormat="1" ht="14.25" customHeight="1">
      <c r="A13" s="1842">
        <v>10</v>
      </c>
      <c r="B13" s="3385"/>
      <c r="C13" s="1820" t="s">
        <v>4823</v>
      </c>
      <c r="D13" s="2077">
        <f>D4-D5-D6-D7-D8-D9-D10+D11+D12</f>
        <v>0</v>
      </c>
      <c r="E13" s="1958"/>
    </row>
    <row r="14" spans="1:5" s="1529" customFormat="1" ht="42" customHeight="1">
      <c r="A14" s="1842">
        <v>11</v>
      </c>
      <c r="B14" s="3385"/>
      <c r="C14" s="1820" t="s">
        <v>4824</v>
      </c>
      <c r="D14" s="2077">
        <f>A101010一般企业收入明细表!C19+A101020金融企业收入明细表!C38+A103000事业单位、民间非营利组织收入、支出明细表!C12+A103000事业单位、民间非营利组织收入、支出明细表!C20</f>
        <v>0</v>
      </c>
      <c r="E14" s="1958" t="s">
        <v>4825</v>
      </c>
    </row>
    <row r="15" spans="1:5" s="1529" customFormat="1" ht="36" customHeight="1">
      <c r="A15" s="1842">
        <v>12</v>
      </c>
      <c r="B15" s="3385"/>
      <c r="C15" s="1820" t="s">
        <v>4826</v>
      </c>
      <c r="D15" s="2077">
        <f>A102010一般企业成本支出明细表!C19+A102020金融企业支出明细表!C36+A103000事业单位、民间非营利组织收入、支出明细表!C26+A103000事业单位、民间非营利组织收入、支出明细表!C31</f>
        <v>0</v>
      </c>
      <c r="E15" s="1958" t="s">
        <v>4827</v>
      </c>
    </row>
    <row r="16" spans="1:5" s="1529" customFormat="1" ht="14.25" customHeight="1">
      <c r="A16" s="1842">
        <v>13</v>
      </c>
      <c r="B16" s="3385"/>
      <c r="C16" s="1820" t="s">
        <v>4828</v>
      </c>
      <c r="D16" s="2077">
        <f>D13+D14-D15</f>
        <v>0</v>
      </c>
      <c r="E16" s="1958"/>
    </row>
    <row r="17" spans="1:5" s="1529" customFormat="1" ht="33" customHeight="1">
      <c r="A17" s="1842">
        <v>14</v>
      </c>
      <c r="B17" s="3383" t="s">
        <v>6845</v>
      </c>
      <c r="C17" s="1820" t="s">
        <v>4829</v>
      </c>
      <c r="D17" s="2077">
        <f>A108010境外所得纳税调整后所得明细表!O15-A108010境外所得纳税调整后所得明细表!L15</f>
        <v>0</v>
      </c>
      <c r="E17" s="1958" t="s">
        <v>4830</v>
      </c>
    </row>
    <row r="18" spans="1:5" s="1529" customFormat="1" ht="14.25" customHeight="1">
      <c r="A18" s="1842">
        <v>15</v>
      </c>
      <c r="B18" s="3387"/>
      <c r="C18" s="1820" t="s">
        <v>4831</v>
      </c>
      <c r="D18" s="2077">
        <f ca="1">A105000纳税调整项目明细表!E47</f>
        <v>0</v>
      </c>
      <c r="E18" s="1958" t="s">
        <v>4832</v>
      </c>
    </row>
    <row r="19" spans="1:5" s="1529" customFormat="1" ht="14.25" customHeight="1">
      <c r="A19" s="1842">
        <v>16</v>
      </c>
      <c r="B19" s="3387"/>
      <c r="C19" s="1820" t="s">
        <v>4833</v>
      </c>
      <c r="D19" s="2077">
        <f ca="1">A105000纳税调整项目明细表!F47</f>
        <v>0</v>
      </c>
      <c r="E19" s="1958" t="s">
        <v>4834</v>
      </c>
    </row>
    <row r="20" spans="1:5" s="1529" customFormat="1" ht="24.75" customHeight="1">
      <c r="A20" s="1842">
        <v>17</v>
      </c>
      <c r="B20" s="3387"/>
      <c r="C20" s="1820" t="s">
        <v>4835</v>
      </c>
      <c r="D20" s="2077">
        <f>A107010免税、减计收入及加计扣除优惠明细表!C30</f>
        <v>0</v>
      </c>
      <c r="E20" s="1958" t="s">
        <v>6800</v>
      </c>
    </row>
    <row r="21" spans="1:5" s="1529" customFormat="1" ht="41.25" customHeight="1">
      <c r="A21" s="1842">
        <v>18</v>
      </c>
      <c r="B21" s="3387"/>
      <c r="C21" s="1820" t="s">
        <v>4836</v>
      </c>
      <c r="D21" s="2077">
        <f ca="1">IF(D16-D17+D18-D19-D20&gt;=0,0,A108000境外所得税收抵免明细表!G15)</f>
        <v>0</v>
      </c>
      <c r="E21" s="1958" t="s">
        <v>4837</v>
      </c>
    </row>
    <row r="22" spans="1:5" s="1529" customFormat="1" ht="14.25" customHeight="1">
      <c r="A22" s="1842">
        <v>19</v>
      </c>
      <c r="B22" s="3387"/>
      <c r="C22" s="1820" t="s">
        <v>4838</v>
      </c>
      <c r="D22" s="2077">
        <f ca="1">D16-D17+D18-D19-D20+D21</f>
        <v>0</v>
      </c>
      <c r="E22" s="1958"/>
    </row>
    <row r="23" spans="1:5" s="1529" customFormat="1" ht="33" customHeight="1">
      <c r="A23" s="1842">
        <v>20</v>
      </c>
      <c r="B23" s="3387"/>
      <c r="C23" s="1820" t="s">
        <v>4839</v>
      </c>
      <c r="D23" s="2077">
        <f ca="1">MAX(MIN(D22,MAX(0,N(A107020所得减免优惠明细表!I44))),0)</f>
        <v>0</v>
      </c>
      <c r="E23" s="1958" t="s">
        <v>4840</v>
      </c>
    </row>
    <row r="24" spans="1:5" s="1529" customFormat="1" ht="26.25" customHeight="1">
      <c r="A24" s="1842">
        <v>21</v>
      </c>
      <c r="B24" s="3387"/>
      <c r="C24" s="1820" t="s">
        <v>4841</v>
      </c>
      <c r="D24" s="2077">
        <f ca="1">MAX(MIN(D22-D23,N(A107030抵扣应纳税所得额明细表!C21)),0)</f>
        <v>0</v>
      </c>
      <c r="E24" s="1958" t="s">
        <v>4842</v>
      </c>
    </row>
    <row r="25" spans="1:5" s="1529" customFormat="1" ht="28.5" customHeight="1">
      <c r="A25" s="1842">
        <v>22</v>
      </c>
      <c r="B25" s="3387"/>
      <c r="C25" s="1820" t="s">
        <v>4843</v>
      </c>
      <c r="D25" s="2077">
        <f ca="1">MAX(MIN(D22-D23-D24,MAX(0,A106000企业所得税弥补亏损明细表!L11)),0)</f>
        <v>0</v>
      </c>
      <c r="E25" s="1958" t="s">
        <v>4844</v>
      </c>
    </row>
    <row r="26" spans="1:5" s="1529" customFormat="1" ht="14.1" customHeight="1">
      <c r="A26" s="1842">
        <v>23</v>
      </c>
      <c r="B26" s="3384"/>
      <c r="C26" s="1820" t="s">
        <v>4845</v>
      </c>
      <c r="D26" s="2077">
        <f ca="1">MAX(D22-D23-D24-D25,0)</f>
        <v>0</v>
      </c>
      <c r="E26" s="1958" t="s">
        <v>4846</v>
      </c>
    </row>
    <row r="27" spans="1:5" s="1529" customFormat="1" ht="14.25" customHeight="1">
      <c r="A27" s="1842">
        <v>24</v>
      </c>
      <c r="B27" s="3385" t="s">
        <v>236</v>
      </c>
      <c r="C27" s="1820" t="s">
        <v>4847</v>
      </c>
      <c r="D27" s="2026">
        <v>0.25</v>
      </c>
      <c r="E27" s="1958"/>
    </row>
    <row r="28" spans="1:5" s="1529" customFormat="1" ht="14.25" customHeight="1">
      <c r="A28" s="1842">
        <v>25</v>
      </c>
      <c r="B28" s="3385"/>
      <c r="C28" s="1820" t="s">
        <v>4848</v>
      </c>
      <c r="D28" s="2077">
        <f ca="1">ROUND(D26*D27,2)</f>
        <v>0</v>
      </c>
      <c r="E28" s="1958" t="s">
        <v>4849</v>
      </c>
    </row>
    <row r="29" spans="1:5" s="1529" customFormat="1" ht="30" customHeight="1">
      <c r="A29" s="1842">
        <v>26</v>
      </c>
      <c r="B29" s="3385"/>
      <c r="C29" s="1820" t="s">
        <v>4850</v>
      </c>
      <c r="D29" s="2077">
        <f ca="1">MIN(D28,N(A107040减免所得税优惠明细表!D53))</f>
        <v>0</v>
      </c>
      <c r="E29" s="1958" t="s">
        <v>4851</v>
      </c>
    </row>
    <row r="30" spans="1:5" s="1529" customFormat="1" ht="33.75" customHeight="1">
      <c r="A30" s="1842">
        <v>27</v>
      </c>
      <c r="B30" s="3385"/>
      <c r="C30" s="1820" t="s">
        <v>4852</v>
      </c>
      <c r="D30" s="2077">
        <f ca="1">MIN(D28-D29,N(A107050税额抵免优惠明细表!M12))</f>
        <v>0</v>
      </c>
      <c r="E30" s="1958" t="s">
        <v>4853</v>
      </c>
    </row>
    <row r="31" spans="1:5" s="1529" customFormat="1" ht="14.25" customHeight="1">
      <c r="A31" s="1842">
        <v>28</v>
      </c>
      <c r="B31" s="3385"/>
      <c r="C31" s="1820" t="s">
        <v>4854</v>
      </c>
      <c r="D31" s="2077">
        <f ca="1">D28-D29-D30</f>
        <v>0</v>
      </c>
      <c r="E31" s="1958" t="s">
        <v>4846</v>
      </c>
    </row>
    <row r="32" spans="1:5" s="1529" customFormat="1" ht="24" customHeight="1">
      <c r="A32" s="1842">
        <v>29</v>
      </c>
      <c r="B32" s="3385"/>
      <c r="C32" s="1820" t="s">
        <v>4855</v>
      </c>
      <c r="D32" s="2077">
        <f>A108000境外所得税收抵免明细表!J15</f>
        <v>0</v>
      </c>
      <c r="E32" s="1958" t="s">
        <v>4856</v>
      </c>
    </row>
    <row r="33" spans="1:5" s="1529" customFormat="1" ht="23.25" customHeight="1">
      <c r="A33" s="1842">
        <v>30</v>
      </c>
      <c r="B33" s="3385"/>
      <c r="C33" s="1820" t="s">
        <v>4857</v>
      </c>
      <c r="D33" s="2077">
        <f>MIN(D32,N(A108000境外所得税收抵免明细表!T15))</f>
        <v>0</v>
      </c>
      <c r="E33" s="1958" t="s">
        <v>4858</v>
      </c>
    </row>
    <row r="34" spans="1:5" s="1529" customFormat="1" ht="14.25" customHeight="1">
      <c r="A34" s="1842">
        <v>31</v>
      </c>
      <c r="B34" s="3385"/>
      <c r="C34" s="1820" t="s">
        <v>4859</v>
      </c>
      <c r="D34" s="2077">
        <f ca="1">D31+D32-D33</f>
        <v>0</v>
      </c>
      <c r="E34" s="1958"/>
    </row>
    <row r="35" spans="1:5" s="1529" customFormat="1" ht="14.25" customHeight="1">
      <c r="A35" s="1842">
        <v>32</v>
      </c>
      <c r="B35" s="3385"/>
      <c r="C35" s="1820" t="s">
        <v>4860</v>
      </c>
      <c r="D35" s="2077">
        <f>纳税申报数据!K10</f>
        <v>0</v>
      </c>
      <c r="E35" s="1958"/>
    </row>
    <row r="36" spans="1:5" s="1530" customFormat="1" ht="14.25" customHeight="1">
      <c r="A36" s="1842">
        <v>33</v>
      </c>
      <c r="B36" s="3385"/>
      <c r="C36" s="1820" t="s">
        <v>4861</v>
      </c>
      <c r="D36" s="2077">
        <f ca="1">D34-D35</f>
        <v>0</v>
      </c>
      <c r="E36" s="1958"/>
    </row>
    <row r="37" spans="1:5" s="1529" customFormat="1" ht="14.25" customHeight="1">
      <c r="A37" s="1842">
        <v>34</v>
      </c>
      <c r="B37" s="3385"/>
      <c r="C37" s="1821" t="s">
        <v>4862</v>
      </c>
      <c r="D37" s="2077">
        <f>A109000跨地区经营汇总纳税企业年度分摊企业所得税明细表!C15+A109000跨地区经营汇总纳税企业年度分摊企业所得税明细表!C19</f>
        <v>0</v>
      </c>
      <c r="E37" s="1958" t="s">
        <v>4863</v>
      </c>
    </row>
    <row r="38" spans="1:5" s="1529" customFormat="1" ht="24" customHeight="1">
      <c r="A38" s="1842">
        <v>35</v>
      </c>
      <c r="B38" s="3385"/>
      <c r="C38" s="1821" t="s">
        <v>4864</v>
      </c>
      <c r="D38" s="2077">
        <f>A109000跨地区经营汇总纳税企业年度分摊企业所得税明细表!C16</f>
        <v>0</v>
      </c>
      <c r="E38" s="1958" t="s">
        <v>4865</v>
      </c>
    </row>
    <row r="39" spans="1:5" s="1529" customFormat="1" ht="24">
      <c r="A39" s="1843">
        <v>36</v>
      </c>
      <c r="B39" s="3385"/>
      <c r="C39" s="1821" t="s">
        <v>4866</v>
      </c>
      <c r="D39" s="2080">
        <f>A109000跨地区经营汇总纳税企业年度分摊企业所得税明细表!C18</f>
        <v>0</v>
      </c>
      <c r="E39" s="1958" t="s">
        <v>4867</v>
      </c>
    </row>
    <row r="40" spans="1:5" s="1529" customFormat="1" ht="14.25" customHeight="1">
      <c r="A40" s="1842">
        <v>37</v>
      </c>
      <c r="B40" s="3385" t="s">
        <v>1269</v>
      </c>
      <c r="C40" s="1820" t="s">
        <v>1270</v>
      </c>
      <c r="D40" s="2077">
        <f>纳税申报数据!K11</f>
        <v>0</v>
      </c>
      <c r="E40" s="1958"/>
    </row>
    <row r="41" spans="1:5" s="1529" customFormat="1" ht="14.25" customHeight="1">
      <c r="A41" s="1842">
        <v>38</v>
      </c>
      <c r="B41" s="3385"/>
      <c r="C41" s="1820" t="s">
        <v>6505</v>
      </c>
      <c r="D41" s="2077">
        <f>纳税申报数据!K13</f>
        <v>0</v>
      </c>
      <c r="E41" s="1958"/>
    </row>
  </sheetData>
  <mergeCells count="6">
    <mergeCell ref="A1:D1"/>
    <mergeCell ref="B40:B41"/>
    <mergeCell ref="B4:B16"/>
    <mergeCell ref="B17:B26"/>
    <mergeCell ref="B27:B39"/>
    <mergeCell ref="A2:D2"/>
  </mergeCells>
  <phoneticPr fontId="51" type="noConversion"/>
  <printOptions horizontalCentered="1"/>
  <pageMargins left="0.78740157480314965" right="0.35433070866141736" top="0.51181102362204722" bottom="0.11811023622047245" header="0.51181102362204722" footer="0.51181102362204722"/>
  <pageSetup paperSize="9" fitToHeight="0" orientation="portrait" blackAndWhite="1" cellComments="asDisplayed" r:id="rId1"/>
</worksheet>
</file>

<file path=xl/worksheets/sheet1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17"/>
  <dimension ref="A1:D29"/>
  <sheetViews>
    <sheetView workbookViewId="0">
      <selection sqref="A1:C1"/>
    </sheetView>
  </sheetViews>
  <sheetFormatPr defaultColWidth="8.8984375" defaultRowHeight="15.6"/>
  <cols>
    <col min="1" max="1" width="5.09765625" style="1532" customWidth="1"/>
    <col min="2" max="2" width="43.59765625" style="1532" customWidth="1"/>
    <col min="3" max="3" width="16.5" style="1532" customWidth="1"/>
    <col min="4" max="4" width="20.69921875" style="1532" customWidth="1"/>
    <col min="5" max="256" width="8.8984375" style="1532"/>
    <col min="257" max="257" width="5.09765625" style="1532" customWidth="1"/>
    <col min="258" max="258" width="43.59765625" style="1532" customWidth="1"/>
    <col min="259" max="259" width="10.19921875" style="1532" customWidth="1"/>
    <col min="260" max="260" width="20.69921875" style="1532" customWidth="1"/>
    <col min="261" max="512" width="8.8984375" style="1532"/>
    <col min="513" max="513" width="5.09765625" style="1532" customWidth="1"/>
    <col min="514" max="514" width="43.59765625" style="1532" customWidth="1"/>
    <col min="515" max="515" width="10.19921875" style="1532" customWidth="1"/>
    <col min="516" max="516" width="20.69921875" style="1532" customWidth="1"/>
    <col min="517" max="768" width="8.8984375" style="1532"/>
    <col min="769" max="769" width="5.09765625" style="1532" customWidth="1"/>
    <col min="770" max="770" width="43.59765625" style="1532" customWidth="1"/>
    <col min="771" max="771" width="10.19921875" style="1532" customWidth="1"/>
    <col min="772" max="772" width="20.69921875" style="1532" customWidth="1"/>
    <col min="773" max="1024" width="8.8984375" style="1532"/>
    <col min="1025" max="1025" width="5.09765625" style="1532" customWidth="1"/>
    <col min="1026" max="1026" width="43.59765625" style="1532" customWidth="1"/>
    <col min="1027" max="1027" width="10.19921875" style="1532" customWidth="1"/>
    <col min="1028" max="1028" width="20.69921875" style="1532" customWidth="1"/>
    <col min="1029" max="1280" width="8.8984375" style="1532"/>
    <col min="1281" max="1281" width="5.09765625" style="1532" customWidth="1"/>
    <col min="1282" max="1282" width="43.59765625" style="1532" customWidth="1"/>
    <col min="1283" max="1283" width="10.19921875" style="1532" customWidth="1"/>
    <col min="1284" max="1284" width="20.69921875" style="1532" customWidth="1"/>
    <col min="1285" max="1536" width="8.8984375" style="1532"/>
    <col min="1537" max="1537" width="5.09765625" style="1532" customWidth="1"/>
    <col min="1538" max="1538" width="43.59765625" style="1532" customWidth="1"/>
    <col min="1539" max="1539" width="10.19921875" style="1532" customWidth="1"/>
    <col min="1540" max="1540" width="20.69921875" style="1532" customWidth="1"/>
    <col min="1541" max="1792" width="8.8984375" style="1532"/>
    <col min="1793" max="1793" width="5.09765625" style="1532" customWidth="1"/>
    <col min="1794" max="1794" width="43.59765625" style="1532" customWidth="1"/>
    <col min="1795" max="1795" width="10.19921875" style="1532" customWidth="1"/>
    <col min="1796" max="1796" width="20.69921875" style="1532" customWidth="1"/>
    <col min="1797" max="2048" width="8.8984375" style="1532"/>
    <col min="2049" max="2049" width="5.09765625" style="1532" customWidth="1"/>
    <col min="2050" max="2050" width="43.59765625" style="1532" customWidth="1"/>
    <col min="2051" max="2051" width="10.19921875" style="1532" customWidth="1"/>
    <col min="2052" max="2052" width="20.69921875" style="1532" customWidth="1"/>
    <col min="2053" max="2304" width="8.8984375" style="1532"/>
    <col min="2305" max="2305" width="5.09765625" style="1532" customWidth="1"/>
    <col min="2306" max="2306" width="43.59765625" style="1532" customWidth="1"/>
    <col min="2307" max="2307" width="10.19921875" style="1532" customWidth="1"/>
    <col min="2308" max="2308" width="20.69921875" style="1532" customWidth="1"/>
    <col min="2309" max="2560" width="8.8984375" style="1532"/>
    <col min="2561" max="2561" width="5.09765625" style="1532" customWidth="1"/>
    <col min="2562" max="2562" width="43.59765625" style="1532" customWidth="1"/>
    <col min="2563" max="2563" width="10.19921875" style="1532" customWidth="1"/>
    <col min="2564" max="2564" width="20.69921875" style="1532" customWidth="1"/>
    <col min="2565" max="2816" width="8.8984375" style="1532"/>
    <col min="2817" max="2817" width="5.09765625" style="1532" customWidth="1"/>
    <col min="2818" max="2818" width="43.59765625" style="1532" customWidth="1"/>
    <col min="2819" max="2819" width="10.19921875" style="1532" customWidth="1"/>
    <col min="2820" max="2820" width="20.69921875" style="1532" customWidth="1"/>
    <col min="2821" max="3072" width="8.8984375" style="1532"/>
    <col min="3073" max="3073" width="5.09765625" style="1532" customWidth="1"/>
    <col min="3074" max="3074" width="43.59765625" style="1532" customWidth="1"/>
    <col min="3075" max="3075" width="10.19921875" style="1532" customWidth="1"/>
    <col min="3076" max="3076" width="20.69921875" style="1532" customWidth="1"/>
    <col min="3077" max="3328" width="8.8984375" style="1532"/>
    <col min="3329" max="3329" width="5.09765625" style="1532" customWidth="1"/>
    <col min="3330" max="3330" width="43.59765625" style="1532" customWidth="1"/>
    <col min="3331" max="3331" width="10.19921875" style="1532" customWidth="1"/>
    <col min="3332" max="3332" width="20.69921875" style="1532" customWidth="1"/>
    <col min="3333" max="3584" width="8.8984375" style="1532"/>
    <col min="3585" max="3585" width="5.09765625" style="1532" customWidth="1"/>
    <col min="3586" max="3586" width="43.59765625" style="1532" customWidth="1"/>
    <col min="3587" max="3587" width="10.19921875" style="1532" customWidth="1"/>
    <col min="3588" max="3588" width="20.69921875" style="1532" customWidth="1"/>
    <col min="3589" max="3840" width="8.8984375" style="1532"/>
    <col min="3841" max="3841" width="5.09765625" style="1532" customWidth="1"/>
    <col min="3842" max="3842" width="43.59765625" style="1532" customWidth="1"/>
    <col min="3843" max="3843" width="10.19921875" style="1532" customWidth="1"/>
    <col min="3844" max="3844" width="20.69921875" style="1532" customWidth="1"/>
    <col min="3845" max="4096" width="8.8984375" style="1532"/>
    <col min="4097" max="4097" width="5.09765625" style="1532" customWidth="1"/>
    <col min="4098" max="4098" width="43.59765625" style="1532" customWidth="1"/>
    <col min="4099" max="4099" width="10.19921875" style="1532" customWidth="1"/>
    <col min="4100" max="4100" width="20.69921875" style="1532" customWidth="1"/>
    <col min="4101" max="4352" width="8.8984375" style="1532"/>
    <col min="4353" max="4353" width="5.09765625" style="1532" customWidth="1"/>
    <col min="4354" max="4354" width="43.59765625" style="1532" customWidth="1"/>
    <col min="4355" max="4355" width="10.19921875" style="1532" customWidth="1"/>
    <col min="4356" max="4356" width="20.69921875" style="1532" customWidth="1"/>
    <col min="4357" max="4608" width="8.8984375" style="1532"/>
    <col min="4609" max="4609" width="5.09765625" style="1532" customWidth="1"/>
    <col min="4610" max="4610" width="43.59765625" style="1532" customWidth="1"/>
    <col min="4611" max="4611" width="10.19921875" style="1532" customWidth="1"/>
    <col min="4612" max="4612" width="20.69921875" style="1532" customWidth="1"/>
    <col min="4613" max="4864" width="8.8984375" style="1532"/>
    <col min="4865" max="4865" width="5.09765625" style="1532" customWidth="1"/>
    <col min="4866" max="4866" width="43.59765625" style="1532" customWidth="1"/>
    <col min="4867" max="4867" width="10.19921875" style="1532" customWidth="1"/>
    <col min="4868" max="4868" width="20.69921875" style="1532" customWidth="1"/>
    <col min="4869" max="5120" width="8.8984375" style="1532"/>
    <col min="5121" max="5121" width="5.09765625" style="1532" customWidth="1"/>
    <col min="5122" max="5122" width="43.59765625" style="1532" customWidth="1"/>
    <col min="5123" max="5123" width="10.19921875" style="1532" customWidth="1"/>
    <col min="5124" max="5124" width="20.69921875" style="1532" customWidth="1"/>
    <col min="5125" max="5376" width="8.8984375" style="1532"/>
    <col min="5377" max="5377" width="5.09765625" style="1532" customWidth="1"/>
    <col min="5378" max="5378" width="43.59765625" style="1532" customWidth="1"/>
    <col min="5379" max="5379" width="10.19921875" style="1532" customWidth="1"/>
    <col min="5380" max="5380" width="20.69921875" style="1532" customWidth="1"/>
    <col min="5381" max="5632" width="8.8984375" style="1532"/>
    <col min="5633" max="5633" width="5.09765625" style="1532" customWidth="1"/>
    <col min="5634" max="5634" width="43.59765625" style="1532" customWidth="1"/>
    <col min="5635" max="5635" width="10.19921875" style="1532" customWidth="1"/>
    <col min="5636" max="5636" width="20.69921875" style="1532" customWidth="1"/>
    <col min="5637" max="5888" width="8.8984375" style="1532"/>
    <col min="5889" max="5889" width="5.09765625" style="1532" customWidth="1"/>
    <col min="5890" max="5890" width="43.59765625" style="1532" customWidth="1"/>
    <col min="5891" max="5891" width="10.19921875" style="1532" customWidth="1"/>
    <col min="5892" max="5892" width="20.69921875" style="1532" customWidth="1"/>
    <col min="5893" max="6144" width="8.8984375" style="1532"/>
    <col min="6145" max="6145" width="5.09765625" style="1532" customWidth="1"/>
    <col min="6146" max="6146" width="43.59765625" style="1532" customWidth="1"/>
    <col min="6147" max="6147" width="10.19921875" style="1532" customWidth="1"/>
    <col min="6148" max="6148" width="20.69921875" style="1532" customWidth="1"/>
    <col min="6149" max="6400" width="8.8984375" style="1532"/>
    <col min="6401" max="6401" width="5.09765625" style="1532" customWidth="1"/>
    <col min="6402" max="6402" width="43.59765625" style="1532" customWidth="1"/>
    <col min="6403" max="6403" width="10.19921875" style="1532" customWidth="1"/>
    <col min="6404" max="6404" width="20.69921875" style="1532" customWidth="1"/>
    <col min="6405" max="6656" width="8.8984375" style="1532"/>
    <col min="6657" max="6657" width="5.09765625" style="1532" customWidth="1"/>
    <col min="6658" max="6658" width="43.59765625" style="1532" customWidth="1"/>
    <col min="6659" max="6659" width="10.19921875" style="1532" customWidth="1"/>
    <col min="6660" max="6660" width="20.69921875" style="1532" customWidth="1"/>
    <col min="6661" max="6912" width="8.8984375" style="1532"/>
    <col min="6913" max="6913" width="5.09765625" style="1532" customWidth="1"/>
    <col min="6914" max="6914" width="43.59765625" style="1532" customWidth="1"/>
    <col min="6915" max="6915" width="10.19921875" style="1532" customWidth="1"/>
    <col min="6916" max="6916" width="20.69921875" style="1532" customWidth="1"/>
    <col min="6917" max="7168" width="8.8984375" style="1532"/>
    <col min="7169" max="7169" width="5.09765625" style="1532" customWidth="1"/>
    <col min="7170" max="7170" width="43.59765625" style="1532" customWidth="1"/>
    <col min="7171" max="7171" width="10.19921875" style="1532" customWidth="1"/>
    <col min="7172" max="7172" width="20.69921875" style="1532" customWidth="1"/>
    <col min="7173" max="7424" width="8.8984375" style="1532"/>
    <col min="7425" max="7425" width="5.09765625" style="1532" customWidth="1"/>
    <col min="7426" max="7426" width="43.59765625" style="1532" customWidth="1"/>
    <col min="7427" max="7427" width="10.19921875" style="1532" customWidth="1"/>
    <col min="7428" max="7428" width="20.69921875" style="1532" customWidth="1"/>
    <col min="7429" max="7680" width="8.8984375" style="1532"/>
    <col min="7681" max="7681" width="5.09765625" style="1532" customWidth="1"/>
    <col min="7682" max="7682" width="43.59765625" style="1532" customWidth="1"/>
    <col min="7683" max="7683" width="10.19921875" style="1532" customWidth="1"/>
    <col min="7684" max="7684" width="20.69921875" style="1532" customWidth="1"/>
    <col min="7685" max="7936" width="8.8984375" style="1532"/>
    <col min="7937" max="7937" width="5.09765625" style="1532" customWidth="1"/>
    <col min="7938" max="7938" width="43.59765625" style="1532" customWidth="1"/>
    <col min="7939" max="7939" width="10.19921875" style="1532" customWidth="1"/>
    <col min="7940" max="7940" width="20.69921875" style="1532" customWidth="1"/>
    <col min="7941" max="8192" width="8.8984375" style="1532"/>
    <col min="8193" max="8193" width="5.09765625" style="1532" customWidth="1"/>
    <col min="8194" max="8194" width="43.59765625" style="1532" customWidth="1"/>
    <col min="8195" max="8195" width="10.19921875" style="1532" customWidth="1"/>
    <col min="8196" max="8196" width="20.69921875" style="1532" customWidth="1"/>
    <col min="8197" max="8448" width="8.8984375" style="1532"/>
    <col min="8449" max="8449" width="5.09765625" style="1532" customWidth="1"/>
    <col min="8450" max="8450" width="43.59765625" style="1532" customWidth="1"/>
    <col min="8451" max="8451" width="10.19921875" style="1532" customWidth="1"/>
    <col min="8452" max="8452" width="20.69921875" style="1532" customWidth="1"/>
    <col min="8453" max="8704" width="8.8984375" style="1532"/>
    <col min="8705" max="8705" width="5.09765625" style="1532" customWidth="1"/>
    <col min="8706" max="8706" width="43.59765625" style="1532" customWidth="1"/>
    <col min="8707" max="8707" width="10.19921875" style="1532" customWidth="1"/>
    <col min="8708" max="8708" width="20.69921875" style="1532" customWidth="1"/>
    <col min="8709" max="8960" width="8.8984375" style="1532"/>
    <col min="8961" max="8961" width="5.09765625" style="1532" customWidth="1"/>
    <col min="8962" max="8962" width="43.59765625" style="1532" customWidth="1"/>
    <col min="8963" max="8963" width="10.19921875" style="1532" customWidth="1"/>
    <col min="8964" max="8964" width="20.69921875" style="1532" customWidth="1"/>
    <col min="8965" max="9216" width="8.8984375" style="1532"/>
    <col min="9217" max="9217" width="5.09765625" style="1532" customWidth="1"/>
    <col min="9218" max="9218" width="43.59765625" style="1532" customWidth="1"/>
    <col min="9219" max="9219" width="10.19921875" style="1532" customWidth="1"/>
    <col min="9220" max="9220" width="20.69921875" style="1532" customWidth="1"/>
    <col min="9221" max="9472" width="8.8984375" style="1532"/>
    <col min="9473" max="9473" width="5.09765625" style="1532" customWidth="1"/>
    <col min="9474" max="9474" width="43.59765625" style="1532" customWidth="1"/>
    <col min="9475" max="9475" width="10.19921875" style="1532" customWidth="1"/>
    <col min="9476" max="9476" width="20.69921875" style="1532" customWidth="1"/>
    <col min="9477" max="9728" width="8.8984375" style="1532"/>
    <col min="9729" max="9729" width="5.09765625" style="1532" customWidth="1"/>
    <col min="9730" max="9730" width="43.59765625" style="1532" customWidth="1"/>
    <col min="9731" max="9731" width="10.19921875" style="1532" customWidth="1"/>
    <col min="9732" max="9732" width="20.69921875" style="1532" customWidth="1"/>
    <col min="9733" max="9984" width="8.8984375" style="1532"/>
    <col min="9985" max="9985" width="5.09765625" style="1532" customWidth="1"/>
    <col min="9986" max="9986" width="43.59765625" style="1532" customWidth="1"/>
    <col min="9987" max="9987" width="10.19921875" style="1532" customWidth="1"/>
    <col min="9988" max="9988" width="20.69921875" style="1532" customWidth="1"/>
    <col min="9989" max="10240" width="8.8984375" style="1532"/>
    <col min="10241" max="10241" width="5.09765625" style="1532" customWidth="1"/>
    <col min="10242" max="10242" width="43.59765625" style="1532" customWidth="1"/>
    <col min="10243" max="10243" width="10.19921875" style="1532" customWidth="1"/>
    <col min="10244" max="10244" width="20.69921875" style="1532" customWidth="1"/>
    <col min="10245" max="10496" width="8.8984375" style="1532"/>
    <col min="10497" max="10497" width="5.09765625" style="1532" customWidth="1"/>
    <col min="10498" max="10498" width="43.59765625" style="1532" customWidth="1"/>
    <col min="10499" max="10499" width="10.19921875" style="1532" customWidth="1"/>
    <col min="10500" max="10500" width="20.69921875" style="1532" customWidth="1"/>
    <col min="10501" max="10752" width="8.8984375" style="1532"/>
    <col min="10753" max="10753" width="5.09765625" style="1532" customWidth="1"/>
    <col min="10754" max="10754" width="43.59765625" style="1532" customWidth="1"/>
    <col min="10755" max="10755" width="10.19921875" style="1532" customWidth="1"/>
    <col min="10756" max="10756" width="20.69921875" style="1532" customWidth="1"/>
    <col min="10757" max="11008" width="8.8984375" style="1532"/>
    <col min="11009" max="11009" width="5.09765625" style="1532" customWidth="1"/>
    <col min="11010" max="11010" width="43.59765625" style="1532" customWidth="1"/>
    <col min="11011" max="11011" width="10.19921875" style="1532" customWidth="1"/>
    <col min="11012" max="11012" width="20.69921875" style="1532" customWidth="1"/>
    <col min="11013" max="11264" width="8.8984375" style="1532"/>
    <col min="11265" max="11265" width="5.09765625" style="1532" customWidth="1"/>
    <col min="11266" max="11266" width="43.59765625" style="1532" customWidth="1"/>
    <col min="11267" max="11267" width="10.19921875" style="1532" customWidth="1"/>
    <col min="11268" max="11268" width="20.69921875" style="1532" customWidth="1"/>
    <col min="11269" max="11520" width="8.8984375" style="1532"/>
    <col min="11521" max="11521" width="5.09765625" style="1532" customWidth="1"/>
    <col min="11522" max="11522" width="43.59765625" style="1532" customWidth="1"/>
    <col min="11523" max="11523" width="10.19921875" style="1532" customWidth="1"/>
    <col min="11524" max="11524" width="20.69921875" style="1532" customWidth="1"/>
    <col min="11525" max="11776" width="8.8984375" style="1532"/>
    <col min="11777" max="11777" width="5.09765625" style="1532" customWidth="1"/>
    <col min="11778" max="11778" width="43.59765625" style="1532" customWidth="1"/>
    <col min="11779" max="11779" width="10.19921875" style="1532" customWidth="1"/>
    <col min="11780" max="11780" width="20.69921875" style="1532" customWidth="1"/>
    <col min="11781" max="12032" width="8.8984375" style="1532"/>
    <col min="12033" max="12033" width="5.09765625" style="1532" customWidth="1"/>
    <col min="12034" max="12034" width="43.59765625" style="1532" customWidth="1"/>
    <col min="12035" max="12035" width="10.19921875" style="1532" customWidth="1"/>
    <col min="12036" max="12036" width="20.69921875" style="1532" customWidth="1"/>
    <col min="12037" max="12288" width="8.8984375" style="1532"/>
    <col min="12289" max="12289" width="5.09765625" style="1532" customWidth="1"/>
    <col min="12290" max="12290" width="43.59765625" style="1532" customWidth="1"/>
    <col min="12291" max="12291" width="10.19921875" style="1532" customWidth="1"/>
    <col min="12292" max="12292" width="20.69921875" style="1532" customWidth="1"/>
    <col min="12293" max="12544" width="8.8984375" style="1532"/>
    <col min="12545" max="12545" width="5.09765625" style="1532" customWidth="1"/>
    <col min="12546" max="12546" width="43.59765625" style="1532" customWidth="1"/>
    <col min="12547" max="12547" width="10.19921875" style="1532" customWidth="1"/>
    <col min="12548" max="12548" width="20.69921875" style="1532" customWidth="1"/>
    <col min="12549" max="12800" width="8.8984375" style="1532"/>
    <col min="12801" max="12801" width="5.09765625" style="1532" customWidth="1"/>
    <col min="12802" max="12802" width="43.59765625" style="1532" customWidth="1"/>
    <col min="12803" max="12803" width="10.19921875" style="1532" customWidth="1"/>
    <col min="12804" max="12804" width="20.69921875" style="1532" customWidth="1"/>
    <col min="12805" max="13056" width="8.8984375" style="1532"/>
    <col min="13057" max="13057" width="5.09765625" style="1532" customWidth="1"/>
    <col min="13058" max="13058" width="43.59765625" style="1532" customWidth="1"/>
    <col min="13059" max="13059" width="10.19921875" style="1532" customWidth="1"/>
    <col min="13060" max="13060" width="20.69921875" style="1532" customWidth="1"/>
    <col min="13061" max="13312" width="8.8984375" style="1532"/>
    <col min="13313" max="13313" width="5.09765625" style="1532" customWidth="1"/>
    <col min="13314" max="13314" width="43.59765625" style="1532" customWidth="1"/>
    <col min="13315" max="13315" width="10.19921875" style="1532" customWidth="1"/>
    <col min="13316" max="13316" width="20.69921875" style="1532" customWidth="1"/>
    <col min="13317" max="13568" width="8.8984375" style="1532"/>
    <col min="13569" max="13569" width="5.09765625" style="1532" customWidth="1"/>
    <col min="13570" max="13570" width="43.59765625" style="1532" customWidth="1"/>
    <col min="13571" max="13571" width="10.19921875" style="1532" customWidth="1"/>
    <col min="13572" max="13572" width="20.69921875" style="1532" customWidth="1"/>
    <col min="13573" max="13824" width="8.8984375" style="1532"/>
    <col min="13825" max="13825" width="5.09765625" style="1532" customWidth="1"/>
    <col min="13826" max="13826" width="43.59765625" style="1532" customWidth="1"/>
    <col min="13827" max="13827" width="10.19921875" style="1532" customWidth="1"/>
    <col min="13828" max="13828" width="20.69921875" style="1532" customWidth="1"/>
    <col min="13829" max="14080" width="8.8984375" style="1532"/>
    <col min="14081" max="14081" width="5.09765625" style="1532" customWidth="1"/>
    <col min="14082" max="14082" width="43.59765625" style="1532" customWidth="1"/>
    <col min="14083" max="14083" width="10.19921875" style="1532" customWidth="1"/>
    <col min="14084" max="14084" width="20.69921875" style="1532" customWidth="1"/>
    <col min="14085" max="14336" width="8.8984375" style="1532"/>
    <col min="14337" max="14337" width="5.09765625" style="1532" customWidth="1"/>
    <col min="14338" max="14338" width="43.59765625" style="1532" customWidth="1"/>
    <col min="14339" max="14339" width="10.19921875" style="1532" customWidth="1"/>
    <col min="14340" max="14340" width="20.69921875" style="1532" customWidth="1"/>
    <col min="14341" max="14592" width="8.8984375" style="1532"/>
    <col min="14593" max="14593" width="5.09765625" style="1532" customWidth="1"/>
    <col min="14594" max="14594" width="43.59765625" style="1532" customWidth="1"/>
    <col min="14595" max="14595" width="10.19921875" style="1532" customWidth="1"/>
    <col min="14596" max="14596" width="20.69921875" style="1532" customWidth="1"/>
    <col min="14597" max="14848" width="8.8984375" style="1532"/>
    <col min="14849" max="14849" width="5.09765625" style="1532" customWidth="1"/>
    <col min="14850" max="14850" width="43.59765625" style="1532" customWidth="1"/>
    <col min="14851" max="14851" width="10.19921875" style="1532" customWidth="1"/>
    <col min="14852" max="14852" width="20.69921875" style="1532" customWidth="1"/>
    <col min="14853" max="15104" width="8.8984375" style="1532"/>
    <col min="15105" max="15105" width="5.09765625" style="1532" customWidth="1"/>
    <col min="15106" max="15106" width="43.59765625" style="1532" customWidth="1"/>
    <col min="15107" max="15107" width="10.19921875" style="1532" customWidth="1"/>
    <col min="15108" max="15108" width="20.69921875" style="1532" customWidth="1"/>
    <col min="15109" max="15360" width="8.8984375" style="1532"/>
    <col min="15361" max="15361" width="5.09765625" style="1532" customWidth="1"/>
    <col min="15362" max="15362" width="43.59765625" style="1532" customWidth="1"/>
    <col min="15363" max="15363" width="10.19921875" style="1532" customWidth="1"/>
    <col min="15364" max="15364" width="20.69921875" style="1532" customWidth="1"/>
    <col min="15365" max="15616" width="8.8984375" style="1532"/>
    <col min="15617" max="15617" width="5.09765625" style="1532" customWidth="1"/>
    <col min="15618" max="15618" width="43.59765625" style="1532" customWidth="1"/>
    <col min="15619" max="15619" width="10.19921875" style="1532" customWidth="1"/>
    <col min="15620" max="15620" width="20.69921875" style="1532" customWidth="1"/>
    <col min="15621" max="15872" width="8.8984375" style="1532"/>
    <col min="15873" max="15873" width="5.09765625" style="1532" customWidth="1"/>
    <col min="15874" max="15874" width="43.59765625" style="1532" customWidth="1"/>
    <col min="15875" max="15875" width="10.19921875" style="1532" customWidth="1"/>
    <col min="15876" max="15876" width="20.69921875" style="1532" customWidth="1"/>
    <col min="15877" max="16128" width="8.8984375" style="1532"/>
    <col min="16129" max="16129" width="5.09765625" style="1532" customWidth="1"/>
    <col min="16130" max="16130" width="43.59765625" style="1532" customWidth="1"/>
    <col min="16131" max="16131" width="10.19921875" style="1532" customWidth="1"/>
    <col min="16132" max="16132" width="20.69921875" style="1532" customWidth="1"/>
    <col min="16133" max="16384" width="8.8984375" style="1532"/>
  </cols>
  <sheetData>
    <row r="1" spans="1:4" ht="20.100000000000001" customHeight="1">
      <c r="A1" s="3440" t="s">
        <v>4868</v>
      </c>
      <c r="B1" s="3440"/>
      <c r="C1" s="3440"/>
      <c r="D1" s="1939"/>
    </row>
    <row r="2" spans="1:4" ht="25.5" customHeight="1">
      <c r="A2" s="3379" t="s">
        <v>1857</v>
      </c>
      <c r="B2" s="3379"/>
      <c r="C2" s="3379"/>
      <c r="D2" s="1856"/>
    </row>
    <row r="3" spans="1:4" s="1533" customFormat="1">
      <c r="A3" s="1848" t="s">
        <v>1854</v>
      </c>
      <c r="B3" s="1848" t="s">
        <v>4869</v>
      </c>
      <c r="C3" s="1848" t="s">
        <v>4810</v>
      </c>
      <c r="D3" s="1848" t="s">
        <v>4811</v>
      </c>
    </row>
    <row r="4" spans="1:4">
      <c r="A4" s="1848">
        <v>1</v>
      </c>
      <c r="B4" s="1831" t="s">
        <v>4870</v>
      </c>
      <c r="C4" s="2077">
        <f>C5+C12</f>
        <v>0</v>
      </c>
      <c r="D4" s="1956" t="s">
        <v>4871</v>
      </c>
    </row>
    <row r="5" spans="1:4">
      <c r="A5" s="1848">
        <v>2</v>
      </c>
      <c r="B5" s="1831" t="s">
        <v>4872</v>
      </c>
      <c r="C5" s="2077">
        <f>C6+C8+C9+C10+C11</f>
        <v>0</v>
      </c>
      <c r="D5" s="1523"/>
    </row>
    <row r="6" spans="1:4">
      <c r="A6" s="1848">
        <v>3</v>
      </c>
      <c r="B6" s="1831" t="s">
        <v>4873</v>
      </c>
      <c r="C6" s="2074">
        <f>主营收支!C23</f>
        <v>0</v>
      </c>
      <c r="D6" s="1523"/>
    </row>
    <row r="7" spans="1:4">
      <c r="A7" s="1848">
        <v>4</v>
      </c>
      <c r="B7" s="1831" t="s">
        <v>4874</v>
      </c>
      <c r="C7" s="2074">
        <f>主营收支!C21</f>
        <v>0</v>
      </c>
      <c r="D7" s="1523"/>
    </row>
    <row r="8" spans="1:4">
      <c r="A8" s="1848">
        <v>5</v>
      </c>
      <c r="B8" s="1831" t="s">
        <v>4875</v>
      </c>
      <c r="C8" s="2074">
        <f>主营收支!D23</f>
        <v>0</v>
      </c>
      <c r="D8" s="1523"/>
    </row>
    <row r="9" spans="1:4">
      <c r="A9" s="1848">
        <v>6</v>
      </c>
      <c r="B9" s="1831" t="s">
        <v>4876</v>
      </c>
      <c r="C9" s="2074">
        <f>主营收支!E23</f>
        <v>0</v>
      </c>
      <c r="D9" s="1523"/>
    </row>
    <row r="10" spans="1:4">
      <c r="A10" s="1848">
        <v>7</v>
      </c>
      <c r="B10" s="1831" t="s">
        <v>4877</v>
      </c>
      <c r="C10" s="2074">
        <f>主营收支!F23</f>
        <v>0</v>
      </c>
      <c r="D10" s="1523"/>
    </row>
    <row r="11" spans="1:4">
      <c r="A11" s="1848">
        <v>8</v>
      </c>
      <c r="B11" s="1831" t="s">
        <v>4878</v>
      </c>
      <c r="C11" s="2074">
        <f>主营收支!G23</f>
        <v>0</v>
      </c>
      <c r="D11" s="1523"/>
    </row>
    <row r="12" spans="1:4">
      <c r="A12" s="1848">
        <v>9</v>
      </c>
      <c r="B12" s="1831" t="s">
        <v>4879</v>
      </c>
      <c r="C12" s="2077">
        <f>C13+C15+C16+C17+C18</f>
        <v>0</v>
      </c>
      <c r="D12" s="1523"/>
    </row>
    <row r="13" spans="1:4">
      <c r="A13" s="1848">
        <v>10</v>
      </c>
      <c r="B13" s="1831" t="s">
        <v>4880</v>
      </c>
      <c r="C13" s="2074">
        <f>其他业务!C8</f>
        <v>0</v>
      </c>
      <c r="D13" s="1523"/>
    </row>
    <row r="14" spans="1:4">
      <c r="A14" s="1848">
        <v>11</v>
      </c>
      <c r="B14" s="1831" t="s">
        <v>4881</v>
      </c>
      <c r="C14" s="2074">
        <f>其他业务!C9</f>
        <v>0</v>
      </c>
      <c r="D14" s="1523"/>
    </row>
    <row r="15" spans="1:4">
      <c r="A15" s="1848">
        <v>12</v>
      </c>
      <c r="B15" s="1831" t="s">
        <v>4882</v>
      </c>
      <c r="C15" s="2074">
        <f>其他业务!C10+其他业务!C11</f>
        <v>0</v>
      </c>
      <c r="D15" s="1523"/>
    </row>
    <row r="16" spans="1:4">
      <c r="A16" s="1848">
        <v>13</v>
      </c>
      <c r="B16" s="1831" t="s">
        <v>4883</v>
      </c>
      <c r="C16" s="2074">
        <f>其他业务!C12</f>
        <v>0</v>
      </c>
      <c r="D16" s="1523"/>
    </row>
    <row r="17" spans="1:4">
      <c r="A17" s="1848">
        <v>14</v>
      </c>
      <c r="B17" s="1831" t="s">
        <v>4884</v>
      </c>
      <c r="C17" s="2074">
        <f>其他业务!C13</f>
        <v>0</v>
      </c>
      <c r="D17" s="1523"/>
    </row>
    <row r="18" spans="1:4">
      <c r="A18" s="1848">
        <v>15</v>
      </c>
      <c r="B18" s="1831" t="s">
        <v>4878</v>
      </c>
      <c r="C18" s="2074">
        <f>其他业务!C17</f>
        <v>0</v>
      </c>
      <c r="D18" s="1523"/>
    </row>
    <row r="19" spans="1:4">
      <c r="A19" s="1848">
        <v>16</v>
      </c>
      <c r="B19" s="1831" t="s">
        <v>4885</v>
      </c>
      <c r="C19" s="2077">
        <f>C20+C21+C22+C23+C24+C25+C26+C27+C28+C29</f>
        <v>0</v>
      </c>
      <c r="D19" s="1956" t="s">
        <v>4886</v>
      </c>
    </row>
    <row r="20" spans="1:4">
      <c r="A20" s="1848">
        <v>17</v>
      </c>
      <c r="B20" s="1831" t="s">
        <v>4887</v>
      </c>
      <c r="C20" s="2074">
        <f>营外收支!E6</f>
        <v>0</v>
      </c>
      <c r="D20" s="1523"/>
    </row>
    <row r="21" spans="1:4">
      <c r="A21" s="1848">
        <v>18</v>
      </c>
      <c r="B21" s="1831" t="s">
        <v>4888</v>
      </c>
      <c r="C21" s="2074">
        <f>营外收支!E7</f>
        <v>0</v>
      </c>
      <c r="D21" s="1523"/>
    </row>
    <row r="22" spans="1:4">
      <c r="A22" s="1848">
        <v>19</v>
      </c>
      <c r="B22" s="1831" t="s">
        <v>4889</v>
      </c>
      <c r="C22" s="2074">
        <f>营外收支!E8</f>
        <v>0</v>
      </c>
      <c r="D22" s="1523"/>
    </row>
    <row r="23" spans="1:4">
      <c r="A23" s="1848">
        <v>20</v>
      </c>
      <c r="B23" s="1831" t="s">
        <v>4890</v>
      </c>
      <c r="C23" s="2074">
        <f>营外收支!E9</f>
        <v>0</v>
      </c>
      <c r="D23" s="1523"/>
    </row>
    <row r="24" spans="1:4" ht="14.1" customHeight="1">
      <c r="A24" s="1848">
        <v>21</v>
      </c>
      <c r="B24" s="1831" t="s">
        <v>4891</v>
      </c>
      <c r="C24" s="2074">
        <f>营外收支!E10</f>
        <v>0</v>
      </c>
      <c r="D24" s="1523"/>
    </row>
    <row r="25" spans="1:4" ht="14.1" customHeight="1">
      <c r="A25" s="1848">
        <v>22</v>
      </c>
      <c r="B25" s="1831" t="s">
        <v>4892</v>
      </c>
      <c r="C25" s="2074">
        <f>营外收支!E11</f>
        <v>0</v>
      </c>
      <c r="D25" s="1523"/>
    </row>
    <row r="26" spans="1:4">
      <c r="A26" s="1848">
        <v>23</v>
      </c>
      <c r="B26" s="1831" t="s">
        <v>4893</v>
      </c>
      <c r="C26" s="2074">
        <f>营外收支!E12</f>
        <v>0</v>
      </c>
      <c r="D26" s="1523"/>
    </row>
    <row r="27" spans="1:4">
      <c r="A27" s="1848">
        <v>24</v>
      </c>
      <c r="B27" s="1831" t="s">
        <v>4894</v>
      </c>
      <c r="C27" s="2074">
        <f>营外收支!E13</f>
        <v>0</v>
      </c>
      <c r="D27" s="1523"/>
    </row>
    <row r="28" spans="1:4">
      <c r="A28" s="1848">
        <v>25</v>
      </c>
      <c r="B28" s="1831" t="s">
        <v>4895</v>
      </c>
      <c r="C28" s="2074">
        <f>营外收支!E14</f>
        <v>0</v>
      </c>
      <c r="D28" s="1523"/>
    </row>
    <row r="29" spans="1:4">
      <c r="A29" s="1848">
        <v>26</v>
      </c>
      <c r="B29" s="1831" t="s">
        <v>4896</v>
      </c>
      <c r="C29" s="2074">
        <f>营外收支!E15</f>
        <v>0</v>
      </c>
      <c r="D29" s="1523"/>
    </row>
  </sheetData>
  <mergeCells count="2">
    <mergeCell ref="A1:C1"/>
    <mergeCell ref="A2:C2"/>
  </mergeCells>
  <phoneticPr fontId="51" type="noConversion"/>
  <printOptions horizontalCentered="1"/>
  <pageMargins left="0.78740157480314998" right="0.35433070866141703" top="0.511811023622047" bottom="0.11811023622047198" header="0.511811023622047" footer="0.511811023622047"/>
  <pageSetup paperSize="9" orientation="portrait" cellComments="asDisplayed" r:id="rId1"/>
</worksheet>
</file>

<file path=xl/worksheets/sheet1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18"/>
  <dimension ref="A1:D45"/>
  <sheetViews>
    <sheetView workbookViewId="0">
      <selection sqref="A1:C1"/>
    </sheetView>
  </sheetViews>
  <sheetFormatPr defaultRowHeight="15" customHeight="1"/>
  <cols>
    <col min="1" max="1" width="5.19921875" style="1535" customWidth="1"/>
    <col min="2" max="2" width="47.09765625" style="1535" customWidth="1"/>
    <col min="3" max="3" width="18.8984375" style="1535" customWidth="1"/>
    <col min="4" max="4" width="19.69921875" style="1535" customWidth="1"/>
    <col min="5" max="256" width="9" style="1535"/>
    <col min="257" max="257" width="5.19921875" style="1535" customWidth="1"/>
    <col min="258" max="258" width="47.09765625" style="1535" customWidth="1"/>
    <col min="259" max="259" width="10.19921875" style="1535" customWidth="1"/>
    <col min="260" max="260" width="19.69921875" style="1535" customWidth="1"/>
    <col min="261" max="512" width="9" style="1535"/>
    <col min="513" max="513" width="5.19921875" style="1535" customWidth="1"/>
    <col min="514" max="514" width="47.09765625" style="1535" customWidth="1"/>
    <col min="515" max="515" width="10.19921875" style="1535" customWidth="1"/>
    <col min="516" max="516" width="19.69921875" style="1535" customWidth="1"/>
    <col min="517" max="768" width="9" style="1535"/>
    <col min="769" max="769" width="5.19921875" style="1535" customWidth="1"/>
    <col min="770" max="770" width="47.09765625" style="1535" customWidth="1"/>
    <col min="771" max="771" width="10.19921875" style="1535" customWidth="1"/>
    <col min="772" max="772" width="19.69921875" style="1535" customWidth="1"/>
    <col min="773" max="1024" width="9" style="1535"/>
    <col min="1025" max="1025" width="5.19921875" style="1535" customWidth="1"/>
    <col min="1026" max="1026" width="47.09765625" style="1535" customWidth="1"/>
    <col min="1027" max="1027" width="10.19921875" style="1535" customWidth="1"/>
    <col min="1028" max="1028" width="19.69921875" style="1535" customWidth="1"/>
    <col min="1029" max="1280" width="9" style="1535"/>
    <col min="1281" max="1281" width="5.19921875" style="1535" customWidth="1"/>
    <col min="1282" max="1282" width="47.09765625" style="1535" customWidth="1"/>
    <col min="1283" max="1283" width="10.19921875" style="1535" customWidth="1"/>
    <col min="1284" max="1284" width="19.69921875" style="1535" customWidth="1"/>
    <col min="1285" max="1536" width="9" style="1535"/>
    <col min="1537" max="1537" width="5.19921875" style="1535" customWidth="1"/>
    <col min="1538" max="1538" width="47.09765625" style="1535" customWidth="1"/>
    <col min="1539" max="1539" width="10.19921875" style="1535" customWidth="1"/>
    <col min="1540" max="1540" width="19.69921875" style="1535" customWidth="1"/>
    <col min="1541" max="1792" width="9" style="1535"/>
    <col min="1793" max="1793" width="5.19921875" style="1535" customWidth="1"/>
    <col min="1794" max="1794" width="47.09765625" style="1535" customWidth="1"/>
    <col min="1795" max="1795" width="10.19921875" style="1535" customWidth="1"/>
    <col min="1796" max="1796" width="19.69921875" style="1535" customWidth="1"/>
    <col min="1797" max="2048" width="9" style="1535"/>
    <col min="2049" max="2049" width="5.19921875" style="1535" customWidth="1"/>
    <col min="2050" max="2050" width="47.09765625" style="1535" customWidth="1"/>
    <col min="2051" max="2051" width="10.19921875" style="1535" customWidth="1"/>
    <col min="2052" max="2052" width="19.69921875" style="1535" customWidth="1"/>
    <col min="2053" max="2304" width="9" style="1535"/>
    <col min="2305" max="2305" width="5.19921875" style="1535" customWidth="1"/>
    <col min="2306" max="2306" width="47.09765625" style="1535" customWidth="1"/>
    <col min="2307" max="2307" width="10.19921875" style="1535" customWidth="1"/>
    <col min="2308" max="2308" width="19.69921875" style="1535" customWidth="1"/>
    <col min="2309" max="2560" width="9" style="1535"/>
    <col min="2561" max="2561" width="5.19921875" style="1535" customWidth="1"/>
    <col min="2562" max="2562" width="47.09765625" style="1535" customWidth="1"/>
    <col min="2563" max="2563" width="10.19921875" style="1535" customWidth="1"/>
    <col min="2564" max="2564" width="19.69921875" style="1535" customWidth="1"/>
    <col min="2565" max="2816" width="9" style="1535"/>
    <col min="2817" max="2817" width="5.19921875" style="1535" customWidth="1"/>
    <col min="2818" max="2818" width="47.09765625" style="1535" customWidth="1"/>
    <col min="2819" max="2819" width="10.19921875" style="1535" customWidth="1"/>
    <col min="2820" max="2820" width="19.69921875" style="1535" customWidth="1"/>
    <col min="2821" max="3072" width="9" style="1535"/>
    <col min="3073" max="3073" width="5.19921875" style="1535" customWidth="1"/>
    <col min="3074" max="3074" width="47.09765625" style="1535" customWidth="1"/>
    <col min="3075" max="3075" width="10.19921875" style="1535" customWidth="1"/>
    <col min="3076" max="3076" width="19.69921875" style="1535" customWidth="1"/>
    <col min="3077" max="3328" width="9" style="1535"/>
    <col min="3329" max="3329" width="5.19921875" style="1535" customWidth="1"/>
    <col min="3330" max="3330" width="47.09765625" style="1535" customWidth="1"/>
    <col min="3331" max="3331" width="10.19921875" style="1535" customWidth="1"/>
    <col min="3332" max="3332" width="19.69921875" style="1535" customWidth="1"/>
    <col min="3333" max="3584" width="9" style="1535"/>
    <col min="3585" max="3585" width="5.19921875" style="1535" customWidth="1"/>
    <col min="3586" max="3586" width="47.09765625" style="1535" customWidth="1"/>
    <col min="3587" max="3587" width="10.19921875" style="1535" customWidth="1"/>
    <col min="3588" max="3588" width="19.69921875" style="1535" customWidth="1"/>
    <col min="3589" max="3840" width="9" style="1535"/>
    <col min="3841" max="3841" width="5.19921875" style="1535" customWidth="1"/>
    <col min="3842" max="3842" width="47.09765625" style="1535" customWidth="1"/>
    <col min="3843" max="3843" width="10.19921875" style="1535" customWidth="1"/>
    <col min="3844" max="3844" width="19.69921875" style="1535" customWidth="1"/>
    <col min="3845" max="4096" width="9" style="1535"/>
    <col min="4097" max="4097" width="5.19921875" style="1535" customWidth="1"/>
    <col min="4098" max="4098" width="47.09765625" style="1535" customWidth="1"/>
    <col min="4099" max="4099" width="10.19921875" style="1535" customWidth="1"/>
    <col min="4100" max="4100" width="19.69921875" style="1535" customWidth="1"/>
    <col min="4101" max="4352" width="9" style="1535"/>
    <col min="4353" max="4353" width="5.19921875" style="1535" customWidth="1"/>
    <col min="4354" max="4354" width="47.09765625" style="1535" customWidth="1"/>
    <col min="4355" max="4355" width="10.19921875" style="1535" customWidth="1"/>
    <col min="4356" max="4356" width="19.69921875" style="1535" customWidth="1"/>
    <col min="4357" max="4608" width="9" style="1535"/>
    <col min="4609" max="4609" width="5.19921875" style="1535" customWidth="1"/>
    <col min="4610" max="4610" width="47.09765625" style="1535" customWidth="1"/>
    <col min="4611" max="4611" width="10.19921875" style="1535" customWidth="1"/>
    <col min="4612" max="4612" width="19.69921875" style="1535" customWidth="1"/>
    <col min="4613" max="4864" width="9" style="1535"/>
    <col min="4865" max="4865" width="5.19921875" style="1535" customWidth="1"/>
    <col min="4866" max="4866" width="47.09765625" style="1535" customWidth="1"/>
    <col min="4867" max="4867" width="10.19921875" style="1535" customWidth="1"/>
    <col min="4868" max="4868" width="19.69921875" style="1535" customWidth="1"/>
    <col min="4869" max="5120" width="9" style="1535"/>
    <col min="5121" max="5121" width="5.19921875" style="1535" customWidth="1"/>
    <col min="5122" max="5122" width="47.09765625" style="1535" customWidth="1"/>
    <col min="5123" max="5123" width="10.19921875" style="1535" customWidth="1"/>
    <col min="5124" max="5124" width="19.69921875" style="1535" customWidth="1"/>
    <col min="5125" max="5376" width="9" style="1535"/>
    <col min="5377" max="5377" width="5.19921875" style="1535" customWidth="1"/>
    <col min="5378" max="5378" width="47.09765625" style="1535" customWidth="1"/>
    <col min="5379" max="5379" width="10.19921875" style="1535" customWidth="1"/>
    <col min="5380" max="5380" width="19.69921875" style="1535" customWidth="1"/>
    <col min="5381" max="5632" width="9" style="1535"/>
    <col min="5633" max="5633" width="5.19921875" style="1535" customWidth="1"/>
    <col min="5634" max="5634" width="47.09765625" style="1535" customWidth="1"/>
    <col min="5635" max="5635" width="10.19921875" style="1535" customWidth="1"/>
    <col min="5636" max="5636" width="19.69921875" style="1535" customWidth="1"/>
    <col min="5637" max="5888" width="9" style="1535"/>
    <col min="5889" max="5889" width="5.19921875" style="1535" customWidth="1"/>
    <col min="5890" max="5890" width="47.09765625" style="1535" customWidth="1"/>
    <col min="5891" max="5891" width="10.19921875" style="1535" customWidth="1"/>
    <col min="5892" max="5892" width="19.69921875" style="1535" customWidth="1"/>
    <col min="5893" max="6144" width="9" style="1535"/>
    <col min="6145" max="6145" width="5.19921875" style="1535" customWidth="1"/>
    <col min="6146" max="6146" width="47.09765625" style="1535" customWidth="1"/>
    <col min="6147" max="6147" width="10.19921875" style="1535" customWidth="1"/>
    <col min="6148" max="6148" width="19.69921875" style="1535" customWidth="1"/>
    <col min="6149" max="6400" width="9" style="1535"/>
    <col min="6401" max="6401" width="5.19921875" style="1535" customWidth="1"/>
    <col min="6402" max="6402" width="47.09765625" style="1535" customWidth="1"/>
    <col min="6403" max="6403" width="10.19921875" style="1535" customWidth="1"/>
    <col min="6404" max="6404" width="19.69921875" style="1535" customWidth="1"/>
    <col min="6405" max="6656" width="9" style="1535"/>
    <col min="6657" max="6657" width="5.19921875" style="1535" customWidth="1"/>
    <col min="6658" max="6658" width="47.09765625" style="1535" customWidth="1"/>
    <col min="6659" max="6659" width="10.19921875" style="1535" customWidth="1"/>
    <col min="6660" max="6660" width="19.69921875" style="1535" customWidth="1"/>
    <col min="6661" max="6912" width="9" style="1535"/>
    <col min="6913" max="6913" width="5.19921875" style="1535" customWidth="1"/>
    <col min="6914" max="6914" width="47.09765625" style="1535" customWidth="1"/>
    <col min="6915" max="6915" width="10.19921875" style="1535" customWidth="1"/>
    <col min="6916" max="6916" width="19.69921875" style="1535" customWidth="1"/>
    <col min="6917" max="7168" width="9" style="1535"/>
    <col min="7169" max="7169" width="5.19921875" style="1535" customWidth="1"/>
    <col min="7170" max="7170" width="47.09765625" style="1535" customWidth="1"/>
    <col min="7171" max="7171" width="10.19921875" style="1535" customWidth="1"/>
    <col min="7172" max="7172" width="19.69921875" style="1535" customWidth="1"/>
    <col min="7173" max="7424" width="9" style="1535"/>
    <col min="7425" max="7425" width="5.19921875" style="1535" customWidth="1"/>
    <col min="7426" max="7426" width="47.09765625" style="1535" customWidth="1"/>
    <col min="7427" max="7427" width="10.19921875" style="1535" customWidth="1"/>
    <col min="7428" max="7428" width="19.69921875" style="1535" customWidth="1"/>
    <col min="7429" max="7680" width="9" style="1535"/>
    <col min="7681" max="7681" width="5.19921875" style="1535" customWidth="1"/>
    <col min="7682" max="7682" width="47.09765625" style="1535" customWidth="1"/>
    <col min="7683" max="7683" width="10.19921875" style="1535" customWidth="1"/>
    <col min="7684" max="7684" width="19.69921875" style="1535" customWidth="1"/>
    <col min="7685" max="7936" width="9" style="1535"/>
    <col min="7937" max="7937" width="5.19921875" style="1535" customWidth="1"/>
    <col min="7938" max="7938" width="47.09765625" style="1535" customWidth="1"/>
    <col min="7939" max="7939" width="10.19921875" style="1535" customWidth="1"/>
    <col min="7940" max="7940" width="19.69921875" style="1535" customWidth="1"/>
    <col min="7941" max="8192" width="9" style="1535"/>
    <col min="8193" max="8193" width="5.19921875" style="1535" customWidth="1"/>
    <col min="8194" max="8194" width="47.09765625" style="1535" customWidth="1"/>
    <col min="8195" max="8195" width="10.19921875" style="1535" customWidth="1"/>
    <col min="8196" max="8196" width="19.69921875" style="1535" customWidth="1"/>
    <col min="8197" max="8448" width="9" style="1535"/>
    <col min="8449" max="8449" width="5.19921875" style="1535" customWidth="1"/>
    <col min="8450" max="8450" width="47.09765625" style="1535" customWidth="1"/>
    <col min="8451" max="8451" width="10.19921875" style="1535" customWidth="1"/>
    <col min="8452" max="8452" width="19.69921875" style="1535" customWidth="1"/>
    <col min="8453" max="8704" width="9" style="1535"/>
    <col min="8705" max="8705" width="5.19921875" style="1535" customWidth="1"/>
    <col min="8706" max="8706" width="47.09765625" style="1535" customWidth="1"/>
    <col min="8707" max="8707" width="10.19921875" style="1535" customWidth="1"/>
    <col min="8708" max="8708" width="19.69921875" style="1535" customWidth="1"/>
    <col min="8709" max="8960" width="9" style="1535"/>
    <col min="8961" max="8961" width="5.19921875" style="1535" customWidth="1"/>
    <col min="8962" max="8962" width="47.09765625" style="1535" customWidth="1"/>
    <col min="8963" max="8963" width="10.19921875" style="1535" customWidth="1"/>
    <col min="8964" max="8964" width="19.69921875" style="1535" customWidth="1"/>
    <col min="8965" max="9216" width="9" style="1535"/>
    <col min="9217" max="9217" width="5.19921875" style="1535" customWidth="1"/>
    <col min="9218" max="9218" width="47.09765625" style="1535" customWidth="1"/>
    <col min="9219" max="9219" width="10.19921875" style="1535" customWidth="1"/>
    <col min="9220" max="9220" width="19.69921875" style="1535" customWidth="1"/>
    <col min="9221" max="9472" width="9" style="1535"/>
    <col min="9473" max="9473" width="5.19921875" style="1535" customWidth="1"/>
    <col min="9474" max="9474" width="47.09765625" style="1535" customWidth="1"/>
    <col min="9475" max="9475" width="10.19921875" style="1535" customWidth="1"/>
    <col min="9476" max="9476" width="19.69921875" style="1535" customWidth="1"/>
    <col min="9477" max="9728" width="9" style="1535"/>
    <col min="9729" max="9729" width="5.19921875" style="1535" customWidth="1"/>
    <col min="9730" max="9730" width="47.09765625" style="1535" customWidth="1"/>
    <col min="9731" max="9731" width="10.19921875" style="1535" customWidth="1"/>
    <col min="9732" max="9732" width="19.69921875" style="1535" customWidth="1"/>
    <col min="9733" max="9984" width="9" style="1535"/>
    <col min="9985" max="9985" width="5.19921875" style="1535" customWidth="1"/>
    <col min="9986" max="9986" width="47.09765625" style="1535" customWidth="1"/>
    <col min="9987" max="9987" width="10.19921875" style="1535" customWidth="1"/>
    <col min="9988" max="9988" width="19.69921875" style="1535" customWidth="1"/>
    <col min="9989" max="10240" width="9" style="1535"/>
    <col min="10241" max="10241" width="5.19921875" style="1535" customWidth="1"/>
    <col min="10242" max="10242" width="47.09765625" style="1535" customWidth="1"/>
    <col min="10243" max="10243" width="10.19921875" style="1535" customWidth="1"/>
    <col min="10244" max="10244" width="19.69921875" style="1535" customWidth="1"/>
    <col min="10245" max="10496" width="9" style="1535"/>
    <col min="10497" max="10497" width="5.19921875" style="1535" customWidth="1"/>
    <col min="10498" max="10498" width="47.09765625" style="1535" customWidth="1"/>
    <col min="10499" max="10499" width="10.19921875" style="1535" customWidth="1"/>
    <col min="10500" max="10500" width="19.69921875" style="1535" customWidth="1"/>
    <col min="10501" max="10752" width="9" style="1535"/>
    <col min="10753" max="10753" width="5.19921875" style="1535" customWidth="1"/>
    <col min="10754" max="10754" width="47.09765625" style="1535" customWidth="1"/>
    <col min="10755" max="10755" width="10.19921875" style="1535" customWidth="1"/>
    <col min="10756" max="10756" width="19.69921875" style="1535" customWidth="1"/>
    <col min="10757" max="11008" width="9" style="1535"/>
    <col min="11009" max="11009" width="5.19921875" style="1535" customWidth="1"/>
    <col min="11010" max="11010" width="47.09765625" style="1535" customWidth="1"/>
    <col min="11011" max="11011" width="10.19921875" style="1535" customWidth="1"/>
    <col min="11012" max="11012" width="19.69921875" style="1535" customWidth="1"/>
    <col min="11013" max="11264" width="9" style="1535"/>
    <col min="11265" max="11265" width="5.19921875" style="1535" customWidth="1"/>
    <col min="11266" max="11266" width="47.09765625" style="1535" customWidth="1"/>
    <col min="11267" max="11267" width="10.19921875" style="1535" customWidth="1"/>
    <col min="11268" max="11268" width="19.69921875" style="1535" customWidth="1"/>
    <col min="11269" max="11520" width="9" style="1535"/>
    <col min="11521" max="11521" width="5.19921875" style="1535" customWidth="1"/>
    <col min="11522" max="11522" width="47.09765625" style="1535" customWidth="1"/>
    <col min="11523" max="11523" width="10.19921875" style="1535" customWidth="1"/>
    <col min="11524" max="11524" width="19.69921875" style="1535" customWidth="1"/>
    <col min="11525" max="11776" width="9" style="1535"/>
    <col min="11777" max="11777" width="5.19921875" style="1535" customWidth="1"/>
    <col min="11778" max="11778" width="47.09765625" style="1535" customWidth="1"/>
    <col min="11779" max="11779" width="10.19921875" style="1535" customWidth="1"/>
    <col min="11780" max="11780" width="19.69921875" style="1535" customWidth="1"/>
    <col min="11781" max="12032" width="9" style="1535"/>
    <col min="12033" max="12033" width="5.19921875" style="1535" customWidth="1"/>
    <col min="12034" max="12034" width="47.09765625" style="1535" customWidth="1"/>
    <col min="12035" max="12035" width="10.19921875" style="1535" customWidth="1"/>
    <col min="12036" max="12036" width="19.69921875" style="1535" customWidth="1"/>
    <col min="12037" max="12288" width="9" style="1535"/>
    <col min="12289" max="12289" width="5.19921875" style="1535" customWidth="1"/>
    <col min="12290" max="12290" width="47.09765625" style="1535" customWidth="1"/>
    <col min="12291" max="12291" width="10.19921875" style="1535" customWidth="1"/>
    <col min="12292" max="12292" width="19.69921875" style="1535" customWidth="1"/>
    <col min="12293" max="12544" width="9" style="1535"/>
    <col min="12545" max="12545" width="5.19921875" style="1535" customWidth="1"/>
    <col min="12546" max="12546" width="47.09765625" style="1535" customWidth="1"/>
    <col min="12547" max="12547" width="10.19921875" style="1535" customWidth="1"/>
    <col min="12548" max="12548" width="19.69921875" style="1535" customWidth="1"/>
    <col min="12549" max="12800" width="9" style="1535"/>
    <col min="12801" max="12801" width="5.19921875" style="1535" customWidth="1"/>
    <col min="12802" max="12802" width="47.09765625" style="1535" customWidth="1"/>
    <col min="12803" max="12803" width="10.19921875" style="1535" customWidth="1"/>
    <col min="12804" max="12804" width="19.69921875" style="1535" customWidth="1"/>
    <col min="12805" max="13056" width="9" style="1535"/>
    <col min="13057" max="13057" width="5.19921875" style="1535" customWidth="1"/>
    <col min="13058" max="13058" width="47.09765625" style="1535" customWidth="1"/>
    <col min="13059" max="13059" width="10.19921875" style="1535" customWidth="1"/>
    <col min="13060" max="13060" width="19.69921875" style="1535" customWidth="1"/>
    <col min="13061" max="13312" width="9" style="1535"/>
    <col min="13313" max="13313" width="5.19921875" style="1535" customWidth="1"/>
    <col min="13314" max="13314" width="47.09765625" style="1535" customWidth="1"/>
    <col min="13315" max="13315" width="10.19921875" style="1535" customWidth="1"/>
    <col min="13316" max="13316" width="19.69921875" style="1535" customWidth="1"/>
    <col min="13317" max="13568" width="9" style="1535"/>
    <col min="13569" max="13569" width="5.19921875" style="1535" customWidth="1"/>
    <col min="13570" max="13570" width="47.09765625" style="1535" customWidth="1"/>
    <col min="13571" max="13571" width="10.19921875" style="1535" customWidth="1"/>
    <col min="13572" max="13572" width="19.69921875" style="1535" customWidth="1"/>
    <col min="13573" max="13824" width="9" style="1535"/>
    <col min="13825" max="13825" width="5.19921875" style="1535" customWidth="1"/>
    <col min="13826" max="13826" width="47.09765625" style="1535" customWidth="1"/>
    <col min="13827" max="13827" width="10.19921875" style="1535" customWidth="1"/>
    <col min="13828" max="13828" width="19.69921875" style="1535" customWidth="1"/>
    <col min="13829" max="14080" width="9" style="1535"/>
    <col min="14081" max="14081" width="5.19921875" style="1535" customWidth="1"/>
    <col min="14082" max="14082" width="47.09765625" style="1535" customWidth="1"/>
    <col min="14083" max="14083" width="10.19921875" style="1535" customWidth="1"/>
    <col min="14084" max="14084" width="19.69921875" style="1535" customWidth="1"/>
    <col min="14085" max="14336" width="9" style="1535"/>
    <col min="14337" max="14337" width="5.19921875" style="1535" customWidth="1"/>
    <col min="14338" max="14338" width="47.09765625" style="1535" customWidth="1"/>
    <col min="14339" max="14339" width="10.19921875" style="1535" customWidth="1"/>
    <col min="14340" max="14340" width="19.69921875" style="1535" customWidth="1"/>
    <col min="14341" max="14592" width="9" style="1535"/>
    <col min="14593" max="14593" width="5.19921875" style="1535" customWidth="1"/>
    <col min="14594" max="14594" width="47.09765625" style="1535" customWidth="1"/>
    <col min="14595" max="14595" width="10.19921875" style="1535" customWidth="1"/>
    <col min="14596" max="14596" width="19.69921875" style="1535" customWidth="1"/>
    <col min="14597" max="14848" width="9" style="1535"/>
    <col min="14849" max="14849" width="5.19921875" style="1535" customWidth="1"/>
    <col min="14850" max="14850" width="47.09765625" style="1535" customWidth="1"/>
    <col min="14851" max="14851" width="10.19921875" style="1535" customWidth="1"/>
    <col min="14852" max="14852" width="19.69921875" style="1535" customWidth="1"/>
    <col min="14853" max="15104" width="9" style="1535"/>
    <col min="15105" max="15105" width="5.19921875" style="1535" customWidth="1"/>
    <col min="15106" max="15106" width="47.09765625" style="1535" customWidth="1"/>
    <col min="15107" max="15107" width="10.19921875" style="1535" customWidth="1"/>
    <col min="15108" max="15108" width="19.69921875" style="1535" customWidth="1"/>
    <col min="15109" max="15360" width="9" style="1535"/>
    <col min="15361" max="15361" width="5.19921875" style="1535" customWidth="1"/>
    <col min="15362" max="15362" width="47.09765625" style="1535" customWidth="1"/>
    <col min="15363" max="15363" width="10.19921875" style="1535" customWidth="1"/>
    <col min="15364" max="15364" width="19.69921875" style="1535" customWidth="1"/>
    <col min="15365" max="15616" width="9" style="1535"/>
    <col min="15617" max="15617" width="5.19921875" style="1535" customWidth="1"/>
    <col min="15618" max="15618" width="47.09765625" style="1535" customWidth="1"/>
    <col min="15619" max="15619" width="10.19921875" style="1535" customWidth="1"/>
    <col min="15620" max="15620" width="19.69921875" style="1535" customWidth="1"/>
    <col min="15621" max="15872" width="9" style="1535"/>
    <col min="15873" max="15873" width="5.19921875" style="1535" customWidth="1"/>
    <col min="15874" max="15874" width="47.09765625" style="1535" customWidth="1"/>
    <col min="15875" max="15875" width="10.19921875" style="1535" customWidth="1"/>
    <col min="15876" max="15876" width="19.69921875" style="1535" customWidth="1"/>
    <col min="15877" max="16128" width="9" style="1535"/>
    <col min="16129" max="16129" width="5.19921875" style="1535" customWidth="1"/>
    <col min="16130" max="16130" width="47.09765625" style="1535" customWidth="1"/>
    <col min="16131" max="16131" width="10.19921875" style="1535" customWidth="1"/>
    <col min="16132" max="16132" width="19.69921875" style="1535" customWidth="1"/>
    <col min="16133" max="16384" width="9" style="1535"/>
  </cols>
  <sheetData>
    <row r="1" spans="1:4" s="1534" customFormat="1" ht="20.100000000000001" customHeight="1">
      <c r="A1" s="3378" t="s">
        <v>4897</v>
      </c>
      <c r="B1" s="3378"/>
      <c r="C1" s="3378"/>
      <c r="D1" s="2009"/>
    </row>
    <row r="2" spans="1:4" ht="25.5" customHeight="1">
      <c r="A2" s="3379" t="s">
        <v>4898</v>
      </c>
      <c r="B2" s="3379"/>
      <c r="C2" s="3379"/>
      <c r="D2" s="1946"/>
    </row>
    <row r="3" spans="1:4" ht="14.25" customHeight="1">
      <c r="A3" s="1912" t="s">
        <v>1854</v>
      </c>
      <c r="B3" s="1912" t="s">
        <v>4899</v>
      </c>
      <c r="C3" s="1912" t="s">
        <v>4900</v>
      </c>
      <c r="D3" s="1912" t="s">
        <v>4901</v>
      </c>
    </row>
    <row r="4" spans="1:4" ht="14.25" customHeight="1">
      <c r="A4" s="1912">
        <v>1</v>
      </c>
      <c r="B4" s="1915" t="s">
        <v>4902</v>
      </c>
      <c r="C4" s="2077">
        <f>C5+C21+C30+C35+C36+C37</f>
        <v>0</v>
      </c>
      <c r="D4" s="1912" t="s">
        <v>4903</v>
      </c>
    </row>
    <row r="5" spans="1:4" ht="14.25" customHeight="1">
      <c r="A5" s="1912">
        <v>2</v>
      </c>
      <c r="B5" s="1915" t="s">
        <v>4904</v>
      </c>
      <c r="C5" s="2077">
        <f>C6+C13</f>
        <v>0</v>
      </c>
      <c r="D5" s="1912"/>
    </row>
    <row r="6" spans="1:4" ht="14.25" customHeight="1">
      <c r="A6" s="1912">
        <v>3</v>
      </c>
      <c r="B6" s="1915" t="s">
        <v>4905</v>
      </c>
      <c r="C6" s="2077">
        <f>SUM(C7:C12)</f>
        <v>0</v>
      </c>
      <c r="D6" s="1912"/>
    </row>
    <row r="7" spans="1:4" ht="14.25" customHeight="1">
      <c r="A7" s="1912">
        <v>4</v>
      </c>
      <c r="B7" s="1947" t="s">
        <v>4906</v>
      </c>
      <c r="C7" s="2079"/>
      <c r="D7" s="1912"/>
    </row>
    <row r="8" spans="1:4" ht="14.25" customHeight="1">
      <c r="A8" s="1912">
        <v>5</v>
      </c>
      <c r="B8" s="1947" t="s">
        <v>4907</v>
      </c>
      <c r="C8" s="2079"/>
      <c r="D8" s="1912"/>
    </row>
    <row r="9" spans="1:4" ht="14.25" customHeight="1">
      <c r="A9" s="1912">
        <v>6</v>
      </c>
      <c r="B9" s="1947" t="s">
        <v>4908</v>
      </c>
      <c r="C9" s="2079"/>
      <c r="D9" s="1912"/>
    </row>
    <row r="10" spans="1:4" ht="14.25" customHeight="1">
      <c r="A10" s="1912">
        <v>7</v>
      </c>
      <c r="B10" s="1947" t="s">
        <v>4909</v>
      </c>
      <c r="C10" s="2079"/>
      <c r="D10" s="1912"/>
    </row>
    <row r="11" spans="1:4" ht="14.25" customHeight="1">
      <c r="A11" s="1912">
        <v>8</v>
      </c>
      <c r="B11" s="1947" t="s">
        <v>4910</v>
      </c>
      <c r="C11" s="2079"/>
      <c r="D11" s="1912"/>
    </row>
    <row r="12" spans="1:4" ht="14.25" customHeight="1">
      <c r="A12" s="1912">
        <v>9</v>
      </c>
      <c r="B12" s="1947" t="s">
        <v>4911</v>
      </c>
      <c r="C12" s="2079"/>
      <c r="D12" s="1912"/>
    </row>
    <row r="13" spans="1:4" ht="14.25" customHeight="1">
      <c r="A13" s="1912">
        <v>10</v>
      </c>
      <c r="B13" s="1915" t="s">
        <v>4912</v>
      </c>
      <c r="C13" s="2077">
        <f>SUM(C14:C20)</f>
        <v>0</v>
      </c>
      <c r="D13" s="1912"/>
    </row>
    <row r="14" spans="1:4" ht="14.25" customHeight="1">
      <c r="A14" s="1912">
        <v>11</v>
      </c>
      <c r="B14" s="1947" t="s">
        <v>4913</v>
      </c>
      <c r="C14" s="2079"/>
      <c r="D14" s="1912"/>
    </row>
    <row r="15" spans="1:4" ht="14.25" customHeight="1">
      <c r="A15" s="1912">
        <v>12</v>
      </c>
      <c r="B15" s="1947" t="s">
        <v>4914</v>
      </c>
      <c r="C15" s="2079"/>
      <c r="D15" s="1912"/>
    </row>
    <row r="16" spans="1:4" ht="14.25" customHeight="1">
      <c r="A16" s="1912">
        <v>13</v>
      </c>
      <c r="B16" s="1947" t="s">
        <v>4915</v>
      </c>
      <c r="C16" s="2079"/>
      <c r="D16" s="1912"/>
    </row>
    <row r="17" spans="1:4" ht="14.25" customHeight="1">
      <c r="A17" s="1912">
        <v>14</v>
      </c>
      <c r="B17" s="1947" t="s">
        <v>4916</v>
      </c>
      <c r="C17" s="2079"/>
      <c r="D17" s="1912"/>
    </row>
    <row r="18" spans="1:4" ht="14.25" customHeight="1">
      <c r="A18" s="1912">
        <v>15</v>
      </c>
      <c r="B18" s="1947" t="s">
        <v>4917</v>
      </c>
      <c r="C18" s="2079"/>
      <c r="D18" s="1912"/>
    </row>
    <row r="19" spans="1:4" ht="14.25" customHeight="1">
      <c r="A19" s="1912">
        <v>16</v>
      </c>
      <c r="B19" s="1947" t="s">
        <v>4918</v>
      </c>
      <c r="C19" s="2079"/>
      <c r="D19" s="1912"/>
    </row>
    <row r="20" spans="1:4" ht="14.25" customHeight="1">
      <c r="A20" s="1912">
        <v>17</v>
      </c>
      <c r="B20" s="1947" t="s">
        <v>4919</v>
      </c>
      <c r="C20" s="2079"/>
      <c r="D20" s="1912"/>
    </row>
    <row r="21" spans="1:4" ht="14.25" customHeight="1">
      <c r="A21" s="1912">
        <v>18</v>
      </c>
      <c r="B21" s="1947" t="s">
        <v>4920</v>
      </c>
      <c r="C21" s="2077">
        <f>C22+C29</f>
        <v>0</v>
      </c>
      <c r="D21" s="1912"/>
    </row>
    <row r="22" spans="1:4" ht="14.25" customHeight="1">
      <c r="A22" s="1912">
        <v>19</v>
      </c>
      <c r="B22" s="1947" t="s">
        <v>4921</v>
      </c>
      <c r="C22" s="2077">
        <f>SUM(C23:C28)</f>
        <v>0</v>
      </c>
      <c r="D22" s="1912"/>
    </row>
    <row r="23" spans="1:4" ht="14.25" customHeight="1">
      <c r="A23" s="1912">
        <v>20</v>
      </c>
      <c r="B23" s="1948" t="s">
        <v>4922</v>
      </c>
      <c r="C23" s="2079"/>
      <c r="D23" s="1912"/>
    </row>
    <row r="24" spans="1:4" ht="14.25" customHeight="1">
      <c r="A24" s="1912">
        <v>21</v>
      </c>
      <c r="B24" s="1947" t="s">
        <v>4923</v>
      </c>
      <c r="C24" s="2079"/>
      <c r="D24" s="1912"/>
    </row>
    <row r="25" spans="1:4" ht="14.25" customHeight="1">
      <c r="A25" s="1912">
        <v>22</v>
      </c>
      <c r="B25" s="1947" t="s">
        <v>4924</v>
      </c>
      <c r="C25" s="2079"/>
      <c r="D25" s="1912"/>
    </row>
    <row r="26" spans="1:4" ht="14.25" customHeight="1">
      <c r="A26" s="1912">
        <v>23</v>
      </c>
      <c r="B26" s="1947" t="s">
        <v>4925</v>
      </c>
      <c r="C26" s="2079"/>
      <c r="D26" s="1912"/>
    </row>
    <row r="27" spans="1:4" ht="14.25" customHeight="1">
      <c r="A27" s="1912">
        <v>24</v>
      </c>
      <c r="B27" s="1947" t="s">
        <v>4926</v>
      </c>
      <c r="C27" s="2079"/>
      <c r="D27" s="1912"/>
    </row>
    <row r="28" spans="1:4" ht="14.25" customHeight="1">
      <c r="A28" s="1912">
        <v>25</v>
      </c>
      <c r="B28" s="1947" t="s">
        <v>4911</v>
      </c>
      <c r="C28" s="2079"/>
      <c r="D28" s="1912"/>
    </row>
    <row r="29" spans="1:4" ht="14.25" customHeight="1">
      <c r="A29" s="1912">
        <v>26</v>
      </c>
      <c r="B29" s="1947" t="s">
        <v>4927</v>
      </c>
      <c r="C29" s="2079"/>
      <c r="D29" s="1912"/>
    </row>
    <row r="30" spans="1:4" ht="14.25" customHeight="1">
      <c r="A30" s="1912">
        <v>27</v>
      </c>
      <c r="B30" s="1915" t="s">
        <v>4928</v>
      </c>
      <c r="C30" s="2077">
        <f>C31-C33-C34</f>
        <v>0</v>
      </c>
      <c r="D30" s="1912"/>
    </row>
    <row r="31" spans="1:4" ht="14.25" customHeight="1">
      <c r="A31" s="1912">
        <v>28</v>
      </c>
      <c r="B31" s="1915" t="s">
        <v>4929</v>
      </c>
      <c r="C31" s="2079"/>
      <c r="D31" s="1912"/>
    </row>
    <row r="32" spans="1:4" ht="14.25" customHeight="1">
      <c r="A32" s="1912">
        <v>29</v>
      </c>
      <c r="B32" s="1915" t="s">
        <v>4930</v>
      </c>
      <c r="C32" s="2079"/>
      <c r="D32" s="1912"/>
    </row>
    <row r="33" spans="1:4" ht="14.25" customHeight="1">
      <c r="A33" s="1912">
        <v>30</v>
      </c>
      <c r="B33" s="1915" t="s">
        <v>4931</v>
      </c>
      <c r="C33" s="2079"/>
      <c r="D33" s="1912"/>
    </row>
    <row r="34" spans="1:4" ht="14.25" customHeight="1">
      <c r="A34" s="1912">
        <v>31</v>
      </c>
      <c r="B34" s="1915" t="s">
        <v>4932</v>
      </c>
      <c r="C34" s="2079"/>
      <c r="D34" s="1912"/>
    </row>
    <row r="35" spans="1:4" ht="14.25" customHeight="1">
      <c r="A35" s="1912">
        <v>32</v>
      </c>
      <c r="B35" s="1915" t="s">
        <v>4933</v>
      </c>
      <c r="C35" s="2079"/>
      <c r="D35" s="1912"/>
    </row>
    <row r="36" spans="1:4" ht="14.25" customHeight="1">
      <c r="A36" s="1912">
        <v>33</v>
      </c>
      <c r="B36" s="1915" t="s">
        <v>4934</v>
      </c>
      <c r="C36" s="2079"/>
      <c r="D36" s="1912"/>
    </row>
    <row r="37" spans="1:4" ht="14.25" customHeight="1">
      <c r="A37" s="1912">
        <v>34</v>
      </c>
      <c r="B37" s="1915" t="s">
        <v>4935</v>
      </c>
      <c r="C37" s="2079"/>
      <c r="D37" s="1912"/>
    </row>
    <row r="38" spans="1:4" ht="14.25" customHeight="1">
      <c r="A38" s="1912">
        <v>35</v>
      </c>
      <c r="B38" s="1915" t="s">
        <v>4936</v>
      </c>
      <c r="C38" s="2077">
        <f>SUM(C39:C45)</f>
        <v>0</v>
      </c>
      <c r="D38" s="1912" t="s">
        <v>4937</v>
      </c>
    </row>
    <row r="39" spans="1:4" ht="14.25" customHeight="1">
      <c r="A39" s="1912">
        <v>36</v>
      </c>
      <c r="B39" s="1915" t="s">
        <v>4938</v>
      </c>
      <c r="C39" s="2079"/>
      <c r="D39" s="1912"/>
    </row>
    <row r="40" spans="1:4" ht="14.25" customHeight="1">
      <c r="A40" s="1912">
        <v>37</v>
      </c>
      <c r="B40" s="1915" t="s">
        <v>4939</v>
      </c>
      <c r="C40" s="2079"/>
      <c r="D40" s="1912"/>
    </row>
    <row r="41" spans="1:4" ht="14.25" customHeight="1">
      <c r="A41" s="1912">
        <v>38</v>
      </c>
      <c r="B41" s="1915" t="s">
        <v>4940</v>
      </c>
      <c r="C41" s="2079"/>
      <c r="D41" s="1912"/>
    </row>
    <row r="42" spans="1:4" ht="14.25" customHeight="1">
      <c r="A42" s="1912">
        <v>39</v>
      </c>
      <c r="B42" s="1915" t="s">
        <v>4941</v>
      </c>
      <c r="C42" s="2079"/>
      <c r="D42" s="1912"/>
    </row>
    <row r="43" spans="1:4" ht="14.25" customHeight="1">
      <c r="A43" s="1912">
        <v>40</v>
      </c>
      <c r="B43" s="1915" t="s">
        <v>4942</v>
      </c>
      <c r="C43" s="2079"/>
      <c r="D43" s="1912"/>
    </row>
    <row r="44" spans="1:4" ht="14.25" customHeight="1">
      <c r="A44" s="1912">
        <v>41</v>
      </c>
      <c r="B44" s="1915" t="s">
        <v>4943</v>
      </c>
      <c r="C44" s="2079"/>
      <c r="D44" s="1912"/>
    </row>
    <row r="45" spans="1:4" ht="14.25" customHeight="1">
      <c r="A45" s="1912">
        <v>42</v>
      </c>
      <c r="B45" s="1915" t="s">
        <v>4944</v>
      </c>
      <c r="C45" s="2079"/>
      <c r="D45" s="1912"/>
    </row>
  </sheetData>
  <mergeCells count="2">
    <mergeCell ref="A1:C1"/>
    <mergeCell ref="A2:C2"/>
  </mergeCells>
  <phoneticPr fontId="51" type="noConversion"/>
  <printOptions horizontalCentered="1"/>
  <pageMargins left="0.78740157480314998" right="0.35433070866141703" top="0.511811023622047" bottom="0.11811023622047198" header="0.511811023622047" footer="0.511811023622047"/>
  <pageSetup paperSize="9" orientation="portrait" r:id="rId1"/>
  <headerFooter alignWithMargins="0"/>
</worksheet>
</file>

<file path=xl/worksheets/sheet1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19"/>
  <dimension ref="A1:D29"/>
  <sheetViews>
    <sheetView workbookViewId="0">
      <selection sqref="A1:C1"/>
    </sheetView>
  </sheetViews>
  <sheetFormatPr defaultColWidth="31.59765625" defaultRowHeight="15.6"/>
  <cols>
    <col min="1" max="1" width="5.09765625" style="1532" customWidth="1"/>
    <col min="2" max="2" width="43.19921875" style="1532" customWidth="1"/>
    <col min="3" max="3" width="16.5" style="1532" customWidth="1"/>
    <col min="4" max="4" width="21.8984375" style="1532" customWidth="1"/>
    <col min="5" max="256" width="31.59765625" style="1532"/>
    <col min="257" max="257" width="5.09765625" style="1532" customWidth="1"/>
    <col min="258" max="258" width="43.19921875" style="1532" customWidth="1"/>
    <col min="259" max="259" width="10.69921875" style="1532" customWidth="1"/>
    <col min="260" max="260" width="21.8984375" style="1532" customWidth="1"/>
    <col min="261" max="512" width="31.59765625" style="1532"/>
    <col min="513" max="513" width="5.09765625" style="1532" customWidth="1"/>
    <col min="514" max="514" width="43.19921875" style="1532" customWidth="1"/>
    <col min="515" max="515" width="10.69921875" style="1532" customWidth="1"/>
    <col min="516" max="516" width="21.8984375" style="1532" customWidth="1"/>
    <col min="517" max="768" width="31.59765625" style="1532"/>
    <col min="769" max="769" width="5.09765625" style="1532" customWidth="1"/>
    <col min="770" max="770" width="43.19921875" style="1532" customWidth="1"/>
    <col min="771" max="771" width="10.69921875" style="1532" customWidth="1"/>
    <col min="772" max="772" width="21.8984375" style="1532" customWidth="1"/>
    <col min="773" max="1024" width="31.59765625" style="1532"/>
    <col min="1025" max="1025" width="5.09765625" style="1532" customWidth="1"/>
    <col min="1026" max="1026" width="43.19921875" style="1532" customWidth="1"/>
    <col min="1027" max="1027" width="10.69921875" style="1532" customWidth="1"/>
    <col min="1028" max="1028" width="21.8984375" style="1532" customWidth="1"/>
    <col min="1029" max="1280" width="31.59765625" style="1532"/>
    <col min="1281" max="1281" width="5.09765625" style="1532" customWidth="1"/>
    <col min="1282" max="1282" width="43.19921875" style="1532" customWidth="1"/>
    <col min="1283" max="1283" width="10.69921875" style="1532" customWidth="1"/>
    <col min="1284" max="1284" width="21.8984375" style="1532" customWidth="1"/>
    <col min="1285" max="1536" width="31.59765625" style="1532"/>
    <col min="1537" max="1537" width="5.09765625" style="1532" customWidth="1"/>
    <col min="1538" max="1538" width="43.19921875" style="1532" customWidth="1"/>
    <col min="1539" max="1539" width="10.69921875" style="1532" customWidth="1"/>
    <col min="1540" max="1540" width="21.8984375" style="1532" customWidth="1"/>
    <col min="1541" max="1792" width="31.59765625" style="1532"/>
    <col min="1793" max="1793" width="5.09765625" style="1532" customWidth="1"/>
    <col min="1794" max="1794" width="43.19921875" style="1532" customWidth="1"/>
    <col min="1795" max="1795" width="10.69921875" style="1532" customWidth="1"/>
    <col min="1796" max="1796" width="21.8984375" style="1532" customWidth="1"/>
    <col min="1797" max="2048" width="31.59765625" style="1532"/>
    <col min="2049" max="2049" width="5.09765625" style="1532" customWidth="1"/>
    <col min="2050" max="2050" width="43.19921875" style="1532" customWidth="1"/>
    <col min="2051" max="2051" width="10.69921875" style="1532" customWidth="1"/>
    <col min="2052" max="2052" width="21.8984375" style="1532" customWidth="1"/>
    <col min="2053" max="2304" width="31.59765625" style="1532"/>
    <col min="2305" max="2305" width="5.09765625" style="1532" customWidth="1"/>
    <col min="2306" max="2306" width="43.19921875" style="1532" customWidth="1"/>
    <col min="2307" max="2307" width="10.69921875" style="1532" customWidth="1"/>
    <col min="2308" max="2308" width="21.8984375" style="1532" customWidth="1"/>
    <col min="2309" max="2560" width="31.59765625" style="1532"/>
    <col min="2561" max="2561" width="5.09765625" style="1532" customWidth="1"/>
    <col min="2562" max="2562" width="43.19921875" style="1532" customWidth="1"/>
    <col min="2563" max="2563" width="10.69921875" style="1532" customWidth="1"/>
    <col min="2564" max="2564" width="21.8984375" style="1532" customWidth="1"/>
    <col min="2565" max="2816" width="31.59765625" style="1532"/>
    <col min="2817" max="2817" width="5.09765625" style="1532" customWidth="1"/>
    <col min="2818" max="2818" width="43.19921875" style="1532" customWidth="1"/>
    <col min="2819" max="2819" width="10.69921875" style="1532" customWidth="1"/>
    <col min="2820" max="2820" width="21.8984375" style="1532" customWidth="1"/>
    <col min="2821" max="3072" width="31.59765625" style="1532"/>
    <col min="3073" max="3073" width="5.09765625" style="1532" customWidth="1"/>
    <col min="3074" max="3074" width="43.19921875" style="1532" customWidth="1"/>
    <col min="3075" max="3075" width="10.69921875" style="1532" customWidth="1"/>
    <col min="3076" max="3076" width="21.8984375" style="1532" customWidth="1"/>
    <col min="3077" max="3328" width="31.59765625" style="1532"/>
    <col min="3329" max="3329" width="5.09765625" style="1532" customWidth="1"/>
    <col min="3330" max="3330" width="43.19921875" style="1532" customWidth="1"/>
    <col min="3331" max="3331" width="10.69921875" style="1532" customWidth="1"/>
    <col min="3332" max="3332" width="21.8984375" style="1532" customWidth="1"/>
    <col min="3333" max="3584" width="31.59765625" style="1532"/>
    <col min="3585" max="3585" width="5.09765625" style="1532" customWidth="1"/>
    <col min="3586" max="3586" width="43.19921875" style="1532" customWidth="1"/>
    <col min="3587" max="3587" width="10.69921875" style="1532" customWidth="1"/>
    <col min="3588" max="3588" width="21.8984375" style="1532" customWidth="1"/>
    <col min="3589" max="3840" width="31.59765625" style="1532"/>
    <col min="3841" max="3841" width="5.09765625" style="1532" customWidth="1"/>
    <col min="3842" max="3842" width="43.19921875" style="1532" customWidth="1"/>
    <col min="3843" max="3843" width="10.69921875" style="1532" customWidth="1"/>
    <col min="3844" max="3844" width="21.8984375" style="1532" customWidth="1"/>
    <col min="3845" max="4096" width="31.59765625" style="1532"/>
    <col min="4097" max="4097" width="5.09765625" style="1532" customWidth="1"/>
    <col min="4098" max="4098" width="43.19921875" style="1532" customWidth="1"/>
    <col min="4099" max="4099" width="10.69921875" style="1532" customWidth="1"/>
    <col min="4100" max="4100" width="21.8984375" style="1532" customWidth="1"/>
    <col min="4101" max="4352" width="31.59765625" style="1532"/>
    <col min="4353" max="4353" width="5.09765625" style="1532" customWidth="1"/>
    <col min="4354" max="4354" width="43.19921875" style="1532" customWidth="1"/>
    <col min="4355" max="4355" width="10.69921875" style="1532" customWidth="1"/>
    <col min="4356" max="4356" width="21.8984375" style="1532" customWidth="1"/>
    <col min="4357" max="4608" width="31.59765625" style="1532"/>
    <col min="4609" max="4609" width="5.09765625" style="1532" customWidth="1"/>
    <col min="4610" max="4610" width="43.19921875" style="1532" customWidth="1"/>
    <col min="4611" max="4611" width="10.69921875" style="1532" customWidth="1"/>
    <col min="4612" max="4612" width="21.8984375" style="1532" customWidth="1"/>
    <col min="4613" max="4864" width="31.59765625" style="1532"/>
    <col min="4865" max="4865" width="5.09765625" style="1532" customWidth="1"/>
    <col min="4866" max="4866" width="43.19921875" style="1532" customWidth="1"/>
    <col min="4867" max="4867" width="10.69921875" style="1532" customWidth="1"/>
    <col min="4868" max="4868" width="21.8984375" style="1532" customWidth="1"/>
    <col min="4869" max="5120" width="31.59765625" style="1532"/>
    <col min="5121" max="5121" width="5.09765625" style="1532" customWidth="1"/>
    <col min="5122" max="5122" width="43.19921875" style="1532" customWidth="1"/>
    <col min="5123" max="5123" width="10.69921875" style="1532" customWidth="1"/>
    <col min="5124" max="5124" width="21.8984375" style="1532" customWidth="1"/>
    <col min="5125" max="5376" width="31.59765625" style="1532"/>
    <col min="5377" max="5377" width="5.09765625" style="1532" customWidth="1"/>
    <col min="5378" max="5378" width="43.19921875" style="1532" customWidth="1"/>
    <col min="5379" max="5379" width="10.69921875" style="1532" customWidth="1"/>
    <col min="5380" max="5380" width="21.8984375" style="1532" customWidth="1"/>
    <col min="5381" max="5632" width="31.59765625" style="1532"/>
    <col min="5633" max="5633" width="5.09765625" style="1532" customWidth="1"/>
    <col min="5634" max="5634" width="43.19921875" style="1532" customWidth="1"/>
    <col min="5635" max="5635" width="10.69921875" style="1532" customWidth="1"/>
    <col min="5636" max="5636" width="21.8984375" style="1532" customWidth="1"/>
    <col min="5637" max="5888" width="31.59765625" style="1532"/>
    <col min="5889" max="5889" width="5.09765625" style="1532" customWidth="1"/>
    <col min="5890" max="5890" width="43.19921875" style="1532" customWidth="1"/>
    <col min="5891" max="5891" width="10.69921875" style="1532" customWidth="1"/>
    <col min="5892" max="5892" width="21.8984375" style="1532" customWidth="1"/>
    <col min="5893" max="6144" width="31.59765625" style="1532"/>
    <col min="6145" max="6145" width="5.09765625" style="1532" customWidth="1"/>
    <col min="6146" max="6146" width="43.19921875" style="1532" customWidth="1"/>
    <col min="6147" max="6147" width="10.69921875" style="1532" customWidth="1"/>
    <col min="6148" max="6148" width="21.8984375" style="1532" customWidth="1"/>
    <col min="6149" max="6400" width="31.59765625" style="1532"/>
    <col min="6401" max="6401" width="5.09765625" style="1532" customWidth="1"/>
    <col min="6402" max="6402" width="43.19921875" style="1532" customWidth="1"/>
    <col min="6403" max="6403" width="10.69921875" style="1532" customWidth="1"/>
    <col min="6404" max="6404" width="21.8984375" style="1532" customWidth="1"/>
    <col min="6405" max="6656" width="31.59765625" style="1532"/>
    <col min="6657" max="6657" width="5.09765625" style="1532" customWidth="1"/>
    <col min="6658" max="6658" width="43.19921875" style="1532" customWidth="1"/>
    <col min="6659" max="6659" width="10.69921875" style="1532" customWidth="1"/>
    <col min="6660" max="6660" width="21.8984375" style="1532" customWidth="1"/>
    <col min="6661" max="6912" width="31.59765625" style="1532"/>
    <col min="6913" max="6913" width="5.09765625" style="1532" customWidth="1"/>
    <col min="6914" max="6914" width="43.19921875" style="1532" customWidth="1"/>
    <col min="6915" max="6915" width="10.69921875" style="1532" customWidth="1"/>
    <col min="6916" max="6916" width="21.8984375" style="1532" customWidth="1"/>
    <col min="6917" max="7168" width="31.59765625" style="1532"/>
    <col min="7169" max="7169" width="5.09765625" style="1532" customWidth="1"/>
    <col min="7170" max="7170" width="43.19921875" style="1532" customWidth="1"/>
    <col min="7171" max="7171" width="10.69921875" style="1532" customWidth="1"/>
    <col min="7172" max="7172" width="21.8984375" style="1532" customWidth="1"/>
    <col min="7173" max="7424" width="31.59765625" style="1532"/>
    <col min="7425" max="7425" width="5.09765625" style="1532" customWidth="1"/>
    <col min="7426" max="7426" width="43.19921875" style="1532" customWidth="1"/>
    <col min="7427" max="7427" width="10.69921875" style="1532" customWidth="1"/>
    <col min="7428" max="7428" width="21.8984375" style="1532" customWidth="1"/>
    <col min="7429" max="7680" width="31.59765625" style="1532"/>
    <col min="7681" max="7681" width="5.09765625" style="1532" customWidth="1"/>
    <col min="7682" max="7682" width="43.19921875" style="1532" customWidth="1"/>
    <col min="7683" max="7683" width="10.69921875" style="1532" customWidth="1"/>
    <col min="7684" max="7684" width="21.8984375" style="1532" customWidth="1"/>
    <col min="7685" max="7936" width="31.59765625" style="1532"/>
    <col min="7937" max="7937" width="5.09765625" style="1532" customWidth="1"/>
    <col min="7938" max="7938" width="43.19921875" style="1532" customWidth="1"/>
    <col min="7939" max="7939" width="10.69921875" style="1532" customWidth="1"/>
    <col min="7940" max="7940" width="21.8984375" style="1532" customWidth="1"/>
    <col min="7941" max="8192" width="31.59765625" style="1532"/>
    <col min="8193" max="8193" width="5.09765625" style="1532" customWidth="1"/>
    <col min="8194" max="8194" width="43.19921875" style="1532" customWidth="1"/>
    <col min="8195" max="8195" width="10.69921875" style="1532" customWidth="1"/>
    <col min="8196" max="8196" width="21.8984375" style="1532" customWidth="1"/>
    <col min="8197" max="8448" width="31.59765625" style="1532"/>
    <col min="8449" max="8449" width="5.09765625" style="1532" customWidth="1"/>
    <col min="8450" max="8450" width="43.19921875" style="1532" customWidth="1"/>
    <col min="8451" max="8451" width="10.69921875" style="1532" customWidth="1"/>
    <col min="8452" max="8452" width="21.8984375" style="1532" customWidth="1"/>
    <col min="8453" max="8704" width="31.59765625" style="1532"/>
    <col min="8705" max="8705" width="5.09765625" style="1532" customWidth="1"/>
    <col min="8706" max="8706" width="43.19921875" style="1532" customWidth="1"/>
    <col min="8707" max="8707" width="10.69921875" style="1532" customWidth="1"/>
    <col min="8708" max="8708" width="21.8984375" style="1532" customWidth="1"/>
    <col min="8709" max="8960" width="31.59765625" style="1532"/>
    <col min="8961" max="8961" width="5.09765625" style="1532" customWidth="1"/>
    <col min="8962" max="8962" width="43.19921875" style="1532" customWidth="1"/>
    <col min="8963" max="8963" width="10.69921875" style="1532" customWidth="1"/>
    <col min="8964" max="8964" width="21.8984375" style="1532" customWidth="1"/>
    <col min="8965" max="9216" width="31.59765625" style="1532"/>
    <col min="9217" max="9217" width="5.09765625" style="1532" customWidth="1"/>
    <col min="9218" max="9218" width="43.19921875" style="1532" customWidth="1"/>
    <col min="9219" max="9219" width="10.69921875" style="1532" customWidth="1"/>
    <col min="9220" max="9220" width="21.8984375" style="1532" customWidth="1"/>
    <col min="9221" max="9472" width="31.59765625" style="1532"/>
    <col min="9473" max="9473" width="5.09765625" style="1532" customWidth="1"/>
    <col min="9474" max="9474" width="43.19921875" style="1532" customWidth="1"/>
    <col min="9475" max="9475" width="10.69921875" style="1532" customWidth="1"/>
    <col min="9476" max="9476" width="21.8984375" style="1532" customWidth="1"/>
    <col min="9477" max="9728" width="31.59765625" style="1532"/>
    <col min="9729" max="9729" width="5.09765625" style="1532" customWidth="1"/>
    <col min="9730" max="9730" width="43.19921875" style="1532" customWidth="1"/>
    <col min="9731" max="9731" width="10.69921875" style="1532" customWidth="1"/>
    <col min="9732" max="9732" width="21.8984375" style="1532" customWidth="1"/>
    <col min="9733" max="9984" width="31.59765625" style="1532"/>
    <col min="9985" max="9985" width="5.09765625" style="1532" customWidth="1"/>
    <col min="9986" max="9986" width="43.19921875" style="1532" customWidth="1"/>
    <col min="9987" max="9987" width="10.69921875" style="1532" customWidth="1"/>
    <col min="9988" max="9988" width="21.8984375" style="1532" customWidth="1"/>
    <col min="9989" max="10240" width="31.59765625" style="1532"/>
    <col min="10241" max="10241" width="5.09765625" style="1532" customWidth="1"/>
    <col min="10242" max="10242" width="43.19921875" style="1532" customWidth="1"/>
    <col min="10243" max="10243" width="10.69921875" style="1532" customWidth="1"/>
    <col min="10244" max="10244" width="21.8984375" style="1532" customWidth="1"/>
    <col min="10245" max="10496" width="31.59765625" style="1532"/>
    <col min="10497" max="10497" width="5.09765625" style="1532" customWidth="1"/>
    <col min="10498" max="10498" width="43.19921875" style="1532" customWidth="1"/>
    <col min="10499" max="10499" width="10.69921875" style="1532" customWidth="1"/>
    <col min="10500" max="10500" width="21.8984375" style="1532" customWidth="1"/>
    <col min="10501" max="10752" width="31.59765625" style="1532"/>
    <col min="10753" max="10753" width="5.09765625" style="1532" customWidth="1"/>
    <col min="10754" max="10754" width="43.19921875" style="1532" customWidth="1"/>
    <col min="10755" max="10755" width="10.69921875" style="1532" customWidth="1"/>
    <col min="10756" max="10756" width="21.8984375" style="1532" customWidth="1"/>
    <col min="10757" max="11008" width="31.59765625" style="1532"/>
    <col min="11009" max="11009" width="5.09765625" style="1532" customWidth="1"/>
    <col min="11010" max="11010" width="43.19921875" style="1532" customWidth="1"/>
    <col min="11011" max="11011" width="10.69921875" style="1532" customWidth="1"/>
    <col min="11012" max="11012" width="21.8984375" style="1532" customWidth="1"/>
    <col min="11013" max="11264" width="31.59765625" style="1532"/>
    <col min="11265" max="11265" width="5.09765625" style="1532" customWidth="1"/>
    <col min="11266" max="11266" width="43.19921875" style="1532" customWidth="1"/>
    <col min="11267" max="11267" width="10.69921875" style="1532" customWidth="1"/>
    <col min="11268" max="11268" width="21.8984375" style="1532" customWidth="1"/>
    <col min="11269" max="11520" width="31.59765625" style="1532"/>
    <col min="11521" max="11521" width="5.09765625" style="1532" customWidth="1"/>
    <col min="11522" max="11522" width="43.19921875" style="1532" customWidth="1"/>
    <col min="11523" max="11523" width="10.69921875" style="1532" customWidth="1"/>
    <col min="11524" max="11524" width="21.8984375" style="1532" customWidth="1"/>
    <col min="11525" max="11776" width="31.59765625" style="1532"/>
    <col min="11777" max="11777" width="5.09765625" style="1532" customWidth="1"/>
    <col min="11778" max="11778" width="43.19921875" style="1532" customWidth="1"/>
    <col min="11779" max="11779" width="10.69921875" style="1532" customWidth="1"/>
    <col min="11780" max="11780" width="21.8984375" style="1532" customWidth="1"/>
    <col min="11781" max="12032" width="31.59765625" style="1532"/>
    <col min="12033" max="12033" width="5.09765625" style="1532" customWidth="1"/>
    <col min="12034" max="12034" width="43.19921875" style="1532" customWidth="1"/>
    <col min="12035" max="12035" width="10.69921875" style="1532" customWidth="1"/>
    <col min="12036" max="12036" width="21.8984375" style="1532" customWidth="1"/>
    <col min="12037" max="12288" width="31.59765625" style="1532"/>
    <col min="12289" max="12289" width="5.09765625" style="1532" customWidth="1"/>
    <col min="12290" max="12290" width="43.19921875" style="1532" customWidth="1"/>
    <col min="12291" max="12291" width="10.69921875" style="1532" customWidth="1"/>
    <col min="12292" max="12292" width="21.8984375" style="1532" customWidth="1"/>
    <col min="12293" max="12544" width="31.59765625" style="1532"/>
    <col min="12545" max="12545" width="5.09765625" style="1532" customWidth="1"/>
    <col min="12546" max="12546" width="43.19921875" style="1532" customWidth="1"/>
    <col min="12547" max="12547" width="10.69921875" style="1532" customWidth="1"/>
    <col min="12548" max="12548" width="21.8984375" style="1532" customWidth="1"/>
    <col min="12549" max="12800" width="31.59765625" style="1532"/>
    <col min="12801" max="12801" width="5.09765625" style="1532" customWidth="1"/>
    <col min="12802" max="12802" width="43.19921875" style="1532" customWidth="1"/>
    <col min="12803" max="12803" width="10.69921875" style="1532" customWidth="1"/>
    <col min="12804" max="12804" width="21.8984375" style="1532" customWidth="1"/>
    <col min="12805" max="13056" width="31.59765625" style="1532"/>
    <col min="13057" max="13057" width="5.09765625" style="1532" customWidth="1"/>
    <col min="13058" max="13058" width="43.19921875" style="1532" customWidth="1"/>
    <col min="13059" max="13059" width="10.69921875" style="1532" customWidth="1"/>
    <col min="13060" max="13060" width="21.8984375" style="1532" customWidth="1"/>
    <col min="13061" max="13312" width="31.59765625" style="1532"/>
    <col min="13313" max="13313" width="5.09765625" style="1532" customWidth="1"/>
    <col min="13314" max="13314" width="43.19921875" style="1532" customWidth="1"/>
    <col min="13315" max="13315" width="10.69921875" style="1532" customWidth="1"/>
    <col min="13316" max="13316" width="21.8984375" style="1532" customWidth="1"/>
    <col min="13317" max="13568" width="31.59765625" style="1532"/>
    <col min="13569" max="13569" width="5.09765625" style="1532" customWidth="1"/>
    <col min="13570" max="13570" width="43.19921875" style="1532" customWidth="1"/>
    <col min="13571" max="13571" width="10.69921875" style="1532" customWidth="1"/>
    <col min="13572" max="13572" width="21.8984375" style="1532" customWidth="1"/>
    <col min="13573" max="13824" width="31.59765625" style="1532"/>
    <col min="13825" max="13825" width="5.09765625" style="1532" customWidth="1"/>
    <col min="13826" max="13826" width="43.19921875" style="1532" customWidth="1"/>
    <col min="13827" max="13827" width="10.69921875" style="1532" customWidth="1"/>
    <col min="13828" max="13828" width="21.8984375" style="1532" customWidth="1"/>
    <col min="13829" max="14080" width="31.59765625" style="1532"/>
    <col min="14081" max="14081" width="5.09765625" style="1532" customWidth="1"/>
    <col min="14082" max="14082" width="43.19921875" style="1532" customWidth="1"/>
    <col min="14083" max="14083" width="10.69921875" style="1532" customWidth="1"/>
    <col min="14084" max="14084" width="21.8984375" style="1532" customWidth="1"/>
    <col min="14085" max="14336" width="31.59765625" style="1532"/>
    <col min="14337" max="14337" width="5.09765625" style="1532" customWidth="1"/>
    <col min="14338" max="14338" width="43.19921875" style="1532" customWidth="1"/>
    <col min="14339" max="14339" width="10.69921875" style="1532" customWidth="1"/>
    <col min="14340" max="14340" width="21.8984375" style="1532" customWidth="1"/>
    <col min="14341" max="14592" width="31.59765625" style="1532"/>
    <col min="14593" max="14593" width="5.09765625" style="1532" customWidth="1"/>
    <col min="14594" max="14594" width="43.19921875" style="1532" customWidth="1"/>
    <col min="14595" max="14595" width="10.69921875" style="1532" customWidth="1"/>
    <col min="14596" max="14596" width="21.8984375" style="1532" customWidth="1"/>
    <col min="14597" max="14848" width="31.59765625" style="1532"/>
    <col min="14849" max="14849" width="5.09765625" style="1532" customWidth="1"/>
    <col min="14850" max="14850" width="43.19921875" style="1532" customWidth="1"/>
    <col min="14851" max="14851" width="10.69921875" style="1532" customWidth="1"/>
    <col min="14852" max="14852" width="21.8984375" style="1532" customWidth="1"/>
    <col min="14853" max="15104" width="31.59765625" style="1532"/>
    <col min="15105" max="15105" width="5.09765625" style="1532" customWidth="1"/>
    <col min="15106" max="15106" width="43.19921875" style="1532" customWidth="1"/>
    <col min="15107" max="15107" width="10.69921875" style="1532" customWidth="1"/>
    <col min="15108" max="15108" width="21.8984375" style="1532" customWidth="1"/>
    <col min="15109" max="15360" width="31.59765625" style="1532"/>
    <col min="15361" max="15361" width="5.09765625" style="1532" customWidth="1"/>
    <col min="15362" max="15362" width="43.19921875" style="1532" customWidth="1"/>
    <col min="15363" max="15363" width="10.69921875" style="1532" customWidth="1"/>
    <col min="15364" max="15364" width="21.8984375" style="1532" customWidth="1"/>
    <col min="15365" max="15616" width="31.59765625" style="1532"/>
    <col min="15617" max="15617" width="5.09765625" style="1532" customWidth="1"/>
    <col min="15618" max="15618" width="43.19921875" style="1532" customWidth="1"/>
    <col min="15619" max="15619" width="10.69921875" style="1532" customWidth="1"/>
    <col min="15620" max="15620" width="21.8984375" style="1532" customWidth="1"/>
    <col min="15621" max="15872" width="31.59765625" style="1532"/>
    <col min="15873" max="15873" width="5.09765625" style="1532" customWidth="1"/>
    <col min="15874" max="15874" width="43.19921875" style="1532" customWidth="1"/>
    <col min="15875" max="15875" width="10.69921875" style="1532" customWidth="1"/>
    <col min="15876" max="15876" width="21.8984375" style="1532" customWidth="1"/>
    <col min="15877" max="16128" width="31.59765625" style="1532"/>
    <col min="16129" max="16129" width="5.09765625" style="1532" customWidth="1"/>
    <col min="16130" max="16130" width="43.19921875" style="1532" customWidth="1"/>
    <col min="16131" max="16131" width="10.69921875" style="1532" customWidth="1"/>
    <col min="16132" max="16132" width="21.8984375" style="1532" customWidth="1"/>
    <col min="16133" max="16384" width="31.59765625" style="1532"/>
  </cols>
  <sheetData>
    <row r="1" spans="1:4" ht="20.100000000000001" customHeight="1">
      <c r="A1" s="3378" t="s">
        <v>4945</v>
      </c>
      <c r="B1" s="3378"/>
      <c r="C1" s="3378"/>
      <c r="D1" s="1939"/>
    </row>
    <row r="2" spans="1:4" s="1536" customFormat="1" ht="25.5" customHeight="1">
      <c r="A2" s="3918" t="s">
        <v>4946</v>
      </c>
      <c r="B2" s="3918"/>
      <c r="C2" s="3918"/>
      <c r="D2" s="1919"/>
    </row>
    <row r="3" spans="1:4" s="1537" customFormat="1" ht="14.25" customHeight="1">
      <c r="A3" s="1848" t="s">
        <v>1854</v>
      </c>
      <c r="B3" s="1848" t="s">
        <v>4947</v>
      </c>
      <c r="C3" s="1848" t="s">
        <v>4810</v>
      </c>
      <c r="D3" s="1848" t="s">
        <v>4811</v>
      </c>
    </row>
    <row r="4" spans="1:4" s="1537" customFormat="1" ht="14.25" customHeight="1">
      <c r="A4" s="1848">
        <v>1</v>
      </c>
      <c r="B4" s="1831" t="s">
        <v>4948</v>
      </c>
      <c r="C4" s="2077">
        <f>C5+C12</f>
        <v>0</v>
      </c>
      <c r="D4" s="2004" t="s">
        <v>4949</v>
      </c>
    </row>
    <row r="5" spans="1:4" s="1537" customFormat="1" ht="14.25" customHeight="1">
      <c r="A5" s="1848">
        <v>2</v>
      </c>
      <c r="B5" s="1831" t="s">
        <v>4950</v>
      </c>
      <c r="C5" s="2077">
        <f>C6+C8+C9+C10+C11</f>
        <v>0</v>
      </c>
      <c r="D5" s="2004"/>
    </row>
    <row r="6" spans="1:4" s="1537" customFormat="1" ht="14.25" customHeight="1">
      <c r="A6" s="1848">
        <v>3</v>
      </c>
      <c r="B6" s="1831" t="s">
        <v>4951</v>
      </c>
      <c r="C6" s="2074">
        <f>主营收支!C40</f>
        <v>0</v>
      </c>
      <c r="D6" s="2004"/>
    </row>
    <row r="7" spans="1:4" s="1537" customFormat="1" ht="14.25" customHeight="1">
      <c r="A7" s="1848">
        <v>4</v>
      </c>
      <c r="B7" s="1831" t="s">
        <v>4952</v>
      </c>
      <c r="C7" s="2074">
        <f>主营收支!C38</f>
        <v>0</v>
      </c>
      <c r="D7" s="2004"/>
    </row>
    <row r="8" spans="1:4" s="1537" customFormat="1" ht="14.25" customHeight="1">
      <c r="A8" s="1848">
        <v>5</v>
      </c>
      <c r="B8" s="1831" t="s">
        <v>4953</v>
      </c>
      <c r="C8" s="2074">
        <f>主营收支!D40</f>
        <v>0</v>
      </c>
      <c r="D8" s="2004"/>
    </row>
    <row r="9" spans="1:4" s="1537" customFormat="1" ht="14.25" customHeight="1">
      <c r="A9" s="1848">
        <v>6</v>
      </c>
      <c r="B9" s="1831" t="s">
        <v>4954</v>
      </c>
      <c r="C9" s="2074">
        <f>主营收支!E40</f>
        <v>0</v>
      </c>
      <c r="D9" s="2004"/>
    </row>
    <row r="10" spans="1:4" s="1537" customFormat="1" ht="14.25" customHeight="1">
      <c r="A10" s="1848">
        <v>7</v>
      </c>
      <c r="B10" s="1831" t="s">
        <v>4955</v>
      </c>
      <c r="C10" s="2074">
        <f>主营收支!F40</f>
        <v>0</v>
      </c>
      <c r="D10" s="2004"/>
    </row>
    <row r="11" spans="1:4" s="1537" customFormat="1" ht="14.25" customHeight="1">
      <c r="A11" s="1848">
        <v>8</v>
      </c>
      <c r="B11" s="1831" t="s">
        <v>4878</v>
      </c>
      <c r="C11" s="2074">
        <f>主营收支!G40</f>
        <v>0</v>
      </c>
      <c r="D11" s="2004"/>
    </row>
    <row r="12" spans="1:4" s="1537" customFormat="1" ht="14.25" customHeight="1">
      <c r="A12" s="1848">
        <v>9</v>
      </c>
      <c r="B12" s="1831" t="s">
        <v>4956</v>
      </c>
      <c r="C12" s="2077">
        <f>C13+C15+C16+C17+C18</f>
        <v>0</v>
      </c>
      <c r="D12" s="2004"/>
    </row>
    <row r="13" spans="1:4" s="1537" customFormat="1" ht="14.25" customHeight="1">
      <c r="A13" s="1848">
        <v>10</v>
      </c>
      <c r="B13" s="1831" t="s">
        <v>4957</v>
      </c>
      <c r="C13" s="2077">
        <f>其他业务!H8+C14</f>
        <v>0</v>
      </c>
      <c r="D13" s="2004"/>
    </row>
    <row r="14" spans="1:4" s="1537" customFormat="1" ht="14.25" customHeight="1">
      <c r="A14" s="1848">
        <v>11</v>
      </c>
      <c r="B14" s="1831" t="s">
        <v>4952</v>
      </c>
      <c r="C14" s="2074">
        <f>其他业务!H9</f>
        <v>0</v>
      </c>
      <c r="D14" s="2004"/>
    </row>
    <row r="15" spans="1:4" s="1537" customFormat="1" ht="14.25" customHeight="1">
      <c r="A15" s="1848">
        <v>12</v>
      </c>
      <c r="B15" s="1831" t="s">
        <v>4958</v>
      </c>
      <c r="C15" s="2077">
        <f>其他业务!H10+其他业务!H11</f>
        <v>0</v>
      </c>
      <c r="D15" s="2004"/>
    </row>
    <row r="16" spans="1:4" s="1537" customFormat="1" ht="14.25" customHeight="1">
      <c r="A16" s="1848">
        <v>13</v>
      </c>
      <c r="B16" s="1831" t="s">
        <v>4959</v>
      </c>
      <c r="C16" s="2074">
        <f>其他业务!H12</f>
        <v>0</v>
      </c>
      <c r="D16" s="2004"/>
    </row>
    <row r="17" spans="1:4" s="1537" customFormat="1" ht="14.25" customHeight="1">
      <c r="A17" s="1848">
        <v>14</v>
      </c>
      <c r="B17" s="1831" t="s">
        <v>4960</v>
      </c>
      <c r="C17" s="2074">
        <f>其他业务!H13</f>
        <v>0</v>
      </c>
      <c r="D17" s="2004"/>
    </row>
    <row r="18" spans="1:4" s="1537" customFormat="1" ht="14.25" customHeight="1">
      <c r="A18" s="1848">
        <v>15</v>
      </c>
      <c r="B18" s="1831" t="s">
        <v>4961</v>
      </c>
      <c r="C18" s="2074">
        <f>其他业务!H17</f>
        <v>0</v>
      </c>
      <c r="D18" s="2004"/>
    </row>
    <row r="19" spans="1:4" s="1537" customFormat="1" ht="14.25" customHeight="1">
      <c r="A19" s="1848">
        <v>16</v>
      </c>
      <c r="B19" s="1831" t="s">
        <v>4962</v>
      </c>
      <c r="C19" s="2077">
        <f>SUM(C20:C29)</f>
        <v>0</v>
      </c>
      <c r="D19" s="2004" t="s">
        <v>4963</v>
      </c>
    </row>
    <row r="20" spans="1:4" s="1537" customFormat="1" ht="14.25" customHeight="1">
      <c r="A20" s="1848">
        <v>17</v>
      </c>
      <c r="B20" s="1831" t="s">
        <v>4964</v>
      </c>
      <c r="C20" s="2074">
        <f>营外收支!C22</f>
        <v>0</v>
      </c>
      <c r="D20" s="1831"/>
    </row>
    <row r="21" spans="1:4" s="1537" customFormat="1" ht="14.25" customHeight="1">
      <c r="A21" s="1848">
        <v>18</v>
      </c>
      <c r="B21" s="1831" t="s">
        <v>4965</v>
      </c>
      <c r="C21" s="2074">
        <f>营外收支!C23</f>
        <v>0</v>
      </c>
      <c r="D21" s="1831"/>
    </row>
    <row r="22" spans="1:4" s="1537" customFormat="1" ht="14.25" customHeight="1">
      <c r="A22" s="1848">
        <v>19</v>
      </c>
      <c r="B22" s="1831" t="s">
        <v>4966</v>
      </c>
      <c r="C22" s="2074">
        <f>营外收支!C24</f>
        <v>0</v>
      </c>
      <c r="D22" s="1831"/>
    </row>
    <row r="23" spans="1:4" s="1537" customFormat="1" ht="14.25" customHeight="1">
      <c r="A23" s="1848">
        <v>20</v>
      </c>
      <c r="B23" s="1831" t="s">
        <v>4967</v>
      </c>
      <c r="C23" s="2074">
        <f>营外收支!C25</f>
        <v>0</v>
      </c>
      <c r="D23" s="1831"/>
    </row>
    <row r="24" spans="1:4" s="1537" customFormat="1" ht="14.1" customHeight="1">
      <c r="A24" s="1848">
        <v>21</v>
      </c>
      <c r="B24" s="1831" t="s">
        <v>4968</v>
      </c>
      <c r="C24" s="2074">
        <f>营外收支!C26</f>
        <v>0</v>
      </c>
      <c r="D24" s="1831"/>
    </row>
    <row r="25" spans="1:4" s="1537" customFormat="1" ht="14.1" customHeight="1">
      <c r="A25" s="1848">
        <v>22</v>
      </c>
      <c r="B25" s="1831" t="s">
        <v>4969</v>
      </c>
      <c r="C25" s="2074">
        <f>营外收支!C27</f>
        <v>0</v>
      </c>
      <c r="D25" s="1831"/>
    </row>
    <row r="26" spans="1:4" s="1537" customFormat="1" ht="14.25" customHeight="1">
      <c r="A26" s="1848">
        <v>23</v>
      </c>
      <c r="B26" s="1831" t="s">
        <v>4970</v>
      </c>
      <c r="C26" s="2074">
        <f>营外收支!C28</f>
        <v>0</v>
      </c>
      <c r="D26" s="1831"/>
    </row>
    <row r="27" spans="1:4" s="1537" customFormat="1" ht="14.25" customHeight="1">
      <c r="A27" s="1848">
        <v>24</v>
      </c>
      <c r="B27" s="1831" t="s">
        <v>4971</v>
      </c>
      <c r="C27" s="2074">
        <f>营外收支!C29</f>
        <v>0</v>
      </c>
      <c r="D27" s="1831"/>
    </row>
    <row r="28" spans="1:4" s="1537" customFormat="1" ht="14.25" customHeight="1">
      <c r="A28" s="1848">
        <v>25</v>
      </c>
      <c r="B28" s="1831" t="s">
        <v>4972</v>
      </c>
      <c r="C28" s="2074">
        <f>营外收支!C30</f>
        <v>0</v>
      </c>
      <c r="D28" s="1831"/>
    </row>
    <row r="29" spans="1:4" s="1537" customFormat="1" ht="14.25" customHeight="1">
      <c r="A29" s="1848">
        <v>26</v>
      </c>
      <c r="B29" s="1831" t="s">
        <v>4896</v>
      </c>
      <c r="C29" s="2074">
        <f>营外收支!C31</f>
        <v>0</v>
      </c>
      <c r="D29" s="1831"/>
    </row>
  </sheetData>
  <mergeCells count="2">
    <mergeCell ref="A1:C1"/>
    <mergeCell ref="A2:C2"/>
  </mergeCells>
  <phoneticPr fontId="51" type="noConversion"/>
  <printOptions horizontalCentered="1"/>
  <pageMargins left="0.78740157480314998" right="0.35433070866141703" top="0.511811023622047" bottom="0.11811023622047198" header="0.511811023622047" footer="0.511811023622047"/>
  <pageSetup paperSize="9" orientation="portrait" r:id="rId1"/>
</worksheet>
</file>

<file path=xl/worksheets/sheet1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20"/>
  <dimension ref="A1:D42"/>
  <sheetViews>
    <sheetView workbookViewId="0">
      <selection sqref="A1:C1"/>
    </sheetView>
  </sheetViews>
  <sheetFormatPr defaultRowHeight="15" customHeight="1"/>
  <cols>
    <col min="1" max="1" width="5.19921875" style="1538" customWidth="1"/>
    <col min="2" max="2" width="44.09765625" style="1538" customWidth="1"/>
    <col min="3" max="3" width="18.8984375" style="1539" customWidth="1"/>
    <col min="4" max="4" width="19.8984375" style="1538" customWidth="1"/>
    <col min="5" max="256" width="9" style="1538"/>
    <col min="257" max="257" width="5.19921875" style="1538" customWidth="1"/>
    <col min="258" max="258" width="44.09765625" style="1538" customWidth="1"/>
    <col min="259" max="259" width="10.8984375" style="1538" customWidth="1"/>
    <col min="260" max="260" width="19.8984375" style="1538" customWidth="1"/>
    <col min="261" max="512" width="9" style="1538"/>
    <col min="513" max="513" width="5.19921875" style="1538" customWidth="1"/>
    <col min="514" max="514" width="44.09765625" style="1538" customWidth="1"/>
    <col min="515" max="515" width="10.8984375" style="1538" customWidth="1"/>
    <col min="516" max="516" width="19.8984375" style="1538" customWidth="1"/>
    <col min="517" max="768" width="9" style="1538"/>
    <col min="769" max="769" width="5.19921875" style="1538" customWidth="1"/>
    <col min="770" max="770" width="44.09765625" style="1538" customWidth="1"/>
    <col min="771" max="771" width="10.8984375" style="1538" customWidth="1"/>
    <col min="772" max="772" width="19.8984375" style="1538" customWidth="1"/>
    <col min="773" max="1024" width="9" style="1538"/>
    <col min="1025" max="1025" width="5.19921875" style="1538" customWidth="1"/>
    <col min="1026" max="1026" width="44.09765625" style="1538" customWidth="1"/>
    <col min="1027" max="1027" width="10.8984375" style="1538" customWidth="1"/>
    <col min="1028" max="1028" width="19.8984375" style="1538" customWidth="1"/>
    <col min="1029" max="1280" width="9" style="1538"/>
    <col min="1281" max="1281" width="5.19921875" style="1538" customWidth="1"/>
    <col min="1282" max="1282" width="44.09765625" style="1538" customWidth="1"/>
    <col min="1283" max="1283" width="10.8984375" style="1538" customWidth="1"/>
    <col min="1284" max="1284" width="19.8984375" style="1538" customWidth="1"/>
    <col min="1285" max="1536" width="9" style="1538"/>
    <col min="1537" max="1537" width="5.19921875" style="1538" customWidth="1"/>
    <col min="1538" max="1538" width="44.09765625" style="1538" customWidth="1"/>
    <col min="1539" max="1539" width="10.8984375" style="1538" customWidth="1"/>
    <col min="1540" max="1540" width="19.8984375" style="1538" customWidth="1"/>
    <col min="1541" max="1792" width="9" style="1538"/>
    <col min="1793" max="1793" width="5.19921875" style="1538" customWidth="1"/>
    <col min="1794" max="1794" width="44.09765625" style="1538" customWidth="1"/>
    <col min="1795" max="1795" width="10.8984375" style="1538" customWidth="1"/>
    <col min="1796" max="1796" width="19.8984375" style="1538" customWidth="1"/>
    <col min="1797" max="2048" width="9" style="1538"/>
    <col min="2049" max="2049" width="5.19921875" style="1538" customWidth="1"/>
    <col min="2050" max="2050" width="44.09765625" style="1538" customWidth="1"/>
    <col min="2051" max="2051" width="10.8984375" style="1538" customWidth="1"/>
    <col min="2052" max="2052" width="19.8984375" style="1538" customWidth="1"/>
    <col min="2053" max="2304" width="9" style="1538"/>
    <col min="2305" max="2305" width="5.19921875" style="1538" customWidth="1"/>
    <col min="2306" max="2306" width="44.09765625" style="1538" customWidth="1"/>
    <col min="2307" max="2307" width="10.8984375" style="1538" customWidth="1"/>
    <col min="2308" max="2308" width="19.8984375" style="1538" customWidth="1"/>
    <col min="2309" max="2560" width="9" style="1538"/>
    <col min="2561" max="2561" width="5.19921875" style="1538" customWidth="1"/>
    <col min="2562" max="2562" width="44.09765625" style="1538" customWidth="1"/>
    <col min="2563" max="2563" width="10.8984375" style="1538" customWidth="1"/>
    <col min="2564" max="2564" width="19.8984375" style="1538" customWidth="1"/>
    <col min="2565" max="2816" width="9" style="1538"/>
    <col min="2817" max="2817" width="5.19921875" style="1538" customWidth="1"/>
    <col min="2818" max="2818" width="44.09765625" style="1538" customWidth="1"/>
    <col min="2819" max="2819" width="10.8984375" style="1538" customWidth="1"/>
    <col min="2820" max="2820" width="19.8984375" style="1538" customWidth="1"/>
    <col min="2821" max="3072" width="9" style="1538"/>
    <col min="3073" max="3073" width="5.19921875" style="1538" customWidth="1"/>
    <col min="3074" max="3074" width="44.09765625" style="1538" customWidth="1"/>
    <col min="3075" max="3075" width="10.8984375" style="1538" customWidth="1"/>
    <col min="3076" max="3076" width="19.8984375" style="1538" customWidth="1"/>
    <col min="3077" max="3328" width="9" style="1538"/>
    <col min="3329" max="3329" width="5.19921875" style="1538" customWidth="1"/>
    <col min="3330" max="3330" width="44.09765625" style="1538" customWidth="1"/>
    <col min="3331" max="3331" width="10.8984375" style="1538" customWidth="1"/>
    <col min="3332" max="3332" width="19.8984375" style="1538" customWidth="1"/>
    <col min="3333" max="3584" width="9" style="1538"/>
    <col min="3585" max="3585" width="5.19921875" style="1538" customWidth="1"/>
    <col min="3586" max="3586" width="44.09765625" style="1538" customWidth="1"/>
    <col min="3587" max="3587" width="10.8984375" style="1538" customWidth="1"/>
    <col min="3588" max="3588" width="19.8984375" style="1538" customWidth="1"/>
    <col min="3589" max="3840" width="9" style="1538"/>
    <col min="3841" max="3841" width="5.19921875" style="1538" customWidth="1"/>
    <col min="3842" max="3842" width="44.09765625" style="1538" customWidth="1"/>
    <col min="3843" max="3843" width="10.8984375" style="1538" customWidth="1"/>
    <col min="3844" max="3844" width="19.8984375" style="1538" customWidth="1"/>
    <col min="3845" max="4096" width="9" style="1538"/>
    <col min="4097" max="4097" width="5.19921875" style="1538" customWidth="1"/>
    <col min="4098" max="4098" width="44.09765625" style="1538" customWidth="1"/>
    <col min="4099" max="4099" width="10.8984375" style="1538" customWidth="1"/>
    <col min="4100" max="4100" width="19.8984375" style="1538" customWidth="1"/>
    <col min="4101" max="4352" width="9" style="1538"/>
    <col min="4353" max="4353" width="5.19921875" style="1538" customWidth="1"/>
    <col min="4354" max="4354" width="44.09765625" style="1538" customWidth="1"/>
    <col min="4355" max="4355" width="10.8984375" style="1538" customWidth="1"/>
    <col min="4356" max="4356" width="19.8984375" style="1538" customWidth="1"/>
    <col min="4357" max="4608" width="9" style="1538"/>
    <col min="4609" max="4609" width="5.19921875" style="1538" customWidth="1"/>
    <col min="4610" max="4610" width="44.09765625" style="1538" customWidth="1"/>
    <col min="4611" max="4611" width="10.8984375" style="1538" customWidth="1"/>
    <col min="4612" max="4612" width="19.8984375" style="1538" customWidth="1"/>
    <col min="4613" max="4864" width="9" style="1538"/>
    <col min="4865" max="4865" width="5.19921875" style="1538" customWidth="1"/>
    <col min="4866" max="4866" width="44.09765625" style="1538" customWidth="1"/>
    <col min="4867" max="4867" width="10.8984375" style="1538" customWidth="1"/>
    <col min="4868" max="4868" width="19.8984375" style="1538" customWidth="1"/>
    <col min="4869" max="5120" width="9" style="1538"/>
    <col min="5121" max="5121" width="5.19921875" style="1538" customWidth="1"/>
    <col min="5122" max="5122" width="44.09765625" style="1538" customWidth="1"/>
    <col min="5123" max="5123" width="10.8984375" style="1538" customWidth="1"/>
    <col min="5124" max="5124" width="19.8984375" style="1538" customWidth="1"/>
    <col min="5125" max="5376" width="9" style="1538"/>
    <col min="5377" max="5377" width="5.19921875" style="1538" customWidth="1"/>
    <col min="5378" max="5378" width="44.09765625" style="1538" customWidth="1"/>
    <col min="5379" max="5379" width="10.8984375" style="1538" customWidth="1"/>
    <col min="5380" max="5380" width="19.8984375" style="1538" customWidth="1"/>
    <col min="5381" max="5632" width="9" style="1538"/>
    <col min="5633" max="5633" width="5.19921875" style="1538" customWidth="1"/>
    <col min="5634" max="5634" width="44.09765625" style="1538" customWidth="1"/>
    <col min="5635" max="5635" width="10.8984375" style="1538" customWidth="1"/>
    <col min="5636" max="5636" width="19.8984375" style="1538" customWidth="1"/>
    <col min="5637" max="5888" width="9" style="1538"/>
    <col min="5889" max="5889" width="5.19921875" style="1538" customWidth="1"/>
    <col min="5890" max="5890" width="44.09765625" style="1538" customWidth="1"/>
    <col min="5891" max="5891" width="10.8984375" style="1538" customWidth="1"/>
    <col min="5892" max="5892" width="19.8984375" style="1538" customWidth="1"/>
    <col min="5893" max="6144" width="9" style="1538"/>
    <col min="6145" max="6145" width="5.19921875" style="1538" customWidth="1"/>
    <col min="6146" max="6146" width="44.09765625" style="1538" customWidth="1"/>
    <col min="6147" max="6147" width="10.8984375" style="1538" customWidth="1"/>
    <col min="6148" max="6148" width="19.8984375" style="1538" customWidth="1"/>
    <col min="6149" max="6400" width="9" style="1538"/>
    <col min="6401" max="6401" width="5.19921875" style="1538" customWidth="1"/>
    <col min="6402" max="6402" width="44.09765625" style="1538" customWidth="1"/>
    <col min="6403" max="6403" width="10.8984375" style="1538" customWidth="1"/>
    <col min="6404" max="6404" width="19.8984375" style="1538" customWidth="1"/>
    <col min="6405" max="6656" width="9" style="1538"/>
    <col min="6657" max="6657" width="5.19921875" style="1538" customWidth="1"/>
    <col min="6658" max="6658" width="44.09765625" style="1538" customWidth="1"/>
    <col min="6659" max="6659" width="10.8984375" style="1538" customWidth="1"/>
    <col min="6660" max="6660" width="19.8984375" style="1538" customWidth="1"/>
    <col min="6661" max="6912" width="9" style="1538"/>
    <col min="6913" max="6913" width="5.19921875" style="1538" customWidth="1"/>
    <col min="6914" max="6914" width="44.09765625" style="1538" customWidth="1"/>
    <col min="6915" max="6915" width="10.8984375" style="1538" customWidth="1"/>
    <col min="6916" max="6916" width="19.8984375" style="1538" customWidth="1"/>
    <col min="6917" max="7168" width="9" style="1538"/>
    <col min="7169" max="7169" width="5.19921875" style="1538" customWidth="1"/>
    <col min="7170" max="7170" width="44.09765625" style="1538" customWidth="1"/>
    <col min="7171" max="7171" width="10.8984375" style="1538" customWidth="1"/>
    <col min="7172" max="7172" width="19.8984375" style="1538" customWidth="1"/>
    <col min="7173" max="7424" width="9" style="1538"/>
    <col min="7425" max="7425" width="5.19921875" style="1538" customWidth="1"/>
    <col min="7426" max="7426" width="44.09765625" style="1538" customWidth="1"/>
    <col min="7427" max="7427" width="10.8984375" style="1538" customWidth="1"/>
    <col min="7428" max="7428" width="19.8984375" style="1538" customWidth="1"/>
    <col min="7429" max="7680" width="9" style="1538"/>
    <col min="7681" max="7681" width="5.19921875" style="1538" customWidth="1"/>
    <col min="7682" max="7682" width="44.09765625" style="1538" customWidth="1"/>
    <col min="7683" max="7683" width="10.8984375" style="1538" customWidth="1"/>
    <col min="7684" max="7684" width="19.8984375" style="1538" customWidth="1"/>
    <col min="7685" max="7936" width="9" style="1538"/>
    <col min="7937" max="7937" width="5.19921875" style="1538" customWidth="1"/>
    <col min="7938" max="7938" width="44.09765625" style="1538" customWidth="1"/>
    <col min="7939" max="7939" width="10.8984375" style="1538" customWidth="1"/>
    <col min="7940" max="7940" width="19.8984375" style="1538" customWidth="1"/>
    <col min="7941" max="8192" width="9" style="1538"/>
    <col min="8193" max="8193" width="5.19921875" style="1538" customWidth="1"/>
    <col min="8194" max="8194" width="44.09765625" style="1538" customWidth="1"/>
    <col min="8195" max="8195" width="10.8984375" style="1538" customWidth="1"/>
    <col min="8196" max="8196" width="19.8984375" style="1538" customWidth="1"/>
    <col min="8197" max="8448" width="9" style="1538"/>
    <col min="8449" max="8449" width="5.19921875" style="1538" customWidth="1"/>
    <col min="8450" max="8450" width="44.09765625" style="1538" customWidth="1"/>
    <col min="8451" max="8451" width="10.8984375" style="1538" customWidth="1"/>
    <col min="8452" max="8452" width="19.8984375" style="1538" customWidth="1"/>
    <col min="8453" max="8704" width="9" style="1538"/>
    <col min="8705" max="8705" width="5.19921875" style="1538" customWidth="1"/>
    <col min="8706" max="8706" width="44.09765625" style="1538" customWidth="1"/>
    <col min="8707" max="8707" width="10.8984375" style="1538" customWidth="1"/>
    <col min="8708" max="8708" width="19.8984375" style="1538" customWidth="1"/>
    <col min="8709" max="8960" width="9" style="1538"/>
    <col min="8961" max="8961" width="5.19921875" style="1538" customWidth="1"/>
    <col min="8962" max="8962" width="44.09765625" style="1538" customWidth="1"/>
    <col min="8963" max="8963" width="10.8984375" style="1538" customWidth="1"/>
    <col min="8964" max="8964" width="19.8984375" style="1538" customWidth="1"/>
    <col min="8965" max="9216" width="9" style="1538"/>
    <col min="9217" max="9217" width="5.19921875" style="1538" customWidth="1"/>
    <col min="9218" max="9218" width="44.09765625" style="1538" customWidth="1"/>
    <col min="9219" max="9219" width="10.8984375" style="1538" customWidth="1"/>
    <col min="9220" max="9220" width="19.8984375" style="1538" customWidth="1"/>
    <col min="9221" max="9472" width="9" style="1538"/>
    <col min="9473" max="9473" width="5.19921875" style="1538" customWidth="1"/>
    <col min="9474" max="9474" width="44.09765625" style="1538" customWidth="1"/>
    <col min="9475" max="9475" width="10.8984375" style="1538" customWidth="1"/>
    <col min="9476" max="9476" width="19.8984375" style="1538" customWidth="1"/>
    <col min="9477" max="9728" width="9" style="1538"/>
    <col min="9729" max="9729" width="5.19921875" style="1538" customWidth="1"/>
    <col min="9730" max="9730" width="44.09765625" style="1538" customWidth="1"/>
    <col min="9731" max="9731" width="10.8984375" style="1538" customWidth="1"/>
    <col min="9732" max="9732" width="19.8984375" style="1538" customWidth="1"/>
    <col min="9733" max="9984" width="9" style="1538"/>
    <col min="9985" max="9985" width="5.19921875" style="1538" customWidth="1"/>
    <col min="9986" max="9986" width="44.09765625" style="1538" customWidth="1"/>
    <col min="9987" max="9987" width="10.8984375" style="1538" customWidth="1"/>
    <col min="9988" max="9988" width="19.8984375" style="1538" customWidth="1"/>
    <col min="9989" max="10240" width="9" style="1538"/>
    <col min="10241" max="10241" width="5.19921875" style="1538" customWidth="1"/>
    <col min="10242" max="10242" width="44.09765625" style="1538" customWidth="1"/>
    <col min="10243" max="10243" width="10.8984375" style="1538" customWidth="1"/>
    <col min="10244" max="10244" width="19.8984375" style="1538" customWidth="1"/>
    <col min="10245" max="10496" width="9" style="1538"/>
    <col min="10497" max="10497" width="5.19921875" style="1538" customWidth="1"/>
    <col min="10498" max="10498" width="44.09765625" style="1538" customWidth="1"/>
    <col min="10499" max="10499" width="10.8984375" style="1538" customWidth="1"/>
    <col min="10500" max="10500" width="19.8984375" style="1538" customWidth="1"/>
    <col min="10501" max="10752" width="9" style="1538"/>
    <col min="10753" max="10753" width="5.19921875" style="1538" customWidth="1"/>
    <col min="10754" max="10754" width="44.09765625" style="1538" customWidth="1"/>
    <col min="10755" max="10755" width="10.8984375" style="1538" customWidth="1"/>
    <col min="10756" max="10756" width="19.8984375" style="1538" customWidth="1"/>
    <col min="10757" max="11008" width="9" style="1538"/>
    <col min="11009" max="11009" width="5.19921875" style="1538" customWidth="1"/>
    <col min="11010" max="11010" width="44.09765625" style="1538" customWidth="1"/>
    <col min="11011" max="11011" width="10.8984375" style="1538" customWidth="1"/>
    <col min="11012" max="11012" width="19.8984375" style="1538" customWidth="1"/>
    <col min="11013" max="11264" width="9" style="1538"/>
    <col min="11265" max="11265" width="5.19921875" style="1538" customWidth="1"/>
    <col min="11266" max="11266" width="44.09765625" style="1538" customWidth="1"/>
    <col min="11267" max="11267" width="10.8984375" style="1538" customWidth="1"/>
    <col min="11268" max="11268" width="19.8984375" style="1538" customWidth="1"/>
    <col min="11269" max="11520" width="9" style="1538"/>
    <col min="11521" max="11521" width="5.19921875" style="1538" customWidth="1"/>
    <col min="11522" max="11522" width="44.09765625" style="1538" customWidth="1"/>
    <col min="11523" max="11523" width="10.8984375" style="1538" customWidth="1"/>
    <col min="11524" max="11524" width="19.8984375" style="1538" customWidth="1"/>
    <col min="11525" max="11776" width="9" style="1538"/>
    <col min="11777" max="11777" width="5.19921875" style="1538" customWidth="1"/>
    <col min="11778" max="11778" width="44.09765625" style="1538" customWidth="1"/>
    <col min="11779" max="11779" width="10.8984375" style="1538" customWidth="1"/>
    <col min="11780" max="11780" width="19.8984375" style="1538" customWidth="1"/>
    <col min="11781" max="12032" width="9" style="1538"/>
    <col min="12033" max="12033" width="5.19921875" style="1538" customWidth="1"/>
    <col min="12034" max="12034" width="44.09765625" style="1538" customWidth="1"/>
    <col min="12035" max="12035" width="10.8984375" style="1538" customWidth="1"/>
    <col min="12036" max="12036" width="19.8984375" style="1538" customWidth="1"/>
    <col min="12037" max="12288" width="9" style="1538"/>
    <col min="12289" max="12289" width="5.19921875" style="1538" customWidth="1"/>
    <col min="12290" max="12290" width="44.09765625" style="1538" customWidth="1"/>
    <col min="12291" max="12291" width="10.8984375" style="1538" customWidth="1"/>
    <col min="12292" max="12292" width="19.8984375" style="1538" customWidth="1"/>
    <col min="12293" max="12544" width="9" style="1538"/>
    <col min="12545" max="12545" width="5.19921875" style="1538" customWidth="1"/>
    <col min="12546" max="12546" width="44.09765625" style="1538" customWidth="1"/>
    <col min="12547" max="12547" width="10.8984375" style="1538" customWidth="1"/>
    <col min="12548" max="12548" width="19.8984375" style="1538" customWidth="1"/>
    <col min="12549" max="12800" width="9" style="1538"/>
    <col min="12801" max="12801" width="5.19921875" style="1538" customWidth="1"/>
    <col min="12802" max="12802" width="44.09765625" style="1538" customWidth="1"/>
    <col min="12803" max="12803" width="10.8984375" style="1538" customWidth="1"/>
    <col min="12804" max="12804" width="19.8984375" style="1538" customWidth="1"/>
    <col min="12805" max="13056" width="9" style="1538"/>
    <col min="13057" max="13057" width="5.19921875" style="1538" customWidth="1"/>
    <col min="13058" max="13058" width="44.09765625" style="1538" customWidth="1"/>
    <col min="13059" max="13059" width="10.8984375" style="1538" customWidth="1"/>
    <col min="13060" max="13060" width="19.8984375" style="1538" customWidth="1"/>
    <col min="13061" max="13312" width="9" style="1538"/>
    <col min="13313" max="13313" width="5.19921875" style="1538" customWidth="1"/>
    <col min="13314" max="13314" width="44.09765625" style="1538" customWidth="1"/>
    <col min="13315" max="13315" width="10.8984375" style="1538" customWidth="1"/>
    <col min="13316" max="13316" width="19.8984375" style="1538" customWidth="1"/>
    <col min="13317" max="13568" width="9" style="1538"/>
    <col min="13569" max="13569" width="5.19921875" style="1538" customWidth="1"/>
    <col min="13570" max="13570" width="44.09765625" style="1538" customWidth="1"/>
    <col min="13571" max="13571" width="10.8984375" style="1538" customWidth="1"/>
    <col min="13572" max="13572" width="19.8984375" style="1538" customWidth="1"/>
    <col min="13573" max="13824" width="9" style="1538"/>
    <col min="13825" max="13825" width="5.19921875" style="1538" customWidth="1"/>
    <col min="13826" max="13826" width="44.09765625" style="1538" customWidth="1"/>
    <col min="13827" max="13827" width="10.8984375" style="1538" customWidth="1"/>
    <col min="13828" max="13828" width="19.8984375" style="1538" customWidth="1"/>
    <col min="13829" max="14080" width="9" style="1538"/>
    <col min="14081" max="14081" width="5.19921875" style="1538" customWidth="1"/>
    <col min="14082" max="14082" width="44.09765625" style="1538" customWidth="1"/>
    <col min="14083" max="14083" width="10.8984375" style="1538" customWidth="1"/>
    <col min="14084" max="14084" width="19.8984375" style="1538" customWidth="1"/>
    <col min="14085" max="14336" width="9" style="1538"/>
    <col min="14337" max="14337" width="5.19921875" style="1538" customWidth="1"/>
    <col min="14338" max="14338" width="44.09765625" style="1538" customWidth="1"/>
    <col min="14339" max="14339" width="10.8984375" style="1538" customWidth="1"/>
    <col min="14340" max="14340" width="19.8984375" style="1538" customWidth="1"/>
    <col min="14341" max="14592" width="9" style="1538"/>
    <col min="14593" max="14593" width="5.19921875" style="1538" customWidth="1"/>
    <col min="14594" max="14594" width="44.09765625" style="1538" customWidth="1"/>
    <col min="14595" max="14595" width="10.8984375" style="1538" customWidth="1"/>
    <col min="14596" max="14596" width="19.8984375" style="1538" customWidth="1"/>
    <col min="14597" max="14848" width="9" style="1538"/>
    <col min="14849" max="14849" width="5.19921875" style="1538" customWidth="1"/>
    <col min="14850" max="14850" width="44.09765625" style="1538" customWidth="1"/>
    <col min="14851" max="14851" width="10.8984375" style="1538" customWidth="1"/>
    <col min="14852" max="14852" width="19.8984375" style="1538" customWidth="1"/>
    <col min="14853" max="15104" width="9" style="1538"/>
    <col min="15105" max="15105" width="5.19921875" style="1538" customWidth="1"/>
    <col min="15106" max="15106" width="44.09765625" style="1538" customWidth="1"/>
    <col min="15107" max="15107" width="10.8984375" style="1538" customWidth="1"/>
    <col min="15108" max="15108" width="19.8984375" style="1538" customWidth="1"/>
    <col min="15109" max="15360" width="9" style="1538"/>
    <col min="15361" max="15361" width="5.19921875" style="1538" customWidth="1"/>
    <col min="15362" max="15362" width="44.09765625" style="1538" customWidth="1"/>
    <col min="15363" max="15363" width="10.8984375" style="1538" customWidth="1"/>
    <col min="15364" max="15364" width="19.8984375" style="1538" customWidth="1"/>
    <col min="15365" max="15616" width="9" style="1538"/>
    <col min="15617" max="15617" width="5.19921875" style="1538" customWidth="1"/>
    <col min="15618" max="15618" width="44.09765625" style="1538" customWidth="1"/>
    <col min="15619" max="15619" width="10.8984375" style="1538" customWidth="1"/>
    <col min="15620" max="15620" width="19.8984375" style="1538" customWidth="1"/>
    <col min="15621" max="15872" width="9" style="1538"/>
    <col min="15873" max="15873" width="5.19921875" style="1538" customWidth="1"/>
    <col min="15874" max="15874" width="44.09765625" style="1538" customWidth="1"/>
    <col min="15875" max="15875" width="10.8984375" style="1538" customWidth="1"/>
    <col min="15876" max="15876" width="19.8984375" style="1538" customWidth="1"/>
    <col min="15877" max="16128" width="9" style="1538"/>
    <col min="16129" max="16129" width="5.19921875" style="1538" customWidth="1"/>
    <col min="16130" max="16130" width="44.09765625" style="1538" customWidth="1"/>
    <col min="16131" max="16131" width="10.8984375" style="1538" customWidth="1"/>
    <col min="16132" max="16132" width="19.8984375" style="1538" customWidth="1"/>
    <col min="16133" max="16384" width="9" style="1538"/>
  </cols>
  <sheetData>
    <row r="1" spans="1:4" ht="20.100000000000001" customHeight="1">
      <c r="A1" s="3378" t="s">
        <v>4973</v>
      </c>
      <c r="B1" s="3378"/>
      <c r="C1" s="3378"/>
      <c r="D1" s="2010"/>
    </row>
    <row r="2" spans="1:4" ht="25.5" customHeight="1">
      <c r="A2" s="3379" t="s">
        <v>4974</v>
      </c>
      <c r="B2" s="3379"/>
      <c r="C2" s="3379"/>
      <c r="D2" s="1949"/>
    </row>
    <row r="3" spans="1:4" ht="14.25" customHeight="1">
      <c r="A3" s="1912" t="s">
        <v>1854</v>
      </c>
      <c r="B3" s="1912" t="s">
        <v>4975</v>
      </c>
      <c r="C3" s="1912" t="s">
        <v>4976</v>
      </c>
      <c r="D3" s="1912" t="s">
        <v>4901</v>
      </c>
    </row>
    <row r="4" spans="1:4" ht="14.25" customHeight="1">
      <c r="A4" s="1912">
        <v>1</v>
      </c>
      <c r="B4" s="1915" t="s">
        <v>4977</v>
      </c>
      <c r="C4" s="2077">
        <f>C5+C18+C28+C34+C35</f>
        <v>0</v>
      </c>
      <c r="D4" s="1912" t="s">
        <v>4978</v>
      </c>
    </row>
    <row r="5" spans="1:4" ht="14.25" customHeight="1">
      <c r="A5" s="1912">
        <v>2</v>
      </c>
      <c r="B5" s="1915" t="s">
        <v>4979</v>
      </c>
      <c r="C5" s="2077">
        <f>C6+C14</f>
        <v>0</v>
      </c>
      <c r="D5" s="1912"/>
    </row>
    <row r="6" spans="1:4" ht="14.25" customHeight="1">
      <c r="A6" s="1912">
        <v>3</v>
      </c>
      <c r="B6" s="1915" t="s">
        <v>4980</v>
      </c>
      <c r="C6" s="2077">
        <f>SUM(C7:C13)</f>
        <v>0</v>
      </c>
      <c r="D6" s="1912"/>
    </row>
    <row r="7" spans="1:4" ht="14.25" customHeight="1">
      <c r="A7" s="1912">
        <v>4</v>
      </c>
      <c r="B7" s="1915" t="s">
        <v>4981</v>
      </c>
      <c r="C7" s="2078"/>
      <c r="D7" s="1912"/>
    </row>
    <row r="8" spans="1:4" ht="14.25" customHeight="1">
      <c r="A8" s="1912">
        <v>5</v>
      </c>
      <c r="B8" s="1915" t="s">
        <v>4982</v>
      </c>
      <c r="C8" s="2078"/>
      <c r="D8" s="1912"/>
    </row>
    <row r="9" spans="1:4" ht="14.25" customHeight="1">
      <c r="A9" s="1912">
        <v>6</v>
      </c>
      <c r="B9" s="1915" t="s">
        <v>4983</v>
      </c>
      <c r="C9" s="2078"/>
      <c r="D9" s="1912"/>
    </row>
    <row r="10" spans="1:4" ht="14.25" customHeight="1">
      <c r="A10" s="1912">
        <v>7</v>
      </c>
      <c r="B10" s="1915" t="s">
        <v>4984</v>
      </c>
      <c r="C10" s="2078"/>
      <c r="D10" s="1912"/>
    </row>
    <row r="11" spans="1:4" ht="14.25" customHeight="1">
      <c r="A11" s="1912">
        <v>8</v>
      </c>
      <c r="B11" s="1915" t="s">
        <v>4985</v>
      </c>
      <c r="C11" s="2078"/>
      <c r="D11" s="1912"/>
    </row>
    <row r="12" spans="1:4" ht="14.25" customHeight="1">
      <c r="A12" s="1912">
        <v>9</v>
      </c>
      <c r="B12" s="1915" t="s">
        <v>4986</v>
      </c>
      <c r="C12" s="2078"/>
      <c r="D12" s="1912"/>
    </row>
    <row r="13" spans="1:4" ht="14.25" customHeight="1">
      <c r="A13" s="1912">
        <v>10</v>
      </c>
      <c r="B13" s="1915" t="s">
        <v>4987</v>
      </c>
      <c r="C13" s="2078"/>
      <c r="D13" s="1912"/>
    </row>
    <row r="14" spans="1:4" ht="14.25" customHeight="1">
      <c r="A14" s="1912">
        <v>11</v>
      </c>
      <c r="B14" s="1915" t="s">
        <v>4988</v>
      </c>
      <c r="C14" s="2077">
        <f>SUM(C15:C17)</f>
        <v>0</v>
      </c>
      <c r="D14" s="1912"/>
    </row>
    <row r="15" spans="1:4" ht="14.25" customHeight="1">
      <c r="A15" s="1912">
        <v>12</v>
      </c>
      <c r="B15" s="1915" t="s">
        <v>4989</v>
      </c>
      <c r="C15" s="2078"/>
      <c r="D15" s="1912"/>
    </row>
    <row r="16" spans="1:4" ht="14.25" customHeight="1">
      <c r="A16" s="1912">
        <v>13</v>
      </c>
      <c r="B16" s="1915" t="s">
        <v>4990</v>
      </c>
      <c r="C16" s="2078"/>
      <c r="D16" s="1912"/>
    </row>
    <row r="17" spans="1:4" ht="14.25" customHeight="1">
      <c r="A17" s="1912">
        <v>14</v>
      </c>
      <c r="B17" s="1915" t="s">
        <v>4991</v>
      </c>
      <c r="C17" s="2078"/>
      <c r="D17" s="1912"/>
    </row>
    <row r="18" spans="1:4" ht="14.25" customHeight="1">
      <c r="A18" s="1912">
        <v>15</v>
      </c>
      <c r="B18" s="1915" t="s">
        <v>4992</v>
      </c>
      <c r="C18" s="2077">
        <f>SUM(C19:C20)-C21+C22-C23+C24+C25-C26+C27</f>
        <v>0</v>
      </c>
      <c r="D18" s="1912"/>
    </row>
    <row r="19" spans="1:4" ht="14.25" customHeight="1">
      <c r="A19" s="1912">
        <v>16</v>
      </c>
      <c r="B19" s="1915" t="s">
        <v>4993</v>
      </c>
      <c r="C19" s="2078"/>
      <c r="D19" s="1912"/>
    </row>
    <row r="20" spans="1:4" ht="14.25" customHeight="1">
      <c r="A20" s="1912">
        <v>17</v>
      </c>
      <c r="B20" s="1915" t="s">
        <v>4994</v>
      </c>
      <c r="C20" s="2078"/>
      <c r="D20" s="1912"/>
    </row>
    <row r="21" spans="1:4" ht="14.25" customHeight="1">
      <c r="A21" s="1912">
        <v>18</v>
      </c>
      <c r="B21" s="1915" t="s">
        <v>4995</v>
      </c>
      <c r="C21" s="2078"/>
      <c r="D21" s="1912"/>
    </row>
    <row r="22" spans="1:4" ht="14.25" customHeight="1">
      <c r="A22" s="1912">
        <v>19</v>
      </c>
      <c r="B22" s="1915" t="s">
        <v>4996</v>
      </c>
      <c r="C22" s="2078"/>
      <c r="D22" s="1912"/>
    </row>
    <row r="23" spans="1:4" ht="14.25" customHeight="1">
      <c r="A23" s="1912">
        <v>20</v>
      </c>
      <c r="B23" s="1915" t="s">
        <v>4997</v>
      </c>
      <c r="C23" s="2078"/>
      <c r="D23" s="1912"/>
    </row>
    <row r="24" spans="1:4" ht="14.25" customHeight="1">
      <c r="A24" s="1912">
        <v>21</v>
      </c>
      <c r="B24" s="1915" t="s">
        <v>4998</v>
      </c>
      <c r="C24" s="2078"/>
      <c r="D24" s="1912"/>
    </row>
    <row r="25" spans="1:4" ht="14.25" customHeight="1">
      <c r="A25" s="1912">
        <v>22</v>
      </c>
      <c r="B25" s="1915" t="s">
        <v>4999</v>
      </c>
      <c r="C25" s="2078"/>
      <c r="D25" s="1912"/>
    </row>
    <row r="26" spans="1:4" ht="14.25" customHeight="1">
      <c r="A26" s="1912">
        <v>23</v>
      </c>
      <c r="B26" s="1915" t="s">
        <v>5000</v>
      </c>
      <c r="C26" s="2078"/>
      <c r="D26" s="1912"/>
    </row>
    <row r="27" spans="1:4" ht="14.25" customHeight="1">
      <c r="A27" s="1912">
        <v>24</v>
      </c>
      <c r="B27" s="1915" t="s">
        <v>5001</v>
      </c>
      <c r="C27" s="2078"/>
      <c r="D27" s="1912"/>
    </row>
    <row r="28" spans="1:4" ht="14.25" customHeight="1">
      <c r="A28" s="1912">
        <v>25</v>
      </c>
      <c r="B28" s="1915" t="s">
        <v>5002</v>
      </c>
      <c r="C28" s="2077">
        <f>C29+C33</f>
        <v>0</v>
      </c>
      <c r="D28" s="1912"/>
    </row>
    <row r="29" spans="1:4" ht="14.25" customHeight="1">
      <c r="A29" s="1912">
        <v>26</v>
      </c>
      <c r="B29" s="1915" t="s">
        <v>5003</v>
      </c>
      <c r="C29" s="2077">
        <f>SUM(C30:C32)</f>
        <v>0</v>
      </c>
      <c r="D29" s="1912"/>
    </row>
    <row r="30" spans="1:4" ht="14.25" customHeight="1">
      <c r="A30" s="1912">
        <v>27</v>
      </c>
      <c r="B30" s="1915" t="s">
        <v>5004</v>
      </c>
      <c r="C30" s="2078"/>
      <c r="D30" s="1912"/>
    </row>
    <row r="31" spans="1:4" ht="14.25" customHeight="1">
      <c r="A31" s="1912">
        <v>28</v>
      </c>
      <c r="B31" s="1915" t="s">
        <v>4990</v>
      </c>
      <c r="C31" s="2078"/>
      <c r="D31" s="1912"/>
    </row>
    <row r="32" spans="1:4" ht="14.25" customHeight="1">
      <c r="A32" s="1912">
        <v>29</v>
      </c>
      <c r="B32" s="1915" t="s">
        <v>4991</v>
      </c>
      <c r="C32" s="2078"/>
      <c r="D32" s="1912"/>
    </row>
    <row r="33" spans="1:4" ht="14.25" customHeight="1">
      <c r="A33" s="1912">
        <v>30</v>
      </c>
      <c r="B33" s="1915" t="s">
        <v>5005</v>
      </c>
      <c r="C33" s="2078"/>
      <c r="D33" s="1912"/>
    </row>
    <row r="34" spans="1:4" ht="14.25" customHeight="1">
      <c r="A34" s="1912">
        <v>31</v>
      </c>
      <c r="B34" s="1915" t="s">
        <v>5006</v>
      </c>
      <c r="C34" s="2078"/>
      <c r="D34" s="1912"/>
    </row>
    <row r="35" spans="1:4" ht="14.25" customHeight="1">
      <c r="A35" s="1912">
        <v>32</v>
      </c>
      <c r="B35" s="1915" t="s">
        <v>5007</v>
      </c>
      <c r="C35" s="2078"/>
      <c r="D35" s="1912"/>
    </row>
    <row r="36" spans="1:4" ht="14.25" customHeight="1">
      <c r="A36" s="1912">
        <v>33</v>
      </c>
      <c r="B36" s="1915" t="s">
        <v>5008</v>
      </c>
      <c r="C36" s="2077">
        <f>SUM(C37:C42)</f>
        <v>0</v>
      </c>
      <c r="D36" s="1912" t="s">
        <v>5009</v>
      </c>
    </row>
    <row r="37" spans="1:4" ht="14.25" customHeight="1">
      <c r="A37" s="1912">
        <v>34</v>
      </c>
      <c r="B37" s="1915" t="s">
        <v>4964</v>
      </c>
      <c r="C37" s="2078"/>
      <c r="D37" s="1912"/>
    </row>
    <row r="38" spans="1:4" ht="14.25" customHeight="1">
      <c r="A38" s="1912">
        <v>35</v>
      </c>
      <c r="B38" s="1915" t="s">
        <v>4965</v>
      </c>
      <c r="C38" s="2078"/>
      <c r="D38" s="1912"/>
    </row>
    <row r="39" spans="1:4" ht="14.25" customHeight="1">
      <c r="A39" s="1912">
        <v>36</v>
      </c>
      <c r="B39" s="1915" t="s">
        <v>4966</v>
      </c>
      <c r="C39" s="2078"/>
      <c r="D39" s="1912"/>
    </row>
    <row r="40" spans="1:4" ht="14.25" customHeight="1">
      <c r="A40" s="1912">
        <v>37</v>
      </c>
      <c r="B40" s="1915" t="s">
        <v>5010</v>
      </c>
      <c r="C40" s="2078"/>
      <c r="D40" s="1912"/>
    </row>
    <row r="41" spans="1:4" ht="14.25" customHeight="1">
      <c r="A41" s="1912">
        <v>38</v>
      </c>
      <c r="B41" s="1915" t="s">
        <v>5011</v>
      </c>
      <c r="C41" s="2078"/>
      <c r="D41" s="1912"/>
    </row>
    <row r="42" spans="1:4" ht="14.25" customHeight="1">
      <c r="A42" s="1912">
        <v>39</v>
      </c>
      <c r="B42" s="1915" t="s">
        <v>5012</v>
      </c>
      <c r="C42" s="2078"/>
      <c r="D42" s="1912"/>
    </row>
  </sheetData>
  <mergeCells count="2">
    <mergeCell ref="A1:C1"/>
    <mergeCell ref="A2:C2"/>
  </mergeCells>
  <phoneticPr fontId="51" type="noConversion"/>
  <printOptions horizontalCentered="1"/>
  <pageMargins left="0.78740157480314998" right="0.35433070866141703" top="0.511811023622047" bottom="0.11811023622047198" header="0.511811023622047" footer="0.511811023622047"/>
  <pageSetup paperSize="9" orientation="portrait" r:id="rId1"/>
  <headerFooter alignWithMargins="0"/>
</worksheet>
</file>

<file path=xl/worksheets/sheet1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21"/>
  <dimension ref="A1:D31"/>
  <sheetViews>
    <sheetView workbookViewId="0">
      <selection activeCell="B10" sqref="B10"/>
    </sheetView>
  </sheetViews>
  <sheetFormatPr defaultColWidth="31.59765625" defaultRowHeight="15.6"/>
  <cols>
    <col min="1" max="1" width="5.09765625" style="1532" customWidth="1"/>
    <col min="2" max="2" width="46.59765625" style="1532" customWidth="1"/>
    <col min="3" max="3" width="13.8984375" style="1532" customWidth="1"/>
    <col min="4" max="4" width="18.8984375" style="1532" customWidth="1"/>
    <col min="5" max="256" width="31.59765625" style="1532"/>
    <col min="257" max="257" width="5.09765625" style="1532" customWidth="1"/>
    <col min="258" max="258" width="46.59765625" style="1532" customWidth="1"/>
    <col min="259" max="259" width="8.5" style="1532" customWidth="1"/>
    <col min="260" max="260" width="18.8984375" style="1532" customWidth="1"/>
    <col min="261" max="512" width="31.59765625" style="1532"/>
    <col min="513" max="513" width="5.09765625" style="1532" customWidth="1"/>
    <col min="514" max="514" width="46.59765625" style="1532" customWidth="1"/>
    <col min="515" max="515" width="8.5" style="1532" customWidth="1"/>
    <col min="516" max="516" width="18.8984375" style="1532" customWidth="1"/>
    <col min="517" max="768" width="31.59765625" style="1532"/>
    <col min="769" max="769" width="5.09765625" style="1532" customWidth="1"/>
    <col min="770" max="770" width="46.59765625" style="1532" customWidth="1"/>
    <col min="771" max="771" width="8.5" style="1532" customWidth="1"/>
    <col min="772" max="772" width="18.8984375" style="1532" customWidth="1"/>
    <col min="773" max="1024" width="31.59765625" style="1532"/>
    <col min="1025" max="1025" width="5.09765625" style="1532" customWidth="1"/>
    <col min="1026" max="1026" width="46.59765625" style="1532" customWidth="1"/>
    <col min="1027" max="1027" width="8.5" style="1532" customWidth="1"/>
    <col min="1028" max="1028" width="18.8984375" style="1532" customWidth="1"/>
    <col min="1029" max="1280" width="31.59765625" style="1532"/>
    <col min="1281" max="1281" width="5.09765625" style="1532" customWidth="1"/>
    <col min="1282" max="1282" width="46.59765625" style="1532" customWidth="1"/>
    <col min="1283" max="1283" width="8.5" style="1532" customWidth="1"/>
    <col min="1284" max="1284" width="18.8984375" style="1532" customWidth="1"/>
    <col min="1285" max="1536" width="31.59765625" style="1532"/>
    <col min="1537" max="1537" width="5.09765625" style="1532" customWidth="1"/>
    <col min="1538" max="1538" width="46.59765625" style="1532" customWidth="1"/>
    <col min="1539" max="1539" width="8.5" style="1532" customWidth="1"/>
    <col min="1540" max="1540" width="18.8984375" style="1532" customWidth="1"/>
    <col min="1541" max="1792" width="31.59765625" style="1532"/>
    <col min="1793" max="1793" width="5.09765625" style="1532" customWidth="1"/>
    <col min="1794" max="1794" width="46.59765625" style="1532" customWidth="1"/>
    <col min="1795" max="1795" width="8.5" style="1532" customWidth="1"/>
    <col min="1796" max="1796" width="18.8984375" style="1532" customWidth="1"/>
    <col min="1797" max="2048" width="31.59765625" style="1532"/>
    <col min="2049" max="2049" width="5.09765625" style="1532" customWidth="1"/>
    <col min="2050" max="2050" width="46.59765625" style="1532" customWidth="1"/>
    <col min="2051" max="2051" width="8.5" style="1532" customWidth="1"/>
    <col min="2052" max="2052" width="18.8984375" style="1532" customWidth="1"/>
    <col min="2053" max="2304" width="31.59765625" style="1532"/>
    <col min="2305" max="2305" width="5.09765625" style="1532" customWidth="1"/>
    <col min="2306" max="2306" width="46.59765625" style="1532" customWidth="1"/>
    <col min="2307" max="2307" width="8.5" style="1532" customWidth="1"/>
    <col min="2308" max="2308" width="18.8984375" style="1532" customWidth="1"/>
    <col min="2309" max="2560" width="31.59765625" style="1532"/>
    <col min="2561" max="2561" width="5.09765625" style="1532" customWidth="1"/>
    <col min="2562" max="2562" width="46.59765625" style="1532" customWidth="1"/>
    <col min="2563" max="2563" width="8.5" style="1532" customWidth="1"/>
    <col min="2564" max="2564" width="18.8984375" style="1532" customWidth="1"/>
    <col min="2565" max="2816" width="31.59765625" style="1532"/>
    <col min="2817" max="2817" width="5.09765625" style="1532" customWidth="1"/>
    <col min="2818" max="2818" width="46.59765625" style="1532" customWidth="1"/>
    <col min="2819" max="2819" width="8.5" style="1532" customWidth="1"/>
    <col min="2820" max="2820" width="18.8984375" style="1532" customWidth="1"/>
    <col min="2821" max="3072" width="31.59765625" style="1532"/>
    <col min="3073" max="3073" width="5.09765625" style="1532" customWidth="1"/>
    <col min="3074" max="3074" width="46.59765625" style="1532" customWidth="1"/>
    <col min="3075" max="3075" width="8.5" style="1532" customWidth="1"/>
    <col min="3076" max="3076" width="18.8984375" style="1532" customWidth="1"/>
    <col min="3077" max="3328" width="31.59765625" style="1532"/>
    <col min="3329" max="3329" width="5.09765625" style="1532" customWidth="1"/>
    <col min="3330" max="3330" width="46.59765625" style="1532" customWidth="1"/>
    <col min="3331" max="3331" width="8.5" style="1532" customWidth="1"/>
    <col min="3332" max="3332" width="18.8984375" style="1532" customWidth="1"/>
    <col min="3333" max="3584" width="31.59765625" style="1532"/>
    <col min="3585" max="3585" width="5.09765625" style="1532" customWidth="1"/>
    <col min="3586" max="3586" width="46.59765625" style="1532" customWidth="1"/>
    <col min="3587" max="3587" width="8.5" style="1532" customWidth="1"/>
    <col min="3588" max="3588" width="18.8984375" style="1532" customWidth="1"/>
    <col min="3589" max="3840" width="31.59765625" style="1532"/>
    <col min="3841" max="3841" width="5.09765625" style="1532" customWidth="1"/>
    <col min="3842" max="3842" width="46.59765625" style="1532" customWidth="1"/>
    <col min="3843" max="3843" width="8.5" style="1532" customWidth="1"/>
    <col min="3844" max="3844" width="18.8984375" style="1532" customWidth="1"/>
    <col min="3845" max="4096" width="31.59765625" style="1532"/>
    <col min="4097" max="4097" width="5.09765625" style="1532" customWidth="1"/>
    <col min="4098" max="4098" width="46.59765625" style="1532" customWidth="1"/>
    <col min="4099" max="4099" width="8.5" style="1532" customWidth="1"/>
    <col min="4100" max="4100" width="18.8984375" style="1532" customWidth="1"/>
    <col min="4101" max="4352" width="31.59765625" style="1532"/>
    <col min="4353" max="4353" width="5.09765625" style="1532" customWidth="1"/>
    <col min="4354" max="4354" width="46.59765625" style="1532" customWidth="1"/>
    <col min="4355" max="4355" width="8.5" style="1532" customWidth="1"/>
    <col min="4356" max="4356" width="18.8984375" style="1532" customWidth="1"/>
    <col min="4357" max="4608" width="31.59765625" style="1532"/>
    <col min="4609" max="4609" width="5.09765625" style="1532" customWidth="1"/>
    <col min="4610" max="4610" width="46.59765625" style="1532" customWidth="1"/>
    <col min="4611" max="4611" width="8.5" style="1532" customWidth="1"/>
    <col min="4612" max="4612" width="18.8984375" style="1532" customWidth="1"/>
    <col min="4613" max="4864" width="31.59765625" style="1532"/>
    <col min="4865" max="4865" width="5.09765625" style="1532" customWidth="1"/>
    <col min="4866" max="4866" width="46.59765625" style="1532" customWidth="1"/>
    <col min="4867" max="4867" width="8.5" style="1532" customWidth="1"/>
    <col min="4868" max="4868" width="18.8984375" style="1532" customWidth="1"/>
    <col min="4869" max="5120" width="31.59765625" style="1532"/>
    <col min="5121" max="5121" width="5.09765625" style="1532" customWidth="1"/>
    <col min="5122" max="5122" width="46.59765625" style="1532" customWidth="1"/>
    <col min="5123" max="5123" width="8.5" style="1532" customWidth="1"/>
    <col min="5124" max="5124" width="18.8984375" style="1532" customWidth="1"/>
    <col min="5125" max="5376" width="31.59765625" style="1532"/>
    <col min="5377" max="5377" width="5.09765625" style="1532" customWidth="1"/>
    <col min="5378" max="5378" width="46.59765625" style="1532" customWidth="1"/>
    <col min="5379" max="5379" width="8.5" style="1532" customWidth="1"/>
    <col min="5380" max="5380" width="18.8984375" style="1532" customWidth="1"/>
    <col min="5381" max="5632" width="31.59765625" style="1532"/>
    <col min="5633" max="5633" width="5.09765625" style="1532" customWidth="1"/>
    <col min="5634" max="5634" width="46.59765625" style="1532" customWidth="1"/>
    <col min="5635" max="5635" width="8.5" style="1532" customWidth="1"/>
    <col min="5636" max="5636" width="18.8984375" style="1532" customWidth="1"/>
    <col min="5637" max="5888" width="31.59765625" style="1532"/>
    <col min="5889" max="5889" width="5.09765625" style="1532" customWidth="1"/>
    <col min="5890" max="5890" width="46.59765625" style="1532" customWidth="1"/>
    <col min="5891" max="5891" width="8.5" style="1532" customWidth="1"/>
    <col min="5892" max="5892" width="18.8984375" style="1532" customWidth="1"/>
    <col min="5893" max="6144" width="31.59765625" style="1532"/>
    <col min="6145" max="6145" width="5.09765625" style="1532" customWidth="1"/>
    <col min="6146" max="6146" width="46.59765625" style="1532" customWidth="1"/>
    <col min="6147" max="6147" width="8.5" style="1532" customWidth="1"/>
    <col min="6148" max="6148" width="18.8984375" style="1532" customWidth="1"/>
    <col min="6149" max="6400" width="31.59765625" style="1532"/>
    <col min="6401" max="6401" width="5.09765625" style="1532" customWidth="1"/>
    <col min="6402" max="6402" width="46.59765625" style="1532" customWidth="1"/>
    <col min="6403" max="6403" width="8.5" style="1532" customWidth="1"/>
    <col min="6404" max="6404" width="18.8984375" style="1532" customWidth="1"/>
    <col min="6405" max="6656" width="31.59765625" style="1532"/>
    <col min="6657" max="6657" width="5.09765625" style="1532" customWidth="1"/>
    <col min="6658" max="6658" width="46.59765625" style="1532" customWidth="1"/>
    <col min="6659" max="6659" width="8.5" style="1532" customWidth="1"/>
    <col min="6660" max="6660" width="18.8984375" style="1532" customWidth="1"/>
    <col min="6661" max="6912" width="31.59765625" style="1532"/>
    <col min="6913" max="6913" width="5.09765625" style="1532" customWidth="1"/>
    <col min="6914" max="6914" width="46.59765625" style="1532" customWidth="1"/>
    <col min="6915" max="6915" width="8.5" style="1532" customWidth="1"/>
    <col min="6916" max="6916" width="18.8984375" style="1532" customWidth="1"/>
    <col min="6917" max="7168" width="31.59765625" style="1532"/>
    <col min="7169" max="7169" width="5.09765625" style="1532" customWidth="1"/>
    <col min="7170" max="7170" width="46.59765625" style="1532" customWidth="1"/>
    <col min="7171" max="7171" width="8.5" style="1532" customWidth="1"/>
    <col min="7172" max="7172" width="18.8984375" style="1532" customWidth="1"/>
    <col min="7173" max="7424" width="31.59765625" style="1532"/>
    <col min="7425" max="7425" width="5.09765625" style="1532" customWidth="1"/>
    <col min="7426" max="7426" width="46.59765625" style="1532" customWidth="1"/>
    <col min="7427" max="7427" width="8.5" style="1532" customWidth="1"/>
    <col min="7428" max="7428" width="18.8984375" style="1532" customWidth="1"/>
    <col min="7429" max="7680" width="31.59765625" style="1532"/>
    <col min="7681" max="7681" width="5.09765625" style="1532" customWidth="1"/>
    <col min="7682" max="7682" width="46.59765625" style="1532" customWidth="1"/>
    <col min="7683" max="7683" width="8.5" style="1532" customWidth="1"/>
    <col min="7684" max="7684" width="18.8984375" style="1532" customWidth="1"/>
    <col min="7685" max="7936" width="31.59765625" style="1532"/>
    <col min="7937" max="7937" width="5.09765625" style="1532" customWidth="1"/>
    <col min="7938" max="7938" width="46.59765625" style="1532" customWidth="1"/>
    <col min="7939" max="7939" width="8.5" style="1532" customWidth="1"/>
    <col min="7940" max="7940" width="18.8984375" style="1532" customWidth="1"/>
    <col min="7941" max="8192" width="31.59765625" style="1532"/>
    <col min="8193" max="8193" width="5.09765625" style="1532" customWidth="1"/>
    <col min="8194" max="8194" width="46.59765625" style="1532" customWidth="1"/>
    <col min="8195" max="8195" width="8.5" style="1532" customWidth="1"/>
    <col min="8196" max="8196" width="18.8984375" style="1532" customWidth="1"/>
    <col min="8197" max="8448" width="31.59765625" style="1532"/>
    <col min="8449" max="8449" width="5.09765625" style="1532" customWidth="1"/>
    <col min="8450" max="8450" width="46.59765625" style="1532" customWidth="1"/>
    <col min="8451" max="8451" width="8.5" style="1532" customWidth="1"/>
    <col min="8452" max="8452" width="18.8984375" style="1532" customWidth="1"/>
    <col min="8453" max="8704" width="31.59765625" style="1532"/>
    <col min="8705" max="8705" width="5.09765625" style="1532" customWidth="1"/>
    <col min="8706" max="8706" width="46.59765625" style="1532" customWidth="1"/>
    <col min="8707" max="8707" width="8.5" style="1532" customWidth="1"/>
    <col min="8708" max="8708" width="18.8984375" style="1532" customWidth="1"/>
    <col min="8709" max="8960" width="31.59765625" style="1532"/>
    <col min="8961" max="8961" width="5.09765625" style="1532" customWidth="1"/>
    <col min="8962" max="8962" width="46.59765625" style="1532" customWidth="1"/>
    <col min="8963" max="8963" width="8.5" style="1532" customWidth="1"/>
    <col min="8964" max="8964" width="18.8984375" style="1532" customWidth="1"/>
    <col min="8965" max="9216" width="31.59765625" style="1532"/>
    <col min="9217" max="9217" width="5.09765625" style="1532" customWidth="1"/>
    <col min="9218" max="9218" width="46.59765625" style="1532" customWidth="1"/>
    <col min="9219" max="9219" width="8.5" style="1532" customWidth="1"/>
    <col min="9220" max="9220" width="18.8984375" style="1532" customWidth="1"/>
    <col min="9221" max="9472" width="31.59765625" style="1532"/>
    <col min="9473" max="9473" width="5.09765625" style="1532" customWidth="1"/>
    <col min="9474" max="9474" width="46.59765625" style="1532" customWidth="1"/>
    <col min="9475" max="9475" width="8.5" style="1532" customWidth="1"/>
    <col min="9476" max="9476" width="18.8984375" style="1532" customWidth="1"/>
    <col min="9477" max="9728" width="31.59765625" style="1532"/>
    <col min="9729" max="9729" width="5.09765625" style="1532" customWidth="1"/>
    <col min="9730" max="9730" width="46.59765625" style="1532" customWidth="1"/>
    <col min="9731" max="9731" width="8.5" style="1532" customWidth="1"/>
    <col min="9732" max="9732" width="18.8984375" style="1532" customWidth="1"/>
    <col min="9733" max="9984" width="31.59765625" style="1532"/>
    <col min="9985" max="9985" width="5.09765625" style="1532" customWidth="1"/>
    <col min="9986" max="9986" width="46.59765625" style="1532" customWidth="1"/>
    <col min="9987" max="9987" width="8.5" style="1532" customWidth="1"/>
    <col min="9988" max="9988" width="18.8984375" style="1532" customWidth="1"/>
    <col min="9989" max="10240" width="31.59765625" style="1532"/>
    <col min="10241" max="10241" width="5.09765625" style="1532" customWidth="1"/>
    <col min="10242" max="10242" width="46.59765625" style="1532" customWidth="1"/>
    <col min="10243" max="10243" width="8.5" style="1532" customWidth="1"/>
    <col min="10244" max="10244" width="18.8984375" style="1532" customWidth="1"/>
    <col min="10245" max="10496" width="31.59765625" style="1532"/>
    <col min="10497" max="10497" width="5.09765625" style="1532" customWidth="1"/>
    <col min="10498" max="10498" width="46.59765625" style="1532" customWidth="1"/>
    <col min="10499" max="10499" width="8.5" style="1532" customWidth="1"/>
    <col min="10500" max="10500" width="18.8984375" style="1532" customWidth="1"/>
    <col min="10501" max="10752" width="31.59765625" style="1532"/>
    <col min="10753" max="10753" width="5.09765625" style="1532" customWidth="1"/>
    <col min="10754" max="10754" width="46.59765625" style="1532" customWidth="1"/>
    <col min="10755" max="10755" width="8.5" style="1532" customWidth="1"/>
    <col min="10756" max="10756" width="18.8984375" style="1532" customWidth="1"/>
    <col min="10757" max="11008" width="31.59765625" style="1532"/>
    <col min="11009" max="11009" width="5.09765625" style="1532" customWidth="1"/>
    <col min="11010" max="11010" width="46.59765625" style="1532" customWidth="1"/>
    <col min="11011" max="11011" width="8.5" style="1532" customWidth="1"/>
    <col min="11012" max="11012" width="18.8984375" style="1532" customWidth="1"/>
    <col min="11013" max="11264" width="31.59765625" style="1532"/>
    <col min="11265" max="11265" width="5.09765625" style="1532" customWidth="1"/>
    <col min="11266" max="11266" width="46.59765625" style="1532" customWidth="1"/>
    <col min="11267" max="11267" width="8.5" style="1532" customWidth="1"/>
    <col min="11268" max="11268" width="18.8984375" style="1532" customWidth="1"/>
    <col min="11269" max="11520" width="31.59765625" style="1532"/>
    <col min="11521" max="11521" width="5.09765625" style="1532" customWidth="1"/>
    <col min="11522" max="11522" width="46.59765625" style="1532" customWidth="1"/>
    <col min="11523" max="11523" width="8.5" style="1532" customWidth="1"/>
    <col min="11524" max="11524" width="18.8984375" style="1532" customWidth="1"/>
    <col min="11525" max="11776" width="31.59765625" style="1532"/>
    <col min="11777" max="11777" width="5.09765625" style="1532" customWidth="1"/>
    <col min="11778" max="11778" width="46.59765625" style="1532" customWidth="1"/>
    <col min="11779" max="11779" width="8.5" style="1532" customWidth="1"/>
    <col min="11780" max="11780" width="18.8984375" style="1532" customWidth="1"/>
    <col min="11781" max="12032" width="31.59765625" style="1532"/>
    <col min="12033" max="12033" width="5.09765625" style="1532" customWidth="1"/>
    <col min="12034" max="12034" width="46.59765625" style="1532" customWidth="1"/>
    <col min="12035" max="12035" width="8.5" style="1532" customWidth="1"/>
    <col min="12036" max="12036" width="18.8984375" style="1532" customWidth="1"/>
    <col min="12037" max="12288" width="31.59765625" style="1532"/>
    <col min="12289" max="12289" width="5.09765625" style="1532" customWidth="1"/>
    <col min="12290" max="12290" width="46.59765625" style="1532" customWidth="1"/>
    <col min="12291" max="12291" width="8.5" style="1532" customWidth="1"/>
    <col min="12292" max="12292" width="18.8984375" style="1532" customWidth="1"/>
    <col min="12293" max="12544" width="31.59765625" style="1532"/>
    <col min="12545" max="12545" width="5.09765625" style="1532" customWidth="1"/>
    <col min="12546" max="12546" width="46.59765625" style="1532" customWidth="1"/>
    <col min="12547" max="12547" width="8.5" style="1532" customWidth="1"/>
    <col min="12548" max="12548" width="18.8984375" style="1532" customWidth="1"/>
    <col min="12549" max="12800" width="31.59765625" style="1532"/>
    <col min="12801" max="12801" width="5.09765625" style="1532" customWidth="1"/>
    <col min="12802" max="12802" width="46.59765625" style="1532" customWidth="1"/>
    <col min="12803" max="12803" width="8.5" style="1532" customWidth="1"/>
    <col min="12804" max="12804" width="18.8984375" style="1532" customWidth="1"/>
    <col min="12805" max="13056" width="31.59765625" style="1532"/>
    <col min="13057" max="13057" width="5.09765625" style="1532" customWidth="1"/>
    <col min="13058" max="13058" width="46.59765625" style="1532" customWidth="1"/>
    <col min="13059" max="13059" width="8.5" style="1532" customWidth="1"/>
    <col min="13060" max="13060" width="18.8984375" style="1532" customWidth="1"/>
    <col min="13061" max="13312" width="31.59765625" style="1532"/>
    <col min="13313" max="13313" width="5.09765625" style="1532" customWidth="1"/>
    <col min="13314" max="13314" width="46.59765625" style="1532" customWidth="1"/>
    <col min="13315" max="13315" width="8.5" style="1532" customWidth="1"/>
    <col min="13316" max="13316" width="18.8984375" style="1532" customWidth="1"/>
    <col min="13317" max="13568" width="31.59765625" style="1532"/>
    <col min="13569" max="13569" width="5.09765625" style="1532" customWidth="1"/>
    <col min="13570" max="13570" width="46.59765625" style="1532" customWidth="1"/>
    <col min="13571" max="13571" width="8.5" style="1532" customWidth="1"/>
    <col min="13572" max="13572" width="18.8984375" style="1532" customWidth="1"/>
    <col min="13573" max="13824" width="31.59765625" style="1532"/>
    <col min="13825" max="13825" width="5.09765625" style="1532" customWidth="1"/>
    <col min="13826" max="13826" width="46.59765625" style="1532" customWidth="1"/>
    <col min="13827" max="13827" width="8.5" style="1532" customWidth="1"/>
    <col min="13828" max="13828" width="18.8984375" style="1532" customWidth="1"/>
    <col min="13829" max="14080" width="31.59765625" style="1532"/>
    <col min="14081" max="14081" width="5.09765625" style="1532" customWidth="1"/>
    <col min="14082" max="14082" width="46.59765625" style="1532" customWidth="1"/>
    <col min="14083" max="14083" width="8.5" style="1532" customWidth="1"/>
    <col min="14084" max="14084" width="18.8984375" style="1532" customWidth="1"/>
    <col min="14085" max="14336" width="31.59765625" style="1532"/>
    <col min="14337" max="14337" width="5.09765625" style="1532" customWidth="1"/>
    <col min="14338" max="14338" width="46.59765625" style="1532" customWidth="1"/>
    <col min="14339" max="14339" width="8.5" style="1532" customWidth="1"/>
    <col min="14340" max="14340" width="18.8984375" style="1532" customWidth="1"/>
    <col min="14341" max="14592" width="31.59765625" style="1532"/>
    <col min="14593" max="14593" width="5.09765625" style="1532" customWidth="1"/>
    <col min="14594" max="14594" width="46.59765625" style="1532" customWidth="1"/>
    <col min="14595" max="14595" width="8.5" style="1532" customWidth="1"/>
    <col min="14596" max="14596" width="18.8984375" style="1532" customWidth="1"/>
    <col min="14597" max="14848" width="31.59765625" style="1532"/>
    <col min="14849" max="14849" width="5.09765625" style="1532" customWidth="1"/>
    <col min="14850" max="14850" width="46.59765625" style="1532" customWidth="1"/>
    <col min="14851" max="14851" width="8.5" style="1532" customWidth="1"/>
    <col min="14852" max="14852" width="18.8984375" style="1532" customWidth="1"/>
    <col min="14853" max="15104" width="31.59765625" style="1532"/>
    <col min="15105" max="15105" width="5.09765625" style="1532" customWidth="1"/>
    <col min="15106" max="15106" width="46.59765625" style="1532" customWidth="1"/>
    <col min="15107" max="15107" width="8.5" style="1532" customWidth="1"/>
    <col min="15108" max="15108" width="18.8984375" style="1532" customWidth="1"/>
    <col min="15109" max="15360" width="31.59765625" style="1532"/>
    <col min="15361" max="15361" width="5.09765625" style="1532" customWidth="1"/>
    <col min="15362" max="15362" width="46.59765625" style="1532" customWidth="1"/>
    <col min="15363" max="15363" width="8.5" style="1532" customWidth="1"/>
    <col min="15364" max="15364" width="18.8984375" style="1532" customWidth="1"/>
    <col min="15365" max="15616" width="31.59765625" style="1532"/>
    <col min="15617" max="15617" width="5.09765625" style="1532" customWidth="1"/>
    <col min="15618" max="15618" width="46.59765625" style="1532" customWidth="1"/>
    <col min="15619" max="15619" width="8.5" style="1532" customWidth="1"/>
    <col min="15620" max="15620" width="18.8984375" style="1532" customWidth="1"/>
    <col min="15621" max="15872" width="31.59765625" style="1532"/>
    <col min="15873" max="15873" width="5.09765625" style="1532" customWidth="1"/>
    <col min="15874" max="15874" width="46.59765625" style="1532" customWidth="1"/>
    <col min="15875" max="15875" width="8.5" style="1532" customWidth="1"/>
    <col min="15876" max="15876" width="18.8984375" style="1532" customWidth="1"/>
    <col min="15877" max="16128" width="31.59765625" style="1532"/>
    <col min="16129" max="16129" width="5.09765625" style="1532" customWidth="1"/>
    <col min="16130" max="16130" width="46.59765625" style="1532" customWidth="1"/>
    <col min="16131" max="16131" width="8.5" style="1532" customWidth="1"/>
    <col min="16132" max="16132" width="18.8984375" style="1532" customWidth="1"/>
    <col min="16133" max="16384" width="31.59765625" style="1532"/>
  </cols>
  <sheetData>
    <row r="1" spans="1:4" ht="20.100000000000001" customHeight="1">
      <c r="A1" s="3378" t="s">
        <v>5013</v>
      </c>
      <c r="B1" s="3378"/>
      <c r="C1" s="3378"/>
      <c r="D1" s="1939"/>
    </row>
    <row r="2" spans="1:4" ht="25.5" customHeight="1">
      <c r="A2" s="3379" t="s">
        <v>5014</v>
      </c>
      <c r="B2" s="3379"/>
      <c r="C2" s="3379"/>
      <c r="D2" s="1856"/>
    </row>
    <row r="3" spans="1:4" s="1537" customFormat="1" ht="14.25" customHeight="1">
      <c r="A3" s="1842" t="s">
        <v>1854</v>
      </c>
      <c r="B3" s="1842" t="s">
        <v>5015</v>
      </c>
      <c r="C3" s="1842" t="s">
        <v>5016</v>
      </c>
      <c r="D3" s="1842" t="s">
        <v>4811</v>
      </c>
    </row>
    <row r="4" spans="1:4" s="1537" customFormat="1" ht="36" customHeight="1">
      <c r="A4" s="1842">
        <v>1</v>
      </c>
      <c r="B4" s="1811" t="s">
        <v>5017</v>
      </c>
      <c r="C4" s="2077">
        <f>SUM(C5:C10)</f>
        <v>0</v>
      </c>
      <c r="D4" s="1955" t="s">
        <v>5018</v>
      </c>
    </row>
    <row r="5" spans="1:4" s="1537" customFormat="1" ht="14.25" customHeight="1">
      <c r="A5" s="1842">
        <v>2</v>
      </c>
      <c r="B5" s="1811" t="s">
        <v>5019</v>
      </c>
      <c r="C5" s="2079"/>
      <c r="D5" s="1955"/>
    </row>
    <row r="6" spans="1:4" s="1537" customFormat="1" ht="14.25" customHeight="1">
      <c r="A6" s="1842">
        <v>3</v>
      </c>
      <c r="B6" s="1811" t="s">
        <v>5020</v>
      </c>
      <c r="C6" s="2079"/>
      <c r="D6" s="1955"/>
    </row>
    <row r="7" spans="1:4" s="1537" customFormat="1" ht="14.25" customHeight="1">
      <c r="A7" s="1842">
        <v>4</v>
      </c>
      <c r="B7" s="1811" t="s">
        <v>5021</v>
      </c>
      <c r="C7" s="2079"/>
      <c r="D7" s="1955"/>
    </row>
    <row r="8" spans="1:4" s="1537" customFormat="1" ht="14.25" customHeight="1">
      <c r="A8" s="1842">
        <v>5</v>
      </c>
      <c r="B8" s="1811" t="s">
        <v>5022</v>
      </c>
      <c r="C8" s="2079"/>
      <c r="D8" s="1955"/>
    </row>
    <row r="9" spans="1:4" s="1537" customFormat="1" ht="14.25" customHeight="1">
      <c r="A9" s="1842">
        <v>6</v>
      </c>
      <c r="B9" s="1811" t="s">
        <v>5023</v>
      </c>
      <c r="C9" s="2079"/>
      <c r="D9" s="1955"/>
    </row>
    <row r="10" spans="1:4" s="1537" customFormat="1" ht="14.25" customHeight="1">
      <c r="A10" s="1842">
        <v>7</v>
      </c>
      <c r="B10" s="1811" t="s">
        <v>5024</v>
      </c>
      <c r="C10" s="2077">
        <f>SUM(C11:C12)</f>
        <v>0</v>
      </c>
      <c r="D10" s="1955"/>
    </row>
    <row r="11" spans="1:4" s="1537" customFormat="1" ht="28.5" customHeight="1">
      <c r="A11" s="1842">
        <v>8</v>
      </c>
      <c r="B11" s="1811" t="s">
        <v>5025</v>
      </c>
      <c r="C11" s="2079"/>
      <c r="D11" s="1955" t="s">
        <v>5026</v>
      </c>
    </row>
    <row r="12" spans="1:4" s="1537" customFormat="1" ht="26.25" customHeight="1">
      <c r="A12" s="1842">
        <v>9</v>
      </c>
      <c r="B12" s="1811" t="s">
        <v>5027</v>
      </c>
      <c r="C12" s="2079"/>
      <c r="D12" s="1955" t="s">
        <v>5028</v>
      </c>
    </row>
    <row r="13" spans="1:4" s="1537" customFormat="1" ht="14.25" customHeight="1">
      <c r="A13" s="1842">
        <v>10</v>
      </c>
      <c r="B13" s="1811" t="s">
        <v>5029</v>
      </c>
      <c r="C13" s="2077">
        <f>SUM(C14:C20)</f>
        <v>0</v>
      </c>
      <c r="D13" s="1955"/>
    </row>
    <row r="14" spans="1:4" s="1537" customFormat="1" ht="14.25" customHeight="1">
      <c r="A14" s="1842">
        <v>11</v>
      </c>
      <c r="B14" s="1811" t="s">
        <v>5030</v>
      </c>
      <c r="C14" s="2079"/>
      <c r="D14" s="1955"/>
    </row>
    <row r="15" spans="1:4" s="1537" customFormat="1" ht="13.8">
      <c r="A15" s="1842">
        <v>12</v>
      </c>
      <c r="B15" s="1811" t="s">
        <v>5031</v>
      </c>
      <c r="C15" s="2079"/>
      <c r="D15" s="1955"/>
    </row>
    <row r="16" spans="1:4">
      <c r="A16" s="1842">
        <v>13</v>
      </c>
      <c r="B16" s="1811" t="s">
        <v>5032</v>
      </c>
      <c r="C16" s="2079"/>
      <c r="D16" s="1955"/>
    </row>
    <row r="17" spans="1:4">
      <c r="A17" s="1842">
        <v>14</v>
      </c>
      <c r="B17" s="1811" t="s">
        <v>5033</v>
      </c>
      <c r="C17" s="2079"/>
      <c r="D17" s="1955"/>
    </row>
    <row r="18" spans="1:4">
      <c r="A18" s="1842">
        <v>15</v>
      </c>
      <c r="B18" s="1820" t="s">
        <v>5034</v>
      </c>
      <c r="C18" s="2079"/>
      <c r="D18" s="1955"/>
    </row>
    <row r="19" spans="1:4">
      <c r="A19" s="1842">
        <v>16</v>
      </c>
      <c r="B19" s="1811" t="s">
        <v>5035</v>
      </c>
      <c r="C19" s="2079"/>
      <c r="D19" s="1955"/>
    </row>
    <row r="20" spans="1:4">
      <c r="A20" s="1842">
        <v>17</v>
      </c>
      <c r="B20" s="1811" t="s">
        <v>5036</v>
      </c>
      <c r="C20" s="2079"/>
      <c r="D20" s="1955"/>
    </row>
    <row r="21" spans="1:4">
      <c r="A21" s="1842">
        <v>18</v>
      </c>
      <c r="B21" s="1811" t="s">
        <v>5037</v>
      </c>
      <c r="C21" s="2077">
        <f>SUM(C22:C26)</f>
        <v>0</v>
      </c>
      <c r="D21" s="1955"/>
    </row>
    <row r="22" spans="1:4" ht="36">
      <c r="A22" s="1842">
        <v>19</v>
      </c>
      <c r="B22" s="1811" t="s">
        <v>5038</v>
      </c>
      <c r="C22" s="2079"/>
      <c r="D22" s="1955" t="s">
        <v>5039</v>
      </c>
    </row>
    <row r="23" spans="1:4">
      <c r="A23" s="1842">
        <v>20</v>
      </c>
      <c r="B23" s="1811" t="s">
        <v>5040</v>
      </c>
      <c r="C23" s="2079"/>
      <c r="D23" s="1955"/>
    </row>
    <row r="24" spans="1:4" ht="14.1" customHeight="1">
      <c r="A24" s="1842">
        <v>21</v>
      </c>
      <c r="B24" s="1811" t="s">
        <v>5041</v>
      </c>
      <c r="C24" s="2079"/>
      <c r="D24" s="1955"/>
    </row>
    <row r="25" spans="1:4" ht="14.1" customHeight="1">
      <c r="A25" s="1842">
        <v>22</v>
      </c>
      <c r="B25" s="1811" t="s">
        <v>5042</v>
      </c>
      <c r="C25" s="2079"/>
      <c r="D25" s="1955"/>
    </row>
    <row r="26" spans="1:4" ht="24">
      <c r="A26" s="1842">
        <v>23</v>
      </c>
      <c r="B26" s="1811" t="s">
        <v>5043</v>
      </c>
      <c r="C26" s="2079"/>
      <c r="D26" s="1955" t="s">
        <v>5044</v>
      </c>
    </row>
    <row r="27" spans="1:4">
      <c r="A27" s="1842">
        <v>24</v>
      </c>
      <c r="B27" s="1811" t="s">
        <v>5045</v>
      </c>
      <c r="C27" s="2077">
        <f>SUM(C28:C31)</f>
        <v>0</v>
      </c>
      <c r="D27" s="1955"/>
    </row>
    <row r="28" spans="1:4">
      <c r="A28" s="1842">
        <v>25</v>
      </c>
      <c r="B28" s="1811" t="s">
        <v>5046</v>
      </c>
      <c r="C28" s="2079"/>
      <c r="D28" s="1955"/>
    </row>
    <row r="29" spans="1:4">
      <c r="A29" s="1842">
        <v>26</v>
      </c>
      <c r="B29" s="1811" t="s">
        <v>5047</v>
      </c>
      <c r="C29" s="2079"/>
      <c r="D29" s="1955"/>
    </row>
    <row r="30" spans="1:4">
      <c r="A30" s="1842">
        <v>27</v>
      </c>
      <c r="B30" s="1811" t="s">
        <v>5048</v>
      </c>
      <c r="C30" s="2079"/>
      <c r="D30" s="1955"/>
    </row>
    <row r="31" spans="1:4">
      <c r="A31" s="1842">
        <v>28</v>
      </c>
      <c r="B31" s="1811" t="s">
        <v>5049</v>
      </c>
      <c r="C31" s="2079"/>
      <c r="D31" s="1955"/>
    </row>
  </sheetData>
  <mergeCells count="2">
    <mergeCell ref="A1:C1"/>
    <mergeCell ref="A2:C2"/>
  </mergeCells>
  <phoneticPr fontId="51" type="noConversion"/>
  <printOptions horizontalCentered="1"/>
  <pageMargins left="0.78740157480314998" right="0.35433070866141703" top="0.511811023622047" bottom="0.11811023622047198" header="0.511811023622047" footer="0.511811023622047"/>
  <pageSetup paperSize="9" orientation="portrait" r:id="rId1"/>
</worksheet>
</file>

<file path=xl/worksheets/sheet1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22"/>
  <dimension ref="A1:K811"/>
  <sheetViews>
    <sheetView topLeftCell="A5" workbookViewId="0">
      <selection activeCell="E23" sqref="E23"/>
    </sheetView>
  </sheetViews>
  <sheetFormatPr defaultColWidth="22.5" defaultRowHeight="22.2"/>
  <cols>
    <col min="1" max="1" width="3.3984375" style="1531" customWidth="1"/>
    <col min="2" max="2" width="23.3984375" style="1528" customWidth="1"/>
    <col min="3" max="8" width="12.69921875" style="1528" customWidth="1"/>
    <col min="9" max="9" width="11.5" style="1528" customWidth="1"/>
    <col min="10" max="256" width="22.5" style="1528"/>
    <col min="257" max="257" width="3.3984375" style="1528" customWidth="1"/>
    <col min="258" max="258" width="23.3984375" style="1528" customWidth="1"/>
    <col min="259" max="259" width="7.3984375" style="1528" customWidth="1"/>
    <col min="260" max="260" width="7.09765625" style="1528" customWidth="1"/>
    <col min="261" max="261" width="7.19921875" style="1528" customWidth="1"/>
    <col min="262" max="262" width="7.09765625" style="1528" customWidth="1"/>
    <col min="263" max="263" width="7" style="1528" customWidth="1"/>
    <col min="264" max="264" width="6.69921875" style="1528" customWidth="1"/>
    <col min="265" max="265" width="11.5" style="1528" customWidth="1"/>
    <col min="266" max="512" width="22.5" style="1528"/>
    <col min="513" max="513" width="3.3984375" style="1528" customWidth="1"/>
    <col min="514" max="514" width="23.3984375" style="1528" customWidth="1"/>
    <col min="515" max="515" width="7.3984375" style="1528" customWidth="1"/>
    <col min="516" max="516" width="7.09765625" style="1528" customWidth="1"/>
    <col min="517" max="517" width="7.19921875" style="1528" customWidth="1"/>
    <col min="518" max="518" width="7.09765625" style="1528" customWidth="1"/>
    <col min="519" max="519" width="7" style="1528" customWidth="1"/>
    <col min="520" max="520" width="6.69921875" style="1528" customWidth="1"/>
    <col min="521" max="521" width="11.5" style="1528" customWidth="1"/>
    <col min="522" max="768" width="22.5" style="1528"/>
    <col min="769" max="769" width="3.3984375" style="1528" customWidth="1"/>
    <col min="770" max="770" width="23.3984375" style="1528" customWidth="1"/>
    <col min="771" max="771" width="7.3984375" style="1528" customWidth="1"/>
    <col min="772" max="772" width="7.09765625" style="1528" customWidth="1"/>
    <col min="773" max="773" width="7.19921875" style="1528" customWidth="1"/>
    <col min="774" max="774" width="7.09765625" style="1528" customWidth="1"/>
    <col min="775" max="775" width="7" style="1528" customWidth="1"/>
    <col min="776" max="776" width="6.69921875" style="1528" customWidth="1"/>
    <col min="777" max="777" width="11.5" style="1528" customWidth="1"/>
    <col min="778" max="1024" width="22.5" style="1528"/>
    <col min="1025" max="1025" width="3.3984375" style="1528" customWidth="1"/>
    <col min="1026" max="1026" width="23.3984375" style="1528" customWidth="1"/>
    <col min="1027" max="1027" width="7.3984375" style="1528" customWidth="1"/>
    <col min="1028" max="1028" width="7.09765625" style="1528" customWidth="1"/>
    <col min="1029" max="1029" width="7.19921875" style="1528" customWidth="1"/>
    <col min="1030" max="1030" width="7.09765625" style="1528" customWidth="1"/>
    <col min="1031" max="1031" width="7" style="1528" customWidth="1"/>
    <col min="1032" max="1032" width="6.69921875" style="1528" customWidth="1"/>
    <col min="1033" max="1033" width="11.5" style="1528" customWidth="1"/>
    <col min="1034" max="1280" width="22.5" style="1528"/>
    <col min="1281" max="1281" width="3.3984375" style="1528" customWidth="1"/>
    <col min="1282" max="1282" width="23.3984375" style="1528" customWidth="1"/>
    <col min="1283" max="1283" width="7.3984375" style="1528" customWidth="1"/>
    <col min="1284" max="1284" width="7.09765625" style="1528" customWidth="1"/>
    <col min="1285" max="1285" width="7.19921875" style="1528" customWidth="1"/>
    <col min="1286" max="1286" width="7.09765625" style="1528" customWidth="1"/>
    <col min="1287" max="1287" width="7" style="1528" customWidth="1"/>
    <col min="1288" max="1288" width="6.69921875" style="1528" customWidth="1"/>
    <col min="1289" max="1289" width="11.5" style="1528" customWidth="1"/>
    <col min="1290" max="1536" width="22.5" style="1528"/>
    <col min="1537" max="1537" width="3.3984375" style="1528" customWidth="1"/>
    <col min="1538" max="1538" width="23.3984375" style="1528" customWidth="1"/>
    <col min="1539" max="1539" width="7.3984375" style="1528" customWidth="1"/>
    <col min="1540" max="1540" width="7.09765625" style="1528" customWidth="1"/>
    <col min="1541" max="1541" width="7.19921875" style="1528" customWidth="1"/>
    <col min="1542" max="1542" width="7.09765625" style="1528" customWidth="1"/>
    <col min="1543" max="1543" width="7" style="1528" customWidth="1"/>
    <col min="1544" max="1544" width="6.69921875" style="1528" customWidth="1"/>
    <col min="1545" max="1545" width="11.5" style="1528" customWidth="1"/>
    <col min="1546" max="1792" width="22.5" style="1528"/>
    <col min="1793" max="1793" width="3.3984375" style="1528" customWidth="1"/>
    <col min="1794" max="1794" width="23.3984375" style="1528" customWidth="1"/>
    <col min="1795" max="1795" width="7.3984375" style="1528" customWidth="1"/>
    <col min="1796" max="1796" width="7.09765625" style="1528" customWidth="1"/>
    <col min="1797" max="1797" width="7.19921875" style="1528" customWidth="1"/>
    <col min="1798" max="1798" width="7.09765625" style="1528" customWidth="1"/>
    <col min="1799" max="1799" width="7" style="1528" customWidth="1"/>
    <col min="1800" max="1800" width="6.69921875" style="1528" customWidth="1"/>
    <col min="1801" max="1801" width="11.5" style="1528" customWidth="1"/>
    <col min="1802" max="2048" width="22.5" style="1528"/>
    <col min="2049" max="2049" width="3.3984375" style="1528" customWidth="1"/>
    <col min="2050" max="2050" width="23.3984375" style="1528" customWidth="1"/>
    <col min="2051" max="2051" width="7.3984375" style="1528" customWidth="1"/>
    <col min="2052" max="2052" width="7.09765625" style="1528" customWidth="1"/>
    <col min="2053" max="2053" width="7.19921875" style="1528" customWidth="1"/>
    <col min="2054" max="2054" width="7.09765625" style="1528" customWidth="1"/>
    <col min="2055" max="2055" width="7" style="1528" customWidth="1"/>
    <col min="2056" max="2056" width="6.69921875" style="1528" customWidth="1"/>
    <col min="2057" max="2057" width="11.5" style="1528" customWidth="1"/>
    <col min="2058" max="2304" width="22.5" style="1528"/>
    <col min="2305" max="2305" width="3.3984375" style="1528" customWidth="1"/>
    <col min="2306" max="2306" width="23.3984375" style="1528" customWidth="1"/>
    <col min="2307" max="2307" width="7.3984375" style="1528" customWidth="1"/>
    <col min="2308" max="2308" width="7.09765625" style="1528" customWidth="1"/>
    <col min="2309" max="2309" width="7.19921875" style="1528" customWidth="1"/>
    <col min="2310" max="2310" width="7.09765625" style="1528" customWidth="1"/>
    <col min="2311" max="2311" width="7" style="1528" customWidth="1"/>
    <col min="2312" max="2312" width="6.69921875" style="1528" customWidth="1"/>
    <col min="2313" max="2313" width="11.5" style="1528" customWidth="1"/>
    <col min="2314" max="2560" width="22.5" style="1528"/>
    <col min="2561" max="2561" width="3.3984375" style="1528" customWidth="1"/>
    <col min="2562" max="2562" width="23.3984375" style="1528" customWidth="1"/>
    <col min="2563" max="2563" width="7.3984375" style="1528" customWidth="1"/>
    <col min="2564" max="2564" width="7.09765625" style="1528" customWidth="1"/>
    <col min="2565" max="2565" width="7.19921875" style="1528" customWidth="1"/>
    <col min="2566" max="2566" width="7.09765625" style="1528" customWidth="1"/>
    <col min="2567" max="2567" width="7" style="1528" customWidth="1"/>
    <col min="2568" max="2568" width="6.69921875" style="1528" customWidth="1"/>
    <col min="2569" max="2569" width="11.5" style="1528" customWidth="1"/>
    <col min="2570" max="2816" width="22.5" style="1528"/>
    <col min="2817" max="2817" width="3.3984375" style="1528" customWidth="1"/>
    <col min="2818" max="2818" width="23.3984375" style="1528" customWidth="1"/>
    <col min="2819" max="2819" width="7.3984375" style="1528" customWidth="1"/>
    <col min="2820" max="2820" width="7.09765625" style="1528" customWidth="1"/>
    <col min="2821" max="2821" width="7.19921875" style="1528" customWidth="1"/>
    <col min="2822" max="2822" width="7.09765625" style="1528" customWidth="1"/>
    <col min="2823" max="2823" width="7" style="1528" customWidth="1"/>
    <col min="2824" max="2824" width="6.69921875" style="1528" customWidth="1"/>
    <col min="2825" max="2825" width="11.5" style="1528" customWidth="1"/>
    <col min="2826" max="3072" width="22.5" style="1528"/>
    <col min="3073" max="3073" width="3.3984375" style="1528" customWidth="1"/>
    <col min="3074" max="3074" width="23.3984375" style="1528" customWidth="1"/>
    <col min="3075" max="3075" width="7.3984375" style="1528" customWidth="1"/>
    <col min="3076" max="3076" width="7.09765625" style="1528" customWidth="1"/>
    <col min="3077" max="3077" width="7.19921875" style="1528" customWidth="1"/>
    <col min="3078" max="3078" width="7.09765625" style="1528" customWidth="1"/>
    <col min="3079" max="3079" width="7" style="1528" customWidth="1"/>
    <col min="3080" max="3080" width="6.69921875" style="1528" customWidth="1"/>
    <col min="3081" max="3081" width="11.5" style="1528" customWidth="1"/>
    <col min="3082" max="3328" width="22.5" style="1528"/>
    <col min="3329" max="3329" width="3.3984375" style="1528" customWidth="1"/>
    <col min="3330" max="3330" width="23.3984375" style="1528" customWidth="1"/>
    <col min="3331" max="3331" width="7.3984375" style="1528" customWidth="1"/>
    <col min="3332" max="3332" width="7.09765625" style="1528" customWidth="1"/>
    <col min="3333" max="3333" width="7.19921875" style="1528" customWidth="1"/>
    <col min="3334" max="3334" width="7.09765625" style="1528" customWidth="1"/>
    <col min="3335" max="3335" width="7" style="1528" customWidth="1"/>
    <col min="3336" max="3336" width="6.69921875" style="1528" customWidth="1"/>
    <col min="3337" max="3337" width="11.5" style="1528" customWidth="1"/>
    <col min="3338" max="3584" width="22.5" style="1528"/>
    <col min="3585" max="3585" width="3.3984375" style="1528" customWidth="1"/>
    <col min="3586" max="3586" width="23.3984375" style="1528" customWidth="1"/>
    <col min="3587" max="3587" width="7.3984375" style="1528" customWidth="1"/>
    <col min="3588" max="3588" width="7.09765625" style="1528" customWidth="1"/>
    <col min="3589" max="3589" width="7.19921875" style="1528" customWidth="1"/>
    <col min="3590" max="3590" width="7.09765625" style="1528" customWidth="1"/>
    <col min="3591" max="3591" width="7" style="1528" customWidth="1"/>
    <col min="3592" max="3592" width="6.69921875" style="1528" customWidth="1"/>
    <col min="3593" max="3593" width="11.5" style="1528" customWidth="1"/>
    <col min="3594" max="3840" width="22.5" style="1528"/>
    <col min="3841" max="3841" width="3.3984375" style="1528" customWidth="1"/>
    <col min="3842" max="3842" width="23.3984375" style="1528" customWidth="1"/>
    <col min="3843" max="3843" width="7.3984375" style="1528" customWidth="1"/>
    <col min="3844" max="3844" width="7.09765625" style="1528" customWidth="1"/>
    <col min="3845" max="3845" width="7.19921875" style="1528" customWidth="1"/>
    <col min="3846" max="3846" width="7.09765625" style="1528" customWidth="1"/>
    <col min="3847" max="3847" width="7" style="1528" customWidth="1"/>
    <col min="3848" max="3848" width="6.69921875" style="1528" customWidth="1"/>
    <col min="3849" max="3849" width="11.5" style="1528" customWidth="1"/>
    <col min="3850" max="4096" width="22.5" style="1528"/>
    <col min="4097" max="4097" width="3.3984375" style="1528" customWidth="1"/>
    <col min="4098" max="4098" width="23.3984375" style="1528" customWidth="1"/>
    <col min="4099" max="4099" width="7.3984375" style="1528" customWidth="1"/>
    <col min="4100" max="4100" width="7.09765625" style="1528" customWidth="1"/>
    <col min="4101" max="4101" width="7.19921875" style="1528" customWidth="1"/>
    <col min="4102" max="4102" width="7.09765625" style="1528" customWidth="1"/>
    <col min="4103" max="4103" width="7" style="1528" customWidth="1"/>
    <col min="4104" max="4104" width="6.69921875" style="1528" customWidth="1"/>
    <col min="4105" max="4105" width="11.5" style="1528" customWidth="1"/>
    <col min="4106" max="4352" width="22.5" style="1528"/>
    <col min="4353" max="4353" width="3.3984375" style="1528" customWidth="1"/>
    <col min="4354" max="4354" width="23.3984375" style="1528" customWidth="1"/>
    <col min="4355" max="4355" width="7.3984375" style="1528" customWidth="1"/>
    <col min="4356" max="4356" width="7.09765625" style="1528" customWidth="1"/>
    <col min="4357" max="4357" width="7.19921875" style="1528" customWidth="1"/>
    <col min="4358" max="4358" width="7.09765625" style="1528" customWidth="1"/>
    <col min="4359" max="4359" width="7" style="1528" customWidth="1"/>
    <col min="4360" max="4360" width="6.69921875" style="1528" customWidth="1"/>
    <col min="4361" max="4361" width="11.5" style="1528" customWidth="1"/>
    <col min="4362" max="4608" width="22.5" style="1528"/>
    <col min="4609" max="4609" width="3.3984375" style="1528" customWidth="1"/>
    <col min="4610" max="4610" width="23.3984375" style="1528" customWidth="1"/>
    <col min="4611" max="4611" width="7.3984375" style="1528" customWidth="1"/>
    <col min="4612" max="4612" width="7.09765625" style="1528" customWidth="1"/>
    <col min="4613" max="4613" width="7.19921875" style="1528" customWidth="1"/>
    <col min="4614" max="4614" width="7.09765625" style="1528" customWidth="1"/>
    <col min="4615" max="4615" width="7" style="1528" customWidth="1"/>
    <col min="4616" max="4616" width="6.69921875" style="1528" customWidth="1"/>
    <col min="4617" max="4617" width="11.5" style="1528" customWidth="1"/>
    <col min="4618" max="4864" width="22.5" style="1528"/>
    <col min="4865" max="4865" width="3.3984375" style="1528" customWidth="1"/>
    <col min="4866" max="4866" width="23.3984375" style="1528" customWidth="1"/>
    <col min="4867" max="4867" width="7.3984375" style="1528" customWidth="1"/>
    <col min="4868" max="4868" width="7.09765625" style="1528" customWidth="1"/>
    <col min="4869" max="4869" width="7.19921875" style="1528" customWidth="1"/>
    <col min="4870" max="4870" width="7.09765625" style="1528" customWidth="1"/>
    <col min="4871" max="4871" width="7" style="1528" customWidth="1"/>
    <col min="4872" max="4872" width="6.69921875" style="1528" customWidth="1"/>
    <col min="4873" max="4873" width="11.5" style="1528" customWidth="1"/>
    <col min="4874" max="5120" width="22.5" style="1528"/>
    <col min="5121" max="5121" width="3.3984375" style="1528" customWidth="1"/>
    <col min="5122" max="5122" width="23.3984375" style="1528" customWidth="1"/>
    <col min="5123" max="5123" width="7.3984375" style="1528" customWidth="1"/>
    <col min="5124" max="5124" width="7.09765625" style="1528" customWidth="1"/>
    <col min="5125" max="5125" width="7.19921875" style="1528" customWidth="1"/>
    <col min="5126" max="5126" width="7.09765625" style="1528" customWidth="1"/>
    <col min="5127" max="5127" width="7" style="1528" customWidth="1"/>
    <col min="5128" max="5128" width="6.69921875" style="1528" customWidth="1"/>
    <col min="5129" max="5129" width="11.5" style="1528" customWidth="1"/>
    <col min="5130" max="5376" width="22.5" style="1528"/>
    <col min="5377" max="5377" width="3.3984375" style="1528" customWidth="1"/>
    <col min="5378" max="5378" width="23.3984375" style="1528" customWidth="1"/>
    <col min="5379" max="5379" width="7.3984375" style="1528" customWidth="1"/>
    <col min="5380" max="5380" width="7.09765625" style="1528" customWidth="1"/>
    <col min="5381" max="5381" width="7.19921875" style="1528" customWidth="1"/>
    <col min="5382" max="5382" width="7.09765625" style="1528" customWidth="1"/>
    <col min="5383" max="5383" width="7" style="1528" customWidth="1"/>
    <col min="5384" max="5384" width="6.69921875" style="1528" customWidth="1"/>
    <col min="5385" max="5385" width="11.5" style="1528" customWidth="1"/>
    <col min="5386" max="5632" width="22.5" style="1528"/>
    <col min="5633" max="5633" width="3.3984375" style="1528" customWidth="1"/>
    <col min="5634" max="5634" width="23.3984375" style="1528" customWidth="1"/>
    <col min="5635" max="5635" width="7.3984375" style="1528" customWidth="1"/>
    <col min="5636" max="5636" width="7.09765625" style="1528" customWidth="1"/>
    <col min="5637" max="5637" width="7.19921875" style="1528" customWidth="1"/>
    <col min="5638" max="5638" width="7.09765625" style="1528" customWidth="1"/>
    <col min="5639" max="5639" width="7" style="1528" customWidth="1"/>
    <col min="5640" max="5640" width="6.69921875" style="1528" customWidth="1"/>
    <col min="5641" max="5641" width="11.5" style="1528" customWidth="1"/>
    <col min="5642" max="5888" width="22.5" style="1528"/>
    <col min="5889" max="5889" width="3.3984375" style="1528" customWidth="1"/>
    <col min="5890" max="5890" width="23.3984375" style="1528" customWidth="1"/>
    <col min="5891" max="5891" width="7.3984375" style="1528" customWidth="1"/>
    <col min="5892" max="5892" width="7.09765625" style="1528" customWidth="1"/>
    <col min="5893" max="5893" width="7.19921875" style="1528" customWidth="1"/>
    <col min="5894" max="5894" width="7.09765625" style="1528" customWidth="1"/>
    <col min="5895" max="5895" width="7" style="1528" customWidth="1"/>
    <col min="5896" max="5896" width="6.69921875" style="1528" customWidth="1"/>
    <col min="5897" max="5897" width="11.5" style="1528" customWidth="1"/>
    <col min="5898" max="6144" width="22.5" style="1528"/>
    <col min="6145" max="6145" width="3.3984375" style="1528" customWidth="1"/>
    <col min="6146" max="6146" width="23.3984375" style="1528" customWidth="1"/>
    <col min="6147" max="6147" width="7.3984375" style="1528" customWidth="1"/>
    <col min="6148" max="6148" width="7.09765625" style="1528" customWidth="1"/>
    <col min="6149" max="6149" width="7.19921875" style="1528" customWidth="1"/>
    <col min="6150" max="6150" width="7.09765625" style="1528" customWidth="1"/>
    <col min="6151" max="6151" width="7" style="1528" customWidth="1"/>
    <col min="6152" max="6152" width="6.69921875" style="1528" customWidth="1"/>
    <col min="6153" max="6153" width="11.5" style="1528" customWidth="1"/>
    <col min="6154" max="6400" width="22.5" style="1528"/>
    <col min="6401" max="6401" width="3.3984375" style="1528" customWidth="1"/>
    <col min="6402" max="6402" width="23.3984375" style="1528" customWidth="1"/>
    <col min="6403" max="6403" width="7.3984375" style="1528" customWidth="1"/>
    <col min="6404" max="6404" width="7.09765625" style="1528" customWidth="1"/>
    <col min="6405" max="6405" width="7.19921875" style="1528" customWidth="1"/>
    <col min="6406" max="6406" width="7.09765625" style="1528" customWidth="1"/>
    <col min="6407" max="6407" width="7" style="1528" customWidth="1"/>
    <col min="6408" max="6408" width="6.69921875" style="1528" customWidth="1"/>
    <col min="6409" max="6409" width="11.5" style="1528" customWidth="1"/>
    <col min="6410" max="6656" width="22.5" style="1528"/>
    <col min="6657" max="6657" width="3.3984375" style="1528" customWidth="1"/>
    <col min="6658" max="6658" width="23.3984375" style="1528" customWidth="1"/>
    <col min="6659" max="6659" width="7.3984375" style="1528" customWidth="1"/>
    <col min="6660" max="6660" width="7.09765625" style="1528" customWidth="1"/>
    <col min="6661" max="6661" width="7.19921875" style="1528" customWidth="1"/>
    <col min="6662" max="6662" width="7.09765625" style="1528" customWidth="1"/>
    <col min="6663" max="6663" width="7" style="1528" customWidth="1"/>
    <col min="6664" max="6664" width="6.69921875" style="1528" customWidth="1"/>
    <col min="6665" max="6665" width="11.5" style="1528" customWidth="1"/>
    <col min="6666" max="6912" width="22.5" style="1528"/>
    <col min="6913" max="6913" width="3.3984375" style="1528" customWidth="1"/>
    <col min="6914" max="6914" width="23.3984375" style="1528" customWidth="1"/>
    <col min="6915" max="6915" width="7.3984375" style="1528" customWidth="1"/>
    <col min="6916" max="6916" width="7.09765625" style="1528" customWidth="1"/>
    <col min="6917" max="6917" width="7.19921875" style="1528" customWidth="1"/>
    <col min="6918" max="6918" width="7.09765625" style="1528" customWidth="1"/>
    <col min="6919" max="6919" width="7" style="1528" customWidth="1"/>
    <col min="6920" max="6920" width="6.69921875" style="1528" customWidth="1"/>
    <col min="6921" max="6921" width="11.5" style="1528" customWidth="1"/>
    <col min="6922" max="7168" width="22.5" style="1528"/>
    <col min="7169" max="7169" width="3.3984375" style="1528" customWidth="1"/>
    <col min="7170" max="7170" width="23.3984375" style="1528" customWidth="1"/>
    <col min="7171" max="7171" width="7.3984375" style="1528" customWidth="1"/>
    <col min="7172" max="7172" width="7.09765625" style="1528" customWidth="1"/>
    <col min="7173" max="7173" width="7.19921875" style="1528" customWidth="1"/>
    <col min="7174" max="7174" width="7.09765625" style="1528" customWidth="1"/>
    <col min="7175" max="7175" width="7" style="1528" customWidth="1"/>
    <col min="7176" max="7176" width="6.69921875" style="1528" customWidth="1"/>
    <col min="7177" max="7177" width="11.5" style="1528" customWidth="1"/>
    <col min="7178" max="7424" width="22.5" style="1528"/>
    <col min="7425" max="7425" width="3.3984375" style="1528" customWidth="1"/>
    <col min="7426" max="7426" width="23.3984375" style="1528" customWidth="1"/>
    <col min="7427" max="7427" width="7.3984375" style="1528" customWidth="1"/>
    <col min="7428" max="7428" width="7.09765625" style="1528" customWidth="1"/>
    <col min="7429" max="7429" width="7.19921875" style="1528" customWidth="1"/>
    <col min="7430" max="7430" width="7.09765625" style="1528" customWidth="1"/>
    <col min="7431" max="7431" width="7" style="1528" customWidth="1"/>
    <col min="7432" max="7432" width="6.69921875" style="1528" customWidth="1"/>
    <col min="7433" max="7433" width="11.5" style="1528" customWidth="1"/>
    <col min="7434" max="7680" width="22.5" style="1528"/>
    <col min="7681" max="7681" width="3.3984375" style="1528" customWidth="1"/>
    <col min="7682" max="7682" width="23.3984375" style="1528" customWidth="1"/>
    <col min="7683" max="7683" width="7.3984375" style="1528" customWidth="1"/>
    <col min="7684" max="7684" width="7.09765625" style="1528" customWidth="1"/>
    <col min="7685" max="7685" width="7.19921875" style="1528" customWidth="1"/>
    <col min="7686" max="7686" width="7.09765625" style="1528" customWidth="1"/>
    <col min="7687" max="7687" width="7" style="1528" customWidth="1"/>
    <col min="7688" max="7688" width="6.69921875" style="1528" customWidth="1"/>
    <col min="7689" max="7689" width="11.5" style="1528" customWidth="1"/>
    <col min="7690" max="7936" width="22.5" style="1528"/>
    <col min="7937" max="7937" width="3.3984375" style="1528" customWidth="1"/>
    <col min="7938" max="7938" width="23.3984375" style="1528" customWidth="1"/>
    <col min="7939" max="7939" width="7.3984375" style="1528" customWidth="1"/>
    <col min="7940" max="7940" width="7.09765625" style="1528" customWidth="1"/>
    <col min="7941" max="7941" width="7.19921875" style="1528" customWidth="1"/>
    <col min="7942" max="7942" width="7.09765625" style="1528" customWidth="1"/>
    <col min="7943" max="7943" width="7" style="1528" customWidth="1"/>
    <col min="7944" max="7944" width="6.69921875" style="1528" customWidth="1"/>
    <col min="7945" max="7945" width="11.5" style="1528" customWidth="1"/>
    <col min="7946" max="8192" width="22.5" style="1528"/>
    <col min="8193" max="8193" width="3.3984375" style="1528" customWidth="1"/>
    <col min="8194" max="8194" width="23.3984375" style="1528" customWidth="1"/>
    <col min="8195" max="8195" width="7.3984375" style="1528" customWidth="1"/>
    <col min="8196" max="8196" width="7.09765625" style="1528" customWidth="1"/>
    <col min="8197" max="8197" width="7.19921875" style="1528" customWidth="1"/>
    <col min="8198" max="8198" width="7.09765625" style="1528" customWidth="1"/>
    <col min="8199" max="8199" width="7" style="1528" customWidth="1"/>
    <col min="8200" max="8200" width="6.69921875" style="1528" customWidth="1"/>
    <col min="8201" max="8201" width="11.5" style="1528" customWidth="1"/>
    <col min="8202" max="8448" width="22.5" style="1528"/>
    <col min="8449" max="8449" width="3.3984375" style="1528" customWidth="1"/>
    <col min="8450" max="8450" width="23.3984375" style="1528" customWidth="1"/>
    <col min="8451" max="8451" width="7.3984375" style="1528" customWidth="1"/>
    <col min="8452" max="8452" width="7.09765625" style="1528" customWidth="1"/>
    <col min="8453" max="8453" width="7.19921875" style="1528" customWidth="1"/>
    <col min="8454" max="8454" width="7.09765625" style="1528" customWidth="1"/>
    <col min="8455" max="8455" width="7" style="1528" customWidth="1"/>
    <col min="8456" max="8456" width="6.69921875" style="1528" customWidth="1"/>
    <col min="8457" max="8457" width="11.5" style="1528" customWidth="1"/>
    <col min="8458" max="8704" width="22.5" style="1528"/>
    <col min="8705" max="8705" width="3.3984375" style="1528" customWidth="1"/>
    <col min="8706" max="8706" width="23.3984375" style="1528" customWidth="1"/>
    <col min="8707" max="8707" width="7.3984375" style="1528" customWidth="1"/>
    <col min="8708" max="8708" width="7.09765625" style="1528" customWidth="1"/>
    <col min="8709" max="8709" width="7.19921875" style="1528" customWidth="1"/>
    <col min="8710" max="8710" width="7.09765625" style="1528" customWidth="1"/>
    <col min="8711" max="8711" width="7" style="1528" customWidth="1"/>
    <col min="8712" max="8712" width="6.69921875" style="1528" customWidth="1"/>
    <col min="8713" max="8713" width="11.5" style="1528" customWidth="1"/>
    <col min="8714" max="8960" width="22.5" style="1528"/>
    <col min="8961" max="8961" width="3.3984375" style="1528" customWidth="1"/>
    <col min="8962" max="8962" width="23.3984375" style="1528" customWidth="1"/>
    <col min="8963" max="8963" width="7.3984375" style="1528" customWidth="1"/>
    <col min="8964" max="8964" width="7.09765625" style="1528" customWidth="1"/>
    <col min="8965" max="8965" width="7.19921875" style="1528" customWidth="1"/>
    <col min="8966" max="8966" width="7.09765625" style="1528" customWidth="1"/>
    <col min="8967" max="8967" width="7" style="1528" customWidth="1"/>
    <col min="8968" max="8968" width="6.69921875" style="1528" customWidth="1"/>
    <col min="8969" max="8969" width="11.5" style="1528" customWidth="1"/>
    <col min="8970" max="9216" width="22.5" style="1528"/>
    <col min="9217" max="9217" width="3.3984375" style="1528" customWidth="1"/>
    <col min="9218" max="9218" width="23.3984375" style="1528" customWidth="1"/>
    <col min="9219" max="9219" width="7.3984375" style="1528" customWidth="1"/>
    <col min="9220" max="9220" width="7.09765625" style="1528" customWidth="1"/>
    <col min="9221" max="9221" width="7.19921875" style="1528" customWidth="1"/>
    <col min="9222" max="9222" width="7.09765625" style="1528" customWidth="1"/>
    <col min="9223" max="9223" width="7" style="1528" customWidth="1"/>
    <col min="9224" max="9224" width="6.69921875" style="1528" customWidth="1"/>
    <col min="9225" max="9225" width="11.5" style="1528" customWidth="1"/>
    <col min="9226" max="9472" width="22.5" style="1528"/>
    <col min="9473" max="9473" width="3.3984375" style="1528" customWidth="1"/>
    <col min="9474" max="9474" width="23.3984375" style="1528" customWidth="1"/>
    <col min="9475" max="9475" width="7.3984375" style="1528" customWidth="1"/>
    <col min="9476" max="9476" width="7.09765625" style="1528" customWidth="1"/>
    <col min="9477" max="9477" width="7.19921875" style="1528" customWidth="1"/>
    <col min="9478" max="9478" width="7.09765625" style="1528" customWidth="1"/>
    <col min="9479" max="9479" width="7" style="1528" customWidth="1"/>
    <col min="9480" max="9480" width="6.69921875" style="1528" customWidth="1"/>
    <col min="9481" max="9481" width="11.5" style="1528" customWidth="1"/>
    <col min="9482" max="9728" width="22.5" style="1528"/>
    <col min="9729" max="9729" width="3.3984375" style="1528" customWidth="1"/>
    <col min="9730" max="9730" width="23.3984375" style="1528" customWidth="1"/>
    <col min="9731" max="9731" width="7.3984375" style="1528" customWidth="1"/>
    <col min="9732" max="9732" width="7.09765625" style="1528" customWidth="1"/>
    <col min="9733" max="9733" width="7.19921875" style="1528" customWidth="1"/>
    <col min="9734" max="9734" width="7.09765625" style="1528" customWidth="1"/>
    <col min="9735" max="9735" width="7" style="1528" customWidth="1"/>
    <col min="9736" max="9736" width="6.69921875" style="1528" customWidth="1"/>
    <col min="9737" max="9737" width="11.5" style="1528" customWidth="1"/>
    <col min="9738" max="9984" width="22.5" style="1528"/>
    <col min="9985" max="9985" width="3.3984375" style="1528" customWidth="1"/>
    <col min="9986" max="9986" width="23.3984375" style="1528" customWidth="1"/>
    <col min="9987" max="9987" width="7.3984375" style="1528" customWidth="1"/>
    <col min="9988" max="9988" width="7.09765625" style="1528" customWidth="1"/>
    <col min="9989" max="9989" width="7.19921875" style="1528" customWidth="1"/>
    <col min="9990" max="9990" width="7.09765625" style="1528" customWidth="1"/>
    <col min="9991" max="9991" width="7" style="1528" customWidth="1"/>
    <col min="9992" max="9992" width="6.69921875" style="1528" customWidth="1"/>
    <col min="9993" max="9993" width="11.5" style="1528" customWidth="1"/>
    <col min="9994" max="10240" width="22.5" style="1528"/>
    <col min="10241" max="10241" width="3.3984375" style="1528" customWidth="1"/>
    <col min="10242" max="10242" width="23.3984375" style="1528" customWidth="1"/>
    <col min="10243" max="10243" width="7.3984375" style="1528" customWidth="1"/>
    <col min="10244" max="10244" width="7.09765625" style="1528" customWidth="1"/>
    <col min="10245" max="10245" width="7.19921875" style="1528" customWidth="1"/>
    <col min="10246" max="10246" width="7.09765625" style="1528" customWidth="1"/>
    <col min="10247" max="10247" width="7" style="1528" customWidth="1"/>
    <col min="10248" max="10248" width="6.69921875" style="1528" customWidth="1"/>
    <col min="10249" max="10249" width="11.5" style="1528" customWidth="1"/>
    <col min="10250" max="10496" width="22.5" style="1528"/>
    <col min="10497" max="10497" width="3.3984375" style="1528" customWidth="1"/>
    <col min="10498" max="10498" width="23.3984375" style="1528" customWidth="1"/>
    <col min="10499" max="10499" width="7.3984375" style="1528" customWidth="1"/>
    <col min="10500" max="10500" width="7.09765625" style="1528" customWidth="1"/>
    <col min="10501" max="10501" width="7.19921875" style="1528" customWidth="1"/>
    <col min="10502" max="10502" width="7.09765625" style="1528" customWidth="1"/>
    <col min="10503" max="10503" width="7" style="1528" customWidth="1"/>
    <col min="10504" max="10504" width="6.69921875" style="1528" customWidth="1"/>
    <col min="10505" max="10505" width="11.5" style="1528" customWidth="1"/>
    <col min="10506" max="10752" width="22.5" style="1528"/>
    <col min="10753" max="10753" width="3.3984375" style="1528" customWidth="1"/>
    <col min="10754" max="10754" width="23.3984375" style="1528" customWidth="1"/>
    <col min="10755" max="10755" width="7.3984375" style="1528" customWidth="1"/>
    <col min="10756" max="10756" width="7.09765625" style="1528" customWidth="1"/>
    <col min="10757" max="10757" width="7.19921875" style="1528" customWidth="1"/>
    <col min="10758" max="10758" width="7.09765625" style="1528" customWidth="1"/>
    <col min="10759" max="10759" width="7" style="1528" customWidth="1"/>
    <col min="10760" max="10760" width="6.69921875" style="1528" customWidth="1"/>
    <col min="10761" max="10761" width="11.5" style="1528" customWidth="1"/>
    <col min="10762" max="11008" width="22.5" style="1528"/>
    <col min="11009" max="11009" width="3.3984375" style="1528" customWidth="1"/>
    <col min="11010" max="11010" width="23.3984375" style="1528" customWidth="1"/>
    <col min="11011" max="11011" width="7.3984375" style="1528" customWidth="1"/>
    <col min="11012" max="11012" width="7.09765625" style="1528" customWidth="1"/>
    <col min="11013" max="11013" width="7.19921875" style="1528" customWidth="1"/>
    <col min="11014" max="11014" width="7.09765625" style="1528" customWidth="1"/>
    <col min="11015" max="11015" width="7" style="1528" customWidth="1"/>
    <col min="11016" max="11016" width="6.69921875" style="1528" customWidth="1"/>
    <col min="11017" max="11017" width="11.5" style="1528" customWidth="1"/>
    <col min="11018" max="11264" width="22.5" style="1528"/>
    <col min="11265" max="11265" width="3.3984375" style="1528" customWidth="1"/>
    <col min="11266" max="11266" width="23.3984375" style="1528" customWidth="1"/>
    <col min="11267" max="11267" width="7.3984375" style="1528" customWidth="1"/>
    <col min="11268" max="11268" width="7.09765625" style="1528" customWidth="1"/>
    <col min="11269" max="11269" width="7.19921875" style="1528" customWidth="1"/>
    <col min="11270" max="11270" width="7.09765625" style="1528" customWidth="1"/>
    <col min="11271" max="11271" width="7" style="1528" customWidth="1"/>
    <col min="11272" max="11272" width="6.69921875" style="1528" customWidth="1"/>
    <col min="11273" max="11273" width="11.5" style="1528" customWidth="1"/>
    <col min="11274" max="11520" width="22.5" style="1528"/>
    <col min="11521" max="11521" width="3.3984375" style="1528" customWidth="1"/>
    <col min="11522" max="11522" width="23.3984375" style="1528" customWidth="1"/>
    <col min="11523" max="11523" width="7.3984375" style="1528" customWidth="1"/>
    <col min="11524" max="11524" width="7.09765625" style="1528" customWidth="1"/>
    <col min="11525" max="11525" width="7.19921875" style="1528" customWidth="1"/>
    <col min="11526" max="11526" width="7.09765625" style="1528" customWidth="1"/>
    <col min="11527" max="11527" width="7" style="1528" customWidth="1"/>
    <col min="11528" max="11528" width="6.69921875" style="1528" customWidth="1"/>
    <col min="11529" max="11529" width="11.5" style="1528" customWidth="1"/>
    <col min="11530" max="11776" width="22.5" style="1528"/>
    <col min="11777" max="11777" width="3.3984375" style="1528" customWidth="1"/>
    <col min="11778" max="11778" width="23.3984375" style="1528" customWidth="1"/>
    <col min="11779" max="11779" width="7.3984375" style="1528" customWidth="1"/>
    <col min="11780" max="11780" width="7.09765625" style="1528" customWidth="1"/>
    <col min="11781" max="11781" width="7.19921875" style="1528" customWidth="1"/>
    <col min="11782" max="11782" width="7.09765625" style="1528" customWidth="1"/>
    <col min="11783" max="11783" width="7" style="1528" customWidth="1"/>
    <col min="11784" max="11784" width="6.69921875" style="1528" customWidth="1"/>
    <col min="11785" max="11785" width="11.5" style="1528" customWidth="1"/>
    <col min="11786" max="12032" width="22.5" style="1528"/>
    <col min="12033" max="12033" width="3.3984375" style="1528" customWidth="1"/>
    <col min="12034" max="12034" width="23.3984375" style="1528" customWidth="1"/>
    <col min="12035" max="12035" width="7.3984375" style="1528" customWidth="1"/>
    <col min="12036" max="12036" width="7.09765625" style="1528" customWidth="1"/>
    <col min="12037" max="12037" width="7.19921875" style="1528" customWidth="1"/>
    <col min="12038" max="12038" width="7.09765625" style="1528" customWidth="1"/>
    <col min="12039" max="12039" width="7" style="1528" customWidth="1"/>
    <col min="12040" max="12040" width="6.69921875" style="1528" customWidth="1"/>
    <col min="12041" max="12041" width="11.5" style="1528" customWidth="1"/>
    <col min="12042" max="12288" width="22.5" style="1528"/>
    <col min="12289" max="12289" width="3.3984375" style="1528" customWidth="1"/>
    <col min="12290" max="12290" width="23.3984375" style="1528" customWidth="1"/>
    <col min="12291" max="12291" width="7.3984375" style="1528" customWidth="1"/>
    <col min="12292" max="12292" width="7.09765625" style="1528" customWidth="1"/>
    <col min="12293" max="12293" width="7.19921875" style="1528" customWidth="1"/>
    <col min="12294" max="12294" width="7.09765625" style="1528" customWidth="1"/>
    <col min="12295" max="12295" width="7" style="1528" customWidth="1"/>
    <col min="12296" max="12296" width="6.69921875" style="1528" customWidth="1"/>
    <col min="12297" max="12297" width="11.5" style="1528" customWidth="1"/>
    <col min="12298" max="12544" width="22.5" style="1528"/>
    <col min="12545" max="12545" width="3.3984375" style="1528" customWidth="1"/>
    <col min="12546" max="12546" width="23.3984375" style="1528" customWidth="1"/>
    <col min="12547" max="12547" width="7.3984375" style="1528" customWidth="1"/>
    <col min="12548" max="12548" width="7.09765625" style="1528" customWidth="1"/>
    <col min="12549" max="12549" width="7.19921875" style="1528" customWidth="1"/>
    <col min="12550" max="12550" width="7.09765625" style="1528" customWidth="1"/>
    <col min="12551" max="12551" width="7" style="1528" customWidth="1"/>
    <col min="12552" max="12552" width="6.69921875" style="1528" customWidth="1"/>
    <col min="12553" max="12553" width="11.5" style="1528" customWidth="1"/>
    <col min="12554" max="12800" width="22.5" style="1528"/>
    <col min="12801" max="12801" width="3.3984375" style="1528" customWidth="1"/>
    <col min="12802" max="12802" width="23.3984375" style="1528" customWidth="1"/>
    <col min="12803" max="12803" width="7.3984375" style="1528" customWidth="1"/>
    <col min="12804" max="12804" width="7.09765625" style="1528" customWidth="1"/>
    <col min="12805" max="12805" width="7.19921875" style="1528" customWidth="1"/>
    <col min="12806" max="12806" width="7.09765625" style="1528" customWidth="1"/>
    <col min="12807" max="12807" width="7" style="1528" customWidth="1"/>
    <col min="12808" max="12808" width="6.69921875" style="1528" customWidth="1"/>
    <col min="12809" max="12809" width="11.5" style="1528" customWidth="1"/>
    <col min="12810" max="13056" width="22.5" style="1528"/>
    <col min="13057" max="13057" width="3.3984375" style="1528" customWidth="1"/>
    <col min="13058" max="13058" width="23.3984375" style="1528" customWidth="1"/>
    <col min="13059" max="13059" width="7.3984375" style="1528" customWidth="1"/>
    <col min="13060" max="13060" width="7.09765625" style="1528" customWidth="1"/>
    <col min="13061" max="13061" width="7.19921875" style="1528" customWidth="1"/>
    <col min="13062" max="13062" width="7.09765625" style="1528" customWidth="1"/>
    <col min="13063" max="13063" width="7" style="1528" customWidth="1"/>
    <col min="13064" max="13064" width="6.69921875" style="1528" customWidth="1"/>
    <col min="13065" max="13065" width="11.5" style="1528" customWidth="1"/>
    <col min="13066" max="13312" width="22.5" style="1528"/>
    <col min="13313" max="13313" width="3.3984375" style="1528" customWidth="1"/>
    <col min="13314" max="13314" width="23.3984375" style="1528" customWidth="1"/>
    <col min="13315" max="13315" width="7.3984375" style="1528" customWidth="1"/>
    <col min="13316" max="13316" width="7.09765625" style="1528" customWidth="1"/>
    <col min="13317" max="13317" width="7.19921875" style="1528" customWidth="1"/>
    <col min="13318" max="13318" width="7.09765625" style="1528" customWidth="1"/>
    <col min="13319" max="13319" width="7" style="1528" customWidth="1"/>
    <col min="13320" max="13320" width="6.69921875" style="1528" customWidth="1"/>
    <col min="13321" max="13321" width="11.5" style="1528" customWidth="1"/>
    <col min="13322" max="13568" width="22.5" style="1528"/>
    <col min="13569" max="13569" width="3.3984375" style="1528" customWidth="1"/>
    <col min="13570" max="13570" width="23.3984375" style="1528" customWidth="1"/>
    <col min="13571" max="13571" width="7.3984375" style="1528" customWidth="1"/>
    <col min="13572" max="13572" width="7.09765625" style="1528" customWidth="1"/>
    <col min="13573" max="13573" width="7.19921875" style="1528" customWidth="1"/>
    <col min="13574" max="13574" width="7.09765625" style="1528" customWidth="1"/>
    <col min="13575" max="13575" width="7" style="1528" customWidth="1"/>
    <col min="13576" max="13576" width="6.69921875" style="1528" customWidth="1"/>
    <col min="13577" max="13577" width="11.5" style="1528" customWidth="1"/>
    <col min="13578" max="13824" width="22.5" style="1528"/>
    <col min="13825" max="13825" width="3.3984375" style="1528" customWidth="1"/>
    <col min="13826" max="13826" width="23.3984375" style="1528" customWidth="1"/>
    <col min="13827" max="13827" width="7.3984375" style="1528" customWidth="1"/>
    <col min="13828" max="13828" width="7.09765625" style="1528" customWidth="1"/>
    <col min="13829" max="13829" width="7.19921875" style="1528" customWidth="1"/>
    <col min="13830" max="13830" width="7.09765625" style="1528" customWidth="1"/>
    <col min="13831" max="13831" width="7" style="1528" customWidth="1"/>
    <col min="13832" max="13832" width="6.69921875" style="1528" customWidth="1"/>
    <col min="13833" max="13833" width="11.5" style="1528" customWidth="1"/>
    <col min="13834" max="14080" width="22.5" style="1528"/>
    <col min="14081" max="14081" width="3.3984375" style="1528" customWidth="1"/>
    <col min="14082" max="14082" width="23.3984375" style="1528" customWidth="1"/>
    <col min="14083" max="14083" width="7.3984375" style="1528" customWidth="1"/>
    <col min="14084" max="14084" width="7.09765625" style="1528" customWidth="1"/>
    <col min="14085" max="14085" width="7.19921875" style="1528" customWidth="1"/>
    <col min="14086" max="14086" width="7.09765625" style="1528" customWidth="1"/>
    <col min="14087" max="14087" width="7" style="1528" customWidth="1"/>
    <col min="14088" max="14088" width="6.69921875" style="1528" customWidth="1"/>
    <col min="14089" max="14089" width="11.5" style="1528" customWidth="1"/>
    <col min="14090" max="14336" width="22.5" style="1528"/>
    <col min="14337" max="14337" width="3.3984375" style="1528" customWidth="1"/>
    <col min="14338" max="14338" width="23.3984375" style="1528" customWidth="1"/>
    <col min="14339" max="14339" width="7.3984375" style="1528" customWidth="1"/>
    <col min="14340" max="14340" width="7.09765625" style="1528" customWidth="1"/>
    <col min="14341" max="14341" width="7.19921875" style="1528" customWidth="1"/>
    <col min="14342" max="14342" width="7.09765625" style="1528" customWidth="1"/>
    <col min="14343" max="14343" width="7" style="1528" customWidth="1"/>
    <col min="14344" max="14344" width="6.69921875" style="1528" customWidth="1"/>
    <col min="14345" max="14345" width="11.5" style="1528" customWidth="1"/>
    <col min="14346" max="14592" width="22.5" style="1528"/>
    <col min="14593" max="14593" width="3.3984375" style="1528" customWidth="1"/>
    <col min="14594" max="14594" width="23.3984375" style="1528" customWidth="1"/>
    <col min="14595" max="14595" width="7.3984375" style="1528" customWidth="1"/>
    <col min="14596" max="14596" width="7.09765625" style="1528" customWidth="1"/>
    <col min="14597" max="14597" width="7.19921875" style="1528" customWidth="1"/>
    <col min="14598" max="14598" width="7.09765625" style="1528" customWidth="1"/>
    <col min="14599" max="14599" width="7" style="1528" customWidth="1"/>
    <col min="14600" max="14600" width="6.69921875" style="1528" customWidth="1"/>
    <col min="14601" max="14601" width="11.5" style="1528" customWidth="1"/>
    <col min="14602" max="14848" width="22.5" style="1528"/>
    <col min="14849" max="14849" width="3.3984375" style="1528" customWidth="1"/>
    <col min="14850" max="14850" width="23.3984375" style="1528" customWidth="1"/>
    <col min="14851" max="14851" width="7.3984375" style="1528" customWidth="1"/>
    <col min="14852" max="14852" width="7.09765625" style="1528" customWidth="1"/>
    <col min="14853" max="14853" width="7.19921875" style="1528" customWidth="1"/>
    <col min="14854" max="14854" width="7.09765625" style="1528" customWidth="1"/>
    <col min="14855" max="14855" width="7" style="1528" customWidth="1"/>
    <col min="14856" max="14856" width="6.69921875" style="1528" customWidth="1"/>
    <col min="14857" max="14857" width="11.5" style="1528" customWidth="1"/>
    <col min="14858" max="15104" width="22.5" style="1528"/>
    <col min="15105" max="15105" width="3.3984375" style="1528" customWidth="1"/>
    <col min="15106" max="15106" width="23.3984375" style="1528" customWidth="1"/>
    <col min="15107" max="15107" width="7.3984375" style="1528" customWidth="1"/>
    <col min="15108" max="15108" width="7.09765625" style="1528" customWidth="1"/>
    <col min="15109" max="15109" width="7.19921875" style="1528" customWidth="1"/>
    <col min="15110" max="15110" width="7.09765625" style="1528" customWidth="1"/>
    <col min="15111" max="15111" width="7" style="1528" customWidth="1"/>
    <col min="15112" max="15112" width="6.69921875" style="1528" customWidth="1"/>
    <col min="15113" max="15113" width="11.5" style="1528" customWidth="1"/>
    <col min="15114" max="15360" width="22.5" style="1528"/>
    <col min="15361" max="15361" width="3.3984375" style="1528" customWidth="1"/>
    <col min="15362" max="15362" width="23.3984375" style="1528" customWidth="1"/>
    <col min="15363" max="15363" width="7.3984375" style="1528" customWidth="1"/>
    <col min="15364" max="15364" width="7.09765625" style="1528" customWidth="1"/>
    <col min="15365" max="15365" width="7.19921875" style="1528" customWidth="1"/>
    <col min="15366" max="15366" width="7.09765625" style="1528" customWidth="1"/>
    <col min="15367" max="15367" width="7" style="1528" customWidth="1"/>
    <col min="15368" max="15368" width="6.69921875" style="1528" customWidth="1"/>
    <col min="15369" max="15369" width="11.5" style="1528" customWidth="1"/>
    <col min="15370" max="15616" width="22.5" style="1528"/>
    <col min="15617" max="15617" width="3.3984375" style="1528" customWidth="1"/>
    <col min="15618" max="15618" width="23.3984375" style="1528" customWidth="1"/>
    <col min="15619" max="15619" width="7.3984375" style="1528" customWidth="1"/>
    <col min="15620" max="15620" width="7.09765625" style="1528" customWidth="1"/>
    <col min="15621" max="15621" width="7.19921875" style="1528" customWidth="1"/>
    <col min="15622" max="15622" width="7.09765625" style="1528" customWidth="1"/>
    <col min="15623" max="15623" width="7" style="1528" customWidth="1"/>
    <col min="15624" max="15624" width="6.69921875" style="1528" customWidth="1"/>
    <col min="15625" max="15625" width="11.5" style="1528" customWidth="1"/>
    <col min="15626" max="15872" width="22.5" style="1528"/>
    <col min="15873" max="15873" width="3.3984375" style="1528" customWidth="1"/>
    <col min="15874" max="15874" width="23.3984375" style="1528" customWidth="1"/>
    <col min="15875" max="15875" width="7.3984375" style="1528" customWidth="1"/>
    <col min="15876" max="15876" width="7.09765625" style="1528" customWidth="1"/>
    <col min="15877" max="15877" width="7.19921875" style="1528" customWidth="1"/>
    <col min="15878" max="15878" width="7.09765625" style="1528" customWidth="1"/>
    <col min="15879" max="15879" width="7" style="1528" customWidth="1"/>
    <col min="15880" max="15880" width="6.69921875" style="1528" customWidth="1"/>
    <col min="15881" max="15881" width="11.5" style="1528" customWidth="1"/>
    <col min="15882" max="16128" width="22.5" style="1528"/>
    <col min="16129" max="16129" width="3.3984375" style="1528" customWidth="1"/>
    <col min="16130" max="16130" width="23.3984375" style="1528" customWidth="1"/>
    <col min="16131" max="16131" width="7.3984375" style="1528" customWidth="1"/>
    <col min="16132" max="16132" width="7.09765625" style="1528" customWidth="1"/>
    <col min="16133" max="16133" width="7.19921875" style="1528" customWidth="1"/>
    <col min="16134" max="16134" width="7.09765625" style="1528" customWidth="1"/>
    <col min="16135" max="16135" width="7" style="1528" customWidth="1"/>
    <col min="16136" max="16136" width="6.69921875" style="1528" customWidth="1"/>
    <col min="16137" max="16137" width="11.5" style="1528" customWidth="1"/>
    <col min="16138" max="16384" width="22.5" style="1528"/>
  </cols>
  <sheetData>
    <row r="1" spans="1:11" s="1542" customFormat="1" ht="20.100000000000001" customHeight="1">
      <c r="A1" s="3919" t="s">
        <v>5050</v>
      </c>
      <c r="B1" s="3919"/>
      <c r="C1" s="3919"/>
      <c r="D1" s="3919"/>
      <c r="E1" s="3919"/>
      <c r="F1" s="3919"/>
      <c r="G1" s="3919"/>
      <c r="H1" s="3919"/>
      <c r="I1" s="2011"/>
      <c r="K1" s="1675" t="str">
        <f>余额表!W1</f>
        <v xml:space="preserve">会计科目名称 </v>
      </c>
    </row>
    <row r="2" spans="1:11" ht="25.5" customHeight="1">
      <c r="A2" s="3379" t="s">
        <v>5051</v>
      </c>
      <c r="B2" s="3379"/>
      <c r="C2" s="3379"/>
      <c r="D2" s="3379"/>
      <c r="E2" s="3379"/>
      <c r="F2" s="3379"/>
      <c r="G2" s="3379"/>
      <c r="H2" s="3379"/>
      <c r="I2" s="1920"/>
    </row>
    <row r="3" spans="1:11" ht="14.25" customHeight="1">
      <c r="A3" s="3380" t="s">
        <v>1854</v>
      </c>
      <c r="B3" s="3380" t="s">
        <v>5015</v>
      </c>
      <c r="C3" s="3383" t="s">
        <v>5052</v>
      </c>
      <c r="D3" s="3383" t="s">
        <v>5053</v>
      </c>
      <c r="E3" s="3380" t="s">
        <v>1293</v>
      </c>
      <c r="F3" s="3383" t="s">
        <v>6511</v>
      </c>
      <c r="G3" s="3380" t="s">
        <v>967</v>
      </c>
      <c r="H3" s="3383" t="s">
        <v>5053</v>
      </c>
      <c r="I3" s="3383" t="s">
        <v>4811</v>
      </c>
    </row>
    <row r="4" spans="1:11" ht="23.25" customHeight="1">
      <c r="A4" s="3381"/>
      <c r="B4" s="3381"/>
      <c r="C4" s="3384"/>
      <c r="D4" s="3384"/>
      <c r="E4" s="3382"/>
      <c r="F4" s="3384"/>
      <c r="G4" s="3382"/>
      <c r="H4" s="3384"/>
      <c r="I4" s="3384"/>
    </row>
    <row r="5" spans="1:11" ht="17.25" customHeight="1">
      <c r="A5" s="3382"/>
      <c r="B5" s="3382"/>
      <c r="C5" s="1846">
        <v>1</v>
      </c>
      <c r="D5" s="1921">
        <v>2</v>
      </c>
      <c r="E5" s="1847">
        <v>3</v>
      </c>
      <c r="F5" s="1921">
        <v>4</v>
      </c>
      <c r="G5" s="1842">
        <v>5</v>
      </c>
      <c r="H5" s="1842">
        <v>6</v>
      </c>
      <c r="I5" s="1820"/>
    </row>
    <row r="6" spans="1:11" ht="14.25" customHeight="1">
      <c r="A6" s="1842">
        <v>1</v>
      </c>
      <c r="B6" s="1820" t="s">
        <v>5054</v>
      </c>
      <c r="C6" s="2074">
        <f>营业费用!D6+营业费用!D7+营业费用!D8+营业费用!D9+营业费用!D13+营业费用!D17+营业费用!D18+营业费用!D22</f>
        <v>0</v>
      </c>
      <c r="D6" s="2032" t="s">
        <v>510</v>
      </c>
      <c r="E6" s="2074">
        <f>管理费用!D6+管理费用!D7+管理费用!D8+管理费用!D9+管理费用!D13+管理费用!D17+管理费用!D18+管理费用!D22</f>
        <v>0</v>
      </c>
      <c r="F6" s="2032" t="s">
        <v>510</v>
      </c>
      <c r="G6" s="2032" t="s">
        <v>510</v>
      </c>
      <c r="H6" s="2032" t="s">
        <v>510</v>
      </c>
      <c r="I6" s="1820"/>
    </row>
    <row r="7" spans="1:11" ht="14.25" customHeight="1">
      <c r="A7" s="1842">
        <v>2</v>
      </c>
      <c r="B7" s="1820" t="s">
        <v>5055</v>
      </c>
      <c r="C7" s="2074">
        <f>营业费用!D29</f>
        <v>0</v>
      </c>
      <c r="D7" s="2074">
        <f>营业费用!G29</f>
        <v>0</v>
      </c>
      <c r="E7" s="2074">
        <f>管理费用!D29</f>
        <v>0</v>
      </c>
      <c r="F7" s="2074">
        <f>管理费用!G29</f>
        <v>0</v>
      </c>
      <c r="G7" s="2032" t="s">
        <v>510</v>
      </c>
      <c r="H7" s="2032" t="s">
        <v>510</v>
      </c>
      <c r="I7" s="1820"/>
    </row>
    <row r="8" spans="1:11" ht="14.25" customHeight="1">
      <c r="A8" s="1842">
        <v>3</v>
      </c>
      <c r="B8" s="1820" t="s">
        <v>5056</v>
      </c>
      <c r="C8" s="2074">
        <f>营业费用!D30</f>
        <v>0</v>
      </c>
      <c r="D8" s="2074">
        <f>营业费用!G30</f>
        <v>0</v>
      </c>
      <c r="E8" s="2074">
        <f>管理费用!D30</f>
        <v>0</v>
      </c>
      <c r="F8" s="2074">
        <f>管理费用!G30</f>
        <v>0</v>
      </c>
      <c r="G8" s="2032" t="s">
        <v>510</v>
      </c>
      <c r="H8" s="2032" t="s">
        <v>510</v>
      </c>
      <c r="I8" s="1820"/>
    </row>
    <row r="9" spans="1:11" ht="14.25" customHeight="1">
      <c r="A9" s="1842">
        <v>4</v>
      </c>
      <c r="B9" s="1820" t="s">
        <v>5057</v>
      </c>
      <c r="C9" s="2074">
        <f>营业费用!D10</f>
        <v>0</v>
      </c>
      <c r="D9" s="2032" t="s">
        <v>510</v>
      </c>
      <c r="E9" s="2074">
        <f>管理费用!D10</f>
        <v>0</v>
      </c>
      <c r="F9" s="2032" t="s">
        <v>510</v>
      </c>
      <c r="G9" s="2032" t="s">
        <v>510</v>
      </c>
      <c r="H9" s="2032" t="s">
        <v>510</v>
      </c>
      <c r="I9" s="1820"/>
      <c r="J9" s="1675" t="s">
        <v>6599</v>
      </c>
    </row>
    <row r="10" spans="1:11" ht="14.25" customHeight="1">
      <c r="A10" s="1842">
        <v>5</v>
      </c>
      <c r="B10" s="1820" t="s">
        <v>5058</v>
      </c>
      <c r="C10" s="2074">
        <f>营业费用!D11</f>
        <v>0</v>
      </c>
      <c r="D10" s="2032" t="s">
        <v>510</v>
      </c>
      <c r="E10" s="2074">
        <f>管理费用!D11</f>
        <v>0</v>
      </c>
      <c r="F10" s="2032" t="s">
        <v>510</v>
      </c>
      <c r="G10" s="2032" t="s">
        <v>510</v>
      </c>
      <c r="H10" s="2032" t="s">
        <v>510</v>
      </c>
      <c r="I10" s="1820"/>
    </row>
    <row r="11" spans="1:11" ht="14.25" customHeight="1">
      <c r="A11" s="1842">
        <v>6</v>
      </c>
      <c r="B11" s="1820" t="s">
        <v>5059</v>
      </c>
      <c r="C11" s="2074">
        <f>营业费用!D31</f>
        <v>0</v>
      </c>
      <c r="D11" s="2074">
        <f>营业费用!G31</f>
        <v>0</v>
      </c>
      <c r="E11" s="2074">
        <f>管理费用!D31</f>
        <v>0</v>
      </c>
      <c r="F11" s="2074">
        <f>管理费用!G31</f>
        <v>0</v>
      </c>
      <c r="G11" s="2074">
        <f>财务费用!D6</f>
        <v>0</v>
      </c>
      <c r="H11" s="2074">
        <f>财务费用!G6</f>
        <v>0</v>
      </c>
      <c r="I11" s="1820"/>
      <c r="J11" s="1675" t="s">
        <v>6600</v>
      </c>
    </row>
    <row r="12" spans="1:11" ht="14.25" customHeight="1">
      <c r="A12" s="1842">
        <v>7</v>
      </c>
      <c r="B12" s="1820" t="s">
        <v>5060</v>
      </c>
      <c r="C12" s="2074">
        <f>营业费用!D20+营业费用!D23+营业费用!D24</f>
        <v>0</v>
      </c>
      <c r="D12" s="2032" t="s">
        <v>510</v>
      </c>
      <c r="E12" s="2074">
        <f>管理费用!D20+管理费用!D23+管理费用!D24</f>
        <v>0</v>
      </c>
      <c r="F12" s="2032" t="s">
        <v>510</v>
      </c>
      <c r="G12" s="2032" t="s">
        <v>510</v>
      </c>
      <c r="H12" s="2032" t="s">
        <v>510</v>
      </c>
      <c r="I12" s="1820"/>
    </row>
    <row r="13" spans="1:11" ht="14.25" customHeight="1">
      <c r="A13" s="1842">
        <v>8</v>
      </c>
      <c r="B13" s="1820" t="s">
        <v>5061</v>
      </c>
      <c r="C13" s="2074">
        <f>营业费用!D19</f>
        <v>0</v>
      </c>
      <c r="D13" s="2032" t="s">
        <v>510</v>
      </c>
      <c r="E13" s="2074">
        <f>管理费用!D19</f>
        <v>0</v>
      </c>
      <c r="F13" s="2032" t="s">
        <v>510</v>
      </c>
      <c r="G13" s="2032" t="s">
        <v>510</v>
      </c>
      <c r="H13" s="2032" t="s">
        <v>510</v>
      </c>
      <c r="I13" s="1820"/>
      <c r="J13" s="1675" t="s">
        <v>270</v>
      </c>
    </row>
    <row r="14" spans="1:11" ht="14.25" customHeight="1">
      <c r="A14" s="1842">
        <v>9</v>
      </c>
      <c r="B14" s="1820" t="s">
        <v>5062</v>
      </c>
      <c r="C14" s="2074">
        <f>营业费用!D32</f>
        <v>0</v>
      </c>
      <c r="D14" s="2032" t="s">
        <v>510</v>
      </c>
      <c r="E14" s="2074">
        <f>管理费用!D32</f>
        <v>0</v>
      </c>
      <c r="F14" s="2032" t="s">
        <v>510</v>
      </c>
      <c r="G14" s="2032" t="s">
        <v>510</v>
      </c>
      <c r="H14" s="2032" t="s">
        <v>510</v>
      </c>
      <c r="I14" s="1820"/>
    </row>
    <row r="15" spans="1:11" ht="14.25" customHeight="1">
      <c r="A15" s="1842">
        <v>10</v>
      </c>
      <c r="B15" s="1820" t="s">
        <v>5063</v>
      </c>
      <c r="C15" s="2074">
        <f>营业费用!D33</f>
        <v>0</v>
      </c>
      <c r="D15" s="2032" t="s">
        <v>510</v>
      </c>
      <c r="E15" s="2074">
        <f>管理费用!D33</f>
        <v>0</v>
      </c>
      <c r="F15" s="2032" t="s">
        <v>510</v>
      </c>
      <c r="G15" s="2032" t="s">
        <v>510</v>
      </c>
      <c r="H15" s="2032" t="s">
        <v>510</v>
      </c>
      <c r="I15" s="1820"/>
    </row>
    <row r="16" spans="1:11" ht="14.25" customHeight="1">
      <c r="A16" s="1842">
        <v>11</v>
      </c>
      <c r="B16" s="1820" t="s">
        <v>5064</v>
      </c>
      <c r="C16" s="2074">
        <f>营业费用!D21</f>
        <v>0</v>
      </c>
      <c r="D16" s="2074">
        <f>营业费用!G21</f>
        <v>0</v>
      </c>
      <c r="E16" s="2074">
        <f>管理费用!D21</f>
        <v>0</v>
      </c>
      <c r="F16" s="2074">
        <f>管理费用!G21</f>
        <v>0</v>
      </c>
      <c r="G16" s="2032" t="s">
        <v>510</v>
      </c>
      <c r="H16" s="2032" t="s">
        <v>510</v>
      </c>
      <c r="I16" s="1820"/>
    </row>
    <row r="17" spans="1:9" ht="14.25" customHeight="1">
      <c r="A17" s="1842">
        <v>12</v>
      </c>
      <c r="B17" s="1820" t="s">
        <v>5065</v>
      </c>
      <c r="C17" s="2074">
        <f>营业费用!D34</f>
        <v>0</v>
      </c>
      <c r="D17" s="2032" t="s">
        <v>510</v>
      </c>
      <c r="E17" s="2074">
        <f>管理费用!D34</f>
        <v>0</v>
      </c>
      <c r="F17" s="2032" t="s">
        <v>510</v>
      </c>
      <c r="G17" s="2032" t="s">
        <v>510</v>
      </c>
      <c r="H17" s="2032" t="s">
        <v>510</v>
      </c>
      <c r="I17" s="1820"/>
    </row>
    <row r="18" spans="1:9" ht="14.25" customHeight="1">
      <c r="A18" s="1842">
        <v>13</v>
      </c>
      <c r="B18" s="1820" t="s">
        <v>5066</v>
      </c>
      <c r="C18" s="2074">
        <f>营业费用!D35</f>
        <v>0</v>
      </c>
      <c r="D18" s="2032" t="s">
        <v>510</v>
      </c>
      <c r="E18" s="2074">
        <f>管理费用!D35</f>
        <v>0</v>
      </c>
      <c r="F18" s="2032" t="s">
        <v>510</v>
      </c>
      <c r="G18" s="2032" t="s">
        <v>510</v>
      </c>
      <c r="H18" s="2032" t="s">
        <v>510</v>
      </c>
      <c r="I18" s="1820"/>
    </row>
    <row r="19" spans="1:9" ht="14.25" customHeight="1">
      <c r="A19" s="1842">
        <v>14</v>
      </c>
      <c r="B19" s="1820" t="s">
        <v>5067</v>
      </c>
      <c r="C19" s="2074">
        <f>营业费用!D36</f>
        <v>0</v>
      </c>
      <c r="D19" s="2032" t="s">
        <v>510</v>
      </c>
      <c r="E19" s="2074">
        <f>管理费用!D36</f>
        <v>0</v>
      </c>
      <c r="F19" s="2032" t="s">
        <v>510</v>
      </c>
      <c r="G19" s="2032" t="s">
        <v>510</v>
      </c>
      <c r="H19" s="2032" t="s">
        <v>510</v>
      </c>
      <c r="I19" s="1820"/>
    </row>
    <row r="20" spans="1:9" ht="14.25" customHeight="1">
      <c r="A20" s="1842">
        <v>15</v>
      </c>
      <c r="B20" s="1820" t="s">
        <v>5068</v>
      </c>
      <c r="C20" s="2074">
        <f>营业费用!D37</f>
        <v>0</v>
      </c>
      <c r="D20" s="2074">
        <f>营业费用!G37</f>
        <v>0</v>
      </c>
      <c r="E20" s="2074">
        <f>管理费用!D37</f>
        <v>0</v>
      </c>
      <c r="F20" s="2074">
        <f>管理费用!G37</f>
        <v>0</v>
      </c>
      <c r="G20" s="2032" t="s">
        <v>510</v>
      </c>
      <c r="H20" s="2032" t="s">
        <v>510</v>
      </c>
      <c r="I20" s="1820"/>
    </row>
    <row r="21" spans="1:9" ht="14.25" customHeight="1">
      <c r="A21" s="1842">
        <v>16</v>
      </c>
      <c r="B21" s="1820" t="s">
        <v>5069</v>
      </c>
      <c r="C21" s="2074">
        <f>营业费用!D38</f>
        <v>0</v>
      </c>
      <c r="D21" s="2074">
        <f>营业费用!G38</f>
        <v>0</v>
      </c>
      <c r="E21" s="2074">
        <f>管理费用!D38</f>
        <v>0</v>
      </c>
      <c r="F21" s="2074">
        <f>管理费用!G38</f>
        <v>0</v>
      </c>
      <c r="G21" s="2032" t="s">
        <v>510</v>
      </c>
      <c r="H21" s="2032" t="s">
        <v>510</v>
      </c>
      <c r="I21" s="1820"/>
    </row>
    <row r="22" spans="1:9" ht="14.25" customHeight="1">
      <c r="A22" s="1842">
        <v>17</v>
      </c>
      <c r="B22" s="1820" t="s">
        <v>5070</v>
      </c>
      <c r="C22" s="2074">
        <f>营业费用!D39</f>
        <v>0</v>
      </c>
      <c r="D22" s="2032" t="s">
        <v>510</v>
      </c>
      <c r="E22" s="2074">
        <f>管理费用!D39</f>
        <v>0</v>
      </c>
      <c r="F22" s="2032" t="s">
        <v>510</v>
      </c>
      <c r="G22" s="2032" t="s">
        <v>510</v>
      </c>
      <c r="H22" s="2032" t="s">
        <v>510</v>
      </c>
      <c r="I22" s="1820"/>
    </row>
    <row r="23" spans="1:9" ht="14.25" customHeight="1">
      <c r="A23" s="1842">
        <v>18</v>
      </c>
      <c r="B23" s="1820" t="s">
        <v>5071</v>
      </c>
      <c r="C23" s="2074">
        <f>营业费用!D40</f>
        <v>0</v>
      </c>
      <c r="D23" s="2074">
        <f>营业费用!G40</f>
        <v>0</v>
      </c>
      <c r="E23" s="2074">
        <f>管理费用!D40</f>
        <v>0</v>
      </c>
      <c r="F23" s="2074">
        <f>管理费用!G40</f>
        <v>0</v>
      </c>
      <c r="G23" s="2032" t="s">
        <v>510</v>
      </c>
      <c r="H23" s="2032" t="s">
        <v>510</v>
      </c>
      <c r="I23" s="1820"/>
    </row>
    <row r="24" spans="1:9" ht="14.25" customHeight="1">
      <c r="A24" s="1842">
        <v>19</v>
      </c>
      <c r="B24" s="1820" t="s">
        <v>5072</v>
      </c>
      <c r="C24" s="2074">
        <f>营业费用!D41</f>
        <v>0</v>
      </c>
      <c r="D24" s="2074">
        <f>营业费用!G41</f>
        <v>0</v>
      </c>
      <c r="E24" s="2074">
        <f>管理费用!D41</f>
        <v>0</v>
      </c>
      <c r="F24" s="2074">
        <f>管理费用!G41</f>
        <v>0</v>
      </c>
      <c r="G24" s="2032" t="s">
        <v>510</v>
      </c>
      <c r="H24" s="2032" t="s">
        <v>510</v>
      </c>
      <c r="I24" s="1820"/>
    </row>
    <row r="25" spans="1:9" ht="14.1" customHeight="1">
      <c r="A25" s="1842">
        <v>20</v>
      </c>
      <c r="B25" s="1820" t="s">
        <v>5073</v>
      </c>
      <c r="C25" s="2074">
        <f>营业费用!D25+营业费用!D26+营业费用!D27+营业费用!D28</f>
        <v>0</v>
      </c>
      <c r="D25" s="2032" t="s">
        <v>510</v>
      </c>
      <c r="E25" s="2074">
        <f>管理费用!D25+管理费用!D26+管理费用!D27+管理费用!D28</f>
        <v>0</v>
      </c>
      <c r="F25" s="2032" t="s">
        <v>510</v>
      </c>
      <c r="G25" s="2032" t="s">
        <v>510</v>
      </c>
      <c r="H25" s="2032" t="s">
        <v>510</v>
      </c>
      <c r="I25" s="1820"/>
    </row>
    <row r="26" spans="1:9" ht="14.1" customHeight="1">
      <c r="A26" s="1842">
        <v>21</v>
      </c>
      <c r="B26" s="1820" t="s">
        <v>5074</v>
      </c>
      <c r="C26" s="2032" t="s">
        <v>6561</v>
      </c>
      <c r="D26" s="2032" t="s">
        <v>510</v>
      </c>
      <c r="E26" s="2032" t="s">
        <v>510</v>
      </c>
      <c r="F26" s="2032" t="s">
        <v>510</v>
      </c>
      <c r="G26" s="2074">
        <f>财务费用!D7-财务费用!D11</f>
        <v>0</v>
      </c>
      <c r="H26" s="2074">
        <f>财务费用!G7-财务费用!G11</f>
        <v>0</v>
      </c>
      <c r="I26" s="1820"/>
    </row>
    <row r="27" spans="1:9" ht="14.25" customHeight="1">
      <c r="A27" s="1842">
        <v>22</v>
      </c>
      <c r="B27" s="1820" t="s">
        <v>5075</v>
      </c>
      <c r="C27" s="2032" t="s">
        <v>6561</v>
      </c>
      <c r="D27" s="2032" t="s">
        <v>510</v>
      </c>
      <c r="E27" s="2032" t="s">
        <v>510</v>
      </c>
      <c r="F27" s="2032" t="s">
        <v>510</v>
      </c>
      <c r="G27" s="2074">
        <f>财务费用!D9-财务费用!D13</f>
        <v>0</v>
      </c>
      <c r="H27" s="2074">
        <f>财务费用!G9-财务费用!G13</f>
        <v>0</v>
      </c>
      <c r="I27" s="1820"/>
    </row>
    <row r="28" spans="1:9" ht="14.25" customHeight="1">
      <c r="A28" s="1842">
        <v>23</v>
      </c>
      <c r="B28" s="1820" t="s">
        <v>5076</v>
      </c>
      <c r="C28" s="2032" t="s">
        <v>6561</v>
      </c>
      <c r="D28" s="2032" t="s">
        <v>510</v>
      </c>
      <c r="E28" s="2032" t="s">
        <v>510</v>
      </c>
      <c r="F28" s="2032" t="s">
        <v>510</v>
      </c>
      <c r="G28" s="2074">
        <f>财务费用!D10</f>
        <v>0</v>
      </c>
      <c r="H28" s="2032" t="s">
        <v>510</v>
      </c>
      <c r="I28" s="1820"/>
    </row>
    <row r="29" spans="1:9" ht="14.25" customHeight="1">
      <c r="A29" s="1842">
        <v>24</v>
      </c>
      <c r="B29" s="1820" t="s">
        <v>5077</v>
      </c>
      <c r="C29" s="2074">
        <f>营业费用!D12+营业费用!D14+营业费用!D15+营业费用!D16+营业费用!D42</f>
        <v>0</v>
      </c>
      <c r="D29" s="2074">
        <f>营业费用!G12+营业费用!G14+营业费用!G15+营业费用!G16+营业费用!G42</f>
        <v>0</v>
      </c>
      <c r="E29" s="2074">
        <f>管理费用!D12+管理费用!D14+管理费用!D15+管理费用!D16+管理费用!D42</f>
        <v>0</v>
      </c>
      <c r="F29" s="2074">
        <f>管理费用!G12+管理费用!G14+管理费用!G15+管理费用!G16+管理费用!G42</f>
        <v>0</v>
      </c>
      <c r="G29" s="2074">
        <f>财务费用!D14</f>
        <v>0</v>
      </c>
      <c r="H29" s="2074">
        <f>财务费用!G14</f>
        <v>0</v>
      </c>
      <c r="I29" s="1820"/>
    </row>
    <row r="30" spans="1:9" ht="119.25" customHeight="1">
      <c r="A30" s="1842">
        <v>25</v>
      </c>
      <c r="B30" s="1820" t="s">
        <v>5078</v>
      </c>
      <c r="C30" s="2042">
        <f t="shared" ref="C30:H30" si="0">SUM(C6:C29)</f>
        <v>0</v>
      </c>
      <c r="D30" s="2042">
        <f t="shared" si="0"/>
        <v>0</v>
      </c>
      <c r="E30" s="2042">
        <f t="shared" si="0"/>
        <v>0</v>
      </c>
      <c r="F30" s="2042">
        <f t="shared" si="0"/>
        <v>0</v>
      </c>
      <c r="G30" s="2042">
        <f t="shared" si="0"/>
        <v>0</v>
      </c>
      <c r="H30" s="2042">
        <f t="shared" si="0"/>
        <v>0</v>
      </c>
      <c r="I30" s="1821" t="s">
        <v>5079</v>
      </c>
    </row>
    <row r="31" spans="1:9">
      <c r="A31" s="1528"/>
    </row>
    <row r="32" spans="1:9">
      <c r="A32" s="1528"/>
    </row>
    <row r="33" spans="1:1">
      <c r="A33" s="1528"/>
    </row>
    <row r="34" spans="1:1">
      <c r="A34" s="1528"/>
    </row>
    <row r="35" spans="1:1">
      <c r="A35" s="1528"/>
    </row>
    <row r="36" spans="1:1">
      <c r="A36" s="1528"/>
    </row>
    <row r="37" spans="1:1">
      <c r="A37" s="1528"/>
    </row>
    <row r="38" spans="1:1">
      <c r="A38" s="1528"/>
    </row>
    <row r="39" spans="1:1">
      <c r="A39" s="1528"/>
    </row>
    <row r="40" spans="1:1">
      <c r="A40" s="1528"/>
    </row>
    <row r="41" spans="1:1">
      <c r="A41" s="1528"/>
    </row>
    <row r="42" spans="1:1">
      <c r="A42" s="1528"/>
    </row>
    <row r="43" spans="1:1">
      <c r="A43" s="1528"/>
    </row>
    <row r="44" spans="1:1">
      <c r="A44" s="1528"/>
    </row>
    <row r="45" spans="1:1">
      <c r="A45" s="1528"/>
    </row>
    <row r="46" spans="1:1">
      <c r="A46" s="1528"/>
    </row>
    <row r="47" spans="1:1">
      <c r="A47" s="1528"/>
    </row>
    <row r="48" spans="1:1">
      <c r="A48" s="1528"/>
    </row>
    <row r="49" spans="1:1">
      <c r="A49" s="1528"/>
    </row>
    <row r="50" spans="1:1">
      <c r="A50" s="1528"/>
    </row>
    <row r="51" spans="1:1">
      <c r="A51" s="1528"/>
    </row>
    <row r="52" spans="1:1">
      <c r="A52" s="1528"/>
    </row>
    <row r="53" spans="1:1">
      <c r="A53" s="1528"/>
    </row>
    <row r="54" spans="1:1">
      <c r="A54" s="1528"/>
    </row>
    <row r="55" spans="1:1">
      <c r="A55" s="1528"/>
    </row>
    <row r="56" spans="1:1">
      <c r="A56" s="1528"/>
    </row>
    <row r="57" spans="1:1">
      <c r="A57" s="1528"/>
    </row>
    <row r="58" spans="1:1">
      <c r="A58" s="1528"/>
    </row>
    <row r="59" spans="1:1">
      <c r="A59" s="1528"/>
    </row>
    <row r="60" spans="1:1">
      <c r="A60" s="1528"/>
    </row>
    <row r="61" spans="1:1">
      <c r="A61" s="1528"/>
    </row>
    <row r="62" spans="1:1">
      <c r="A62" s="1528"/>
    </row>
    <row r="63" spans="1:1">
      <c r="A63" s="1528"/>
    </row>
    <row r="64" spans="1:1">
      <c r="A64" s="1528"/>
    </row>
    <row r="65" spans="1:1">
      <c r="A65" s="1528"/>
    </row>
    <row r="66" spans="1:1">
      <c r="A66" s="1528"/>
    </row>
    <row r="67" spans="1:1">
      <c r="A67" s="1528"/>
    </row>
    <row r="68" spans="1:1">
      <c r="A68" s="1528"/>
    </row>
    <row r="69" spans="1:1">
      <c r="A69" s="1528"/>
    </row>
    <row r="70" spans="1:1">
      <c r="A70" s="1528"/>
    </row>
    <row r="71" spans="1:1">
      <c r="A71" s="1528"/>
    </row>
    <row r="72" spans="1:1">
      <c r="A72" s="1528"/>
    </row>
    <row r="73" spans="1:1">
      <c r="A73" s="1528"/>
    </row>
    <row r="74" spans="1:1">
      <c r="A74" s="1528"/>
    </row>
    <row r="75" spans="1:1">
      <c r="A75" s="1528"/>
    </row>
    <row r="76" spans="1:1">
      <c r="A76" s="1528"/>
    </row>
    <row r="77" spans="1:1">
      <c r="A77" s="1528"/>
    </row>
    <row r="78" spans="1:1">
      <c r="A78" s="1528"/>
    </row>
    <row r="79" spans="1:1">
      <c r="A79" s="1528"/>
    </row>
    <row r="80" spans="1:1">
      <c r="A80" s="1528"/>
    </row>
    <row r="81" spans="1:1">
      <c r="A81" s="1528"/>
    </row>
    <row r="82" spans="1:1">
      <c r="A82" s="1528"/>
    </row>
    <row r="83" spans="1:1">
      <c r="A83" s="1528"/>
    </row>
    <row r="84" spans="1:1">
      <c r="A84" s="1528"/>
    </row>
    <row r="85" spans="1:1">
      <c r="A85" s="1528"/>
    </row>
    <row r="86" spans="1:1">
      <c r="A86" s="1528"/>
    </row>
    <row r="87" spans="1:1">
      <c r="A87" s="1528"/>
    </row>
    <row r="88" spans="1:1">
      <c r="A88" s="1528"/>
    </row>
    <row r="89" spans="1:1">
      <c r="A89" s="1528"/>
    </row>
    <row r="90" spans="1:1">
      <c r="A90" s="1528"/>
    </row>
    <row r="91" spans="1:1">
      <c r="A91" s="1528"/>
    </row>
    <row r="92" spans="1:1">
      <c r="A92" s="1528"/>
    </row>
    <row r="93" spans="1:1">
      <c r="A93" s="1528"/>
    </row>
    <row r="94" spans="1:1">
      <c r="A94" s="1528"/>
    </row>
    <row r="95" spans="1:1">
      <c r="A95" s="1528"/>
    </row>
    <row r="96" spans="1:1">
      <c r="A96" s="1528"/>
    </row>
    <row r="97" spans="1:1">
      <c r="A97" s="1528"/>
    </row>
    <row r="98" spans="1:1">
      <c r="A98" s="1528"/>
    </row>
    <row r="99" spans="1:1">
      <c r="A99" s="1528"/>
    </row>
    <row r="100" spans="1:1">
      <c r="A100" s="1528"/>
    </row>
    <row r="101" spans="1:1">
      <c r="A101" s="1528"/>
    </row>
    <row r="102" spans="1:1">
      <c r="A102" s="1528"/>
    </row>
    <row r="103" spans="1:1">
      <c r="A103" s="1528"/>
    </row>
    <row r="104" spans="1:1">
      <c r="A104" s="1528"/>
    </row>
    <row r="105" spans="1:1">
      <c r="A105" s="1528"/>
    </row>
    <row r="106" spans="1:1">
      <c r="A106" s="1528"/>
    </row>
    <row r="107" spans="1:1">
      <c r="A107" s="1528"/>
    </row>
    <row r="108" spans="1:1">
      <c r="A108" s="1528"/>
    </row>
    <row r="109" spans="1:1">
      <c r="A109" s="1528"/>
    </row>
    <row r="110" spans="1:1">
      <c r="A110" s="1528"/>
    </row>
    <row r="111" spans="1:1">
      <c r="A111" s="1528"/>
    </row>
    <row r="112" spans="1:1">
      <c r="A112" s="1528"/>
    </row>
    <row r="113" spans="1:1">
      <c r="A113" s="1528"/>
    </row>
    <row r="114" spans="1:1">
      <c r="A114" s="1528"/>
    </row>
    <row r="115" spans="1:1">
      <c r="A115" s="1528"/>
    </row>
    <row r="116" spans="1:1">
      <c r="A116" s="1528"/>
    </row>
    <row r="117" spans="1:1">
      <c r="A117" s="1528"/>
    </row>
    <row r="118" spans="1:1">
      <c r="A118" s="1528"/>
    </row>
    <row r="119" spans="1:1">
      <c r="A119" s="1528"/>
    </row>
    <row r="120" spans="1:1">
      <c r="A120" s="1528"/>
    </row>
    <row r="121" spans="1:1">
      <c r="A121" s="1528"/>
    </row>
    <row r="122" spans="1:1">
      <c r="A122" s="1528"/>
    </row>
    <row r="123" spans="1:1">
      <c r="A123" s="1528"/>
    </row>
    <row r="124" spans="1:1">
      <c r="A124" s="1528"/>
    </row>
    <row r="125" spans="1:1">
      <c r="A125" s="1528"/>
    </row>
    <row r="126" spans="1:1">
      <c r="A126" s="1528"/>
    </row>
    <row r="127" spans="1:1">
      <c r="A127" s="1528"/>
    </row>
    <row r="128" spans="1:1">
      <c r="A128" s="1528"/>
    </row>
    <row r="129" spans="1:1">
      <c r="A129" s="1528"/>
    </row>
    <row r="130" spans="1:1">
      <c r="A130" s="1528"/>
    </row>
    <row r="131" spans="1:1">
      <c r="A131" s="1528"/>
    </row>
    <row r="132" spans="1:1">
      <c r="A132" s="1528"/>
    </row>
    <row r="133" spans="1:1">
      <c r="A133" s="1528"/>
    </row>
    <row r="134" spans="1:1">
      <c r="A134" s="1528"/>
    </row>
    <row r="135" spans="1:1">
      <c r="A135" s="1528"/>
    </row>
    <row r="136" spans="1:1">
      <c r="A136" s="1528"/>
    </row>
    <row r="137" spans="1:1">
      <c r="A137" s="1528"/>
    </row>
    <row r="138" spans="1:1">
      <c r="A138" s="1528"/>
    </row>
    <row r="139" spans="1:1">
      <c r="A139" s="1528"/>
    </row>
    <row r="140" spans="1:1">
      <c r="A140" s="1528"/>
    </row>
    <row r="141" spans="1:1">
      <c r="A141" s="1528"/>
    </row>
    <row r="142" spans="1:1">
      <c r="A142" s="1528"/>
    </row>
    <row r="143" spans="1:1">
      <c r="A143" s="1528"/>
    </row>
    <row r="144" spans="1:1">
      <c r="A144" s="1528"/>
    </row>
    <row r="145" spans="1:1">
      <c r="A145" s="1528"/>
    </row>
    <row r="146" spans="1:1">
      <c r="A146" s="1528"/>
    </row>
    <row r="147" spans="1:1">
      <c r="A147" s="1528"/>
    </row>
    <row r="148" spans="1:1">
      <c r="A148" s="1528"/>
    </row>
    <row r="149" spans="1:1">
      <c r="A149" s="1528"/>
    </row>
    <row r="150" spans="1:1">
      <c r="A150" s="1528"/>
    </row>
    <row r="151" spans="1:1">
      <c r="A151" s="1528"/>
    </row>
    <row r="152" spans="1:1">
      <c r="A152" s="1528"/>
    </row>
    <row r="153" spans="1:1">
      <c r="A153" s="1528"/>
    </row>
    <row r="154" spans="1:1">
      <c r="A154" s="1528"/>
    </row>
    <row r="155" spans="1:1">
      <c r="A155" s="1528"/>
    </row>
    <row r="156" spans="1:1">
      <c r="A156" s="1528"/>
    </row>
    <row r="157" spans="1:1">
      <c r="A157" s="1528"/>
    </row>
    <row r="158" spans="1:1">
      <c r="A158" s="1528"/>
    </row>
    <row r="159" spans="1:1">
      <c r="A159" s="1528"/>
    </row>
    <row r="160" spans="1:1">
      <c r="A160" s="1528"/>
    </row>
    <row r="161" spans="1:1">
      <c r="A161" s="1528"/>
    </row>
    <row r="162" spans="1:1">
      <c r="A162" s="1528"/>
    </row>
    <row r="163" spans="1:1">
      <c r="A163" s="1528"/>
    </row>
    <row r="164" spans="1:1">
      <c r="A164" s="1528"/>
    </row>
    <row r="165" spans="1:1">
      <c r="A165" s="1528"/>
    </row>
    <row r="166" spans="1:1">
      <c r="A166" s="1528"/>
    </row>
    <row r="167" spans="1:1">
      <c r="A167" s="1528"/>
    </row>
    <row r="168" spans="1:1">
      <c r="A168" s="1528"/>
    </row>
    <row r="169" spans="1:1">
      <c r="A169" s="1528"/>
    </row>
    <row r="170" spans="1:1">
      <c r="A170" s="1528"/>
    </row>
    <row r="171" spans="1:1">
      <c r="A171" s="1528"/>
    </row>
    <row r="172" spans="1:1">
      <c r="A172" s="1528"/>
    </row>
    <row r="173" spans="1:1">
      <c r="A173" s="1528"/>
    </row>
    <row r="174" spans="1:1">
      <c r="A174" s="1528"/>
    </row>
    <row r="175" spans="1:1">
      <c r="A175" s="1528"/>
    </row>
    <row r="176" spans="1:1">
      <c r="A176" s="1528"/>
    </row>
    <row r="177" spans="1:1">
      <c r="A177" s="1528"/>
    </row>
    <row r="178" spans="1:1">
      <c r="A178" s="1528"/>
    </row>
    <row r="179" spans="1:1">
      <c r="A179" s="1528"/>
    </row>
    <row r="180" spans="1:1">
      <c r="A180" s="1528"/>
    </row>
    <row r="181" spans="1:1">
      <c r="A181" s="1528"/>
    </row>
    <row r="182" spans="1:1">
      <c r="A182" s="1528"/>
    </row>
    <row r="183" spans="1:1">
      <c r="A183" s="1528"/>
    </row>
    <row r="184" spans="1:1">
      <c r="A184" s="1528"/>
    </row>
    <row r="185" spans="1:1">
      <c r="A185" s="1528"/>
    </row>
    <row r="186" spans="1:1">
      <c r="A186" s="1528"/>
    </row>
    <row r="187" spans="1:1">
      <c r="A187" s="1528"/>
    </row>
    <row r="188" spans="1:1">
      <c r="A188" s="1528"/>
    </row>
    <row r="189" spans="1:1">
      <c r="A189" s="1528"/>
    </row>
    <row r="190" spans="1:1">
      <c r="A190" s="1528"/>
    </row>
    <row r="191" spans="1:1">
      <c r="A191" s="1528"/>
    </row>
    <row r="192" spans="1:1">
      <c r="A192" s="1528"/>
    </row>
    <row r="193" spans="1:1">
      <c r="A193" s="1528"/>
    </row>
    <row r="194" spans="1:1">
      <c r="A194" s="1528"/>
    </row>
    <row r="195" spans="1:1">
      <c r="A195" s="1528"/>
    </row>
    <row r="196" spans="1:1">
      <c r="A196" s="1528"/>
    </row>
    <row r="197" spans="1:1">
      <c r="A197" s="1528"/>
    </row>
    <row r="198" spans="1:1">
      <c r="A198" s="1528"/>
    </row>
    <row r="199" spans="1:1">
      <c r="A199" s="1528"/>
    </row>
    <row r="200" spans="1:1">
      <c r="A200" s="1528"/>
    </row>
    <row r="201" spans="1:1">
      <c r="A201" s="1528"/>
    </row>
    <row r="202" spans="1:1">
      <c r="A202" s="1528"/>
    </row>
    <row r="203" spans="1:1">
      <c r="A203" s="1528"/>
    </row>
    <row r="204" spans="1:1">
      <c r="A204" s="1528"/>
    </row>
    <row r="205" spans="1:1">
      <c r="A205" s="1528"/>
    </row>
    <row r="206" spans="1:1">
      <c r="A206" s="1528"/>
    </row>
    <row r="207" spans="1:1">
      <c r="A207" s="1528"/>
    </row>
    <row r="208" spans="1:1">
      <c r="A208" s="1528"/>
    </row>
    <row r="209" spans="1:1">
      <c r="A209" s="1528"/>
    </row>
    <row r="210" spans="1:1">
      <c r="A210" s="1528"/>
    </row>
    <row r="211" spans="1:1">
      <c r="A211" s="1528"/>
    </row>
    <row r="212" spans="1:1">
      <c r="A212" s="1528"/>
    </row>
    <row r="213" spans="1:1">
      <c r="A213" s="1528"/>
    </row>
    <row r="214" spans="1:1">
      <c r="A214" s="1528"/>
    </row>
    <row r="215" spans="1:1">
      <c r="A215" s="1528"/>
    </row>
    <row r="216" spans="1:1">
      <c r="A216" s="1528"/>
    </row>
    <row r="217" spans="1:1">
      <c r="A217" s="1528"/>
    </row>
    <row r="218" spans="1:1">
      <c r="A218" s="1528"/>
    </row>
    <row r="219" spans="1:1">
      <c r="A219" s="1528"/>
    </row>
    <row r="220" spans="1:1">
      <c r="A220" s="1528"/>
    </row>
    <row r="221" spans="1:1">
      <c r="A221" s="1528"/>
    </row>
    <row r="222" spans="1:1">
      <c r="A222" s="1528"/>
    </row>
    <row r="223" spans="1:1">
      <c r="A223" s="1528"/>
    </row>
    <row r="224" spans="1:1">
      <c r="A224" s="1528"/>
    </row>
    <row r="225" spans="1:1">
      <c r="A225" s="1528"/>
    </row>
    <row r="226" spans="1:1">
      <c r="A226" s="1528"/>
    </row>
    <row r="227" spans="1:1">
      <c r="A227" s="1528"/>
    </row>
    <row r="228" spans="1:1">
      <c r="A228" s="1528"/>
    </row>
    <row r="229" spans="1:1">
      <c r="A229" s="1528"/>
    </row>
    <row r="230" spans="1:1">
      <c r="A230" s="1528"/>
    </row>
    <row r="231" spans="1:1">
      <c r="A231" s="1528"/>
    </row>
    <row r="232" spans="1:1">
      <c r="A232" s="1528"/>
    </row>
    <row r="233" spans="1:1">
      <c r="A233" s="1528"/>
    </row>
    <row r="234" spans="1:1">
      <c r="A234" s="1528"/>
    </row>
    <row r="235" spans="1:1">
      <c r="A235" s="1528"/>
    </row>
    <row r="236" spans="1:1">
      <c r="A236" s="1528"/>
    </row>
    <row r="237" spans="1:1">
      <c r="A237" s="1528"/>
    </row>
    <row r="238" spans="1:1">
      <c r="A238" s="1528"/>
    </row>
    <row r="239" spans="1:1">
      <c r="A239" s="1528"/>
    </row>
    <row r="240" spans="1:1">
      <c r="A240" s="1528"/>
    </row>
    <row r="241" spans="1:1">
      <c r="A241" s="1528"/>
    </row>
    <row r="242" spans="1:1">
      <c r="A242" s="1528"/>
    </row>
    <row r="243" spans="1:1">
      <c r="A243" s="1528"/>
    </row>
    <row r="244" spans="1:1">
      <c r="A244" s="1528"/>
    </row>
    <row r="245" spans="1:1">
      <c r="A245" s="1528"/>
    </row>
    <row r="246" spans="1:1">
      <c r="A246" s="1528"/>
    </row>
    <row r="247" spans="1:1">
      <c r="A247" s="1528"/>
    </row>
    <row r="248" spans="1:1">
      <c r="A248" s="1528"/>
    </row>
    <row r="249" spans="1:1">
      <c r="A249" s="1528"/>
    </row>
    <row r="250" spans="1:1">
      <c r="A250" s="1528"/>
    </row>
    <row r="251" spans="1:1">
      <c r="A251" s="1528"/>
    </row>
    <row r="252" spans="1:1">
      <c r="A252" s="1528"/>
    </row>
    <row r="253" spans="1:1">
      <c r="A253" s="1528"/>
    </row>
    <row r="254" spans="1:1">
      <c r="A254" s="1528"/>
    </row>
    <row r="255" spans="1:1">
      <c r="A255" s="1528"/>
    </row>
    <row r="256" spans="1:1">
      <c r="A256" s="1528"/>
    </row>
    <row r="257" spans="1:1">
      <c r="A257" s="1528"/>
    </row>
    <row r="258" spans="1:1">
      <c r="A258" s="1528"/>
    </row>
    <row r="259" spans="1:1">
      <c r="A259" s="1528"/>
    </row>
    <row r="260" spans="1:1">
      <c r="A260" s="1528"/>
    </row>
    <row r="261" spans="1:1">
      <c r="A261" s="1528"/>
    </row>
    <row r="262" spans="1:1">
      <c r="A262" s="1528"/>
    </row>
    <row r="263" spans="1:1">
      <c r="A263" s="1528"/>
    </row>
    <row r="264" spans="1:1">
      <c r="A264" s="1528"/>
    </row>
    <row r="265" spans="1:1">
      <c r="A265" s="1528"/>
    </row>
    <row r="266" spans="1:1">
      <c r="A266" s="1528"/>
    </row>
    <row r="267" spans="1:1">
      <c r="A267" s="1528"/>
    </row>
    <row r="268" spans="1:1">
      <c r="A268" s="1528"/>
    </row>
    <row r="269" spans="1:1">
      <c r="A269" s="1528"/>
    </row>
    <row r="270" spans="1:1">
      <c r="A270" s="1528"/>
    </row>
    <row r="271" spans="1:1">
      <c r="A271" s="1528"/>
    </row>
    <row r="272" spans="1:1">
      <c r="A272" s="1528"/>
    </row>
    <row r="273" spans="1:1">
      <c r="A273" s="1528"/>
    </row>
    <row r="274" spans="1:1">
      <c r="A274" s="1528"/>
    </row>
    <row r="275" spans="1:1">
      <c r="A275" s="1528"/>
    </row>
    <row r="276" spans="1:1">
      <c r="A276" s="1528"/>
    </row>
    <row r="277" spans="1:1">
      <c r="A277" s="1528"/>
    </row>
    <row r="278" spans="1:1">
      <c r="A278" s="1528"/>
    </row>
    <row r="279" spans="1:1">
      <c r="A279" s="1528"/>
    </row>
    <row r="280" spans="1:1">
      <c r="A280" s="1528"/>
    </row>
    <row r="281" spans="1:1">
      <c r="A281" s="1528"/>
    </row>
    <row r="282" spans="1:1">
      <c r="A282" s="1528"/>
    </row>
    <row r="283" spans="1:1">
      <c r="A283" s="1528"/>
    </row>
    <row r="284" spans="1:1">
      <c r="A284" s="1528"/>
    </row>
    <row r="285" spans="1:1">
      <c r="A285" s="1528"/>
    </row>
    <row r="286" spans="1:1">
      <c r="A286" s="1528"/>
    </row>
    <row r="287" spans="1:1">
      <c r="A287" s="1528"/>
    </row>
    <row r="288" spans="1:1">
      <c r="A288" s="1528"/>
    </row>
    <row r="289" spans="1:1">
      <c r="A289" s="1528"/>
    </row>
    <row r="290" spans="1:1">
      <c r="A290" s="1528"/>
    </row>
    <row r="291" spans="1:1">
      <c r="A291" s="1528"/>
    </row>
    <row r="292" spans="1:1">
      <c r="A292" s="1528"/>
    </row>
    <row r="293" spans="1:1">
      <c r="A293" s="1528"/>
    </row>
    <row r="294" spans="1:1">
      <c r="A294" s="1528"/>
    </row>
    <row r="295" spans="1:1">
      <c r="A295" s="1528"/>
    </row>
    <row r="296" spans="1:1">
      <c r="A296" s="1528"/>
    </row>
    <row r="297" spans="1:1">
      <c r="A297" s="1528"/>
    </row>
    <row r="298" spans="1:1">
      <c r="A298" s="1528"/>
    </row>
    <row r="299" spans="1:1">
      <c r="A299" s="1528"/>
    </row>
    <row r="300" spans="1:1">
      <c r="A300" s="1528"/>
    </row>
    <row r="301" spans="1:1">
      <c r="A301" s="1528"/>
    </row>
    <row r="302" spans="1:1">
      <c r="A302" s="1528"/>
    </row>
    <row r="303" spans="1:1">
      <c r="A303" s="1528"/>
    </row>
    <row r="304" spans="1:1">
      <c r="A304" s="1528"/>
    </row>
    <row r="305" spans="1:1">
      <c r="A305" s="1528"/>
    </row>
    <row r="306" spans="1:1">
      <c r="A306" s="1528"/>
    </row>
    <row r="307" spans="1:1">
      <c r="A307" s="1528"/>
    </row>
    <row r="308" spans="1:1">
      <c r="A308" s="1528"/>
    </row>
    <row r="309" spans="1:1">
      <c r="A309" s="1528"/>
    </row>
    <row r="310" spans="1:1">
      <c r="A310" s="1528"/>
    </row>
    <row r="311" spans="1:1">
      <c r="A311" s="1528"/>
    </row>
    <row r="312" spans="1:1">
      <c r="A312" s="1528"/>
    </row>
    <row r="313" spans="1:1">
      <c r="A313" s="1528"/>
    </row>
    <row r="314" spans="1:1">
      <c r="A314" s="1528"/>
    </row>
    <row r="315" spans="1:1">
      <c r="A315" s="1528"/>
    </row>
    <row r="316" spans="1:1">
      <c r="A316" s="1528"/>
    </row>
    <row r="317" spans="1:1">
      <c r="A317" s="1528"/>
    </row>
    <row r="318" spans="1:1">
      <c r="A318" s="1528"/>
    </row>
    <row r="319" spans="1:1">
      <c r="A319" s="1528"/>
    </row>
    <row r="320" spans="1:1">
      <c r="A320" s="1528"/>
    </row>
    <row r="321" spans="1:1">
      <c r="A321" s="1528"/>
    </row>
    <row r="322" spans="1:1">
      <c r="A322" s="1528"/>
    </row>
    <row r="323" spans="1:1">
      <c r="A323" s="1528"/>
    </row>
    <row r="324" spans="1:1">
      <c r="A324" s="1528"/>
    </row>
    <row r="325" spans="1:1">
      <c r="A325" s="1528"/>
    </row>
    <row r="326" spans="1:1">
      <c r="A326" s="1528"/>
    </row>
    <row r="327" spans="1:1">
      <c r="A327" s="1528"/>
    </row>
    <row r="328" spans="1:1">
      <c r="A328" s="1528"/>
    </row>
    <row r="329" spans="1:1">
      <c r="A329" s="1528"/>
    </row>
    <row r="330" spans="1:1">
      <c r="A330" s="1528"/>
    </row>
    <row r="331" spans="1:1">
      <c r="A331" s="1528"/>
    </row>
    <row r="332" spans="1:1">
      <c r="A332" s="1528"/>
    </row>
    <row r="333" spans="1:1">
      <c r="A333" s="1528"/>
    </row>
    <row r="334" spans="1:1">
      <c r="A334" s="1528"/>
    </row>
    <row r="335" spans="1:1">
      <c r="A335" s="1528"/>
    </row>
    <row r="336" spans="1:1">
      <c r="A336" s="1528"/>
    </row>
    <row r="337" spans="1:1">
      <c r="A337" s="1528"/>
    </row>
    <row r="338" spans="1:1">
      <c r="A338" s="1528"/>
    </row>
    <row r="339" spans="1:1">
      <c r="A339" s="1528"/>
    </row>
    <row r="340" spans="1:1">
      <c r="A340" s="1528"/>
    </row>
    <row r="341" spans="1:1">
      <c r="A341" s="1528"/>
    </row>
    <row r="342" spans="1:1">
      <c r="A342" s="1528"/>
    </row>
    <row r="343" spans="1:1">
      <c r="A343" s="1528"/>
    </row>
    <row r="344" spans="1:1">
      <c r="A344" s="1528"/>
    </row>
    <row r="345" spans="1:1">
      <c r="A345" s="1528"/>
    </row>
    <row r="346" spans="1:1">
      <c r="A346" s="1528"/>
    </row>
    <row r="347" spans="1:1">
      <c r="A347" s="1528"/>
    </row>
    <row r="348" spans="1:1">
      <c r="A348" s="1528"/>
    </row>
    <row r="349" spans="1:1">
      <c r="A349" s="1528"/>
    </row>
    <row r="350" spans="1:1">
      <c r="A350" s="1528"/>
    </row>
    <row r="351" spans="1:1">
      <c r="A351" s="1528"/>
    </row>
    <row r="352" spans="1:1">
      <c r="A352" s="1528"/>
    </row>
    <row r="353" spans="1:1">
      <c r="A353" s="1528"/>
    </row>
    <row r="354" spans="1:1">
      <c r="A354" s="1528"/>
    </row>
    <row r="355" spans="1:1">
      <c r="A355" s="1528"/>
    </row>
    <row r="356" spans="1:1">
      <c r="A356" s="1528"/>
    </row>
    <row r="357" spans="1:1">
      <c r="A357" s="1528"/>
    </row>
    <row r="358" spans="1:1">
      <c r="A358" s="1528"/>
    </row>
    <row r="359" spans="1:1">
      <c r="A359" s="1528"/>
    </row>
    <row r="360" spans="1:1">
      <c r="A360" s="1528"/>
    </row>
    <row r="361" spans="1:1">
      <c r="A361" s="1528"/>
    </row>
    <row r="362" spans="1:1">
      <c r="A362" s="1528"/>
    </row>
    <row r="363" spans="1:1">
      <c r="A363" s="1528"/>
    </row>
    <row r="364" spans="1:1">
      <c r="A364" s="1528"/>
    </row>
    <row r="365" spans="1:1">
      <c r="A365" s="1528"/>
    </row>
    <row r="366" spans="1:1">
      <c r="A366" s="1528"/>
    </row>
    <row r="367" spans="1:1">
      <c r="A367" s="1528"/>
    </row>
    <row r="368" spans="1:1">
      <c r="A368" s="1528"/>
    </row>
    <row r="369" spans="1:1">
      <c r="A369" s="1528"/>
    </row>
    <row r="370" spans="1:1">
      <c r="A370" s="1528"/>
    </row>
    <row r="371" spans="1:1">
      <c r="A371" s="1528"/>
    </row>
    <row r="372" spans="1:1">
      <c r="A372" s="1528"/>
    </row>
    <row r="373" spans="1:1">
      <c r="A373" s="1528"/>
    </row>
    <row r="374" spans="1:1">
      <c r="A374" s="1528"/>
    </row>
    <row r="375" spans="1:1">
      <c r="A375" s="1528"/>
    </row>
    <row r="376" spans="1:1">
      <c r="A376" s="1528"/>
    </row>
    <row r="377" spans="1:1">
      <c r="A377" s="1528"/>
    </row>
    <row r="378" spans="1:1">
      <c r="A378" s="1528"/>
    </row>
    <row r="379" spans="1:1">
      <c r="A379" s="1528"/>
    </row>
    <row r="380" spans="1:1">
      <c r="A380" s="1528"/>
    </row>
    <row r="381" spans="1:1">
      <c r="A381" s="1528"/>
    </row>
    <row r="382" spans="1:1">
      <c r="A382" s="1528"/>
    </row>
    <row r="383" spans="1:1">
      <c r="A383" s="1528"/>
    </row>
    <row r="384" spans="1:1">
      <c r="A384" s="1528"/>
    </row>
    <row r="385" spans="1:1">
      <c r="A385" s="1528"/>
    </row>
    <row r="386" spans="1:1">
      <c r="A386" s="1528"/>
    </row>
    <row r="387" spans="1:1">
      <c r="A387" s="1528"/>
    </row>
    <row r="388" spans="1:1">
      <c r="A388" s="1528"/>
    </row>
    <row r="389" spans="1:1">
      <c r="A389" s="1528"/>
    </row>
    <row r="390" spans="1:1">
      <c r="A390" s="1528"/>
    </row>
    <row r="391" spans="1:1">
      <c r="A391" s="1528"/>
    </row>
    <row r="392" spans="1:1">
      <c r="A392" s="1528"/>
    </row>
    <row r="393" spans="1:1">
      <c r="A393" s="1528"/>
    </row>
    <row r="394" spans="1:1">
      <c r="A394" s="1528"/>
    </row>
    <row r="395" spans="1:1">
      <c r="A395" s="1528"/>
    </row>
    <row r="396" spans="1:1">
      <c r="A396" s="1528"/>
    </row>
    <row r="397" spans="1:1">
      <c r="A397" s="1528"/>
    </row>
    <row r="398" spans="1:1">
      <c r="A398" s="1528"/>
    </row>
    <row r="399" spans="1:1">
      <c r="A399" s="1528"/>
    </row>
    <row r="400" spans="1:1">
      <c r="A400" s="1528"/>
    </row>
    <row r="401" spans="1:1">
      <c r="A401" s="1528"/>
    </row>
    <row r="402" spans="1:1">
      <c r="A402" s="1528"/>
    </row>
    <row r="403" spans="1:1">
      <c r="A403" s="1528"/>
    </row>
    <row r="404" spans="1:1">
      <c r="A404" s="1528"/>
    </row>
    <row r="405" spans="1:1">
      <c r="A405" s="1528"/>
    </row>
    <row r="406" spans="1:1">
      <c r="A406" s="1528"/>
    </row>
    <row r="407" spans="1:1">
      <c r="A407" s="1528"/>
    </row>
    <row r="408" spans="1:1">
      <c r="A408" s="1528"/>
    </row>
    <row r="409" spans="1:1">
      <c r="A409" s="1528"/>
    </row>
    <row r="410" spans="1:1">
      <c r="A410" s="1528"/>
    </row>
    <row r="411" spans="1:1">
      <c r="A411" s="1528"/>
    </row>
    <row r="412" spans="1:1">
      <c r="A412" s="1528"/>
    </row>
    <row r="413" spans="1:1">
      <c r="A413" s="1528"/>
    </row>
    <row r="414" spans="1:1">
      <c r="A414" s="1528"/>
    </row>
    <row r="415" spans="1:1">
      <c r="A415" s="1528"/>
    </row>
    <row r="416" spans="1:1">
      <c r="A416" s="1528"/>
    </row>
    <row r="417" spans="1:1">
      <c r="A417" s="1528"/>
    </row>
    <row r="418" spans="1:1">
      <c r="A418" s="1528"/>
    </row>
    <row r="419" spans="1:1">
      <c r="A419" s="1528"/>
    </row>
    <row r="420" spans="1:1">
      <c r="A420" s="1528"/>
    </row>
    <row r="421" spans="1:1">
      <c r="A421" s="1528"/>
    </row>
    <row r="422" spans="1:1">
      <c r="A422" s="1528"/>
    </row>
    <row r="423" spans="1:1">
      <c r="A423" s="1528"/>
    </row>
    <row r="424" spans="1:1">
      <c r="A424" s="1528"/>
    </row>
    <row r="425" spans="1:1">
      <c r="A425" s="1528"/>
    </row>
    <row r="426" spans="1:1">
      <c r="A426" s="1528"/>
    </row>
    <row r="427" spans="1:1">
      <c r="A427" s="1528"/>
    </row>
    <row r="428" spans="1:1">
      <c r="A428" s="1528"/>
    </row>
    <row r="429" spans="1:1">
      <c r="A429" s="1528"/>
    </row>
    <row r="430" spans="1:1">
      <c r="A430" s="1528"/>
    </row>
    <row r="431" spans="1:1">
      <c r="A431" s="1528"/>
    </row>
    <row r="432" spans="1:1">
      <c r="A432" s="1528"/>
    </row>
    <row r="433" spans="1:1">
      <c r="A433" s="1528"/>
    </row>
    <row r="434" spans="1:1">
      <c r="A434" s="1528"/>
    </row>
    <row r="435" spans="1:1">
      <c r="A435" s="1528"/>
    </row>
    <row r="436" spans="1:1">
      <c r="A436" s="1528"/>
    </row>
    <row r="437" spans="1:1">
      <c r="A437" s="1528"/>
    </row>
    <row r="438" spans="1:1">
      <c r="A438" s="1528"/>
    </row>
    <row r="439" spans="1:1">
      <c r="A439" s="1528"/>
    </row>
    <row r="440" spans="1:1">
      <c r="A440" s="1528"/>
    </row>
    <row r="441" spans="1:1">
      <c r="A441" s="1528"/>
    </row>
    <row r="442" spans="1:1">
      <c r="A442" s="1528"/>
    </row>
    <row r="443" spans="1:1">
      <c r="A443" s="1528"/>
    </row>
    <row r="444" spans="1:1">
      <c r="A444" s="1528"/>
    </row>
    <row r="445" spans="1:1">
      <c r="A445" s="1528"/>
    </row>
    <row r="446" spans="1:1">
      <c r="A446" s="1528"/>
    </row>
    <row r="447" spans="1:1">
      <c r="A447" s="1528"/>
    </row>
    <row r="448" spans="1:1">
      <c r="A448" s="1528"/>
    </row>
    <row r="449" spans="1:1">
      <c r="A449" s="1528"/>
    </row>
    <row r="450" spans="1:1">
      <c r="A450" s="1528"/>
    </row>
    <row r="451" spans="1:1">
      <c r="A451" s="1528"/>
    </row>
    <row r="452" spans="1:1">
      <c r="A452" s="1528"/>
    </row>
    <row r="453" spans="1:1">
      <c r="A453" s="1528"/>
    </row>
    <row r="454" spans="1:1">
      <c r="A454" s="1528"/>
    </row>
    <row r="455" spans="1:1">
      <c r="A455" s="1528"/>
    </row>
    <row r="456" spans="1:1">
      <c r="A456" s="1528"/>
    </row>
    <row r="457" spans="1:1">
      <c r="A457" s="1528"/>
    </row>
    <row r="458" spans="1:1">
      <c r="A458" s="1528"/>
    </row>
    <row r="459" spans="1:1">
      <c r="A459" s="1528"/>
    </row>
    <row r="460" spans="1:1">
      <c r="A460" s="1528"/>
    </row>
    <row r="461" spans="1:1">
      <c r="A461" s="1528"/>
    </row>
    <row r="462" spans="1:1">
      <c r="A462" s="1528"/>
    </row>
    <row r="463" spans="1:1">
      <c r="A463" s="1528"/>
    </row>
    <row r="464" spans="1:1">
      <c r="A464" s="1528"/>
    </row>
    <row r="465" spans="1:1">
      <c r="A465" s="1528"/>
    </row>
    <row r="466" spans="1:1">
      <c r="A466" s="1528"/>
    </row>
    <row r="467" spans="1:1">
      <c r="A467" s="1528"/>
    </row>
    <row r="468" spans="1:1">
      <c r="A468" s="1528"/>
    </row>
    <row r="469" spans="1:1">
      <c r="A469" s="1528"/>
    </row>
    <row r="470" spans="1:1">
      <c r="A470" s="1528"/>
    </row>
    <row r="471" spans="1:1">
      <c r="A471" s="1528"/>
    </row>
    <row r="472" spans="1:1">
      <c r="A472" s="1528"/>
    </row>
    <row r="473" spans="1:1">
      <c r="A473" s="1528"/>
    </row>
    <row r="474" spans="1:1">
      <c r="A474" s="1528"/>
    </row>
    <row r="475" spans="1:1">
      <c r="A475" s="1528"/>
    </row>
    <row r="476" spans="1:1">
      <c r="A476" s="1528"/>
    </row>
    <row r="477" spans="1:1">
      <c r="A477" s="1528"/>
    </row>
    <row r="478" spans="1:1">
      <c r="A478" s="1528"/>
    </row>
    <row r="479" spans="1:1">
      <c r="A479" s="1528"/>
    </row>
    <row r="480" spans="1:1">
      <c r="A480" s="1528"/>
    </row>
    <row r="481" spans="1:1">
      <c r="A481" s="1528"/>
    </row>
    <row r="482" spans="1:1">
      <c r="A482" s="1528"/>
    </row>
    <row r="483" spans="1:1">
      <c r="A483" s="1528"/>
    </row>
    <row r="484" spans="1:1">
      <c r="A484" s="1528"/>
    </row>
    <row r="485" spans="1:1">
      <c r="A485" s="1528"/>
    </row>
    <row r="486" spans="1:1">
      <c r="A486" s="1528"/>
    </row>
    <row r="487" spans="1:1">
      <c r="A487" s="1528"/>
    </row>
    <row r="488" spans="1:1">
      <c r="A488" s="1528"/>
    </row>
    <row r="489" spans="1:1">
      <c r="A489" s="1528"/>
    </row>
    <row r="490" spans="1:1">
      <c r="A490" s="1528"/>
    </row>
    <row r="491" spans="1:1">
      <c r="A491" s="1528"/>
    </row>
    <row r="492" spans="1:1">
      <c r="A492" s="1528"/>
    </row>
    <row r="493" spans="1:1">
      <c r="A493" s="1528"/>
    </row>
    <row r="494" spans="1:1">
      <c r="A494" s="1528"/>
    </row>
    <row r="495" spans="1:1">
      <c r="A495" s="1528"/>
    </row>
    <row r="496" spans="1:1">
      <c r="A496" s="1528"/>
    </row>
    <row r="497" spans="1:1">
      <c r="A497" s="1528"/>
    </row>
    <row r="498" spans="1:1">
      <c r="A498" s="1528"/>
    </row>
    <row r="499" spans="1:1">
      <c r="A499" s="1528"/>
    </row>
    <row r="500" spans="1:1">
      <c r="A500" s="1528"/>
    </row>
    <row r="501" spans="1:1">
      <c r="A501" s="1528"/>
    </row>
    <row r="502" spans="1:1">
      <c r="A502" s="1528"/>
    </row>
    <row r="503" spans="1:1">
      <c r="A503" s="1528"/>
    </row>
    <row r="504" spans="1:1">
      <c r="A504" s="1528"/>
    </row>
    <row r="505" spans="1:1">
      <c r="A505" s="1528"/>
    </row>
    <row r="506" spans="1:1">
      <c r="A506" s="1528"/>
    </row>
    <row r="507" spans="1:1">
      <c r="A507" s="1528"/>
    </row>
    <row r="508" spans="1:1">
      <c r="A508" s="1528"/>
    </row>
    <row r="509" spans="1:1">
      <c r="A509" s="1528"/>
    </row>
    <row r="510" spans="1:1">
      <c r="A510" s="1528"/>
    </row>
    <row r="511" spans="1:1">
      <c r="A511" s="1528"/>
    </row>
    <row r="512" spans="1:1">
      <c r="A512" s="1528"/>
    </row>
    <row r="513" spans="1:1">
      <c r="A513" s="1528"/>
    </row>
    <row r="514" spans="1:1">
      <c r="A514" s="1528"/>
    </row>
    <row r="515" spans="1:1">
      <c r="A515" s="1528"/>
    </row>
    <row r="516" spans="1:1">
      <c r="A516" s="1528"/>
    </row>
    <row r="517" spans="1:1">
      <c r="A517" s="1528"/>
    </row>
    <row r="518" spans="1:1">
      <c r="A518" s="1528"/>
    </row>
    <row r="519" spans="1:1">
      <c r="A519" s="1528"/>
    </row>
    <row r="520" spans="1:1">
      <c r="A520" s="1528"/>
    </row>
    <row r="521" spans="1:1">
      <c r="A521" s="1528"/>
    </row>
    <row r="522" spans="1:1">
      <c r="A522" s="1528"/>
    </row>
    <row r="523" spans="1:1">
      <c r="A523" s="1528"/>
    </row>
    <row r="524" spans="1:1">
      <c r="A524" s="1528"/>
    </row>
    <row r="525" spans="1:1">
      <c r="A525" s="1528"/>
    </row>
    <row r="526" spans="1:1">
      <c r="A526" s="1528"/>
    </row>
    <row r="527" spans="1:1">
      <c r="A527" s="1528"/>
    </row>
    <row r="528" spans="1:1">
      <c r="A528" s="1528"/>
    </row>
    <row r="529" spans="1:1">
      <c r="A529" s="1528"/>
    </row>
    <row r="530" spans="1:1">
      <c r="A530" s="1528"/>
    </row>
    <row r="531" spans="1:1">
      <c r="A531" s="1528"/>
    </row>
    <row r="532" spans="1:1">
      <c r="A532" s="1528"/>
    </row>
    <row r="533" spans="1:1">
      <c r="A533" s="1528"/>
    </row>
    <row r="534" spans="1:1">
      <c r="A534" s="1528"/>
    </row>
    <row r="535" spans="1:1">
      <c r="A535" s="1528"/>
    </row>
    <row r="536" spans="1:1">
      <c r="A536" s="1528"/>
    </row>
    <row r="537" spans="1:1">
      <c r="A537" s="1528"/>
    </row>
    <row r="538" spans="1:1">
      <c r="A538" s="1528"/>
    </row>
    <row r="539" spans="1:1">
      <c r="A539" s="1528"/>
    </row>
    <row r="540" spans="1:1">
      <c r="A540" s="1528"/>
    </row>
    <row r="541" spans="1:1">
      <c r="A541" s="1528"/>
    </row>
    <row r="542" spans="1:1">
      <c r="A542" s="1528"/>
    </row>
    <row r="543" spans="1:1">
      <c r="A543" s="1528"/>
    </row>
    <row r="544" spans="1:1">
      <c r="A544" s="1528"/>
    </row>
    <row r="545" spans="1:1">
      <c r="A545" s="1528"/>
    </row>
    <row r="546" spans="1:1">
      <c r="A546" s="1528"/>
    </row>
    <row r="547" spans="1:1">
      <c r="A547" s="1528"/>
    </row>
    <row r="548" spans="1:1">
      <c r="A548" s="1528"/>
    </row>
    <row r="549" spans="1:1">
      <c r="A549" s="1528"/>
    </row>
    <row r="550" spans="1:1">
      <c r="A550" s="1528"/>
    </row>
    <row r="551" spans="1:1">
      <c r="A551" s="1528"/>
    </row>
    <row r="552" spans="1:1">
      <c r="A552" s="1528"/>
    </row>
    <row r="553" spans="1:1">
      <c r="A553" s="1528"/>
    </row>
    <row r="554" spans="1:1">
      <c r="A554" s="1528"/>
    </row>
    <row r="555" spans="1:1">
      <c r="A555" s="1528"/>
    </row>
    <row r="556" spans="1:1">
      <c r="A556" s="1528"/>
    </row>
    <row r="557" spans="1:1">
      <c r="A557" s="1528"/>
    </row>
    <row r="558" spans="1:1">
      <c r="A558" s="1528"/>
    </row>
    <row r="559" spans="1:1">
      <c r="A559" s="1528"/>
    </row>
    <row r="560" spans="1:1">
      <c r="A560" s="1528"/>
    </row>
    <row r="561" spans="1:1">
      <c r="A561" s="1528"/>
    </row>
    <row r="562" spans="1:1">
      <c r="A562" s="1528"/>
    </row>
    <row r="563" spans="1:1">
      <c r="A563" s="1528"/>
    </row>
    <row r="564" spans="1:1">
      <c r="A564" s="1528"/>
    </row>
    <row r="565" spans="1:1">
      <c r="A565" s="1528"/>
    </row>
    <row r="566" spans="1:1">
      <c r="A566" s="1528"/>
    </row>
    <row r="567" spans="1:1">
      <c r="A567" s="1528"/>
    </row>
    <row r="568" spans="1:1">
      <c r="A568" s="1528"/>
    </row>
    <row r="569" spans="1:1">
      <c r="A569" s="1528"/>
    </row>
    <row r="570" spans="1:1">
      <c r="A570" s="1528"/>
    </row>
    <row r="571" spans="1:1">
      <c r="A571" s="1528"/>
    </row>
    <row r="572" spans="1:1">
      <c r="A572" s="1528"/>
    </row>
    <row r="573" spans="1:1">
      <c r="A573" s="1528"/>
    </row>
    <row r="574" spans="1:1">
      <c r="A574" s="1528"/>
    </row>
    <row r="575" spans="1:1">
      <c r="A575" s="1528"/>
    </row>
    <row r="576" spans="1:1">
      <c r="A576" s="1528"/>
    </row>
    <row r="577" spans="1:1">
      <c r="A577" s="1528"/>
    </row>
    <row r="578" spans="1:1">
      <c r="A578" s="1528"/>
    </row>
    <row r="579" spans="1:1">
      <c r="A579" s="1528"/>
    </row>
    <row r="580" spans="1:1">
      <c r="A580" s="1528"/>
    </row>
    <row r="581" spans="1:1">
      <c r="A581" s="1528"/>
    </row>
    <row r="582" spans="1:1">
      <c r="A582" s="1528"/>
    </row>
    <row r="583" spans="1:1">
      <c r="A583" s="1528"/>
    </row>
    <row r="584" spans="1:1">
      <c r="A584" s="1528"/>
    </row>
    <row r="585" spans="1:1">
      <c r="A585" s="1528"/>
    </row>
    <row r="586" spans="1:1">
      <c r="A586" s="1528"/>
    </row>
    <row r="587" spans="1:1">
      <c r="A587" s="1528"/>
    </row>
    <row r="588" spans="1:1">
      <c r="A588" s="1528"/>
    </row>
    <row r="589" spans="1:1">
      <c r="A589" s="1528"/>
    </row>
    <row r="590" spans="1:1">
      <c r="A590" s="1528"/>
    </row>
    <row r="591" spans="1:1">
      <c r="A591" s="1528"/>
    </row>
    <row r="592" spans="1:1">
      <c r="A592" s="1528"/>
    </row>
    <row r="593" spans="1:1">
      <c r="A593" s="1528"/>
    </row>
    <row r="594" spans="1:1">
      <c r="A594" s="1528"/>
    </row>
    <row r="595" spans="1:1">
      <c r="A595" s="1528"/>
    </row>
    <row r="596" spans="1:1">
      <c r="A596" s="1528"/>
    </row>
    <row r="597" spans="1:1">
      <c r="A597" s="1528"/>
    </row>
    <row r="598" spans="1:1">
      <c r="A598" s="1528"/>
    </row>
    <row r="599" spans="1:1">
      <c r="A599" s="1528"/>
    </row>
    <row r="600" spans="1:1">
      <c r="A600" s="1528"/>
    </row>
    <row r="601" spans="1:1">
      <c r="A601" s="1528"/>
    </row>
    <row r="602" spans="1:1">
      <c r="A602" s="1528"/>
    </row>
    <row r="603" spans="1:1">
      <c r="A603" s="1528"/>
    </row>
    <row r="604" spans="1:1">
      <c r="A604" s="1528"/>
    </row>
    <row r="605" spans="1:1">
      <c r="A605" s="1528"/>
    </row>
    <row r="606" spans="1:1">
      <c r="A606" s="1528"/>
    </row>
    <row r="607" spans="1:1">
      <c r="A607" s="1528"/>
    </row>
    <row r="608" spans="1:1">
      <c r="A608" s="1528"/>
    </row>
    <row r="609" spans="1:1">
      <c r="A609" s="1528"/>
    </row>
    <row r="610" spans="1:1">
      <c r="A610" s="1528"/>
    </row>
    <row r="611" spans="1:1">
      <c r="A611" s="1528"/>
    </row>
    <row r="612" spans="1:1">
      <c r="A612" s="1528"/>
    </row>
    <row r="613" spans="1:1">
      <c r="A613" s="1528"/>
    </row>
    <row r="614" spans="1:1">
      <c r="A614" s="1528"/>
    </row>
    <row r="615" spans="1:1">
      <c r="A615" s="1528"/>
    </row>
    <row r="616" spans="1:1">
      <c r="A616" s="1528"/>
    </row>
    <row r="617" spans="1:1">
      <c r="A617" s="1528"/>
    </row>
    <row r="618" spans="1:1">
      <c r="A618" s="1528"/>
    </row>
    <row r="619" spans="1:1">
      <c r="A619" s="1528"/>
    </row>
    <row r="620" spans="1:1">
      <c r="A620" s="1528"/>
    </row>
    <row r="621" spans="1:1">
      <c r="A621" s="1528"/>
    </row>
    <row r="622" spans="1:1">
      <c r="A622" s="1528"/>
    </row>
    <row r="623" spans="1:1">
      <c r="A623" s="1528"/>
    </row>
    <row r="624" spans="1:1">
      <c r="A624" s="1528"/>
    </row>
    <row r="625" spans="1:1">
      <c r="A625" s="1528"/>
    </row>
    <row r="626" spans="1:1">
      <c r="A626" s="1528"/>
    </row>
    <row r="627" spans="1:1">
      <c r="A627" s="1528"/>
    </row>
    <row r="628" spans="1:1">
      <c r="A628" s="1528"/>
    </row>
    <row r="629" spans="1:1">
      <c r="A629" s="1528"/>
    </row>
    <row r="630" spans="1:1">
      <c r="A630" s="1528"/>
    </row>
    <row r="631" spans="1:1">
      <c r="A631" s="1528"/>
    </row>
    <row r="632" spans="1:1">
      <c r="A632" s="1528"/>
    </row>
    <row r="633" spans="1:1">
      <c r="A633" s="1528"/>
    </row>
    <row r="634" spans="1:1">
      <c r="A634" s="1528"/>
    </row>
    <row r="635" spans="1:1">
      <c r="A635" s="1528"/>
    </row>
    <row r="636" spans="1:1">
      <c r="A636" s="1528"/>
    </row>
    <row r="637" spans="1:1">
      <c r="A637" s="1528"/>
    </row>
    <row r="638" spans="1:1">
      <c r="A638" s="1528"/>
    </row>
    <row r="639" spans="1:1">
      <c r="A639" s="1528"/>
    </row>
    <row r="640" spans="1:1">
      <c r="A640" s="1528"/>
    </row>
    <row r="641" spans="1:1">
      <c r="A641" s="1528"/>
    </row>
    <row r="642" spans="1:1">
      <c r="A642" s="1528"/>
    </row>
    <row r="643" spans="1:1">
      <c r="A643" s="1528"/>
    </row>
    <row r="644" spans="1:1">
      <c r="A644" s="1528"/>
    </row>
    <row r="645" spans="1:1">
      <c r="A645" s="1528"/>
    </row>
    <row r="646" spans="1:1">
      <c r="A646" s="1528"/>
    </row>
    <row r="647" spans="1:1">
      <c r="A647" s="1528"/>
    </row>
    <row r="648" spans="1:1">
      <c r="A648" s="1528"/>
    </row>
    <row r="649" spans="1:1">
      <c r="A649" s="1528"/>
    </row>
    <row r="650" spans="1:1">
      <c r="A650" s="1528"/>
    </row>
    <row r="651" spans="1:1">
      <c r="A651" s="1528"/>
    </row>
    <row r="652" spans="1:1">
      <c r="A652" s="1528"/>
    </row>
    <row r="653" spans="1:1">
      <c r="A653" s="1528"/>
    </row>
    <row r="654" spans="1:1">
      <c r="A654" s="1528"/>
    </row>
    <row r="655" spans="1:1">
      <c r="A655" s="1528"/>
    </row>
    <row r="656" spans="1:1">
      <c r="A656" s="1528"/>
    </row>
    <row r="657" spans="1:1">
      <c r="A657" s="1528"/>
    </row>
    <row r="658" spans="1:1">
      <c r="A658" s="1528"/>
    </row>
    <row r="659" spans="1:1">
      <c r="A659" s="1528"/>
    </row>
    <row r="660" spans="1:1">
      <c r="A660" s="1528"/>
    </row>
    <row r="661" spans="1:1">
      <c r="A661" s="1528"/>
    </row>
    <row r="662" spans="1:1">
      <c r="A662" s="1528"/>
    </row>
    <row r="663" spans="1:1">
      <c r="A663" s="1528"/>
    </row>
    <row r="664" spans="1:1">
      <c r="A664" s="1528"/>
    </row>
    <row r="665" spans="1:1">
      <c r="A665" s="1528"/>
    </row>
    <row r="666" spans="1:1">
      <c r="A666" s="1528"/>
    </row>
    <row r="667" spans="1:1">
      <c r="A667" s="1528"/>
    </row>
    <row r="668" spans="1:1">
      <c r="A668" s="1528"/>
    </row>
    <row r="669" spans="1:1">
      <c r="A669" s="1528"/>
    </row>
    <row r="670" spans="1:1">
      <c r="A670" s="1528"/>
    </row>
    <row r="671" spans="1:1">
      <c r="A671" s="1528"/>
    </row>
    <row r="672" spans="1:1">
      <c r="A672" s="1528"/>
    </row>
    <row r="673" spans="1:1">
      <c r="A673" s="1528"/>
    </row>
    <row r="674" spans="1:1">
      <c r="A674" s="1528"/>
    </row>
    <row r="675" spans="1:1">
      <c r="A675" s="1528"/>
    </row>
    <row r="676" spans="1:1">
      <c r="A676" s="1528"/>
    </row>
    <row r="677" spans="1:1">
      <c r="A677" s="1528"/>
    </row>
    <row r="678" spans="1:1">
      <c r="A678" s="1528"/>
    </row>
    <row r="679" spans="1:1">
      <c r="A679" s="1528"/>
    </row>
    <row r="680" spans="1:1">
      <c r="A680" s="1528"/>
    </row>
    <row r="681" spans="1:1">
      <c r="A681" s="1528"/>
    </row>
    <row r="682" spans="1:1">
      <c r="A682" s="1528"/>
    </row>
    <row r="683" spans="1:1">
      <c r="A683" s="1528"/>
    </row>
    <row r="684" spans="1:1">
      <c r="A684" s="1528"/>
    </row>
    <row r="685" spans="1:1">
      <c r="A685" s="1528"/>
    </row>
    <row r="686" spans="1:1">
      <c r="A686" s="1528"/>
    </row>
    <row r="687" spans="1:1">
      <c r="A687" s="1528"/>
    </row>
    <row r="688" spans="1:1">
      <c r="A688" s="1528"/>
    </row>
    <row r="689" spans="1:1">
      <c r="A689" s="1528"/>
    </row>
    <row r="690" spans="1:1">
      <c r="A690" s="1528"/>
    </row>
    <row r="691" spans="1:1">
      <c r="A691" s="1528"/>
    </row>
    <row r="692" spans="1:1">
      <c r="A692" s="1528"/>
    </row>
    <row r="693" spans="1:1">
      <c r="A693" s="1528"/>
    </row>
    <row r="694" spans="1:1">
      <c r="A694" s="1528"/>
    </row>
    <row r="695" spans="1:1">
      <c r="A695" s="1528"/>
    </row>
    <row r="696" spans="1:1">
      <c r="A696" s="1528"/>
    </row>
    <row r="697" spans="1:1">
      <c r="A697" s="1528"/>
    </row>
    <row r="698" spans="1:1">
      <c r="A698" s="1528"/>
    </row>
    <row r="699" spans="1:1">
      <c r="A699" s="1528"/>
    </row>
    <row r="700" spans="1:1">
      <c r="A700" s="1528"/>
    </row>
    <row r="701" spans="1:1">
      <c r="A701" s="1528"/>
    </row>
    <row r="702" spans="1:1">
      <c r="A702" s="1528"/>
    </row>
    <row r="703" spans="1:1">
      <c r="A703" s="1528"/>
    </row>
    <row r="704" spans="1:1">
      <c r="A704" s="1528"/>
    </row>
    <row r="705" spans="1:1">
      <c r="A705" s="1528"/>
    </row>
    <row r="706" spans="1:1">
      <c r="A706" s="1528"/>
    </row>
    <row r="707" spans="1:1">
      <c r="A707" s="1528"/>
    </row>
    <row r="708" spans="1:1">
      <c r="A708" s="1528"/>
    </row>
    <row r="709" spans="1:1">
      <c r="A709" s="1528"/>
    </row>
    <row r="710" spans="1:1">
      <c r="A710" s="1528"/>
    </row>
    <row r="711" spans="1:1">
      <c r="A711" s="1528"/>
    </row>
    <row r="712" spans="1:1">
      <c r="A712" s="1528"/>
    </row>
    <row r="713" spans="1:1">
      <c r="A713" s="1528"/>
    </row>
    <row r="714" spans="1:1">
      <c r="A714" s="1528"/>
    </row>
    <row r="715" spans="1:1">
      <c r="A715" s="1528"/>
    </row>
    <row r="716" spans="1:1">
      <c r="A716" s="1528"/>
    </row>
    <row r="717" spans="1:1">
      <c r="A717" s="1528"/>
    </row>
    <row r="718" spans="1:1">
      <c r="A718" s="1528"/>
    </row>
    <row r="719" spans="1:1">
      <c r="A719" s="1528"/>
    </row>
    <row r="720" spans="1:1">
      <c r="A720" s="1528"/>
    </row>
    <row r="721" spans="1:1">
      <c r="A721" s="1528"/>
    </row>
    <row r="722" spans="1:1">
      <c r="A722" s="1528"/>
    </row>
    <row r="723" spans="1:1">
      <c r="A723" s="1528"/>
    </row>
    <row r="724" spans="1:1">
      <c r="A724" s="1528"/>
    </row>
    <row r="725" spans="1:1">
      <c r="A725" s="1528"/>
    </row>
    <row r="726" spans="1:1">
      <c r="A726" s="1528"/>
    </row>
    <row r="727" spans="1:1">
      <c r="A727" s="1528"/>
    </row>
    <row r="728" spans="1:1">
      <c r="A728" s="1528"/>
    </row>
    <row r="729" spans="1:1">
      <c r="A729" s="1528"/>
    </row>
    <row r="730" spans="1:1">
      <c r="A730" s="1528"/>
    </row>
    <row r="731" spans="1:1">
      <c r="A731" s="1528"/>
    </row>
    <row r="732" spans="1:1">
      <c r="A732" s="1528"/>
    </row>
    <row r="733" spans="1:1">
      <c r="A733" s="1528"/>
    </row>
    <row r="734" spans="1:1">
      <c r="A734" s="1528"/>
    </row>
    <row r="735" spans="1:1">
      <c r="A735" s="1528"/>
    </row>
    <row r="736" spans="1:1">
      <c r="A736" s="1528"/>
    </row>
    <row r="737" spans="1:1">
      <c r="A737" s="1528"/>
    </row>
    <row r="738" spans="1:1">
      <c r="A738" s="1528"/>
    </row>
    <row r="739" spans="1:1">
      <c r="A739" s="1528"/>
    </row>
    <row r="740" spans="1:1">
      <c r="A740" s="1528"/>
    </row>
    <row r="741" spans="1:1">
      <c r="A741" s="1528"/>
    </row>
    <row r="742" spans="1:1">
      <c r="A742" s="1528"/>
    </row>
    <row r="743" spans="1:1">
      <c r="A743" s="1528"/>
    </row>
    <row r="744" spans="1:1">
      <c r="A744" s="1528"/>
    </row>
    <row r="745" spans="1:1">
      <c r="A745" s="1528"/>
    </row>
    <row r="746" spans="1:1">
      <c r="A746" s="1528"/>
    </row>
    <row r="747" spans="1:1">
      <c r="A747" s="1528"/>
    </row>
    <row r="748" spans="1:1">
      <c r="A748" s="1528"/>
    </row>
    <row r="749" spans="1:1">
      <c r="A749" s="1528"/>
    </row>
    <row r="750" spans="1:1">
      <c r="A750" s="1528"/>
    </row>
    <row r="751" spans="1:1">
      <c r="A751" s="1528"/>
    </row>
    <row r="752" spans="1:1">
      <c r="A752" s="1528"/>
    </row>
    <row r="753" spans="1:1">
      <c r="A753" s="1528"/>
    </row>
    <row r="754" spans="1:1">
      <c r="A754" s="1528"/>
    </row>
    <row r="755" spans="1:1">
      <c r="A755" s="1528"/>
    </row>
    <row r="756" spans="1:1">
      <c r="A756" s="1528"/>
    </row>
    <row r="757" spans="1:1">
      <c r="A757" s="1528"/>
    </row>
    <row r="758" spans="1:1">
      <c r="A758" s="1528"/>
    </row>
    <row r="759" spans="1:1">
      <c r="A759" s="1528"/>
    </row>
    <row r="760" spans="1:1">
      <c r="A760" s="1528"/>
    </row>
    <row r="761" spans="1:1">
      <c r="A761" s="1528"/>
    </row>
    <row r="762" spans="1:1">
      <c r="A762" s="1528"/>
    </row>
    <row r="763" spans="1:1">
      <c r="A763" s="1528"/>
    </row>
    <row r="764" spans="1:1">
      <c r="A764" s="1528"/>
    </row>
    <row r="765" spans="1:1">
      <c r="A765" s="1528"/>
    </row>
    <row r="766" spans="1:1">
      <c r="A766" s="1528"/>
    </row>
    <row r="767" spans="1:1">
      <c r="A767" s="1528"/>
    </row>
    <row r="768" spans="1:1">
      <c r="A768" s="1528"/>
    </row>
    <row r="769" spans="1:1">
      <c r="A769" s="1528"/>
    </row>
    <row r="770" spans="1:1">
      <c r="A770" s="1528"/>
    </row>
    <row r="771" spans="1:1">
      <c r="A771" s="1528"/>
    </row>
    <row r="772" spans="1:1">
      <c r="A772" s="1528"/>
    </row>
    <row r="773" spans="1:1">
      <c r="A773" s="1528"/>
    </row>
    <row r="774" spans="1:1">
      <c r="A774" s="1528"/>
    </row>
    <row r="775" spans="1:1">
      <c r="A775" s="1528"/>
    </row>
    <row r="776" spans="1:1">
      <c r="A776" s="1528"/>
    </row>
    <row r="777" spans="1:1">
      <c r="A777" s="1528"/>
    </row>
    <row r="778" spans="1:1">
      <c r="A778" s="1528"/>
    </row>
    <row r="779" spans="1:1">
      <c r="A779" s="1528"/>
    </row>
    <row r="780" spans="1:1">
      <c r="A780" s="1528"/>
    </row>
    <row r="781" spans="1:1">
      <c r="A781" s="1528"/>
    </row>
    <row r="782" spans="1:1">
      <c r="A782" s="1528"/>
    </row>
    <row r="783" spans="1:1">
      <c r="A783" s="1528"/>
    </row>
    <row r="784" spans="1:1">
      <c r="A784" s="1528"/>
    </row>
    <row r="785" spans="1:1">
      <c r="A785" s="1528"/>
    </row>
    <row r="786" spans="1:1">
      <c r="A786" s="1528"/>
    </row>
    <row r="787" spans="1:1">
      <c r="A787" s="1528"/>
    </row>
    <row r="788" spans="1:1">
      <c r="A788" s="1528"/>
    </row>
    <row r="789" spans="1:1">
      <c r="A789" s="1528"/>
    </row>
    <row r="790" spans="1:1">
      <c r="A790" s="1528"/>
    </row>
    <row r="791" spans="1:1">
      <c r="A791" s="1528"/>
    </row>
    <row r="792" spans="1:1">
      <c r="A792" s="1528"/>
    </row>
    <row r="793" spans="1:1">
      <c r="A793" s="1528"/>
    </row>
    <row r="794" spans="1:1">
      <c r="A794" s="1528"/>
    </row>
    <row r="795" spans="1:1">
      <c r="A795" s="1528"/>
    </row>
    <row r="796" spans="1:1">
      <c r="A796" s="1528"/>
    </row>
    <row r="797" spans="1:1">
      <c r="A797" s="1528"/>
    </row>
    <row r="798" spans="1:1">
      <c r="A798" s="1528"/>
    </row>
    <row r="799" spans="1:1">
      <c r="A799" s="1528"/>
    </row>
    <row r="800" spans="1:1">
      <c r="A800" s="1528"/>
    </row>
    <row r="801" spans="1:1">
      <c r="A801" s="1528"/>
    </row>
    <row r="802" spans="1:1">
      <c r="A802" s="1528"/>
    </row>
    <row r="803" spans="1:1">
      <c r="A803" s="1528"/>
    </row>
    <row r="804" spans="1:1">
      <c r="A804" s="1528"/>
    </row>
    <row r="805" spans="1:1">
      <c r="A805" s="1528"/>
    </row>
    <row r="806" spans="1:1">
      <c r="A806" s="1528"/>
    </row>
    <row r="807" spans="1:1">
      <c r="A807" s="1528"/>
    </row>
    <row r="808" spans="1:1">
      <c r="A808" s="1528"/>
    </row>
    <row r="809" spans="1:1">
      <c r="A809" s="1528"/>
    </row>
    <row r="810" spans="1:1">
      <c r="A810" s="1528"/>
    </row>
    <row r="811" spans="1:1">
      <c r="A811" s="1528"/>
    </row>
  </sheetData>
  <mergeCells count="11">
    <mergeCell ref="I3:I4"/>
    <mergeCell ref="A1:H1"/>
    <mergeCell ref="A2:H2"/>
    <mergeCell ref="A3:A5"/>
    <mergeCell ref="B3:B5"/>
    <mergeCell ref="C3:C4"/>
    <mergeCell ref="D3:D4"/>
    <mergeCell ref="E3:E4"/>
    <mergeCell ref="F3:F4"/>
    <mergeCell ref="G3:G4"/>
    <mergeCell ref="H3:H4"/>
  </mergeCells>
  <phoneticPr fontId="51" type="noConversion"/>
  <hyperlinks>
    <hyperlink ref="K1" location="余额表!A1" display="余额表!A1"/>
    <hyperlink ref="J9" location="营业费用!A1" display="营业费用!A1"/>
    <hyperlink ref="J11" location="管理费用!A1" display="管理费用!A1"/>
    <hyperlink ref="J13" location="财务费用!A1" display="财务费用!A1"/>
  </hyperlinks>
  <printOptions horizontalCentered="1"/>
  <pageMargins left="0.78740157480314998" right="0.35433070866141703" top="0.511811023622047" bottom="0.11811023622047198" header="0.511811023622047" footer="0.511811023622047"/>
  <pageSetup paperSize="9" orientation="portrait" useFirstPageNumber="1" r:id="rId1"/>
</worksheet>
</file>

<file path=xl/worksheets/sheet1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23"/>
  <dimension ref="A1:H47"/>
  <sheetViews>
    <sheetView workbookViewId="0">
      <selection activeCell="A2" sqref="A2:F2"/>
    </sheetView>
  </sheetViews>
  <sheetFormatPr defaultRowHeight="14.1" customHeight="1"/>
  <cols>
    <col min="1" max="1" width="3.59765625" style="1549" customWidth="1"/>
    <col min="2" max="2" width="48.09765625" style="1544" customWidth="1"/>
    <col min="3" max="6" width="11.8984375" style="1550" customWidth="1"/>
    <col min="7" max="7" width="26.69921875" style="1543" customWidth="1"/>
    <col min="8" max="8" width="30.09765625" style="1544" customWidth="1"/>
    <col min="9" max="256" width="9" style="1544"/>
    <col min="257" max="257" width="5.19921875" style="1544" customWidth="1"/>
    <col min="258" max="258" width="48.09765625" style="1544" customWidth="1"/>
    <col min="259" max="262" width="6.59765625" style="1544" customWidth="1"/>
    <col min="263" max="263" width="31.5" style="1544" customWidth="1"/>
    <col min="264" max="264" width="30.09765625" style="1544" customWidth="1"/>
    <col min="265" max="512" width="9" style="1544"/>
    <col min="513" max="513" width="5.19921875" style="1544" customWidth="1"/>
    <col min="514" max="514" width="48.09765625" style="1544" customWidth="1"/>
    <col min="515" max="518" width="6.59765625" style="1544" customWidth="1"/>
    <col min="519" max="519" width="31.5" style="1544" customWidth="1"/>
    <col min="520" max="520" width="30.09765625" style="1544" customWidth="1"/>
    <col min="521" max="768" width="9" style="1544"/>
    <col min="769" max="769" width="5.19921875" style="1544" customWidth="1"/>
    <col min="770" max="770" width="48.09765625" style="1544" customWidth="1"/>
    <col min="771" max="774" width="6.59765625" style="1544" customWidth="1"/>
    <col min="775" max="775" width="31.5" style="1544" customWidth="1"/>
    <col min="776" max="776" width="30.09765625" style="1544" customWidth="1"/>
    <col min="777" max="1024" width="9" style="1544"/>
    <col min="1025" max="1025" width="5.19921875" style="1544" customWidth="1"/>
    <col min="1026" max="1026" width="48.09765625" style="1544" customWidth="1"/>
    <col min="1027" max="1030" width="6.59765625" style="1544" customWidth="1"/>
    <col min="1031" max="1031" width="31.5" style="1544" customWidth="1"/>
    <col min="1032" max="1032" width="30.09765625" style="1544" customWidth="1"/>
    <col min="1033" max="1280" width="9" style="1544"/>
    <col min="1281" max="1281" width="5.19921875" style="1544" customWidth="1"/>
    <col min="1282" max="1282" width="48.09765625" style="1544" customWidth="1"/>
    <col min="1283" max="1286" width="6.59765625" style="1544" customWidth="1"/>
    <col min="1287" max="1287" width="31.5" style="1544" customWidth="1"/>
    <col min="1288" max="1288" width="30.09765625" style="1544" customWidth="1"/>
    <col min="1289" max="1536" width="9" style="1544"/>
    <col min="1537" max="1537" width="5.19921875" style="1544" customWidth="1"/>
    <col min="1538" max="1538" width="48.09765625" style="1544" customWidth="1"/>
    <col min="1539" max="1542" width="6.59765625" style="1544" customWidth="1"/>
    <col min="1543" max="1543" width="31.5" style="1544" customWidth="1"/>
    <col min="1544" max="1544" width="30.09765625" style="1544" customWidth="1"/>
    <col min="1545" max="1792" width="9" style="1544"/>
    <col min="1793" max="1793" width="5.19921875" style="1544" customWidth="1"/>
    <col min="1794" max="1794" width="48.09765625" style="1544" customWidth="1"/>
    <col min="1795" max="1798" width="6.59765625" style="1544" customWidth="1"/>
    <col min="1799" max="1799" width="31.5" style="1544" customWidth="1"/>
    <col min="1800" max="1800" width="30.09765625" style="1544" customWidth="1"/>
    <col min="1801" max="2048" width="9" style="1544"/>
    <col min="2049" max="2049" width="5.19921875" style="1544" customWidth="1"/>
    <col min="2050" max="2050" width="48.09765625" style="1544" customWidth="1"/>
    <col min="2051" max="2054" width="6.59765625" style="1544" customWidth="1"/>
    <col min="2055" max="2055" width="31.5" style="1544" customWidth="1"/>
    <col min="2056" max="2056" width="30.09765625" style="1544" customWidth="1"/>
    <col min="2057" max="2304" width="9" style="1544"/>
    <col min="2305" max="2305" width="5.19921875" style="1544" customWidth="1"/>
    <col min="2306" max="2306" width="48.09765625" style="1544" customWidth="1"/>
    <col min="2307" max="2310" width="6.59765625" style="1544" customWidth="1"/>
    <col min="2311" max="2311" width="31.5" style="1544" customWidth="1"/>
    <col min="2312" max="2312" width="30.09765625" style="1544" customWidth="1"/>
    <col min="2313" max="2560" width="9" style="1544"/>
    <col min="2561" max="2561" width="5.19921875" style="1544" customWidth="1"/>
    <col min="2562" max="2562" width="48.09765625" style="1544" customWidth="1"/>
    <col min="2563" max="2566" width="6.59765625" style="1544" customWidth="1"/>
    <col min="2567" max="2567" width="31.5" style="1544" customWidth="1"/>
    <col min="2568" max="2568" width="30.09765625" style="1544" customWidth="1"/>
    <col min="2569" max="2816" width="9" style="1544"/>
    <col min="2817" max="2817" width="5.19921875" style="1544" customWidth="1"/>
    <col min="2818" max="2818" width="48.09765625" style="1544" customWidth="1"/>
    <col min="2819" max="2822" width="6.59765625" style="1544" customWidth="1"/>
    <col min="2823" max="2823" width="31.5" style="1544" customWidth="1"/>
    <col min="2824" max="2824" width="30.09765625" style="1544" customWidth="1"/>
    <col min="2825" max="3072" width="9" style="1544"/>
    <col min="3073" max="3073" width="5.19921875" style="1544" customWidth="1"/>
    <col min="3074" max="3074" width="48.09765625" style="1544" customWidth="1"/>
    <col min="3075" max="3078" width="6.59765625" style="1544" customWidth="1"/>
    <col min="3079" max="3079" width="31.5" style="1544" customWidth="1"/>
    <col min="3080" max="3080" width="30.09765625" style="1544" customWidth="1"/>
    <col min="3081" max="3328" width="9" style="1544"/>
    <col min="3329" max="3329" width="5.19921875" style="1544" customWidth="1"/>
    <col min="3330" max="3330" width="48.09765625" style="1544" customWidth="1"/>
    <col min="3331" max="3334" width="6.59765625" style="1544" customWidth="1"/>
    <col min="3335" max="3335" width="31.5" style="1544" customWidth="1"/>
    <col min="3336" max="3336" width="30.09765625" style="1544" customWidth="1"/>
    <col min="3337" max="3584" width="9" style="1544"/>
    <col min="3585" max="3585" width="5.19921875" style="1544" customWidth="1"/>
    <col min="3586" max="3586" width="48.09765625" style="1544" customWidth="1"/>
    <col min="3587" max="3590" width="6.59765625" style="1544" customWidth="1"/>
    <col min="3591" max="3591" width="31.5" style="1544" customWidth="1"/>
    <col min="3592" max="3592" width="30.09765625" style="1544" customWidth="1"/>
    <col min="3593" max="3840" width="9" style="1544"/>
    <col min="3841" max="3841" width="5.19921875" style="1544" customWidth="1"/>
    <col min="3842" max="3842" width="48.09765625" style="1544" customWidth="1"/>
    <col min="3843" max="3846" width="6.59765625" style="1544" customWidth="1"/>
    <col min="3847" max="3847" width="31.5" style="1544" customWidth="1"/>
    <col min="3848" max="3848" width="30.09765625" style="1544" customWidth="1"/>
    <col min="3849" max="4096" width="9" style="1544"/>
    <col min="4097" max="4097" width="5.19921875" style="1544" customWidth="1"/>
    <col min="4098" max="4098" width="48.09765625" style="1544" customWidth="1"/>
    <col min="4099" max="4102" width="6.59765625" style="1544" customWidth="1"/>
    <col min="4103" max="4103" width="31.5" style="1544" customWidth="1"/>
    <col min="4104" max="4104" width="30.09765625" style="1544" customWidth="1"/>
    <col min="4105" max="4352" width="9" style="1544"/>
    <col min="4353" max="4353" width="5.19921875" style="1544" customWidth="1"/>
    <col min="4354" max="4354" width="48.09765625" style="1544" customWidth="1"/>
    <col min="4355" max="4358" width="6.59765625" style="1544" customWidth="1"/>
    <col min="4359" max="4359" width="31.5" style="1544" customWidth="1"/>
    <col min="4360" max="4360" width="30.09765625" style="1544" customWidth="1"/>
    <col min="4361" max="4608" width="9" style="1544"/>
    <col min="4609" max="4609" width="5.19921875" style="1544" customWidth="1"/>
    <col min="4610" max="4610" width="48.09765625" style="1544" customWidth="1"/>
    <col min="4611" max="4614" width="6.59765625" style="1544" customWidth="1"/>
    <col min="4615" max="4615" width="31.5" style="1544" customWidth="1"/>
    <col min="4616" max="4616" width="30.09765625" style="1544" customWidth="1"/>
    <col min="4617" max="4864" width="9" style="1544"/>
    <col min="4865" max="4865" width="5.19921875" style="1544" customWidth="1"/>
    <col min="4866" max="4866" width="48.09765625" style="1544" customWidth="1"/>
    <col min="4867" max="4870" width="6.59765625" style="1544" customWidth="1"/>
    <col min="4871" max="4871" width="31.5" style="1544" customWidth="1"/>
    <col min="4872" max="4872" width="30.09765625" style="1544" customWidth="1"/>
    <col min="4873" max="5120" width="9" style="1544"/>
    <col min="5121" max="5121" width="5.19921875" style="1544" customWidth="1"/>
    <col min="5122" max="5122" width="48.09765625" style="1544" customWidth="1"/>
    <col min="5123" max="5126" width="6.59765625" style="1544" customWidth="1"/>
    <col min="5127" max="5127" width="31.5" style="1544" customWidth="1"/>
    <col min="5128" max="5128" width="30.09765625" style="1544" customWidth="1"/>
    <col min="5129" max="5376" width="9" style="1544"/>
    <col min="5377" max="5377" width="5.19921875" style="1544" customWidth="1"/>
    <col min="5378" max="5378" width="48.09765625" style="1544" customWidth="1"/>
    <col min="5379" max="5382" width="6.59765625" style="1544" customWidth="1"/>
    <col min="5383" max="5383" width="31.5" style="1544" customWidth="1"/>
    <col min="5384" max="5384" width="30.09765625" style="1544" customWidth="1"/>
    <col min="5385" max="5632" width="9" style="1544"/>
    <col min="5633" max="5633" width="5.19921875" style="1544" customWidth="1"/>
    <col min="5634" max="5634" width="48.09765625" style="1544" customWidth="1"/>
    <col min="5635" max="5638" width="6.59765625" style="1544" customWidth="1"/>
    <col min="5639" max="5639" width="31.5" style="1544" customWidth="1"/>
    <col min="5640" max="5640" width="30.09765625" style="1544" customWidth="1"/>
    <col min="5641" max="5888" width="9" style="1544"/>
    <col min="5889" max="5889" width="5.19921875" style="1544" customWidth="1"/>
    <col min="5890" max="5890" width="48.09765625" style="1544" customWidth="1"/>
    <col min="5891" max="5894" width="6.59765625" style="1544" customWidth="1"/>
    <col min="5895" max="5895" width="31.5" style="1544" customWidth="1"/>
    <col min="5896" max="5896" width="30.09765625" style="1544" customWidth="1"/>
    <col min="5897" max="6144" width="9" style="1544"/>
    <col min="6145" max="6145" width="5.19921875" style="1544" customWidth="1"/>
    <col min="6146" max="6146" width="48.09765625" style="1544" customWidth="1"/>
    <col min="6147" max="6150" width="6.59765625" style="1544" customWidth="1"/>
    <col min="6151" max="6151" width="31.5" style="1544" customWidth="1"/>
    <col min="6152" max="6152" width="30.09765625" style="1544" customWidth="1"/>
    <col min="6153" max="6400" width="9" style="1544"/>
    <col min="6401" max="6401" width="5.19921875" style="1544" customWidth="1"/>
    <col min="6402" max="6402" width="48.09765625" style="1544" customWidth="1"/>
    <col min="6403" max="6406" width="6.59765625" style="1544" customWidth="1"/>
    <col min="6407" max="6407" width="31.5" style="1544" customWidth="1"/>
    <col min="6408" max="6408" width="30.09765625" style="1544" customWidth="1"/>
    <col min="6409" max="6656" width="9" style="1544"/>
    <col min="6657" max="6657" width="5.19921875" style="1544" customWidth="1"/>
    <col min="6658" max="6658" width="48.09765625" style="1544" customWidth="1"/>
    <col min="6659" max="6662" width="6.59765625" style="1544" customWidth="1"/>
    <col min="6663" max="6663" width="31.5" style="1544" customWidth="1"/>
    <col min="6664" max="6664" width="30.09765625" style="1544" customWidth="1"/>
    <col min="6665" max="6912" width="9" style="1544"/>
    <col min="6913" max="6913" width="5.19921875" style="1544" customWidth="1"/>
    <col min="6914" max="6914" width="48.09765625" style="1544" customWidth="1"/>
    <col min="6915" max="6918" width="6.59765625" style="1544" customWidth="1"/>
    <col min="6919" max="6919" width="31.5" style="1544" customWidth="1"/>
    <col min="6920" max="6920" width="30.09765625" style="1544" customWidth="1"/>
    <col min="6921" max="7168" width="9" style="1544"/>
    <col min="7169" max="7169" width="5.19921875" style="1544" customWidth="1"/>
    <col min="7170" max="7170" width="48.09765625" style="1544" customWidth="1"/>
    <col min="7171" max="7174" width="6.59765625" style="1544" customWidth="1"/>
    <col min="7175" max="7175" width="31.5" style="1544" customWidth="1"/>
    <col min="7176" max="7176" width="30.09765625" style="1544" customWidth="1"/>
    <col min="7177" max="7424" width="9" style="1544"/>
    <col min="7425" max="7425" width="5.19921875" style="1544" customWidth="1"/>
    <col min="7426" max="7426" width="48.09765625" style="1544" customWidth="1"/>
    <col min="7427" max="7430" width="6.59765625" style="1544" customWidth="1"/>
    <col min="7431" max="7431" width="31.5" style="1544" customWidth="1"/>
    <col min="7432" max="7432" width="30.09765625" style="1544" customWidth="1"/>
    <col min="7433" max="7680" width="9" style="1544"/>
    <col min="7681" max="7681" width="5.19921875" style="1544" customWidth="1"/>
    <col min="7682" max="7682" width="48.09765625" style="1544" customWidth="1"/>
    <col min="7683" max="7686" width="6.59765625" style="1544" customWidth="1"/>
    <col min="7687" max="7687" width="31.5" style="1544" customWidth="1"/>
    <col min="7688" max="7688" width="30.09765625" style="1544" customWidth="1"/>
    <col min="7689" max="7936" width="9" style="1544"/>
    <col min="7937" max="7937" width="5.19921875" style="1544" customWidth="1"/>
    <col min="7938" max="7938" width="48.09765625" style="1544" customWidth="1"/>
    <col min="7939" max="7942" width="6.59765625" style="1544" customWidth="1"/>
    <col min="7943" max="7943" width="31.5" style="1544" customWidth="1"/>
    <col min="7944" max="7944" width="30.09765625" style="1544" customWidth="1"/>
    <col min="7945" max="8192" width="9" style="1544"/>
    <col min="8193" max="8193" width="5.19921875" style="1544" customWidth="1"/>
    <col min="8194" max="8194" width="48.09765625" style="1544" customWidth="1"/>
    <col min="8195" max="8198" width="6.59765625" style="1544" customWidth="1"/>
    <col min="8199" max="8199" width="31.5" style="1544" customWidth="1"/>
    <col min="8200" max="8200" width="30.09765625" style="1544" customWidth="1"/>
    <col min="8201" max="8448" width="9" style="1544"/>
    <col min="8449" max="8449" width="5.19921875" style="1544" customWidth="1"/>
    <col min="8450" max="8450" width="48.09765625" style="1544" customWidth="1"/>
    <col min="8451" max="8454" width="6.59765625" style="1544" customWidth="1"/>
    <col min="8455" max="8455" width="31.5" style="1544" customWidth="1"/>
    <col min="8456" max="8456" width="30.09765625" style="1544" customWidth="1"/>
    <col min="8457" max="8704" width="9" style="1544"/>
    <col min="8705" max="8705" width="5.19921875" style="1544" customWidth="1"/>
    <col min="8706" max="8706" width="48.09765625" style="1544" customWidth="1"/>
    <col min="8707" max="8710" width="6.59765625" style="1544" customWidth="1"/>
    <col min="8711" max="8711" width="31.5" style="1544" customWidth="1"/>
    <col min="8712" max="8712" width="30.09765625" style="1544" customWidth="1"/>
    <col min="8713" max="8960" width="9" style="1544"/>
    <col min="8961" max="8961" width="5.19921875" style="1544" customWidth="1"/>
    <col min="8962" max="8962" width="48.09765625" style="1544" customWidth="1"/>
    <col min="8963" max="8966" width="6.59765625" style="1544" customWidth="1"/>
    <col min="8967" max="8967" width="31.5" style="1544" customWidth="1"/>
    <col min="8968" max="8968" width="30.09765625" style="1544" customWidth="1"/>
    <col min="8969" max="9216" width="9" style="1544"/>
    <col min="9217" max="9217" width="5.19921875" style="1544" customWidth="1"/>
    <col min="9218" max="9218" width="48.09765625" style="1544" customWidth="1"/>
    <col min="9219" max="9222" width="6.59765625" style="1544" customWidth="1"/>
    <col min="9223" max="9223" width="31.5" style="1544" customWidth="1"/>
    <col min="9224" max="9224" width="30.09765625" style="1544" customWidth="1"/>
    <col min="9225" max="9472" width="9" style="1544"/>
    <col min="9473" max="9473" width="5.19921875" style="1544" customWidth="1"/>
    <col min="9474" max="9474" width="48.09765625" style="1544" customWidth="1"/>
    <col min="9475" max="9478" width="6.59765625" style="1544" customWidth="1"/>
    <col min="9479" max="9479" width="31.5" style="1544" customWidth="1"/>
    <col min="9480" max="9480" width="30.09765625" style="1544" customWidth="1"/>
    <col min="9481" max="9728" width="9" style="1544"/>
    <col min="9729" max="9729" width="5.19921875" style="1544" customWidth="1"/>
    <col min="9730" max="9730" width="48.09765625" style="1544" customWidth="1"/>
    <col min="9731" max="9734" width="6.59765625" style="1544" customWidth="1"/>
    <col min="9735" max="9735" width="31.5" style="1544" customWidth="1"/>
    <col min="9736" max="9736" width="30.09765625" style="1544" customWidth="1"/>
    <col min="9737" max="9984" width="9" style="1544"/>
    <col min="9985" max="9985" width="5.19921875" style="1544" customWidth="1"/>
    <col min="9986" max="9986" width="48.09765625" style="1544" customWidth="1"/>
    <col min="9987" max="9990" width="6.59765625" style="1544" customWidth="1"/>
    <col min="9991" max="9991" width="31.5" style="1544" customWidth="1"/>
    <col min="9992" max="9992" width="30.09765625" style="1544" customWidth="1"/>
    <col min="9993" max="10240" width="9" style="1544"/>
    <col min="10241" max="10241" width="5.19921875" style="1544" customWidth="1"/>
    <col min="10242" max="10242" width="48.09765625" style="1544" customWidth="1"/>
    <col min="10243" max="10246" width="6.59765625" style="1544" customWidth="1"/>
    <col min="10247" max="10247" width="31.5" style="1544" customWidth="1"/>
    <col min="10248" max="10248" width="30.09765625" style="1544" customWidth="1"/>
    <col min="10249" max="10496" width="9" style="1544"/>
    <col min="10497" max="10497" width="5.19921875" style="1544" customWidth="1"/>
    <col min="10498" max="10498" width="48.09765625" style="1544" customWidth="1"/>
    <col min="10499" max="10502" width="6.59765625" style="1544" customWidth="1"/>
    <col min="10503" max="10503" width="31.5" style="1544" customWidth="1"/>
    <col min="10504" max="10504" width="30.09765625" style="1544" customWidth="1"/>
    <col min="10505" max="10752" width="9" style="1544"/>
    <col min="10753" max="10753" width="5.19921875" style="1544" customWidth="1"/>
    <col min="10754" max="10754" width="48.09765625" style="1544" customWidth="1"/>
    <col min="10755" max="10758" width="6.59765625" style="1544" customWidth="1"/>
    <col min="10759" max="10759" width="31.5" style="1544" customWidth="1"/>
    <col min="10760" max="10760" width="30.09765625" style="1544" customWidth="1"/>
    <col min="10761" max="11008" width="9" style="1544"/>
    <col min="11009" max="11009" width="5.19921875" style="1544" customWidth="1"/>
    <col min="11010" max="11010" width="48.09765625" style="1544" customWidth="1"/>
    <col min="11011" max="11014" width="6.59765625" style="1544" customWidth="1"/>
    <col min="11015" max="11015" width="31.5" style="1544" customWidth="1"/>
    <col min="11016" max="11016" width="30.09765625" style="1544" customWidth="1"/>
    <col min="11017" max="11264" width="9" style="1544"/>
    <col min="11265" max="11265" width="5.19921875" style="1544" customWidth="1"/>
    <col min="11266" max="11266" width="48.09765625" style="1544" customWidth="1"/>
    <col min="11267" max="11270" width="6.59765625" style="1544" customWidth="1"/>
    <col min="11271" max="11271" width="31.5" style="1544" customWidth="1"/>
    <col min="11272" max="11272" width="30.09765625" style="1544" customWidth="1"/>
    <col min="11273" max="11520" width="9" style="1544"/>
    <col min="11521" max="11521" width="5.19921875" style="1544" customWidth="1"/>
    <col min="11522" max="11522" width="48.09765625" style="1544" customWidth="1"/>
    <col min="11523" max="11526" width="6.59765625" style="1544" customWidth="1"/>
    <col min="11527" max="11527" width="31.5" style="1544" customWidth="1"/>
    <col min="11528" max="11528" width="30.09765625" style="1544" customWidth="1"/>
    <col min="11529" max="11776" width="9" style="1544"/>
    <col min="11777" max="11777" width="5.19921875" style="1544" customWidth="1"/>
    <col min="11778" max="11778" width="48.09765625" style="1544" customWidth="1"/>
    <col min="11779" max="11782" width="6.59765625" style="1544" customWidth="1"/>
    <col min="11783" max="11783" width="31.5" style="1544" customWidth="1"/>
    <col min="11784" max="11784" width="30.09765625" style="1544" customWidth="1"/>
    <col min="11785" max="12032" width="9" style="1544"/>
    <col min="12033" max="12033" width="5.19921875" style="1544" customWidth="1"/>
    <col min="12034" max="12034" width="48.09765625" style="1544" customWidth="1"/>
    <col min="12035" max="12038" width="6.59765625" style="1544" customWidth="1"/>
    <col min="12039" max="12039" width="31.5" style="1544" customWidth="1"/>
    <col min="12040" max="12040" width="30.09765625" style="1544" customWidth="1"/>
    <col min="12041" max="12288" width="9" style="1544"/>
    <col min="12289" max="12289" width="5.19921875" style="1544" customWidth="1"/>
    <col min="12290" max="12290" width="48.09765625" style="1544" customWidth="1"/>
    <col min="12291" max="12294" width="6.59765625" style="1544" customWidth="1"/>
    <col min="12295" max="12295" width="31.5" style="1544" customWidth="1"/>
    <col min="12296" max="12296" width="30.09765625" style="1544" customWidth="1"/>
    <col min="12297" max="12544" width="9" style="1544"/>
    <col min="12545" max="12545" width="5.19921875" style="1544" customWidth="1"/>
    <col min="12546" max="12546" width="48.09765625" style="1544" customWidth="1"/>
    <col min="12547" max="12550" width="6.59765625" style="1544" customWidth="1"/>
    <col min="12551" max="12551" width="31.5" style="1544" customWidth="1"/>
    <col min="12552" max="12552" width="30.09765625" style="1544" customWidth="1"/>
    <col min="12553" max="12800" width="9" style="1544"/>
    <col min="12801" max="12801" width="5.19921875" style="1544" customWidth="1"/>
    <col min="12802" max="12802" width="48.09765625" style="1544" customWidth="1"/>
    <col min="12803" max="12806" width="6.59765625" style="1544" customWidth="1"/>
    <col min="12807" max="12807" width="31.5" style="1544" customWidth="1"/>
    <col min="12808" max="12808" width="30.09765625" style="1544" customWidth="1"/>
    <col min="12809" max="13056" width="9" style="1544"/>
    <col min="13057" max="13057" width="5.19921875" style="1544" customWidth="1"/>
    <col min="13058" max="13058" width="48.09765625" style="1544" customWidth="1"/>
    <col min="13059" max="13062" width="6.59765625" style="1544" customWidth="1"/>
    <col min="13063" max="13063" width="31.5" style="1544" customWidth="1"/>
    <col min="13064" max="13064" width="30.09765625" style="1544" customWidth="1"/>
    <col min="13065" max="13312" width="9" style="1544"/>
    <col min="13313" max="13313" width="5.19921875" style="1544" customWidth="1"/>
    <col min="13314" max="13314" width="48.09765625" style="1544" customWidth="1"/>
    <col min="13315" max="13318" width="6.59765625" style="1544" customWidth="1"/>
    <col min="13319" max="13319" width="31.5" style="1544" customWidth="1"/>
    <col min="13320" max="13320" width="30.09765625" style="1544" customWidth="1"/>
    <col min="13321" max="13568" width="9" style="1544"/>
    <col min="13569" max="13569" width="5.19921875" style="1544" customWidth="1"/>
    <col min="13570" max="13570" width="48.09765625" style="1544" customWidth="1"/>
    <col min="13571" max="13574" width="6.59765625" style="1544" customWidth="1"/>
    <col min="13575" max="13575" width="31.5" style="1544" customWidth="1"/>
    <col min="13576" max="13576" width="30.09765625" style="1544" customWidth="1"/>
    <col min="13577" max="13824" width="9" style="1544"/>
    <col min="13825" max="13825" width="5.19921875" style="1544" customWidth="1"/>
    <col min="13826" max="13826" width="48.09765625" style="1544" customWidth="1"/>
    <col min="13827" max="13830" width="6.59765625" style="1544" customWidth="1"/>
    <col min="13831" max="13831" width="31.5" style="1544" customWidth="1"/>
    <col min="13832" max="13832" width="30.09765625" style="1544" customWidth="1"/>
    <col min="13833" max="14080" width="9" style="1544"/>
    <col min="14081" max="14081" width="5.19921875" style="1544" customWidth="1"/>
    <col min="14082" max="14082" width="48.09765625" style="1544" customWidth="1"/>
    <col min="14083" max="14086" width="6.59765625" style="1544" customWidth="1"/>
    <col min="14087" max="14087" width="31.5" style="1544" customWidth="1"/>
    <col min="14088" max="14088" width="30.09765625" style="1544" customWidth="1"/>
    <col min="14089" max="14336" width="9" style="1544"/>
    <col min="14337" max="14337" width="5.19921875" style="1544" customWidth="1"/>
    <col min="14338" max="14338" width="48.09765625" style="1544" customWidth="1"/>
    <col min="14339" max="14342" width="6.59765625" style="1544" customWidth="1"/>
    <col min="14343" max="14343" width="31.5" style="1544" customWidth="1"/>
    <col min="14344" max="14344" width="30.09765625" style="1544" customWidth="1"/>
    <col min="14345" max="14592" width="9" style="1544"/>
    <col min="14593" max="14593" width="5.19921875" style="1544" customWidth="1"/>
    <col min="14594" max="14594" width="48.09765625" style="1544" customWidth="1"/>
    <col min="14595" max="14598" width="6.59765625" style="1544" customWidth="1"/>
    <col min="14599" max="14599" width="31.5" style="1544" customWidth="1"/>
    <col min="14600" max="14600" width="30.09765625" style="1544" customWidth="1"/>
    <col min="14601" max="14848" width="9" style="1544"/>
    <col min="14849" max="14849" width="5.19921875" style="1544" customWidth="1"/>
    <col min="14850" max="14850" width="48.09765625" style="1544" customWidth="1"/>
    <col min="14851" max="14854" width="6.59765625" style="1544" customWidth="1"/>
    <col min="14855" max="14855" width="31.5" style="1544" customWidth="1"/>
    <col min="14856" max="14856" width="30.09765625" style="1544" customWidth="1"/>
    <col min="14857" max="15104" width="9" style="1544"/>
    <col min="15105" max="15105" width="5.19921875" style="1544" customWidth="1"/>
    <col min="15106" max="15106" width="48.09765625" style="1544" customWidth="1"/>
    <col min="15107" max="15110" width="6.59765625" style="1544" customWidth="1"/>
    <col min="15111" max="15111" width="31.5" style="1544" customWidth="1"/>
    <col min="15112" max="15112" width="30.09765625" style="1544" customWidth="1"/>
    <col min="15113" max="15360" width="9" style="1544"/>
    <col min="15361" max="15361" width="5.19921875" style="1544" customWidth="1"/>
    <col min="15362" max="15362" width="48.09765625" style="1544" customWidth="1"/>
    <col min="15363" max="15366" width="6.59765625" style="1544" customWidth="1"/>
    <col min="15367" max="15367" width="31.5" style="1544" customWidth="1"/>
    <col min="15368" max="15368" width="30.09765625" style="1544" customWidth="1"/>
    <col min="15369" max="15616" width="9" style="1544"/>
    <col min="15617" max="15617" width="5.19921875" style="1544" customWidth="1"/>
    <col min="15618" max="15618" width="48.09765625" style="1544" customWidth="1"/>
    <col min="15619" max="15622" width="6.59765625" style="1544" customWidth="1"/>
    <col min="15623" max="15623" width="31.5" style="1544" customWidth="1"/>
    <col min="15624" max="15624" width="30.09765625" style="1544" customWidth="1"/>
    <col min="15625" max="15872" width="9" style="1544"/>
    <col min="15873" max="15873" width="5.19921875" style="1544" customWidth="1"/>
    <col min="15874" max="15874" width="48.09765625" style="1544" customWidth="1"/>
    <col min="15875" max="15878" width="6.59765625" style="1544" customWidth="1"/>
    <col min="15879" max="15879" width="31.5" style="1544" customWidth="1"/>
    <col min="15880" max="15880" width="30.09765625" style="1544" customWidth="1"/>
    <col min="15881" max="16128" width="9" style="1544"/>
    <col min="16129" max="16129" width="5.19921875" style="1544" customWidth="1"/>
    <col min="16130" max="16130" width="48.09765625" style="1544" customWidth="1"/>
    <col min="16131" max="16134" width="6.59765625" style="1544" customWidth="1"/>
    <col min="16135" max="16135" width="31.5" style="1544" customWidth="1"/>
    <col min="16136" max="16136" width="30.09765625" style="1544" customWidth="1"/>
    <col min="16137" max="16384" width="9" style="1544"/>
  </cols>
  <sheetData>
    <row r="1" spans="1:8" ht="20.100000000000001" customHeight="1">
      <c r="A1" s="3440" t="s">
        <v>5080</v>
      </c>
      <c r="B1" s="3440"/>
      <c r="C1" s="3440"/>
      <c r="D1" s="3440"/>
      <c r="E1" s="3440"/>
      <c r="F1" s="3440"/>
      <c r="G1" s="2012"/>
    </row>
    <row r="2" spans="1:8" s="1545" customFormat="1" ht="25.5" customHeight="1">
      <c r="A2" s="3379" t="s">
        <v>922</v>
      </c>
      <c r="B2" s="3379"/>
      <c r="C2" s="3379"/>
      <c r="D2" s="3379"/>
      <c r="E2" s="3379"/>
      <c r="F2" s="3379"/>
      <c r="G2" s="1922"/>
    </row>
    <row r="3" spans="1:8" ht="14.25" customHeight="1">
      <c r="A3" s="3920" t="s">
        <v>1854</v>
      </c>
      <c r="B3" s="3920" t="s">
        <v>5081</v>
      </c>
      <c r="C3" s="1924" t="s">
        <v>1851</v>
      </c>
      <c r="D3" s="1924" t="s">
        <v>1852</v>
      </c>
      <c r="E3" s="1924" t="s">
        <v>1463</v>
      </c>
      <c r="F3" s="1924" t="s">
        <v>1464</v>
      </c>
      <c r="G3" s="1930" t="s">
        <v>1858</v>
      </c>
    </row>
    <row r="4" spans="1:8" ht="14.25" customHeight="1">
      <c r="A4" s="3466"/>
      <c r="B4" s="3466"/>
      <c r="C4" s="1924">
        <v>1</v>
      </c>
      <c r="D4" s="1924">
        <v>2</v>
      </c>
      <c r="E4" s="1924">
        <v>3</v>
      </c>
      <c r="F4" s="1924">
        <v>4</v>
      </c>
      <c r="G4" s="1993"/>
    </row>
    <row r="5" spans="1:8" ht="14.25" customHeight="1">
      <c r="A5" s="1924">
        <v>1</v>
      </c>
      <c r="B5" s="1925" t="s">
        <v>5082</v>
      </c>
      <c r="C5" s="1967" t="s">
        <v>1860</v>
      </c>
      <c r="D5" s="1967" t="s">
        <v>1860</v>
      </c>
      <c r="E5" s="2077">
        <f>E6+E7+E8+E10+E11+E12+E14+E15</f>
        <v>0</v>
      </c>
      <c r="F5" s="2077">
        <f>F7+F8+F9+F11+F12+F14+F15</f>
        <v>0</v>
      </c>
      <c r="G5" s="1993"/>
    </row>
    <row r="6" spans="1:8" ht="36.75" customHeight="1">
      <c r="A6" s="1924">
        <v>2</v>
      </c>
      <c r="B6" s="1925" t="s">
        <v>5083</v>
      </c>
      <c r="C6" s="1967" t="s">
        <v>1860</v>
      </c>
      <c r="D6" s="2074">
        <f>A105010视同销售和房地产开发企业特定业务纳税调整明细表!C5</f>
        <v>0</v>
      </c>
      <c r="E6" s="2074">
        <f>A105010视同销售和房地产开发企业特定业务纳税调整明细表!D5</f>
        <v>0</v>
      </c>
      <c r="F6" s="1967" t="s">
        <v>1860</v>
      </c>
      <c r="G6" s="1993" t="s">
        <v>5084</v>
      </c>
    </row>
    <row r="7" spans="1:8" s="1547" customFormat="1" ht="51.75" customHeight="1">
      <c r="A7" s="1924">
        <v>3</v>
      </c>
      <c r="B7" s="1925" t="s">
        <v>5085</v>
      </c>
      <c r="C7" s="2074">
        <f>A105020未按权责发生制确认收入纳税调整明细表!D19</f>
        <v>0</v>
      </c>
      <c r="D7" s="2074">
        <f>A105020未按权责发生制确认收入纳税调整明细表!F19</f>
        <v>0</v>
      </c>
      <c r="E7" s="2077">
        <f>MAX(D7-C7,0)</f>
        <v>0</v>
      </c>
      <c r="F7" s="2077">
        <f>MAX(C7-D7,0)</f>
        <v>0</v>
      </c>
      <c r="G7" s="1993" t="s">
        <v>5086</v>
      </c>
      <c r="H7" s="1546"/>
    </row>
    <row r="8" spans="1:8" s="1547" customFormat="1" ht="58.5" customHeight="1">
      <c r="A8" s="1924">
        <v>4</v>
      </c>
      <c r="B8" s="1925" t="s">
        <v>5087</v>
      </c>
      <c r="C8" s="2074">
        <f>A105030投资收益纳税调整明细表!C15+A105030投资收益纳税调整明细表!J15</f>
        <v>0</v>
      </c>
      <c r="D8" s="2074">
        <f>A105030投资收益纳税调整明细表!D15+A105030投资收益纳税调整明细表!K15</f>
        <v>0</v>
      </c>
      <c r="E8" s="2077">
        <f>MAX(0,D8-C8)</f>
        <v>0</v>
      </c>
      <c r="F8" s="2083">
        <f>MAX(0,C8-D8)</f>
        <v>0</v>
      </c>
      <c r="G8" s="1993" t="s">
        <v>5088</v>
      </c>
      <c r="H8" s="1546"/>
    </row>
    <row r="9" spans="1:8" s="1547" customFormat="1" ht="14.25" customHeight="1">
      <c r="A9" s="1926">
        <v>5</v>
      </c>
      <c r="B9" s="1927" t="s">
        <v>5089</v>
      </c>
      <c r="C9" s="1992" t="s">
        <v>1860</v>
      </c>
      <c r="D9" s="1992" t="s">
        <v>1860</v>
      </c>
      <c r="E9" s="1992" t="s">
        <v>1860</v>
      </c>
      <c r="F9" s="2075">
        <f>-其他事项!F11</f>
        <v>0</v>
      </c>
      <c r="G9" s="1993"/>
    </row>
    <row r="10" spans="1:8" s="1547" customFormat="1" ht="14.25" customHeight="1">
      <c r="A10" s="1924">
        <v>6</v>
      </c>
      <c r="B10" s="1925" t="s">
        <v>5090</v>
      </c>
      <c r="C10" s="1926" t="s">
        <v>1860</v>
      </c>
      <c r="D10" s="1926" t="s">
        <v>1860</v>
      </c>
      <c r="E10" s="2074">
        <f>其他事项!F12</f>
        <v>0</v>
      </c>
      <c r="F10" s="1967" t="s">
        <v>1860</v>
      </c>
      <c r="G10" s="1993"/>
    </row>
    <row r="11" spans="1:8" s="1547" customFormat="1" ht="26.25" customHeight="1">
      <c r="A11" s="1924">
        <v>7</v>
      </c>
      <c r="B11" s="1925" t="s">
        <v>5091</v>
      </c>
      <c r="C11" s="2074">
        <f>-公允价值变动审定表!G17</f>
        <v>0</v>
      </c>
      <c r="D11" s="1967" t="s">
        <v>1860</v>
      </c>
      <c r="E11" s="2077">
        <f>MAX(0,-C11)</f>
        <v>0</v>
      </c>
      <c r="F11" s="2077">
        <f>MAX(0,C11)</f>
        <v>0</v>
      </c>
      <c r="G11" s="1993" t="s">
        <v>5092</v>
      </c>
    </row>
    <row r="12" spans="1:8" s="1547" customFormat="1" ht="14.25" customHeight="1">
      <c r="A12" s="1924">
        <v>8</v>
      </c>
      <c r="B12" s="1925" t="s">
        <v>5093</v>
      </c>
      <c r="C12" s="1967" t="s">
        <v>1860</v>
      </c>
      <c r="D12" s="1967" t="s">
        <v>1860</v>
      </c>
      <c r="E12" s="2077">
        <f>MAX(其他事项!F8,0)+MAX(A105040专项用途财政性资金纳税调整表!P13,0)</f>
        <v>0</v>
      </c>
      <c r="F12" s="2077">
        <f>MAX(-其他事项!F8,0)+MAX(A105040专项用途财政性资金纳税调整表!F13,0)</f>
        <v>0</v>
      </c>
      <c r="G12" s="1993"/>
    </row>
    <row r="13" spans="1:8" s="1547" customFormat="1" ht="42.75" customHeight="1">
      <c r="A13" s="1924">
        <v>9</v>
      </c>
      <c r="B13" s="1925" t="s">
        <v>5094</v>
      </c>
      <c r="C13" s="1967" t="s">
        <v>1860</v>
      </c>
      <c r="D13" s="1967" t="s">
        <v>1860</v>
      </c>
      <c r="E13" s="2074">
        <f>A105040专项用途财政性资金纳税调整表!P13</f>
        <v>0</v>
      </c>
      <c r="F13" s="2074">
        <f>A105040专项用途财政性资金纳税调整表!F13</f>
        <v>0</v>
      </c>
      <c r="G13" s="1993" t="s">
        <v>5095</v>
      </c>
    </row>
    <row r="14" spans="1:8" s="1547" customFormat="1" ht="27.75" customHeight="1">
      <c r="A14" s="1924">
        <v>10</v>
      </c>
      <c r="B14" s="1925" t="s">
        <v>5096</v>
      </c>
      <c r="C14" s="2074">
        <f>其他事项!D10</f>
        <v>0</v>
      </c>
      <c r="D14" s="2074">
        <f>其他事项!E10</f>
        <v>0</v>
      </c>
      <c r="E14" s="2077">
        <f>MAX(0,C14-D14)</f>
        <v>0</v>
      </c>
      <c r="F14" s="2077">
        <f>MAX(0,D14-C14)</f>
        <v>0</v>
      </c>
      <c r="G14" s="1993" t="s">
        <v>5097</v>
      </c>
    </row>
    <row r="15" spans="1:8" ht="34.5" customHeight="1">
      <c r="A15" s="1924">
        <v>11</v>
      </c>
      <c r="B15" s="1925" t="s">
        <v>5098</v>
      </c>
      <c r="C15" s="2074">
        <f>其他事项!D7</f>
        <v>0</v>
      </c>
      <c r="D15" s="2074">
        <f>其他事项!E7</f>
        <v>0</v>
      </c>
      <c r="E15" s="2077">
        <f>MAX(0,D15-C15)</f>
        <v>0</v>
      </c>
      <c r="F15" s="2077">
        <f>MAX(0,C15-D15)</f>
        <v>0</v>
      </c>
      <c r="G15" s="1993" t="s">
        <v>5099</v>
      </c>
    </row>
    <row r="16" spans="1:8" s="1547" customFormat="1" ht="28.5" customHeight="1">
      <c r="A16" s="1926">
        <v>12</v>
      </c>
      <c r="B16" s="1927" t="s">
        <v>5100</v>
      </c>
      <c r="C16" s="1926" t="s">
        <v>1860</v>
      </c>
      <c r="D16" s="1926" t="s">
        <v>1860</v>
      </c>
      <c r="E16" s="2080">
        <f>SUM(E17:E28,E30:E33)</f>
        <v>0</v>
      </c>
      <c r="F16" s="2080">
        <f>SUM(F17:F28,F30:F33)</f>
        <v>0</v>
      </c>
      <c r="G16" s="1993"/>
    </row>
    <row r="17" spans="1:8" s="1547" customFormat="1" ht="35.25" customHeight="1">
      <c r="A17" s="1924">
        <v>13</v>
      </c>
      <c r="B17" s="1925" t="s">
        <v>5101</v>
      </c>
      <c r="C17" s="1967" t="s">
        <v>1860</v>
      </c>
      <c r="D17" s="2074">
        <f>A105010视同销售和房地产开发企业特定业务纳税调整明细表!C15</f>
        <v>0</v>
      </c>
      <c r="E17" s="1967" t="s">
        <v>1860</v>
      </c>
      <c r="F17" s="2077">
        <f>ABS(A105010视同销售和房地产开发企业特定业务纳税调整明细表!D15)</f>
        <v>0</v>
      </c>
      <c r="G17" s="1993" t="s">
        <v>5102</v>
      </c>
    </row>
    <row r="18" spans="1:8" s="1547" customFormat="1" ht="59.25" customHeight="1">
      <c r="A18" s="1924">
        <v>14</v>
      </c>
      <c r="B18" s="1925" t="s">
        <v>5103</v>
      </c>
      <c r="C18" s="2074">
        <f>A105050职工薪酬纳税调整明细表!C17</f>
        <v>0</v>
      </c>
      <c r="D18" s="2074">
        <f>A105050职工薪酬纳税调整明细表!F17</f>
        <v>0</v>
      </c>
      <c r="E18" s="2077">
        <f>MAX(0,C18-D18)</f>
        <v>0</v>
      </c>
      <c r="F18" s="2077">
        <f>MAX(0,D18-C18)</f>
        <v>0</v>
      </c>
      <c r="G18" s="1993" t="s">
        <v>5104</v>
      </c>
      <c r="H18" s="1546"/>
    </row>
    <row r="19" spans="1:8" s="1547" customFormat="1" ht="27.75" customHeight="1">
      <c r="A19" s="1924">
        <v>15</v>
      </c>
      <c r="B19" s="1925" t="s">
        <v>5105</v>
      </c>
      <c r="C19" s="2074">
        <f>招待!J15</f>
        <v>0</v>
      </c>
      <c r="D19" s="2074">
        <f>招待!J22</f>
        <v>0</v>
      </c>
      <c r="E19" s="2077">
        <f>C19-D19</f>
        <v>0</v>
      </c>
      <c r="F19" s="1967" t="s">
        <v>1860</v>
      </c>
      <c r="G19" s="1993" t="s">
        <v>5106</v>
      </c>
    </row>
    <row r="20" spans="1:8" s="1547" customFormat="1" ht="45" customHeight="1">
      <c r="A20" s="1924">
        <v>16</v>
      </c>
      <c r="B20" s="1925" t="s">
        <v>5107</v>
      </c>
      <c r="C20" s="1967" t="s">
        <v>6514</v>
      </c>
      <c r="D20" s="1967" t="s">
        <v>1860</v>
      </c>
      <c r="E20" s="2077">
        <f>MAX(0,A105060广告费和业务宣传费跨年度纳税调整明细表!C15)</f>
        <v>0</v>
      </c>
      <c r="F20" s="2077">
        <f>MAX(0,-A105060广告费和业务宣传费跨年度纳税调整明细表!C15)</f>
        <v>0</v>
      </c>
      <c r="G20" s="1993" t="s">
        <v>5108</v>
      </c>
    </row>
    <row r="21" spans="1:8" s="1547" customFormat="1" ht="49.5" customHeight="1">
      <c r="A21" s="1924">
        <v>17</v>
      </c>
      <c r="B21" s="1925" t="s">
        <v>5109</v>
      </c>
      <c r="C21" s="2074">
        <f>A105070捐赠支出纳税调整明细表!C25+A105070捐赠支出纳税调整明细表!G25</f>
        <v>0</v>
      </c>
      <c r="D21" s="2074">
        <f>A105070捐赠支出纳税调整明细表!E25</f>
        <v>0</v>
      </c>
      <c r="E21" s="2074">
        <f>A105070捐赠支出纳税调整明细表!H25</f>
        <v>0</v>
      </c>
      <c r="F21" s="1967" t="s">
        <v>1860</v>
      </c>
      <c r="G21" s="1993" t="s">
        <v>5110</v>
      </c>
      <c r="H21" s="1546"/>
    </row>
    <row r="22" spans="1:8" s="1547" customFormat="1" ht="14.25" customHeight="1">
      <c r="A22" s="1924">
        <v>18</v>
      </c>
      <c r="B22" s="1925" t="s">
        <v>5111</v>
      </c>
      <c r="C22" s="2074">
        <f>利息!H18</f>
        <v>0</v>
      </c>
      <c r="D22" s="2074">
        <f>利息!I18</f>
        <v>0</v>
      </c>
      <c r="E22" s="2077">
        <f>MAX(0,C22-D22)</f>
        <v>0</v>
      </c>
      <c r="F22" s="2077">
        <f>MAX(0,D22-C22)</f>
        <v>0</v>
      </c>
      <c r="G22" s="1993" t="s">
        <v>5112</v>
      </c>
    </row>
    <row r="23" spans="1:8" s="1547" customFormat="1" ht="14.25" customHeight="1">
      <c r="A23" s="1924">
        <v>19</v>
      </c>
      <c r="B23" s="1925" t="s">
        <v>5113</v>
      </c>
      <c r="C23" s="2074">
        <f>其他事项!D30</f>
        <v>0</v>
      </c>
      <c r="D23" s="1967" t="s">
        <v>1860</v>
      </c>
      <c r="E23" s="2077">
        <f>C23</f>
        <v>0</v>
      </c>
      <c r="F23" s="1967" t="s">
        <v>1860</v>
      </c>
      <c r="G23" s="1993" t="s">
        <v>5114</v>
      </c>
    </row>
    <row r="24" spans="1:8" s="1547" customFormat="1" ht="14.25" customHeight="1">
      <c r="A24" s="1924">
        <v>20</v>
      </c>
      <c r="B24" s="1925" t="s">
        <v>5115</v>
      </c>
      <c r="C24" s="2074">
        <f>其他事项!D29</f>
        <v>0</v>
      </c>
      <c r="D24" s="1967" t="s">
        <v>1860</v>
      </c>
      <c r="E24" s="2077">
        <f>C24</f>
        <v>0</v>
      </c>
      <c r="F24" s="1967" t="s">
        <v>1860</v>
      </c>
      <c r="G24" s="1993" t="s">
        <v>5114</v>
      </c>
    </row>
    <row r="25" spans="1:8" s="1547" customFormat="1" ht="14.25" customHeight="1">
      <c r="A25" s="1924">
        <v>21</v>
      </c>
      <c r="B25" s="1925" t="s">
        <v>5116</v>
      </c>
      <c r="C25" s="2074">
        <f>营外收支!E27</f>
        <v>0</v>
      </c>
      <c r="D25" s="1967" t="s">
        <v>1860</v>
      </c>
      <c r="E25" s="2077">
        <f>C25</f>
        <v>0</v>
      </c>
      <c r="F25" s="1967" t="s">
        <v>1860</v>
      </c>
      <c r="G25" s="1993" t="s">
        <v>5114</v>
      </c>
    </row>
    <row r="26" spans="1:8" s="1547" customFormat="1" ht="14.25" customHeight="1">
      <c r="A26" s="1924">
        <v>22</v>
      </c>
      <c r="B26" s="1925" t="s">
        <v>5117</v>
      </c>
      <c r="C26" s="2074">
        <f>其他事项!D39</f>
        <v>0</v>
      </c>
      <c r="D26" s="2074">
        <f>其他事项!E39</f>
        <v>0</v>
      </c>
      <c r="E26" s="2077">
        <f>MAX(0,C26-D26)</f>
        <v>0</v>
      </c>
      <c r="F26" s="2077">
        <f>MAX(0,D26-C26)</f>
        <v>0</v>
      </c>
      <c r="G26" s="1993" t="s">
        <v>5118</v>
      </c>
    </row>
    <row r="27" spans="1:8" s="1547" customFormat="1" ht="14.25" customHeight="1">
      <c r="A27" s="1924">
        <v>23</v>
      </c>
      <c r="B27" s="1925" t="s">
        <v>5119</v>
      </c>
      <c r="C27" s="2074">
        <f>其他事项!D20</f>
        <v>0</v>
      </c>
      <c r="D27" s="2074">
        <f>其他事项!E20</f>
        <v>0</v>
      </c>
      <c r="E27" s="2077">
        <f>C27-D27</f>
        <v>0</v>
      </c>
      <c r="F27" s="1967" t="s">
        <v>1860</v>
      </c>
      <c r="G27" s="1993" t="s">
        <v>5120</v>
      </c>
    </row>
    <row r="28" spans="1:8" ht="14.25" customHeight="1">
      <c r="A28" s="1924">
        <v>24</v>
      </c>
      <c r="B28" s="1925" t="s">
        <v>5121</v>
      </c>
      <c r="C28" s="1967" t="s">
        <v>1860</v>
      </c>
      <c r="D28" s="1967" t="s">
        <v>1860</v>
      </c>
      <c r="E28" s="2074">
        <f>A105040专项用途财政性资金纳税调整表!M13+其他事项!D21</f>
        <v>0</v>
      </c>
      <c r="F28" s="1967" t="s">
        <v>1860</v>
      </c>
      <c r="G28" s="1993"/>
    </row>
    <row r="29" spans="1:8" ht="14.25" customHeight="1">
      <c r="A29" s="1926">
        <v>25</v>
      </c>
      <c r="B29" s="1928" t="s">
        <v>5122</v>
      </c>
      <c r="C29" s="1926" t="s">
        <v>1860</v>
      </c>
      <c r="D29" s="1926" t="s">
        <v>1860</v>
      </c>
      <c r="E29" s="2075">
        <f>A105040专项用途财政性资金纳税调整表!M13</f>
        <v>0</v>
      </c>
      <c r="F29" s="1926" t="s">
        <v>1860</v>
      </c>
      <c r="G29" s="1993" t="s">
        <v>5123</v>
      </c>
    </row>
    <row r="30" spans="1:8" s="1547" customFormat="1" ht="14.25" customHeight="1">
      <c r="A30" s="1924">
        <v>26</v>
      </c>
      <c r="B30" s="1925" t="s">
        <v>6495</v>
      </c>
      <c r="C30" s="2074">
        <f>其他事项!D40</f>
        <v>0</v>
      </c>
      <c r="D30" s="2074">
        <f>其他事项!E40</f>
        <v>0</v>
      </c>
      <c r="E30" s="2077">
        <f>MAX(0,C30-D30)</f>
        <v>0</v>
      </c>
      <c r="F30" s="2077">
        <f>MAX(0,D30-C30)</f>
        <v>0</v>
      </c>
      <c r="G30" s="1993" t="s">
        <v>5118</v>
      </c>
    </row>
    <row r="31" spans="1:8" ht="14.25" customHeight="1">
      <c r="A31" s="1924">
        <v>27</v>
      </c>
      <c r="B31" s="1925" t="s">
        <v>5124</v>
      </c>
      <c r="C31" s="2074">
        <f>其他事项!D24</f>
        <v>0</v>
      </c>
      <c r="D31" s="1967" t="s">
        <v>1860</v>
      </c>
      <c r="E31" s="2077">
        <f>C31</f>
        <v>0</v>
      </c>
      <c r="F31" s="1967" t="s">
        <v>1860</v>
      </c>
      <c r="G31" s="1993"/>
    </row>
    <row r="32" spans="1:8" s="1548" customFormat="1" ht="14.25" customHeight="1">
      <c r="A32" s="1924">
        <v>28</v>
      </c>
      <c r="B32" s="1925" t="s">
        <v>5125</v>
      </c>
      <c r="C32" s="1967" t="s">
        <v>1860</v>
      </c>
      <c r="D32" s="1967" t="s">
        <v>1860</v>
      </c>
      <c r="E32" s="2077">
        <f>A108010境外所得纳税调整后所得明细表!Q15+A108010境外所得纳税调整后所得明细表!R15</f>
        <v>0</v>
      </c>
      <c r="F32" s="1967" t="s">
        <v>1860</v>
      </c>
      <c r="G32" s="1993" t="s">
        <v>5126</v>
      </c>
    </row>
    <row r="33" spans="1:8" ht="14.25" customHeight="1">
      <c r="A33" s="1924">
        <v>29</v>
      </c>
      <c r="B33" s="1925" t="s">
        <v>5127</v>
      </c>
      <c r="C33" s="2074">
        <f>其他事项!D22+其他事项!D23+其他事项!D25+其他事项!D26+其他事项!D28+其他事项!D31+其他事项!D32+其他事项!D34+其他事项!D35+其他事项!D37+其他事项!D38+其他事项!D41+租金!D11</f>
        <v>0</v>
      </c>
      <c r="D33" s="2074">
        <f>其他事项!E27+其他事项!E31+其他事项!E33+其他事项!E35+其他事项!E36+其他事项!E41+租金!D13</f>
        <v>0</v>
      </c>
      <c r="E33" s="2077">
        <f>MAX(0,C33-D33)</f>
        <v>0</v>
      </c>
      <c r="F33" s="2077">
        <f>MAX(0,D33-C33)</f>
        <v>0</v>
      </c>
      <c r="G33" s="1993" t="s">
        <v>5118</v>
      </c>
    </row>
    <row r="34" spans="1:8" s="1547" customFormat="1" ht="14.25" customHeight="1">
      <c r="A34" s="1924">
        <v>30</v>
      </c>
      <c r="B34" s="1925" t="s">
        <v>5128</v>
      </c>
      <c r="C34" s="1967" t="s">
        <v>1860</v>
      </c>
      <c r="D34" s="1967" t="s">
        <v>1860</v>
      </c>
      <c r="E34" s="2077">
        <f ca="1">E35+E36+E37+E38</f>
        <v>0</v>
      </c>
      <c r="F34" s="2077">
        <f ca="1">F35+F36+F37+F38</f>
        <v>0</v>
      </c>
      <c r="G34" s="1993"/>
    </row>
    <row r="35" spans="1:8" s="1547" customFormat="1" ht="60.75" customHeight="1">
      <c r="A35" s="1924">
        <v>31</v>
      </c>
      <c r="B35" s="1925" t="s">
        <v>5129</v>
      </c>
      <c r="C35" s="2074">
        <f>A105080资产折旧、摊销情况及纳税调整明细表!D32</f>
        <v>0</v>
      </c>
      <c r="D35" s="2074">
        <f ca="1">A105080资产折旧、摊销情况及纳税调整明细表!G32+A105080资产折旧、摊销情况及纳税调整明细表!H32</f>
        <v>0</v>
      </c>
      <c r="E35" s="2077">
        <f ca="1">MAX(0,A105080资产折旧、摊销情况及纳税调整明细表!K32)</f>
        <v>0</v>
      </c>
      <c r="F35" s="2077">
        <f ca="1">MAX(0,-A105080资产折旧、摊销情况及纳税调整明细表!K32)</f>
        <v>0</v>
      </c>
      <c r="G35" s="1993" t="s">
        <v>5130</v>
      </c>
      <c r="H35" s="1546"/>
    </row>
    <row r="36" spans="1:8" ht="14.25" customHeight="1">
      <c r="A36" s="1924">
        <v>32</v>
      </c>
      <c r="B36" s="1925" t="s">
        <v>5131</v>
      </c>
      <c r="C36" s="2074">
        <f>减值准备审核表!H22</f>
        <v>0</v>
      </c>
      <c r="D36" s="1967" t="s">
        <v>1860</v>
      </c>
      <c r="E36" s="2077">
        <f>MAX(0,C36)</f>
        <v>0</v>
      </c>
      <c r="F36" s="2077">
        <f>MAX(0,-C36)</f>
        <v>0</v>
      </c>
      <c r="G36" s="1993" t="s">
        <v>5132</v>
      </c>
    </row>
    <row r="37" spans="1:8" s="1547" customFormat="1" ht="61.5" customHeight="1">
      <c r="A37" s="1924">
        <v>33</v>
      </c>
      <c r="B37" s="1925" t="s">
        <v>5133</v>
      </c>
      <c r="C37" s="2074">
        <f>A105090资产损失税前扣除及纳税调整明细表!C18</f>
        <v>0</v>
      </c>
      <c r="D37" s="2074">
        <f>A105090资产损失税前扣除及纳税调整明细表!D18</f>
        <v>0</v>
      </c>
      <c r="E37" s="2077">
        <f>MAX(0,A105090资产损失税前扣除及纳税调整明细表!E18)</f>
        <v>0</v>
      </c>
      <c r="F37" s="2077">
        <f>MAX(0,-A105090资产损失税前扣除及纳税调整明细表!E18)</f>
        <v>0</v>
      </c>
      <c r="G37" s="1993" t="s">
        <v>5134</v>
      </c>
      <c r="H37" s="1546"/>
    </row>
    <row r="38" spans="1:8" s="1547" customFormat="1" ht="14.25" customHeight="1">
      <c r="A38" s="1924">
        <v>34</v>
      </c>
      <c r="B38" s="1925" t="s">
        <v>5135</v>
      </c>
      <c r="C38" s="2074">
        <f>SUM(其他事项!D13:'其他事项'!D15)</f>
        <v>0</v>
      </c>
      <c r="D38" s="2074">
        <f>SUM(其他事项!E13:'其他事项'!E15)</f>
        <v>0</v>
      </c>
      <c r="E38" s="2077">
        <f>MAX(0,C38-D38)</f>
        <v>0</v>
      </c>
      <c r="F38" s="2077">
        <f>MAX(0,D38-C38)</f>
        <v>0</v>
      </c>
      <c r="G38" s="1993" t="s">
        <v>5118</v>
      </c>
    </row>
    <row r="39" spans="1:8" s="1547" customFormat="1" ht="14.25" customHeight="1">
      <c r="A39" s="1924">
        <v>35</v>
      </c>
      <c r="B39" s="1929" t="s">
        <v>5136</v>
      </c>
      <c r="C39" s="1967" t="s">
        <v>1860</v>
      </c>
      <c r="D39" s="1967" t="s">
        <v>1860</v>
      </c>
      <c r="E39" s="2077">
        <f>E40+E41+E42+E43+E44</f>
        <v>0</v>
      </c>
      <c r="F39" s="2077">
        <f>F40+F41+F42+F43+F44</f>
        <v>0</v>
      </c>
      <c r="G39" s="1993"/>
    </row>
    <row r="40" spans="1:8" s="1547" customFormat="1" ht="63" customHeight="1">
      <c r="A40" s="1924">
        <v>36</v>
      </c>
      <c r="B40" s="1925" t="s">
        <v>5137</v>
      </c>
      <c r="C40" s="2074">
        <f>A105100企业重组纳税调整明细表!C19+A105100企业重组纳税调整明细表!F19</f>
        <v>0</v>
      </c>
      <c r="D40" s="2074">
        <f>A105100企业重组纳税调整明细表!D19+A105100企业重组纳税调整明细表!G19</f>
        <v>0</v>
      </c>
      <c r="E40" s="2077">
        <f>MAX(0,A105100企业重组纳税调整明细表!I19)</f>
        <v>0</v>
      </c>
      <c r="F40" s="2077">
        <f>MAX(0,-A105100企业重组纳税调整明细表!I19)</f>
        <v>0</v>
      </c>
      <c r="G40" s="1993" t="s">
        <v>5138</v>
      </c>
      <c r="H40" s="1546"/>
    </row>
    <row r="41" spans="1:8" s="1547" customFormat="1" ht="53.25" customHeight="1">
      <c r="A41" s="1924">
        <v>37</v>
      </c>
      <c r="B41" s="1925" t="s">
        <v>5139</v>
      </c>
      <c r="C41" s="1967" t="s">
        <v>1860</v>
      </c>
      <c r="D41" s="1967" t="s">
        <v>1860</v>
      </c>
      <c r="E41" s="2077">
        <f>MAX(0,A105110政策性搬迁纳税调整明细表!C27)</f>
        <v>0</v>
      </c>
      <c r="F41" s="2077">
        <f>MAX(0,-A105110政策性搬迁纳税调整明细表!C27)</f>
        <v>0</v>
      </c>
      <c r="G41" s="1993" t="s">
        <v>5140</v>
      </c>
    </row>
    <row r="42" spans="1:8" s="1547" customFormat="1" ht="63" customHeight="1">
      <c r="A42" s="1924">
        <v>38</v>
      </c>
      <c r="B42" s="1929" t="s">
        <v>5141</v>
      </c>
      <c r="C42" s="2074">
        <f>A105120特殊行业准备金纳税调整明细表!C34</f>
        <v>0</v>
      </c>
      <c r="D42" s="2074">
        <f>A105120特殊行业准备金纳税调整明细表!D34</f>
        <v>0</v>
      </c>
      <c r="E42" s="2077">
        <f>MAX(0,A105120特殊行业准备金纳税调整明细表!E34)</f>
        <v>0</v>
      </c>
      <c r="F42" s="2077">
        <f>MAX(0,-A105120特殊行业准备金纳税调整明细表!E34)</f>
        <v>0</v>
      </c>
      <c r="G42" s="1993" t="s">
        <v>5142</v>
      </c>
      <c r="H42" s="1546"/>
    </row>
    <row r="43" spans="1:8" s="1547" customFormat="1" ht="51.75" customHeight="1">
      <c r="A43" s="1926">
        <v>39</v>
      </c>
      <c r="B43" s="1928" t="s">
        <v>5143</v>
      </c>
      <c r="C43" s="1926" t="s">
        <v>1860</v>
      </c>
      <c r="D43" s="2075">
        <f>A105010视同销售和房地产开发企业特定业务纳税调整明细表!C25</f>
        <v>0</v>
      </c>
      <c r="E43" s="2080">
        <f>MAX(0,A105010视同销售和房地产开发企业特定业务纳税调整明细表!D25)</f>
        <v>0</v>
      </c>
      <c r="F43" s="2080">
        <f>MAX(0,-A105010视同销售和房地产开发企业特定业务纳税调整明细表!D25)</f>
        <v>0</v>
      </c>
      <c r="G43" s="1993" t="s">
        <v>5144</v>
      </c>
      <c r="H43" s="1546"/>
    </row>
    <row r="44" spans="1:8" s="1547" customFormat="1" ht="14.25" customHeight="1">
      <c r="A44" s="1924">
        <v>40</v>
      </c>
      <c r="B44" s="1925" t="s">
        <v>5145</v>
      </c>
      <c r="C44" s="1967" t="s">
        <v>1860</v>
      </c>
      <c r="D44" s="1967" t="s">
        <v>1860</v>
      </c>
      <c r="E44" s="2077">
        <f>MAX(0,其他事项!F17)</f>
        <v>0</v>
      </c>
      <c r="F44" s="2077">
        <f>MAX(0,-其他事项!F17)</f>
        <v>0</v>
      </c>
      <c r="G44" s="1993"/>
    </row>
    <row r="45" spans="1:8" s="1547" customFormat="1" ht="14.25" customHeight="1">
      <c r="A45" s="1924">
        <v>41</v>
      </c>
      <c r="B45" s="1925" t="s">
        <v>5146</v>
      </c>
      <c r="C45" s="1967" t="s">
        <v>1860</v>
      </c>
      <c r="D45" s="1967" t="s">
        <v>1860</v>
      </c>
      <c r="E45" s="2077">
        <f>MAX(0,其他事项!F18)</f>
        <v>0</v>
      </c>
      <c r="F45" s="2077">
        <f>MAX(0,-其他事项!F18)</f>
        <v>0</v>
      </c>
      <c r="G45" s="1993"/>
    </row>
    <row r="46" spans="1:8" s="1547" customFormat="1" ht="14.25" customHeight="1">
      <c r="A46" s="1924">
        <v>42</v>
      </c>
      <c r="B46" s="1925" t="s">
        <v>5147</v>
      </c>
      <c r="C46" s="1967" t="s">
        <v>1860</v>
      </c>
      <c r="D46" s="1967" t="s">
        <v>1860</v>
      </c>
      <c r="E46" s="2077">
        <f>MAX(0,其他事项!F19)</f>
        <v>0</v>
      </c>
      <c r="F46" s="2077">
        <f>MAX(0,-其他事项!F19)</f>
        <v>0</v>
      </c>
      <c r="G46" s="1993"/>
    </row>
    <row r="47" spans="1:8" s="1547" customFormat="1" ht="35.25" customHeight="1">
      <c r="A47" s="1924">
        <v>43</v>
      </c>
      <c r="B47" s="1925" t="s">
        <v>5148</v>
      </c>
      <c r="C47" s="1967" t="s">
        <v>1860</v>
      </c>
      <c r="D47" s="1967" t="s">
        <v>1860</v>
      </c>
      <c r="E47" s="2077">
        <f ca="1">E5+E16+E34+E39+E45+E46</f>
        <v>0</v>
      </c>
      <c r="F47" s="2077">
        <f ca="1">F5+F16+F34+F39+F45+F46</f>
        <v>0</v>
      </c>
      <c r="G47" s="1993" t="s">
        <v>5149</v>
      </c>
    </row>
  </sheetData>
  <mergeCells count="4">
    <mergeCell ref="A1:F1"/>
    <mergeCell ref="A2:F2"/>
    <mergeCell ref="A3:A4"/>
    <mergeCell ref="B3:B4"/>
  </mergeCells>
  <phoneticPr fontId="51" type="noConversion"/>
  <printOptions horizontalCentered="1"/>
  <pageMargins left="0.78740157480314998" right="0.35433070866141703" top="0.511811023622047" bottom="0.11811023622047198" header="0.511811023622047" footer="0.511811023622047"/>
  <pageSetup paperSize="9" orientation="landscape" r:id="rId1"/>
  <headerFooter alignWithMargins="0"/>
</worksheet>
</file>

<file path=xl/worksheets/sheet1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24">
    <tabColor rgb="FFFFFF00"/>
  </sheetPr>
  <dimension ref="A1:F33"/>
  <sheetViews>
    <sheetView workbookViewId="0">
      <selection sqref="A1:D1"/>
    </sheetView>
  </sheetViews>
  <sheetFormatPr defaultRowHeight="15.6"/>
  <cols>
    <col min="1" max="1" width="5.19921875" style="1555" customWidth="1"/>
    <col min="2" max="2" width="54.19921875" style="1551" customWidth="1"/>
    <col min="3" max="4" width="12.69921875" style="1555" customWidth="1"/>
    <col min="5" max="5" width="26.8984375" style="1551" customWidth="1"/>
    <col min="6" max="256" width="9" style="1551"/>
    <col min="257" max="257" width="5.19921875" style="1551" customWidth="1"/>
    <col min="258" max="258" width="54.19921875" style="1551" customWidth="1"/>
    <col min="259" max="260" width="10.5" style="1551" customWidth="1"/>
    <col min="261" max="261" width="26.8984375" style="1551" customWidth="1"/>
    <col min="262" max="512" width="9" style="1551"/>
    <col min="513" max="513" width="5.19921875" style="1551" customWidth="1"/>
    <col min="514" max="514" width="54.19921875" style="1551" customWidth="1"/>
    <col min="515" max="516" width="10.5" style="1551" customWidth="1"/>
    <col min="517" max="517" width="26.8984375" style="1551" customWidth="1"/>
    <col min="518" max="768" width="9" style="1551"/>
    <col min="769" max="769" width="5.19921875" style="1551" customWidth="1"/>
    <col min="770" max="770" width="54.19921875" style="1551" customWidth="1"/>
    <col min="771" max="772" width="10.5" style="1551" customWidth="1"/>
    <col min="773" max="773" width="26.8984375" style="1551" customWidth="1"/>
    <col min="774" max="1024" width="9" style="1551"/>
    <col min="1025" max="1025" width="5.19921875" style="1551" customWidth="1"/>
    <col min="1026" max="1026" width="54.19921875" style="1551" customWidth="1"/>
    <col min="1027" max="1028" width="10.5" style="1551" customWidth="1"/>
    <col min="1029" max="1029" width="26.8984375" style="1551" customWidth="1"/>
    <col min="1030" max="1280" width="9" style="1551"/>
    <col min="1281" max="1281" width="5.19921875" style="1551" customWidth="1"/>
    <col min="1282" max="1282" width="54.19921875" style="1551" customWidth="1"/>
    <col min="1283" max="1284" width="10.5" style="1551" customWidth="1"/>
    <col min="1285" max="1285" width="26.8984375" style="1551" customWidth="1"/>
    <col min="1286" max="1536" width="9" style="1551"/>
    <col min="1537" max="1537" width="5.19921875" style="1551" customWidth="1"/>
    <col min="1538" max="1538" width="54.19921875" style="1551" customWidth="1"/>
    <col min="1539" max="1540" width="10.5" style="1551" customWidth="1"/>
    <col min="1541" max="1541" width="26.8984375" style="1551" customWidth="1"/>
    <col min="1542" max="1792" width="9" style="1551"/>
    <col min="1793" max="1793" width="5.19921875" style="1551" customWidth="1"/>
    <col min="1794" max="1794" width="54.19921875" style="1551" customWidth="1"/>
    <col min="1795" max="1796" width="10.5" style="1551" customWidth="1"/>
    <col min="1797" max="1797" width="26.8984375" style="1551" customWidth="1"/>
    <col min="1798" max="2048" width="9" style="1551"/>
    <col min="2049" max="2049" width="5.19921875" style="1551" customWidth="1"/>
    <col min="2050" max="2050" width="54.19921875" style="1551" customWidth="1"/>
    <col min="2051" max="2052" width="10.5" style="1551" customWidth="1"/>
    <col min="2053" max="2053" width="26.8984375" style="1551" customWidth="1"/>
    <col min="2054" max="2304" width="9" style="1551"/>
    <col min="2305" max="2305" width="5.19921875" style="1551" customWidth="1"/>
    <col min="2306" max="2306" width="54.19921875" style="1551" customWidth="1"/>
    <col min="2307" max="2308" width="10.5" style="1551" customWidth="1"/>
    <col min="2309" max="2309" width="26.8984375" style="1551" customWidth="1"/>
    <col min="2310" max="2560" width="9" style="1551"/>
    <col min="2561" max="2561" width="5.19921875" style="1551" customWidth="1"/>
    <col min="2562" max="2562" width="54.19921875" style="1551" customWidth="1"/>
    <col min="2563" max="2564" width="10.5" style="1551" customWidth="1"/>
    <col min="2565" max="2565" width="26.8984375" style="1551" customWidth="1"/>
    <col min="2566" max="2816" width="9" style="1551"/>
    <col min="2817" max="2817" width="5.19921875" style="1551" customWidth="1"/>
    <col min="2818" max="2818" width="54.19921875" style="1551" customWidth="1"/>
    <col min="2819" max="2820" width="10.5" style="1551" customWidth="1"/>
    <col min="2821" max="2821" width="26.8984375" style="1551" customWidth="1"/>
    <col min="2822" max="3072" width="9" style="1551"/>
    <col min="3073" max="3073" width="5.19921875" style="1551" customWidth="1"/>
    <col min="3074" max="3074" width="54.19921875" style="1551" customWidth="1"/>
    <col min="3075" max="3076" width="10.5" style="1551" customWidth="1"/>
    <col min="3077" max="3077" width="26.8984375" style="1551" customWidth="1"/>
    <col min="3078" max="3328" width="9" style="1551"/>
    <col min="3329" max="3329" width="5.19921875" style="1551" customWidth="1"/>
    <col min="3330" max="3330" width="54.19921875" style="1551" customWidth="1"/>
    <col min="3331" max="3332" width="10.5" style="1551" customWidth="1"/>
    <col min="3333" max="3333" width="26.8984375" style="1551" customWidth="1"/>
    <col min="3334" max="3584" width="9" style="1551"/>
    <col min="3585" max="3585" width="5.19921875" style="1551" customWidth="1"/>
    <col min="3586" max="3586" width="54.19921875" style="1551" customWidth="1"/>
    <col min="3587" max="3588" width="10.5" style="1551" customWidth="1"/>
    <col min="3589" max="3589" width="26.8984375" style="1551" customWidth="1"/>
    <col min="3590" max="3840" width="9" style="1551"/>
    <col min="3841" max="3841" width="5.19921875" style="1551" customWidth="1"/>
    <col min="3842" max="3842" width="54.19921875" style="1551" customWidth="1"/>
    <col min="3843" max="3844" width="10.5" style="1551" customWidth="1"/>
    <col min="3845" max="3845" width="26.8984375" style="1551" customWidth="1"/>
    <col min="3846" max="4096" width="9" style="1551"/>
    <col min="4097" max="4097" width="5.19921875" style="1551" customWidth="1"/>
    <col min="4098" max="4098" width="54.19921875" style="1551" customWidth="1"/>
    <col min="4099" max="4100" width="10.5" style="1551" customWidth="1"/>
    <col min="4101" max="4101" width="26.8984375" style="1551" customWidth="1"/>
    <col min="4102" max="4352" width="9" style="1551"/>
    <col min="4353" max="4353" width="5.19921875" style="1551" customWidth="1"/>
    <col min="4354" max="4354" width="54.19921875" style="1551" customWidth="1"/>
    <col min="4355" max="4356" width="10.5" style="1551" customWidth="1"/>
    <col min="4357" max="4357" width="26.8984375" style="1551" customWidth="1"/>
    <col min="4358" max="4608" width="9" style="1551"/>
    <col min="4609" max="4609" width="5.19921875" style="1551" customWidth="1"/>
    <col min="4610" max="4610" width="54.19921875" style="1551" customWidth="1"/>
    <col min="4611" max="4612" width="10.5" style="1551" customWidth="1"/>
    <col min="4613" max="4613" width="26.8984375" style="1551" customWidth="1"/>
    <col min="4614" max="4864" width="9" style="1551"/>
    <col min="4865" max="4865" width="5.19921875" style="1551" customWidth="1"/>
    <col min="4866" max="4866" width="54.19921875" style="1551" customWidth="1"/>
    <col min="4867" max="4868" width="10.5" style="1551" customWidth="1"/>
    <col min="4869" max="4869" width="26.8984375" style="1551" customWidth="1"/>
    <col min="4870" max="5120" width="9" style="1551"/>
    <col min="5121" max="5121" width="5.19921875" style="1551" customWidth="1"/>
    <col min="5122" max="5122" width="54.19921875" style="1551" customWidth="1"/>
    <col min="5123" max="5124" width="10.5" style="1551" customWidth="1"/>
    <col min="5125" max="5125" width="26.8984375" style="1551" customWidth="1"/>
    <col min="5126" max="5376" width="9" style="1551"/>
    <col min="5377" max="5377" width="5.19921875" style="1551" customWidth="1"/>
    <col min="5378" max="5378" width="54.19921875" style="1551" customWidth="1"/>
    <col min="5379" max="5380" width="10.5" style="1551" customWidth="1"/>
    <col min="5381" max="5381" width="26.8984375" style="1551" customWidth="1"/>
    <col min="5382" max="5632" width="9" style="1551"/>
    <col min="5633" max="5633" width="5.19921875" style="1551" customWidth="1"/>
    <col min="5634" max="5634" width="54.19921875" style="1551" customWidth="1"/>
    <col min="5635" max="5636" width="10.5" style="1551" customWidth="1"/>
    <col min="5637" max="5637" width="26.8984375" style="1551" customWidth="1"/>
    <col min="5638" max="5888" width="9" style="1551"/>
    <col min="5889" max="5889" width="5.19921875" style="1551" customWidth="1"/>
    <col min="5890" max="5890" width="54.19921875" style="1551" customWidth="1"/>
    <col min="5891" max="5892" width="10.5" style="1551" customWidth="1"/>
    <col min="5893" max="5893" width="26.8984375" style="1551" customWidth="1"/>
    <col min="5894" max="6144" width="9" style="1551"/>
    <col min="6145" max="6145" width="5.19921875" style="1551" customWidth="1"/>
    <col min="6146" max="6146" width="54.19921875" style="1551" customWidth="1"/>
    <col min="6147" max="6148" width="10.5" style="1551" customWidth="1"/>
    <col min="6149" max="6149" width="26.8984375" style="1551" customWidth="1"/>
    <col min="6150" max="6400" width="9" style="1551"/>
    <col min="6401" max="6401" width="5.19921875" style="1551" customWidth="1"/>
    <col min="6402" max="6402" width="54.19921875" style="1551" customWidth="1"/>
    <col min="6403" max="6404" width="10.5" style="1551" customWidth="1"/>
    <col min="6405" max="6405" width="26.8984375" style="1551" customWidth="1"/>
    <col min="6406" max="6656" width="9" style="1551"/>
    <col min="6657" max="6657" width="5.19921875" style="1551" customWidth="1"/>
    <col min="6658" max="6658" width="54.19921875" style="1551" customWidth="1"/>
    <col min="6659" max="6660" width="10.5" style="1551" customWidth="1"/>
    <col min="6661" max="6661" width="26.8984375" style="1551" customWidth="1"/>
    <col min="6662" max="6912" width="9" style="1551"/>
    <col min="6913" max="6913" width="5.19921875" style="1551" customWidth="1"/>
    <col min="6914" max="6914" width="54.19921875" style="1551" customWidth="1"/>
    <col min="6915" max="6916" width="10.5" style="1551" customWidth="1"/>
    <col min="6917" max="6917" width="26.8984375" style="1551" customWidth="1"/>
    <col min="6918" max="7168" width="9" style="1551"/>
    <col min="7169" max="7169" width="5.19921875" style="1551" customWidth="1"/>
    <col min="7170" max="7170" width="54.19921875" style="1551" customWidth="1"/>
    <col min="7171" max="7172" width="10.5" style="1551" customWidth="1"/>
    <col min="7173" max="7173" width="26.8984375" style="1551" customWidth="1"/>
    <col min="7174" max="7424" width="9" style="1551"/>
    <col min="7425" max="7425" width="5.19921875" style="1551" customWidth="1"/>
    <col min="7426" max="7426" width="54.19921875" style="1551" customWidth="1"/>
    <col min="7427" max="7428" width="10.5" style="1551" customWidth="1"/>
    <col min="7429" max="7429" width="26.8984375" style="1551" customWidth="1"/>
    <col min="7430" max="7680" width="9" style="1551"/>
    <col min="7681" max="7681" width="5.19921875" style="1551" customWidth="1"/>
    <col min="7682" max="7682" width="54.19921875" style="1551" customWidth="1"/>
    <col min="7683" max="7684" width="10.5" style="1551" customWidth="1"/>
    <col min="7685" max="7685" width="26.8984375" style="1551" customWidth="1"/>
    <col min="7686" max="7936" width="9" style="1551"/>
    <col min="7937" max="7937" width="5.19921875" style="1551" customWidth="1"/>
    <col min="7938" max="7938" width="54.19921875" style="1551" customWidth="1"/>
    <col min="7939" max="7940" width="10.5" style="1551" customWidth="1"/>
    <col min="7941" max="7941" width="26.8984375" style="1551" customWidth="1"/>
    <col min="7942" max="8192" width="9" style="1551"/>
    <col min="8193" max="8193" width="5.19921875" style="1551" customWidth="1"/>
    <col min="8194" max="8194" width="54.19921875" style="1551" customWidth="1"/>
    <col min="8195" max="8196" width="10.5" style="1551" customWidth="1"/>
    <col min="8197" max="8197" width="26.8984375" style="1551" customWidth="1"/>
    <col min="8198" max="8448" width="9" style="1551"/>
    <col min="8449" max="8449" width="5.19921875" style="1551" customWidth="1"/>
    <col min="8450" max="8450" width="54.19921875" style="1551" customWidth="1"/>
    <col min="8451" max="8452" width="10.5" style="1551" customWidth="1"/>
    <col min="8453" max="8453" width="26.8984375" style="1551" customWidth="1"/>
    <col min="8454" max="8704" width="9" style="1551"/>
    <col min="8705" max="8705" width="5.19921875" style="1551" customWidth="1"/>
    <col min="8706" max="8706" width="54.19921875" style="1551" customWidth="1"/>
    <col min="8707" max="8708" width="10.5" style="1551" customWidth="1"/>
    <col min="8709" max="8709" width="26.8984375" style="1551" customWidth="1"/>
    <col min="8710" max="8960" width="9" style="1551"/>
    <col min="8961" max="8961" width="5.19921875" style="1551" customWidth="1"/>
    <col min="8962" max="8962" width="54.19921875" style="1551" customWidth="1"/>
    <col min="8963" max="8964" width="10.5" style="1551" customWidth="1"/>
    <col min="8965" max="8965" width="26.8984375" style="1551" customWidth="1"/>
    <col min="8966" max="9216" width="9" style="1551"/>
    <col min="9217" max="9217" width="5.19921875" style="1551" customWidth="1"/>
    <col min="9218" max="9218" width="54.19921875" style="1551" customWidth="1"/>
    <col min="9219" max="9220" width="10.5" style="1551" customWidth="1"/>
    <col min="9221" max="9221" width="26.8984375" style="1551" customWidth="1"/>
    <col min="9222" max="9472" width="9" style="1551"/>
    <col min="9473" max="9473" width="5.19921875" style="1551" customWidth="1"/>
    <col min="9474" max="9474" width="54.19921875" style="1551" customWidth="1"/>
    <col min="9475" max="9476" width="10.5" style="1551" customWidth="1"/>
    <col min="9477" max="9477" width="26.8984375" style="1551" customWidth="1"/>
    <col min="9478" max="9728" width="9" style="1551"/>
    <col min="9729" max="9729" width="5.19921875" style="1551" customWidth="1"/>
    <col min="9730" max="9730" width="54.19921875" style="1551" customWidth="1"/>
    <col min="9731" max="9732" width="10.5" style="1551" customWidth="1"/>
    <col min="9733" max="9733" width="26.8984375" style="1551" customWidth="1"/>
    <col min="9734" max="9984" width="9" style="1551"/>
    <col min="9985" max="9985" width="5.19921875" style="1551" customWidth="1"/>
    <col min="9986" max="9986" width="54.19921875" style="1551" customWidth="1"/>
    <col min="9987" max="9988" width="10.5" style="1551" customWidth="1"/>
    <col min="9989" max="9989" width="26.8984375" style="1551" customWidth="1"/>
    <col min="9990" max="10240" width="9" style="1551"/>
    <col min="10241" max="10241" width="5.19921875" style="1551" customWidth="1"/>
    <col min="10242" max="10242" width="54.19921875" style="1551" customWidth="1"/>
    <col min="10243" max="10244" width="10.5" style="1551" customWidth="1"/>
    <col min="10245" max="10245" width="26.8984375" style="1551" customWidth="1"/>
    <col min="10246" max="10496" width="9" style="1551"/>
    <col min="10497" max="10497" width="5.19921875" style="1551" customWidth="1"/>
    <col min="10498" max="10498" width="54.19921875" style="1551" customWidth="1"/>
    <col min="10499" max="10500" width="10.5" style="1551" customWidth="1"/>
    <col min="10501" max="10501" width="26.8984375" style="1551" customWidth="1"/>
    <col min="10502" max="10752" width="9" style="1551"/>
    <col min="10753" max="10753" width="5.19921875" style="1551" customWidth="1"/>
    <col min="10754" max="10754" width="54.19921875" style="1551" customWidth="1"/>
    <col min="10755" max="10756" width="10.5" style="1551" customWidth="1"/>
    <col min="10757" max="10757" width="26.8984375" style="1551" customWidth="1"/>
    <col min="10758" max="11008" width="9" style="1551"/>
    <col min="11009" max="11009" width="5.19921875" style="1551" customWidth="1"/>
    <col min="11010" max="11010" width="54.19921875" style="1551" customWidth="1"/>
    <col min="11011" max="11012" width="10.5" style="1551" customWidth="1"/>
    <col min="11013" max="11013" width="26.8984375" style="1551" customWidth="1"/>
    <col min="11014" max="11264" width="9" style="1551"/>
    <col min="11265" max="11265" width="5.19921875" style="1551" customWidth="1"/>
    <col min="11266" max="11266" width="54.19921875" style="1551" customWidth="1"/>
    <col min="11267" max="11268" width="10.5" style="1551" customWidth="1"/>
    <col min="11269" max="11269" width="26.8984375" style="1551" customWidth="1"/>
    <col min="11270" max="11520" width="9" style="1551"/>
    <col min="11521" max="11521" width="5.19921875" style="1551" customWidth="1"/>
    <col min="11522" max="11522" width="54.19921875" style="1551" customWidth="1"/>
    <col min="11523" max="11524" width="10.5" style="1551" customWidth="1"/>
    <col min="11525" max="11525" width="26.8984375" style="1551" customWidth="1"/>
    <col min="11526" max="11776" width="9" style="1551"/>
    <col min="11777" max="11777" width="5.19921875" style="1551" customWidth="1"/>
    <col min="11778" max="11778" width="54.19921875" style="1551" customWidth="1"/>
    <col min="11779" max="11780" width="10.5" style="1551" customWidth="1"/>
    <col min="11781" max="11781" width="26.8984375" style="1551" customWidth="1"/>
    <col min="11782" max="12032" width="9" style="1551"/>
    <col min="12033" max="12033" width="5.19921875" style="1551" customWidth="1"/>
    <col min="12034" max="12034" width="54.19921875" style="1551" customWidth="1"/>
    <col min="12035" max="12036" width="10.5" style="1551" customWidth="1"/>
    <col min="12037" max="12037" width="26.8984375" style="1551" customWidth="1"/>
    <col min="12038" max="12288" width="9" style="1551"/>
    <col min="12289" max="12289" width="5.19921875" style="1551" customWidth="1"/>
    <col min="12290" max="12290" width="54.19921875" style="1551" customWidth="1"/>
    <col min="12291" max="12292" width="10.5" style="1551" customWidth="1"/>
    <col min="12293" max="12293" width="26.8984375" style="1551" customWidth="1"/>
    <col min="12294" max="12544" width="9" style="1551"/>
    <col min="12545" max="12545" width="5.19921875" style="1551" customWidth="1"/>
    <col min="12546" max="12546" width="54.19921875" style="1551" customWidth="1"/>
    <col min="12547" max="12548" width="10.5" style="1551" customWidth="1"/>
    <col min="12549" max="12549" width="26.8984375" style="1551" customWidth="1"/>
    <col min="12550" max="12800" width="9" style="1551"/>
    <col min="12801" max="12801" width="5.19921875" style="1551" customWidth="1"/>
    <col min="12802" max="12802" width="54.19921875" style="1551" customWidth="1"/>
    <col min="12803" max="12804" width="10.5" style="1551" customWidth="1"/>
    <col min="12805" max="12805" width="26.8984375" style="1551" customWidth="1"/>
    <col min="12806" max="13056" width="9" style="1551"/>
    <col min="13057" max="13057" width="5.19921875" style="1551" customWidth="1"/>
    <col min="13058" max="13058" width="54.19921875" style="1551" customWidth="1"/>
    <col min="13059" max="13060" width="10.5" style="1551" customWidth="1"/>
    <col min="13061" max="13061" width="26.8984375" style="1551" customWidth="1"/>
    <col min="13062" max="13312" width="9" style="1551"/>
    <col min="13313" max="13313" width="5.19921875" style="1551" customWidth="1"/>
    <col min="13314" max="13314" width="54.19921875" style="1551" customWidth="1"/>
    <col min="13315" max="13316" width="10.5" style="1551" customWidth="1"/>
    <col min="13317" max="13317" width="26.8984375" style="1551" customWidth="1"/>
    <col min="13318" max="13568" width="9" style="1551"/>
    <col min="13569" max="13569" width="5.19921875" style="1551" customWidth="1"/>
    <col min="13570" max="13570" width="54.19921875" style="1551" customWidth="1"/>
    <col min="13571" max="13572" width="10.5" style="1551" customWidth="1"/>
    <col min="13573" max="13573" width="26.8984375" style="1551" customWidth="1"/>
    <col min="13574" max="13824" width="9" style="1551"/>
    <col min="13825" max="13825" width="5.19921875" style="1551" customWidth="1"/>
    <col min="13826" max="13826" width="54.19921875" style="1551" customWidth="1"/>
    <col min="13827" max="13828" width="10.5" style="1551" customWidth="1"/>
    <col min="13829" max="13829" width="26.8984375" style="1551" customWidth="1"/>
    <col min="13830" max="14080" width="9" style="1551"/>
    <col min="14081" max="14081" width="5.19921875" style="1551" customWidth="1"/>
    <col min="14082" max="14082" width="54.19921875" style="1551" customWidth="1"/>
    <col min="14083" max="14084" width="10.5" style="1551" customWidth="1"/>
    <col min="14085" max="14085" width="26.8984375" style="1551" customWidth="1"/>
    <col min="14086" max="14336" width="9" style="1551"/>
    <col min="14337" max="14337" width="5.19921875" style="1551" customWidth="1"/>
    <col min="14338" max="14338" width="54.19921875" style="1551" customWidth="1"/>
    <col min="14339" max="14340" width="10.5" style="1551" customWidth="1"/>
    <col min="14341" max="14341" width="26.8984375" style="1551" customWidth="1"/>
    <col min="14342" max="14592" width="9" style="1551"/>
    <col min="14593" max="14593" width="5.19921875" style="1551" customWidth="1"/>
    <col min="14594" max="14594" width="54.19921875" style="1551" customWidth="1"/>
    <col min="14595" max="14596" width="10.5" style="1551" customWidth="1"/>
    <col min="14597" max="14597" width="26.8984375" style="1551" customWidth="1"/>
    <col min="14598" max="14848" width="9" style="1551"/>
    <col min="14849" max="14849" width="5.19921875" style="1551" customWidth="1"/>
    <col min="14850" max="14850" width="54.19921875" style="1551" customWidth="1"/>
    <col min="14851" max="14852" width="10.5" style="1551" customWidth="1"/>
    <col min="14853" max="14853" width="26.8984375" style="1551" customWidth="1"/>
    <col min="14854" max="15104" width="9" style="1551"/>
    <col min="15105" max="15105" width="5.19921875" style="1551" customWidth="1"/>
    <col min="15106" max="15106" width="54.19921875" style="1551" customWidth="1"/>
    <col min="15107" max="15108" width="10.5" style="1551" customWidth="1"/>
    <col min="15109" max="15109" width="26.8984375" style="1551" customWidth="1"/>
    <col min="15110" max="15360" width="9" style="1551"/>
    <col min="15361" max="15361" width="5.19921875" style="1551" customWidth="1"/>
    <col min="15362" max="15362" width="54.19921875" style="1551" customWidth="1"/>
    <col min="15363" max="15364" width="10.5" style="1551" customWidth="1"/>
    <col min="15365" max="15365" width="26.8984375" style="1551" customWidth="1"/>
    <col min="15366" max="15616" width="9" style="1551"/>
    <col min="15617" max="15617" width="5.19921875" style="1551" customWidth="1"/>
    <col min="15618" max="15618" width="54.19921875" style="1551" customWidth="1"/>
    <col min="15619" max="15620" width="10.5" style="1551" customWidth="1"/>
    <col min="15621" max="15621" width="26.8984375" style="1551" customWidth="1"/>
    <col min="15622" max="15872" width="9" style="1551"/>
    <col min="15873" max="15873" width="5.19921875" style="1551" customWidth="1"/>
    <col min="15874" max="15874" width="54.19921875" style="1551" customWidth="1"/>
    <col min="15875" max="15876" width="10.5" style="1551" customWidth="1"/>
    <col min="15877" max="15877" width="26.8984375" style="1551" customWidth="1"/>
    <col min="15878" max="16128" width="9" style="1551"/>
    <col min="16129" max="16129" width="5.19921875" style="1551" customWidth="1"/>
    <col min="16130" max="16130" width="54.19921875" style="1551" customWidth="1"/>
    <col min="16131" max="16132" width="10.5" style="1551" customWidth="1"/>
    <col min="16133" max="16133" width="26.8984375" style="1551" customWidth="1"/>
    <col min="16134" max="16384" width="9" style="1551"/>
  </cols>
  <sheetData>
    <row r="1" spans="1:6" ht="20.100000000000001" customHeight="1">
      <c r="A1" s="3440" t="s">
        <v>5150</v>
      </c>
      <c r="B1" s="3440"/>
      <c r="C1" s="3440"/>
      <c r="D1" s="3440"/>
      <c r="E1" s="1804"/>
    </row>
    <row r="2" spans="1:6" ht="25.5" customHeight="1">
      <c r="A2" s="3379" t="s">
        <v>5151</v>
      </c>
      <c r="B2" s="3379"/>
      <c r="C2" s="3379"/>
      <c r="D2" s="3379"/>
      <c r="E2" s="1835"/>
    </row>
    <row r="3" spans="1:6" s="1552" customFormat="1" ht="14.25" customHeight="1">
      <c r="A3" s="3377" t="s">
        <v>1854</v>
      </c>
      <c r="B3" s="3377" t="s">
        <v>5081</v>
      </c>
      <c r="C3" s="1842" t="s">
        <v>1852</v>
      </c>
      <c r="D3" s="1842" t="s">
        <v>5152</v>
      </c>
      <c r="E3" s="3377" t="s">
        <v>5153</v>
      </c>
    </row>
    <row r="4" spans="1:6" s="1552" customFormat="1" ht="14.25" customHeight="1">
      <c r="A4" s="3377"/>
      <c r="B4" s="3377"/>
      <c r="C4" s="1842">
        <v>1</v>
      </c>
      <c r="D4" s="1842">
        <v>2</v>
      </c>
      <c r="E4" s="3377"/>
    </row>
    <row r="5" spans="1:6" s="1552" customFormat="1" ht="14.25" customHeight="1">
      <c r="A5" s="1842">
        <v>1</v>
      </c>
      <c r="B5" s="1811" t="s">
        <v>5154</v>
      </c>
      <c r="C5" s="2074">
        <f>视同销售和房地产开发企业特定业务审核表!C8</f>
        <v>0</v>
      </c>
      <c r="D5" s="2074">
        <f>视同销售和房地产开发企业特定业务审核表!D8</f>
        <v>0</v>
      </c>
      <c r="E5" s="1811" t="s">
        <v>5155</v>
      </c>
    </row>
    <row r="6" spans="1:6" s="1552" customFormat="1" ht="14.25" customHeight="1">
      <c r="A6" s="1842">
        <v>2</v>
      </c>
      <c r="B6" s="1811" t="s">
        <v>5156</v>
      </c>
      <c r="C6" s="2074">
        <f>视同销售和房地产开发企业特定业务审核表!C9</f>
        <v>0</v>
      </c>
      <c r="D6" s="2074">
        <f>视同销售和房地产开发企业特定业务审核表!D9</f>
        <v>0</v>
      </c>
      <c r="E6" s="1811" t="s">
        <v>5157</v>
      </c>
    </row>
    <row r="7" spans="1:6" s="1552" customFormat="1" ht="14.25" customHeight="1">
      <c r="A7" s="1842">
        <v>3</v>
      </c>
      <c r="B7" s="1811" t="s">
        <v>5158</v>
      </c>
      <c r="C7" s="2074">
        <f>视同销售和房地产开发企业特定业务审核表!C10</f>
        <v>0</v>
      </c>
      <c r="D7" s="2074">
        <f>视同销售和房地产开发企业特定业务审核表!D10</f>
        <v>0</v>
      </c>
      <c r="E7" s="1811"/>
    </row>
    <row r="8" spans="1:6" s="1552" customFormat="1" ht="14.25" customHeight="1">
      <c r="A8" s="1842">
        <v>4</v>
      </c>
      <c r="B8" s="1811" t="s">
        <v>5159</v>
      </c>
      <c r="C8" s="2074">
        <f>视同销售和房地产开发企业特定业务审核表!C11</f>
        <v>0</v>
      </c>
      <c r="D8" s="2074">
        <f>视同销售和房地产开发企业特定业务审核表!D11</f>
        <v>0</v>
      </c>
      <c r="E8" s="1811"/>
    </row>
    <row r="9" spans="1:6" s="1552" customFormat="1" ht="14.25" customHeight="1">
      <c r="A9" s="1842">
        <v>5</v>
      </c>
      <c r="B9" s="1811" t="s">
        <v>5160</v>
      </c>
      <c r="C9" s="2074">
        <f>视同销售和房地产开发企业特定业务审核表!C12</f>
        <v>0</v>
      </c>
      <c r="D9" s="2074">
        <f>视同销售和房地产开发企业特定业务审核表!D12</f>
        <v>0</v>
      </c>
      <c r="E9" s="1811"/>
    </row>
    <row r="10" spans="1:6" s="1552" customFormat="1" ht="14.25" customHeight="1">
      <c r="A10" s="1842">
        <v>6</v>
      </c>
      <c r="B10" s="1811" t="s">
        <v>5161</v>
      </c>
      <c r="C10" s="2074">
        <f>视同销售和房地产开发企业特定业务审核表!C13</f>
        <v>0</v>
      </c>
      <c r="D10" s="2074">
        <f>视同销售和房地产开发企业特定业务审核表!D13</f>
        <v>0</v>
      </c>
      <c r="E10" s="1811"/>
    </row>
    <row r="11" spans="1:6" s="1552" customFormat="1" ht="14.25" customHeight="1">
      <c r="A11" s="1842">
        <v>7</v>
      </c>
      <c r="B11" s="1811" t="s">
        <v>5162</v>
      </c>
      <c r="C11" s="2074">
        <f>视同销售和房地产开发企业特定业务审核表!C14</f>
        <v>0</v>
      </c>
      <c r="D11" s="2074">
        <f>视同销售和房地产开发企业特定业务审核表!D14</f>
        <v>0</v>
      </c>
      <c r="E11" s="1811"/>
    </row>
    <row r="12" spans="1:6" s="1552" customFormat="1" ht="14.25" customHeight="1">
      <c r="A12" s="1842">
        <v>8</v>
      </c>
      <c r="B12" s="1811" t="s">
        <v>5163</v>
      </c>
      <c r="C12" s="2074">
        <f>视同销售和房地产开发企业特定业务审核表!C15</f>
        <v>0</v>
      </c>
      <c r="D12" s="2074">
        <f>视同销售和房地产开发企业特定业务审核表!D15</f>
        <v>0</v>
      </c>
      <c r="E12" s="1811"/>
      <c r="F12" s="1675" t="s">
        <v>6436</v>
      </c>
    </row>
    <row r="13" spans="1:6" s="1552" customFormat="1" ht="14.25" customHeight="1">
      <c r="A13" s="1842">
        <v>9</v>
      </c>
      <c r="B13" s="1811" t="s">
        <v>5164</v>
      </c>
      <c r="C13" s="2074">
        <f>视同销售和房地产开发企业特定业务审核表!C16</f>
        <v>0</v>
      </c>
      <c r="D13" s="2074">
        <f>视同销售和房地产开发企业特定业务审核表!D16</f>
        <v>0</v>
      </c>
      <c r="E13" s="1811"/>
    </row>
    <row r="14" spans="1:6" s="1552" customFormat="1" ht="14.25" customHeight="1">
      <c r="A14" s="1842">
        <v>10</v>
      </c>
      <c r="B14" s="1811" t="s">
        <v>5165</v>
      </c>
      <c r="C14" s="2074">
        <f>视同销售和房地产开发企业特定业务审核表!C17</f>
        <v>0</v>
      </c>
      <c r="D14" s="2074">
        <f>视同销售和房地产开发企业特定业务审核表!D17</f>
        <v>0</v>
      </c>
      <c r="E14" s="1811"/>
    </row>
    <row r="15" spans="1:6" s="1552" customFormat="1" ht="46.5" customHeight="1">
      <c r="A15" s="1842">
        <v>11</v>
      </c>
      <c r="B15" s="1811" t="s">
        <v>5166</v>
      </c>
      <c r="C15" s="2074">
        <f>视同销售和房地产开发企业特定业务审核表!C18</f>
        <v>0</v>
      </c>
      <c r="D15" s="2074">
        <f>视同销售和房地产开发企业特定业务审核表!D18</f>
        <v>0</v>
      </c>
      <c r="E15" s="1812" t="s">
        <v>5167</v>
      </c>
    </row>
    <row r="16" spans="1:6" s="1552" customFormat="1" ht="14.25" customHeight="1">
      <c r="A16" s="1842">
        <v>12</v>
      </c>
      <c r="B16" s="1811" t="s">
        <v>5168</v>
      </c>
      <c r="C16" s="2074">
        <f>视同销售和房地产开发企业特定业务审核表!C19</f>
        <v>0</v>
      </c>
      <c r="D16" s="2074">
        <f>视同销售和房地产开发企业特定业务审核表!D19</f>
        <v>0</v>
      </c>
      <c r="E16" s="1811"/>
    </row>
    <row r="17" spans="1:5" s="1552" customFormat="1" ht="14.25" customHeight="1">
      <c r="A17" s="1842">
        <v>13</v>
      </c>
      <c r="B17" s="1811" t="s">
        <v>5169</v>
      </c>
      <c r="C17" s="2074">
        <f>视同销售和房地产开发企业特定业务审核表!C20</f>
        <v>0</v>
      </c>
      <c r="D17" s="2074">
        <f>视同销售和房地产开发企业特定业务审核表!D20</f>
        <v>0</v>
      </c>
      <c r="E17" s="1811"/>
    </row>
    <row r="18" spans="1:5" s="1552" customFormat="1" ht="14.25" customHeight="1">
      <c r="A18" s="1842">
        <v>14</v>
      </c>
      <c r="B18" s="1811" t="s">
        <v>5170</v>
      </c>
      <c r="C18" s="2074">
        <f>视同销售和房地产开发企业特定业务审核表!C21</f>
        <v>0</v>
      </c>
      <c r="D18" s="2074">
        <f>视同销售和房地产开发企业特定业务审核表!D21</f>
        <v>0</v>
      </c>
      <c r="E18" s="1811"/>
    </row>
    <row r="19" spans="1:5" s="1552" customFormat="1" ht="14.25" customHeight="1">
      <c r="A19" s="1842">
        <v>15</v>
      </c>
      <c r="B19" s="1811" t="s">
        <v>5171</v>
      </c>
      <c r="C19" s="2074">
        <f>视同销售和房地产开发企业特定业务审核表!C22</f>
        <v>0</v>
      </c>
      <c r="D19" s="2074">
        <f>视同销售和房地产开发企业特定业务审核表!D22</f>
        <v>0</v>
      </c>
      <c r="E19" s="1811"/>
    </row>
    <row r="20" spans="1:5" s="1552" customFormat="1" ht="14.25" customHeight="1">
      <c r="A20" s="1842">
        <v>16</v>
      </c>
      <c r="B20" s="1811" t="s">
        <v>5172</v>
      </c>
      <c r="C20" s="2074">
        <f>视同销售和房地产开发企业特定业务审核表!C23</f>
        <v>0</v>
      </c>
      <c r="D20" s="2074">
        <f>视同销售和房地产开发企业特定业务审核表!D23</f>
        <v>0</v>
      </c>
      <c r="E20" s="1811"/>
    </row>
    <row r="21" spans="1:5" s="1552" customFormat="1" ht="14.25" customHeight="1">
      <c r="A21" s="1842">
        <v>17</v>
      </c>
      <c r="B21" s="1813" t="s">
        <v>5173</v>
      </c>
      <c r="C21" s="2074">
        <f>视同销售和房地产开发企业特定业务审核表!C24</f>
        <v>0</v>
      </c>
      <c r="D21" s="2074">
        <f>视同销售和房地产开发企业特定业务审核表!D24</f>
        <v>0</v>
      </c>
      <c r="E21" s="1811"/>
    </row>
    <row r="22" spans="1:5" s="1552" customFormat="1" ht="14.25" customHeight="1">
      <c r="A22" s="1842">
        <v>18</v>
      </c>
      <c r="B22" s="1811" t="s">
        <v>5174</v>
      </c>
      <c r="C22" s="2074">
        <f>视同销售和房地产开发企业特定业务审核表!C25</f>
        <v>0</v>
      </c>
      <c r="D22" s="2074">
        <f>视同销售和房地产开发企业特定业务审核表!D25</f>
        <v>0</v>
      </c>
      <c r="E22" s="1811"/>
    </row>
    <row r="23" spans="1:5" s="1552" customFormat="1" ht="14.25" customHeight="1">
      <c r="A23" s="1842">
        <v>19</v>
      </c>
      <c r="B23" s="1811" t="s">
        <v>5175</v>
      </c>
      <c r="C23" s="2074">
        <f>视同销售和房地产开发企业特定业务审核表!C26</f>
        <v>0</v>
      </c>
      <c r="D23" s="2074">
        <f>视同销售和房地产开发企业特定业务审核表!D26</f>
        <v>0</v>
      </c>
      <c r="E23" s="1811"/>
    </row>
    <row r="24" spans="1:5" s="1552" customFormat="1" ht="14.25" customHeight="1">
      <c r="A24" s="1842">
        <v>20</v>
      </c>
      <c r="B24" s="1811" t="s">
        <v>5165</v>
      </c>
      <c r="C24" s="2074">
        <f>视同销售和房地产开发企业特定业务审核表!C27</f>
        <v>0</v>
      </c>
      <c r="D24" s="2074">
        <f>视同销售和房地产开发企业特定业务审核表!D27</f>
        <v>0</v>
      </c>
      <c r="E24" s="1811"/>
    </row>
    <row r="25" spans="1:5" s="1552" customFormat="1" ht="48.75" customHeight="1">
      <c r="A25" s="1842">
        <v>21</v>
      </c>
      <c r="B25" s="1811" t="s">
        <v>5176</v>
      </c>
      <c r="C25" s="2074">
        <f>视同销售和房地产开发企业特定业务审核表!C28</f>
        <v>0</v>
      </c>
      <c r="D25" s="2074">
        <f>视同销售和房地产开发企业特定业务审核表!D28</f>
        <v>0</v>
      </c>
      <c r="E25" s="1812" t="s">
        <v>5177</v>
      </c>
    </row>
    <row r="26" spans="1:5" s="1552" customFormat="1" ht="21.75" customHeight="1">
      <c r="A26" s="1843">
        <v>22</v>
      </c>
      <c r="B26" s="1815" t="s">
        <v>5178</v>
      </c>
      <c r="C26" s="2074">
        <f>视同销售和房地产开发企业特定业务审核表!C29</f>
        <v>0</v>
      </c>
      <c r="D26" s="2074">
        <f>视同销售和房地产开发企业特定业务审核表!D29</f>
        <v>0</v>
      </c>
      <c r="E26" s="1813"/>
    </row>
    <row r="27" spans="1:5" s="1552" customFormat="1" ht="14.25" customHeight="1">
      <c r="A27" s="1842">
        <v>23</v>
      </c>
      <c r="B27" s="1812" t="s">
        <v>5179</v>
      </c>
      <c r="C27" s="2074">
        <f>视同销售和房地产开发企业特定业务审核表!C30</f>
        <v>0</v>
      </c>
      <c r="D27" s="2067" t="str">
        <f>视同销售和房地产开发企业特定业务审核表!D30</f>
        <v>*</v>
      </c>
      <c r="E27" s="1811"/>
    </row>
    <row r="28" spans="1:5" s="1554" customFormat="1" ht="14.25" customHeight="1">
      <c r="A28" s="1842">
        <v>24</v>
      </c>
      <c r="B28" s="1811" t="s">
        <v>5180</v>
      </c>
      <c r="C28" s="2074">
        <f>视同销售和房地产开发企业特定业务审核表!C31</f>
        <v>0</v>
      </c>
      <c r="D28" s="2074">
        <f>视同销售和房地产开发企业特定业务审核表!D31</f>
        <v>0</v>
      </c>
      <c r="E28" s="1811"/>
    </row>
    <row r="29" spans="1:5" s="1554" customFormat="1" ht="14.25" customHeight="1">
      <c r="A29" s="1842">
        <v>25</v>
      </c>
      <c r="B29" s="1811" t="s">
        <v>5181</v>
      </c>
      <c r="C29" s="2074">
        <f>视同销售和房地产开发企业特定业务审核表!C32</f>
        <v>0</v>
      </c>
      <c r="D29" s="2074">
        <f>视同销售和房地产开发企业特定业务审核表!D32</f>
        <v>0</v>
      </c>
      <c r="E29" s="1811"/>
    </row>
    <row r="30" spans="1:5" s="1554" customFormat="1" ht="14.25" customHeight="1">
      <c r="A30" s="1843">
        <v>26</v>
      </c>
      <c r="B30" s="1815" t="s">
        <v>5182</v>
      </c>
      <c r="C30" s="2074">
        <f>视同销售和房地产开发企业特定业务审核表!C33</f>
        <v>0</v>
      </c>
      <c r="D30" s="2074">
        <f>视同销售和房地产开发企业特定业务审核表!D33</f>
        <v>0</v>
      </c>
      <c r="E30" s="1813"/>
    </row>
    <row r="31" spans="1:5" s="1554" customFormat="1" ht="14.25" customHeight="1">
      <c r="A31" s="1842">
        <v>27</v>
      </c>
      <c r="B31" s="1812" t="s">
        <v>5183</v>
      </c>
      <c r="C31" s="2074">
        <f>视同销售和房地产开发企业特定业务审核表!C34</f>
        <v>0</v>
      </c>
      <c r="D31" s="2067" t="str">
        <f>视同销售和房地产开发企业特定业务审核表!D34</f>
        <v>*</v>
      </c>
      <c r="E31" s="1811"/>
    </row>
    <row r="32" spans="1:5" s="1554" customFormat="1" ht="14.25" customHeight="1">
      <c r="A32" s="1842">
        <v>28</v>
      </c>
      <c r="B32" s="1811" t="s">
        <v>5184</v>
      </c>
      <c r="C32" s="2074">
        <f>视同销售和房地产开发企业特定业务审核表!C35</f>
        <v>0</v>
      </c>
      <c r="D32" s="2074">
        <f>视同销售和房地产开发企业特定业务审核表!D35</f>
        <v>0</v>
      </c>
      <c r="E32" s="1811"/>
    </row>
    <row r="33" spans="1:5" s="1552" customFormat="1" ht="14.25" customHeight="1">
      <c r="A33" s="1842">
        <v>29</v>
      </c>
      <c r="B33" s="1811" t="s">
        <v>5185</v>
      </c>
      <c r="C33" s="2074">
        <f>视同销售和房地产开发企业特定业务审核表!C36</f>
        <v>0</v>
      </c>
      <c r="D33" s="2074">
        <f>视同销售和房地产开发企业特定业务审核表!D36</f>
        <v>0</v>
      </c>
      <c r="E33" s="1811"/>
    </row>
  </sheetData>
  <mergeCells count="5">
    <mergeCell ref="A1:D1"/>
    <mergeCell ref="A2:D2"/>
    <mergeCell ref="A3:A4"/>
    <mergeCell ref="B3:B4"/>
    <mergeCell ref="E3:E4"/>
  </mergeCells>
  <phoneticPr fontId="51" type="noConversion"/>
  <hyperlinks>
    <hyperlink ref="F12" location="视同销售和房地产开发企业特定业务审核表!A1" display="视同销售和房地产开发企业特定业务审核表!A1"/>
  </hyperlinks>
  <printOptions horizontalCentered="1"/>
  <pageMargins left="0.78740157480314998" right="0.35433070866141703" top="0.511811023622047" bottom="0.11811023622047198" header="0.511811023622047" footer="0.511811023622047"/>
  <pageSetup paperSize="9" orientation="landscape" r:id="rId1"/>
  <headerFooter alignWithMargins="0"/>
</worksheet>
</file>

<file path=xl/worksheets/sheet1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25">
    <tabColor rgb="FFFFFF00"/>
  </sheetPr>
  <dimension ref="A1:J19"/>
  <sheetViews>
    <sheetView workbookViewId="0">
      <selection sqref="A1:H1"/>
    </sheetView>
  </sheetViews>
  <sheetFormatPr defaultRowHeight="12"/>
  <cols>
    <col min="1" max="1" width="5.19921875" style="1557" customWidth="1"/>
    <col min="2" max="2" width="44.19921875" style="1552" customWidth="1"/>
    <col min="3" max="8" width="11.8984375" style="1552" customWidth="1"/>
    <col min="9" max="9" width="16.69921875" style="1552" customWidth="1"/>
    <col min="10" max="256" width="9" style="1552"/>
    <col min="257" max="257" width="5.19921875" style="1552" customWidth="1"/>
    <col min="258" max="258" width="42.59765625" style="1552" customWidth="1"/>
    <col min="259" max="259" width="8.3984375" style="1552" customWidth="1"/>
    <col min="260" max="260" width="8" style="1552" customWidth="1"/>
    <col min="261" max="261" width="7.5" style="1552" customWidth="1"/>
    <col min="262" max="262" width="8.5" style="1552" customWidth="1"/>
    <col min="263" max="263" width="8" style="1552" customWidth="1"/>
    <col min="264" max="264" width="9.8984375" style="1552" customWidth="1"/>
    <col min="265" max="265" width="19.5" style="1552" customWidth="1"/>
    <col min="266" max="512" width="9" style="1552"/>
    <col min="513" max="513" width="5.19921875" style="1552" customWidth="1"/>
    <col min="514" max="514" width="42.59765625" style="1552" customWidth="1"/>
    <col min="515" max="515" width="8.3984375" style="1552" customWidth="1"/>
    <col min="516" max="516" width="8" style="1552" customWidth="1"/>
    <col min="517" max="517" width="7.5" style="1552" customWidth="1"/>
    <col min="518" max="518" width="8.5" style="1552" customWidth="1"/>
    <col min="519" max="519" width="8" style="1552" customWidth="1"/>
    <col min="520" max="520" width="9.8984375" style="1552" customWidth="1"/>
    <col min="521" max="521" width="19.5" style="1552" customWidth="1"/>
    <col min="522" max="768" width="9" style="1552"/>
    <col min="769" max="769" width="5.19921875" style="1552" customWidth="1"/>
    <col min="770" max="770" width="42.59765625" style="1552" customWidth="1"/>
    <col min="771" max="771" width="8.3984375" style="1552" customWidth="1"/>
    <col min="772" max="772" width="8" style="1552" customWidth="1"/>
    <col min="773" max="773" width="7.5" style="1552" customWidth="1"/>
    <col min="774" max="774" width="8.5" style="1552" customWidth="1"/>
    <col min="775" max="775" width="8" style="1552" customWidth="1"/>
    <col min="776" max="776" width="9.8984375" style="1552" customWidth="1"/>
    <col min="777" max="777" width="19.5" style="1552" customWidth="1"/>
    <col min="778" max="1024" width="9" style="1552"/>
    <col min="1025" max="1025" width="5.19921875" style="1552" customWidth="1"/>
    <col min="1026" max="1026" width="42.59765625" style="1552" customWidth="1"/>
    <col min="1027" max="1027" width="8.3984375" style="1552" customWidth="1"/>
    <col min="1028" max="1028" width="8" style="1552" customWidth="1"/>
    <col min="1029" max="1029" width="7.5" style="1552" customWidth="1"/>
    <col min="1030" max="1030" width="8.5" style="1552" customWidth="1"/>
    <col min="1031" max="1031" width="8" style="1552" customWidth="1"/>
    <col min="1032" max="1032" width="9.8984375" style="1552" customWidth="1"/>
    <col min="1033" max="1033" width="19.5" style="1552" customWidth="1"/>
    <col min="1034" max="1280" width="9" style="1552"/>
    <col min="1281" max="1281" width="5.19921875" style="1552" customWidth="1"/>
    <col min="1282" max="1282" width="42.59765625" style="1552" customWidth="1"/>
    <col min="1283" max="1283" width="8.3984375" style="1552" customWidth="1"/>
    <col min="1284" max="1284" width="8" style="1552" customWidth="1"/>
    <col min="1285" max="1285" width="7.5" style="1552" customWidth="1"/>
    <col min="1286" max="1286" width="8.5" style="1552" customWidth="1"/>
    <col min="1287" max="1287" width="8" style="1552" customWidth="1"/>
    <col min="1288" max="1288" width="9.8984375" style="1552" customWidth="1"/>
    <col min="1289" max="1289" width="19.5" style="1552" customWidth="1"/>
    <col min="1290" max="1536" width="9" style="1552"/>
    <col min="1537" max="1537" width="5.19921875" style="1552" customWidth="1"/>
    <col min="1538" max="1538" width="42.59765625" style="1552" customWidth="1"/>
    <col min="1539" max="1539" width="8.3984375" style="1552" customWidth="1"/>
    <col min="1540" max="1540" width="8" style="1552" customWidth="1"/>
    <col min="1541" max="1541" width="7.5" style="1552" customWidth="1"/>
    <col min="1542" max="1542" width="8.5" style="1552" customWidth="1"/>
    <col min="1543" max="1543" width="8" style="1552" customWidth="1"/>
    <col min="1544" max="1544" width="9.8984375" style="1552" customWidth="1"/>
    <col min="1545" max="1545" width="19.5" style="1552" customWidth="1"/>
    <col min="1546" max="1792" width="9" style="1552"/>
    <col min="1793" max="1793" width="5.19921875" style="1552" customWidth="1"/>
    <col min="1794" max="1794" width="42.59765625" style="1552" customWidth="1"/>
    <col min="1795" max="1795" width="8.3984375" style="1552" customWidth="1"/>
    <col min="1796" max="1796" width="8" style="1552" customWidth="1"/>
    <col min="1797" max="1797" width="7.5" style="1552" customWidth="1"/>
    <col min="1798" max="1798" width="8.5" style="1552" customWidth="1"/>
    <col min="1799" max="1799" width="8" style="1552" customWidth="1"/>
    <col min="1800" max="1800" width="9.8984375" style="1552" customWidth="1"/>
    <col min="1801" max="1801" width="19.5" style="1552" customWidth="1"/>
    <col min="1802" max="2048" width="9" style="1552"/>
    <col min="2049" max="2049" width="5.19921875" style="1552" customWidth="1"/>
    <col min="2050" max="2050" width="42.59765625" style="1552" customWidth="1"/>
    <col min="2051" max="2051" width="8.3984375" style="1552" customWidth="1"/>
    <col min="2052" max="2052" width="8" style="1552" customWidth="1"/>
    <col min="2053" max="2053" width="7.5" style="1552" customWidth="1"/>
    <col min="2054" max="2054" width="8.5" style="1552" customWidth="1"/>
    <col min="2055" max="2055" width="8" style="1552" customWidth="1"/>
    <col min="2056" max="2056" width="9.8984375" style="1552" customWidth="1"/>
    <col min="2057" max="2057" width="19.5" style="1552" customWidth="1"/>
    <col min="2058" max="2304" width="9" style="1552"/>
    <col min="2305" max="2305" width="5.19921875" style="1552" customWidth="1"/>
    <col min="2306" max="2306" width="42.59765625" style="1552" customWidth="1"/>
    <col min="2307" max="2307" width="8.3984375" style="1552" customWidth="1"/>
    <col min="2308" max="2308" width="8" style="1552" customWidth="1"/>
    <col min="2309" max="2309" width="7.5" style="1552" customWidth="1"/>
    <col min="2310" max="2310" width="8.5" style="1552" customWidth="1"/>
    <col min="2311" max="2311" width="8" style="1552" customWidth="1"/>
    <col min="2312" max="2312" width="9.8984375" style="1552" customWidth="1"/>
    <col min="2313" max="2313" width="19.5" style="1552" customWidth="1"/>
    <col min="2314" max="2560" width="9" style="1552"/>
    <col min="2561" max="2561" width="5.19921875" style="1552" customWidth="1"/>
    <col min="2562" max="2562" width="42.59765625" style="1552" customWidth="1"/>
    <col min="2563" max="2563" width="8.3984375" style="1552" customWidth="1"/>
    <col min="2564" max="2564" width="8" style="1552" customWidth="1"/>
    <col min="2565" max="2565" width="7.5" style="1552" customWidth="1"/>
    <col min="2566" max="2566" width="8.5" style="1552" customWidth="1"/>
    <col min="2567" max="2567" width="8" style="1552" customWidth="1"/>
    <col min="2568" max="2568" width="9.8984375" style="1552" customWidth="1"/>
    <col min="2569" max="2569" width="19.5" style="1552" customWidth="1"/>
    <col min="2570" max="2816" width="9" style="1552"/>
    <col min="2817" max="2817" width="5.19921875" style="1552" customWidth="1"/>
    <col min="2818" max="2818" width="42.59765625" style="1552" customWidth="1"/>
    <col min="2819" max="2819" width="8.3984375" style="1552" customWidth="1"/>
    <col min="2820" max="2820" width="8" style="1552" customWidth="1"/>
    <col min="2821" max="2821" width="7.5" style="1552" customWidth="1"/>
    <col min="2822" max="2822" width="8.5" style="1552" customWidth="1"/>
    <col min="2823" max="2823" width="8" style="1552" customWidth="1"/>
    <col min="2824" max="2824" width="9.8984375" style="1552" customWidth="1"/>
    <col min="2825" max="2825" width="19.5" style="1552" customWidth="1"/>
    <col min="2826" max="3072" width="9" style="1552"/>
    <col min="3073" max="3073" width="5.19921875" style="1552" customWidth="1"/>
    <col min="3074" max="3074" width="42.59765625" style="1552" customWidth="1"/>
    <col min="3075" max="3075" width="8.3984375" style="1552" customWidth="1"/>
    <col min="3076" max="3076" width="8" style="1552" customWidth="1"/>
    <col min="3077" max="3077" width="7.5" style="1552" customWidth="1"/>
    <col min="3078" max="3078" width="8.5" style="1552" customWidth="1"/>
    <col min="3079" max="3079" width="8" style="1552" customWidth="1"/>
    <col min="3080" max="3080" width="9.8984375" style="1552" customWidth="1"/>
    <col min="3081" max="3081" width="19.5" style="1552" customWidth="1"/>
    <col min="3082" max="3328" width="9" style="1552"/>
    <col min="3329" max="3329" width="5.19921875" style="1552" customWidth="1"/>
    <col min="3330" max="3330" width="42.59765625" style="1552" customWidth="1"/>
    <col min="3331" max="3331" width="8.3984375" style="1552" customWidth="1"/>
    <col min="3332" max="3332" width="8" style="1552" customWidth="1"/>
    <col min="3333" max="3333" width="7.5" style="1552" customWidth="1"/>
    <col min="3334" max="3334" width="8.5" style="1552" customWidth="1"/>
    <col min="3335" max="3335" width="8" style="1552" customWidth="1"/>
    <col min="3336" max="3336" width="9.8984375" style="1552" customWidth="1"/>
    <col min="3337" max="3337" width="19.5" style="1552" customWidth="1"/>
    <col min="3338" max="3584" width="9" style="1552"/>
    <col min="3585" max="3585" width="5.19921875" style="1552" customWidth="1"/>
    <col min="3586" max="3586" width="42.59765625" style="1552" customWidth="1"/>
    <col min="3587" max="3587" width="8.3984375" style="1552" customWidth="1"/>
    <col min="3588" max="3588" width="8" style="1552" customWidth="1"/>
    <col min="3589" max="3589" width="7.5" style="1552" customWidth="1"/>
    <col min="3590" max="3590" width="8.5" style="1552" customWidth="1"/>
    <col min="3591" max="3591" width="8" style="1552" customWidth="1"/>
    <col min="3592" max="3592" width="9.8984375" style="1552" customWidth="1"/>
    <col min="3593" max="3593" width="19.5" style="1552" customWidth="1"/>
    <col min="3594" max="3840" width="9" style="1552"/>
    <col min="3841" max="3841" width="5.19921875" style="1552" customWidth="1"/>
    <col min="3842" max="3842" width="42.59765625" style="1552" customWidth="1"/>
    <col min="3843" max="3843" width="8.3984375" style="1552" customWidth="1"/>
    <col min="3844" max="3844" width="8" style="1552" customWidth="1"/>
    <col min="3845" max="3845" width="7.5" style="1552" customWidth="1"/>
    <col min="3846" max="3846" width="8.5" style="1552" customWidth="1"/>
    <col min="3847" max="3847" width="8" style="1552" customWidth="1"/>
    <col min="3848" max="3848" width="9.8984375" style="1552" customWidth="1"/>
    <col min="3849" max="3849" width="19.5" style="1552" customWidth="1"/>
    <col min="3850" max="4096" width="9" style="1552"/>
    <col min="4097" max="4097" width="5.19921875" style="1552" customWidth="1"/>
    <col min="4098" max="4098" width="42.59765625" style="1552" customWidth="1"/>
    <col min="4099" max="4099" width="8.3984375" style="1552" customWidth="1"/>
    <col min="4100" max="4100" width="8" style="1552" customWidth="1"/>
    <col min="4101" max="4101" width="7.5" style="1552" customWidth="1"/>
    <col min="4102" max="4102" width="8.5" style="1552" customWidth="1"/>
    <col min="4103" max="4103" width="8" style="1552" customWidth="1"/>
    <col min="4104" max="4104" width="9.8984375" style="1552" customWidth="1"/>
    <col min="4105" max="4105" width="19.5" style="1552" customWidth="1"/>
    <col min="4106" max="4352" width="9" style="1552"/>
    <col min="4353" max="4353" width="5.19921875" style="1552" customWidth="1"/>
    <col min="4354" max="4354" width="42.59765625" style="1552" customWidth="1"/>
    <col min="4355" max="4355" width="8.3984375" style="1552" customWidth="1"/>
    <col min="4356" max="4356" width="8" style="1552" customWidth="1"/>
    <col min="4357" max="4357" width="7.5" style="1552" customWidth="1"/>
    <col min="4358" max="4358" width="8.5" style="1552" customWidth="1"/>
    <col min="4359" max="4359" width="8" style="1552" customWidth="1"/>
    <col min="4360" max="4360" width="9.8984375" style="1552" customWidth="1"/>
    <col min="4361" max="4361" width="19.5" style="1552" customWidth="1"/>
    <col min="4362" max="4608" width="9" style="1552"/>
    <col min="4609" max="4609" width="5.19921875" style="1552" customWidth="1"/>
    <col min="4610" max="4610" width="42.59765625" style="1552" customWidth="1"/>
    <col min="4611" max="4611" width="8.3984375" style="1552" customWidth="1"/>
    <col min="4612" max="4612" width="8" style="1552" customWidth="1"/>
    <col min="4613" max="4613" width="7.5" style="1552" customWidth="1"/>
    <col min="4614" max="4614" width="8.5" style="1552" customWidth="1"/>
    <col min="4615" max="4615" width="8" style="1552" customWidth="1"/>
    <col min="4616" max="4616" width="9.8984375" style="1552" customWidth="1"/>
    <col min="4617" max="4617" width="19.5" style="1552" customWidth="1"/>
    <col min="4618" max="4864" width="9" style="1552"/>
    <col min="4865" max="4865" width="5.19921875" style="1552" customWidth="1"/>
    <col min="4866" max="4866" width="42.59765625" style="1552" customWidth="1"/>
    <col min="4867" max="4867" width="8.3984375" style="1552" customWidth="1"/>
    <col min="4868" max="4868" width="8" style="1552" customWidth="1"/>
    <col min="4869" max="4869" width="7.5" style="1552" customWidth="1"/>
    <col min="4870" max="4870" width="8.5" style="1552" customWidth="1"/>
    <col min="4871" max="4871" width="8" style="1552" customWidth="1"/>
    <col min="4872" max="4872" width="9.8984375" style="1552" customWidth="1"/>
    <col min="4873" max="4873" width="19.5" style="1552" customWidth="1"/>
    <col min="4874" max="5120" width="9" style="1552"/>
    <col min="5121" max="5121" width="5.19921875" style="1552" customWidth="1"/>
    <col min="5122" max="5122" width="42.59765625" style="1552" customWidth="1"/>
    <col min="5123" max="5123" width="8.3984375" style="1552" customWidth="1"/>
    <col min="5124" max="5124" width="8" style="1552" customWidth="1"/>
    <col min="5125" max="5125" width="7.5" style="1552" customWidth="1"/>
    <col min="5126" max="5126" width="8.5" style="1552" customWidth="1"/>
    <col min="5127" max="5127" width="8" style="1552" customWidth="1"/>
    <col min="5128" max="5128" width="9.8984375" style="1552" customWidth="1"/>
    <col min="5129" max="5129" width="19.5" style="1552" customWidth="1"/>
    <col min="5130" max="5376" width="9" style="1552"/>
    <col min="5377" max="5377" width="5.19921875" style="1552" customWidth="1"/>
    <col min="5378" max="5378" width="42.59765625" style="1552" customWidth="1"/>
    <col min="5379" max="5379" width="8.3984375" style="1552" customWidth="1"/>
    <col min="5380" max="5380" width="8" style="1552" customWidth="1"/>
    <col min="5381" max="5381" width="7.5" style="1552" customWidth="1"/>
    <col min="5382" max="5382" width="8.5" style="1552" customWidth="1"/>
    <col min="5383" max="5383" width="8" style="1552" customWidth="1"/>
    <col min="5384" max="5384" width="9.8984375" style="1552" customWidth="1"/>
    <col min="5385" max="5385" width="19.5" style="1552" customWidth="1"/>
    <col min="5386" max="5632" width="9" style="1552"/>
    <col min="5633" max="5633" width="5.19921875" style="1552" customWidth="1"/>
    <col min="5634" max="5634" width="42.59765625" style="1552" customWidth="1"/>
    <col min="5635" max="5635" width="8.3984375" style="1552" customWidth="1"/>
    <col min="5636" max="5636" width="8" style="1552" customWidth="1"/>
    <col min="5637" max="5637" width="7.5" style="1552" customWidth="1"/>
    <col min="5638" max="5638" width="8.5" style="1552" customWidth="1"/>
    <col min="5639" max="5639" width="8" style="1552" customWidth="1"/>
    <col min="5640" max="5640" width="9.8984375" style="1552" customWidth="1"/>
    <col min="5641" max="5641" width="19.5" style="1552" customWidth="1"/>
    <col min="5642" max="5888" width="9" style="1552"/>
    <col min="5889" max="5889" width="5.19921875" style="1552" customWidth="1"/>
    <col min="5890" max="5890" width="42.59765625" style="1552" customWidth="1"/>
    <col min="5891" max="5891" width="8.3984375" style="1552" customWidth="1"/>
    <col min="5892" max="5892" width="8" style="1552" customWidth="1"/>
    <col min="5893" max="5893" width="7.5" style="1552" customWidth="1"/>
    <col min="5894" max="5894" width="8.5" style="1552" customWidth="1"/>
    <col min="5895" max="5895" width="8" style="1552" customWidth="1"/>
    <col min="5896" max="5896" width="9.8984375" style="1552" customWidth="1"/>
    <col min="5897" max="5897" width="19.5" style="1552" customWidth="1"/>
    <col min="5898" max="6144" width="9" style="1552"/>
    <col min="6145" max="6145" width="5.19921875" style="1552" customWidth="1"/>
    <col min="6146" max="6146" width="42.59765625" style="1552" customWidth="1"/>
    <col min="6147" max="6147" width="8.3984375" style="1552" customWidth="1"/>
    <col min="6148" max="6148" width="8" style="1552" customWidth="1"/>
    <col min="6149" max="6149" width="7.5" style="1552" customWidth="1"/>
    <col min="6150" max="6150" width="8.5" style="1552" customWidth="1"/>
    <col min="6151" max="6151" width="8" style="1552" customWidth="1"/>
    <col min="6152" max="6152" width="9.8984375" style="1552" customWidth="1"/>
    <col min="6153" max="6153" width="19.5" style="1552" customWidth="1"/>
    <col min="6154" max="6400" width="9" style="1552"/>
    <col min="6401" max="6401" width="5.19921875" style="1552" customWidth="1"/>
    <col min="6402" max="6402" width="42.59765625" style="1552" customWidth="1"/>
    <col min="6403" max="6403" width="8.3984375" style="1552" customWidth="1"/>
    <col min="6404" max="6404" width="8" style="1552" customWidth="1"/>
    <col min="6405" max="6405" width="7.5" style="1552" customWidth="1"/>
    <col min="6406" max="6406" width="8.5" style="1552" customWidth="1"/>
    <col min="6407" max="6407" width="8" style="1552" customWidth="1"/>
    <col min="6408" max="6408" width="9.8984375" style="1552" customWidth="1"/>
    <col min="6409" max="6409" width="19.5" style="1552" customWidth="1"/>
    <col min="6410" max="6656" width="9" style="1552"/>
    <col min="6657" max="6657" width="5.19921875" style="1552" customWidth="1"/>
    <col min="6658" max="6658" width="42.59765625" style="1552" customWidth="1"/>
    <col min="6659" max="6659" width="8.3984375" style="1552" customWidth="1"/>
    <col min="6660" max="6660" width="8" style="1552" customWidth="1"/>
    <col min="6661" max="6661" width="7.5" style="1552" customWidth="1"/>
    <col min="6662" max="6662" width="8.5" style="1552" customWidth="1"/>
    <col min="6663" max="6663" width="8" style="1552" customWidth="1"/>
    <col min="6664" max="6664" width="9.8984375" style="1552" customWidth="1"/>
    <col min="6665" max="6665" width="19.5" style="1552" customWidth="1"/>
    <col min="6666" max="6912" width="9" style="1552"/>
    <col min="6913" max="6913" width="5.19921875" style="1552" customWidth="1"/>
    <col min="6914" max="6914" width="42.59765625" style="1552" customWidth="1"/>
    <col min="6915" max="6915" width="8.3984375" style="1552" customWidth="1"/>
    <col min="6916" max="6916" width="8" style="1552" customWidth="1"/>
    <col min="6917" max="6917" width="7.5" style="1552" customWidth="1"/>
    <col min="6918" max="6918" width="8.5" style="1552" customWidth="1"/>
    <col min="6919" max="6919" width="8" style="1552" customWidth="1"/>
    <col min="6920" max="6920" width="9.8984375" style="1552" customWidth="1"/>
    <col min="6921" max="6921" width="19.5" style="1552" customWidth="1"/>
    <col min="6922" max="7168" width="9" style="1552"/>
    <col min="7169" max="7169" width="5.19921875" style="1552" customWidth="1"/>
    <col min="7170" max="7170" width="42.59765625" style="1552" customWidth="1"/>
    <col min="7171" max="7171" width="8.3984375" style="1552" customWidth="1"/>
    <col min="7172" max="7172" width="8" style="1552" customWidth="1"/>
    <col min="7173" max="7173" width="7.5" style="1552" customWidth="1"/>
    <col min="7174" max="7174" width="8.5" style="1552" customWidth="1"/>
    <col min="7175" max="7175" width="8" style="1552" customWidth="1"/>
    <col min="7176" max="7176" width="9.8984375" style="1552" customWidth="1"/>
    <col min="7177" max="7177" width="19.5" style="1552" customWidth="1"/>
    <col min="7178" max="7424" width="9" style="1552"/>
    <col min="7425" max="7425" width="5.19921875" style="1552" customWidth="1"/>
    <col min="7426" max="7426" width="42.59765625" style="1552" customWidth="1"/>
    <col min="7427" max="7427" width="8.3984375" style="1552" customWidth="1"/>
    <col min="7428" max="7428" width="8" style="1552" customWidth="1"/>
    <col min="7429" max="7429" width="7.5" style="1552" customWidth="1"/>
    <col min="7430" max="7430" width="8.5" style="1552" customWidth="1"/>
    <col min="7431" max="7431" width="8" style="1552" customWidth="1"/>
    <col min="7432" max="7432" width="9.8984375" style="1552" customWidth="1"/>
    <col min="7433" max="7433" width="19.5" style="1552" customWidth="1"/>
    <col min="7434" max="7680" width="9" style="1552"/>
    <col min="7681" max="7681" width="5.19921875" style="1552" customWidth="1"/>
    <col min="7682" max="7682" width="42.59765625" style="1552" customWidth="1"/>
    <col min="7683" max="7683" width="8.3984375" style="1552" customWidth="1"/>
    <col min="7684" max="7684" width="8" style="1552" customWidth="1"/>
    <col min="7685" max="7685" width="7.5" style="1552" customWidth="1"/>
    <col min="7686" max="7686" width="8.5" style="1552" customWidth="1"/>
    <col min="7687" max="7687" width="8" style="1552" customWidth="1"/>
    <col min="7688" max="7688" width="9.8984375" style="1552" customWidth="1"/>
    <col min="7689" max="7689" width="19.5" style="1552" customWidth="1"/>
    <col min="7690" max="7936" width="9" style="1552"/>
    <col min="7937" max="7937" width="5.19921875" style="1552" customWidth="1"/>
    <col min="7938" max="7938" width="42.59765625" style="1552" customWidth="1"/>
    <col min="7939" max="7939" width="8.3984375" style="1552" customWidth="1"/>
    <col min="7940" max="7940" width="8" style="1552" customWidth="1"/>
    <col min="7941" max="7941" width="7.5" style="1552" customWidth="1"/>
    <col min="7942" max="7942" width="8.5" style="1552" customWidth="1"/>
    <col min="7943" max="7943" width="8" style="1552" customWidth="1"/>
    <col min="7944" max="7944" width="9.8984375" style="1552" customWidth="1"/>
    <col min="7945" max="7945" width="19.5" style="1552" customWidth="1"/>
    <col min="7946" max="8192" width="9" style="1552"/>
    <col min="8193" max="8193" width="5.19921875" style="1552" customWidth="1"/>
    <col min="8194" max="8194" width="42.59765625" style="1552" customWidth="1"/>
    <col min="8195" max="8195" width="8.3984375" style="1552" customWidth="1"/>
    <col min="8196" max="8196" width="8" style="1552" customWidth="1"/>
    <col min="8197" max="8197" width="7.5" style="1552" customWidth="1"/>
    <col min="8198" max="8198" width="8.5" style="1552" customWidth="1"/>
    <col min="8199" max="8199" width="8" style="1552" customWidth="1"/>
    <col min="8200" max="8200" width="9.8984375" style="1552" customWidth="1"/>
    <col min="8201" max="8201" width="19.5" style="1552" customWidth="1"/>
    <col min="8202" max="8448" width="9" style="1552"/>
    <col min="8449" max="8449" width="5.19921875" style="1552" customWidth="1"/>
    <col min="8450" max="8450" width="42.59765625" style="1552" customWidth="1"/>
    <col min="8451" max="8451" width="8.3984375" style="1552" customWidth="1"/>
    <col min="8452" max="8452" width="8" style="1552" customWidth="1"/>
    <col min="8453" max="8453" width="7.5" style="1552" customWidth="1"/>
    <col min="8454" max="8454" width="8.5" style="1552" customWidth="1"/>
    <col min="8455" max="8455" width="8" style="1552" customWidth="1"/>
    <col min="8456" max="8456" width="9.8984375" style="1552" customWidth="1"/>
    <col min="8457" max="8457" width="19.5" style="1552" customWidth="1"/>
    <col min="8458" max="8704" width="9" style="1552"/>
    <col min="8705" max="8705" width="5.19921875" style="1552" customWidth="1"/>
    <col min="8706" max="8706" width="42.59765625" style="1552" customWidth="1"/>
    <col min="8707" max="8707" width="8.3984375" style="1552" customWidth="1"/>
    <col min="8708" max="8708" width="8" style="1552" customWidth="1"/>
    <col min="8709" max="8709" width="7.5" style="1552" customWidth="1"/>
    <col min="8710" max="8710" width="8.5" style="1552" customWidth="1"/>
    <col min="8711" max="8711" width="8" style="1552" customWidth="1"/>
    <col min="8712" max="8712" width="9.8984375" style="1552" customWidth="1"/>
    <col min="8713" max="8713" width="19.5" style="1552" customWidth="1"/>
    <col min="8714" max="8960" width="9" style="1552"/>
    <col min="8961" max="8961" width="5.19921875" style="1552" customWidth="1"/>
    <col min="8962" max="8962" width="42.59765625" style="1552" customWidth="1"/>
    <col min="8963" max="8963" width="8.3984375" style="1552" customWidth="1"/>
    <col min="8964" max="8964" width="8" style="1552" customWidth="1"/>
    <col min="8965" max="8965" width="7.5" style="1552" customWidth="1"/>
    <col min="8966" max="8966" width="8.5" style="1552" customWidth="1"/>
    <col min="8967" max="8967" width="8" style="1552" customWidth="1"/>
    <col min="8968" max="8968" width="9.8984375" style="1552" customWidth="1"/>
    <col min="8969" max="8969" width="19.5" style="1552" customWidth="1"/>
    <col min="8970" max="9216" width="9" style="1552"/>
    <col min="9217" max="9217" width="5.19921875" style="1552" customWidth="1"/>
    <col min="9218" max="9218" width="42.59765625" style="1552" customWidth="1"/>
    <col min="9219" max="9219" width="8.3984375" style="1552" customWidth="1"/>
    <col min="9220" max="9220" width="8" style="1552" customWidth="1"/>
    <col min="9221" max="9221" width="7.5" style="1552" customWidth="1"/>
    <col min="9222" max="9222" width="8.5" style="1552" customWidth="1"/>
    <col min="9223" max="9223" width="8" style="1552" customWidth="1"/>
    <col min="9224" max="9224" width="9.8984375" style="1552" customWidth="1"/>
    <col min="9225" max="9225" width="19.5" style="1552" customWidth="1"/>
    <col min="9226" max="9472" width="9" style="1552"/>
    <col min="9473" max="9473" width="5.19921875" style="1552" customWidth="1"/>
    <col min="9474" max="9474" width="42.59765625" style="1552" customWidth="1"/>
    <col min="9475" max="9475" width="8.3984375" style="1552" customWidth="1"/>
    <col min="9476" max="9476" width="8" style="1552" customWidth="1"/>
    <col min="9477" max="9477" width="7.5" style="1552" customWidth="1"/>
    <col min="9478" max="9478" width="8.5" style="1552" customWidth="1"/>
    <col min="9479" max="9479" width="8" style="1552" customWidth="1"/>
    <col min="9480" max="9480" width="9.8984375" style="1552" customWidth="1"/>
    <col min="9481" max="9481" width="19.5" style="1552" customWidth="1"/>
    <col min="9482" max="9728" width="9" style="1552"/>
    <col min="9729" max="9729" width="5.19921875" style="1552" customWidth="1"/>
    <col min="9730" max="9730" width="42.59765625" style="1552" customWidth="1"/>
    <col min="9731" max="9731" width="8.3984375" style="1552" customWidth="1"/>
    <col min="9732" max="9732" width="8" style="1552" customWidth="1"/>
    <col min="9733" max="9733" width="7.5" style="1552" customWidth="1"/>
    <col min="9734" max="9734" width="8.5" style="1552" customWidth="1"/>
    <col min="9735" max="9735" width="8" style="1552" customWidth="1"/>
    <col min="9736" max="9736" width="9.8984375" style="1552" customWidth="1"/>
    <col min="9737" max="9737" width="19.5" style="1552" customWidth="1"/>
    <col min="9738" max="9984" width="9" style="1552"/>
    <col min="9985" max="9985" width="5.19921875" style="1552" customWidth="1"/>
    <col min="9986" max="9986" width="42.59765625" style="1552" customWidth="1"/>
    <col min="9987" max="9987" width="8.3984375" style="1552" customWidth="1"/>
    <col min="9988" max="9988" width="8" style="1552" customWidth="1"/>
    <col min="9989" max="9989" width="7.5" style="1552" customWidth="1"/>
    <col min="9990" max="9990" width="8.5" style="1552" customWidth="1"/>
    <col min="9991" max="9991" width="8" style="1552" customWidth="1"/>
    <col min="9992" max="9992" width="9.8984375" style="1552" customWidth="1"/>
    <col min="9993" max="9993" width="19.5" style="1552" customWidth="1"/>
    <col min="9994" max="10240" width="9" style="1552"/>
    <col min="10241" max="10241" width="5.19921875" style="1552" customWidth="1"/>
    <col min="10242" max="10242" width="42.59765625" style="1552" customWidth="1"/>
    <col min="10243" max="10243" width="8.3984375" style="1552" customWidth="1"/>
    <col min="10244" max="10244" width="8" style="1552" customWidth="1"/>
    <col min="10245" max="10245" width="7.5" style="1552" customWidth="1"/>
    <col min="10246" max="10246" width="8.5" style="1552" customWidth="1"/>
    <col min="10247" max="10247" width="8" style="1552" customWidth="1"/>
    <col min="10248" max="10248" width="9.8984375" style="1552" customWidth="1"/>
    <col min="10249" max="10249" width="19.5" style="1552" customWidth="1"/>
    <col min="10250" max="10496" width="9" style="1552"/>
    <col min="10497" max="10497" width="5.19921875" style="1552" customWidth="1"/>
    <col min="10498" max="10498" width="42.59765625" style="1552" customWidth="1"/>
    <col min="10499" max="10499" width="8.3984375" style="1552" customWidth="1"/>
    <col min="10500" max="10500" width="8" style="1552" customWidth="1"/>
    <col min="10501" max="10501" width="7.5" style="1552" customWidth="1"/>
    <col min="10502" max="10502" width="8.5" style="1552" customWidth="1"/>
    <col min="10503" max="10503" width="8" style="1552" customWidth="1"/>
    <col min="10504" max="10504" width="9.8984375" style="1552" customWidth="1"/>
    <col min="10505" max="10505" width="19.5" style="1552" customWidth="1"/>
    <col min="10506" max="10752" width="9" style="1552"/>
    <col min="10753" max="10753" width="5.19921875" style="1552" customWidth="1"/>
    <col min="10754" max="10754" width="42.59765625" style="1552" customWidth="1"/>
    <col min="10755" max="10755" width="8.3984375" style="1552" customWidth="1"/>
    <col min="10756" max="10756" width="8" style="1552" customWidth="1"/>
    <col min="10757" max="10757" width="7.5" style="1552" customWidth="1"/>
    <col min="10758" max="10758" width="8.5" style="1552" customWidth="1"/>
    <col min="10759" max="10759" width="8" style="1552" customWidth="1"/>
    <col min="10760" max="10760" width="9.8984375" style="1552" customWidth="1"/>
    <col min="10761" max="10761" width="19.5" style="1552" customWidth="1"/>
    <col min="10762" max="11008" width="9" style="1552"/>
    <col min="11009" max="11009" width="5.19921875" style="1552" customWidth="1"/>
    <col min="11010" max="11010" width="42.59765625" style="1552" customWidth="1"/>
    <col min="11011" max="11011" width="8.3984375" style="1552" customWidth="1"/>
    <col min="11012" max="11012" width="8" style="1552" customWidth="1"/>
    <col min="11013" max="11013" width="7.5" style="1552" customWidth="1"/>
    <col min="11014" max="11014" width="8.5" style="1552" customWidth="1"/>
    <col min="11015" max="11015" width="8" style="1552" customWidth="1"/>
    <col min="11016" max="11016" width="9.8984375" style="1552" customWidth="1"/>
    <col min="11017" max="11017" width="19.5" style="1552" customWidth="1"/>
    <col min="11018" max="11264" width="9" style="1552"/>
    <col min="11265" max="11265" width="5.19921875" style="1552" customWidth="1"/>
    <col min="11266" max="11266" width="42.59765625" style="1552" customWidth="1"/>
    <col min="11267" max="11267" width="8.3984375" style="1552" customWidth="1"/>
    <col min="11268" max="11268" width="8" style="1552" customWidth="1"/>
    <col min="11269" max="11269" width="7.5" style="1552" customWidth="1"/>
    <col min="11270" max="11270" width="8.5" style="1552" customWidth="1"/>
    <col min="11271" max="11271" width="8" style="1552" customWidth="1"/>
    <col min="11272" max="11272" width="9.8984375" style="1552" customWidth="1"/>
    <col min="11273" max="11273" width="19.5" style="1552" customWidth="1"/>
    <col min="11274" max="11520" width="9" style="1552"/>
    <col min="11521" max="11521" width="5.19921875" style="1552" customWidth="1"/>
    <col min="11522" max="11522" width="42.59765625" style="1552" customWidth="1"/>
    <col min="11523" max="11523" width="8.3984375" style="1552" customWidth="1"/>
    <col min="11524" max="11524" width="8" style="1552" customWidth="1"/>
    <col min="11525" max="11525" width="7.5" style="1552" customWidth="1"/>
    <col min="11526" max="11526" width="8.5" style="1552" customWidth="1"/>
    <col min="11527" max="11527" width="8" style="1552" customWidth="1"/>
    <col min="11528" max="11528" width="9.8984375" style="1552" customWidth="1"/>
    <col min="11529" max="11529" width="19.5" style="1552" customWidth="1"/>
    <col min="11530" max="11776" width="9" style="1552"/>
    <col min="11777" max="11777" width="5.19921875" style="1552" customWidth="1"/>
    <col min="11778" max="11778" width="42.59765625" style="1552" customWidth="1"/>
    <col min="11779" max="11779" width="8.3984375" style="1552" customWidth="1"/>
    <col min="11780" max="11780" width="8" style="1552" customWidth="1"/>
    <col min="11781" max="11781" width="7.5" style="1552" customWidth="1"/>
    <col min="11782" max="11782" width="8.5" style="1552" customWidth="1"/>
    <col min="11783" max="11783" width="8" style="1552" customWidth="1"/>
    <col min="11784" max="11784" width="9.8984375" style="1552" customWidth="1"/>
    <col min="11785" max="11785" width="19.5" style="1552" customWidth="1"/>
    <col min="11786" max="12032" width="9" style="1552"/>
    <col min="12033" max="12033" width="5.19921875" style="1552" customWidth="1"/>
    <col min="12034" max="12034" width="42.59765625" style="1552" customWidth="1"/>
    <col min="12035" max="12035" width="8.3984375" style="1552" customWidth="1"/>
    <col min="12036" max="12036" width="8" style="1552" customWidth="1"/>
    <col min="12037" max="12037" width="7.5" style="1552" customWidth="1"/>
    <col min="12038" max="12038" width="8.5" style="1552" customWidth="1"/>
    <col min="12039" max="12039" width="8" style="1552" customWidth="1"/>
    <col min="12040" max="12040" width="9.8984375" style="1552" customWidth="1"/>
    <col min="12041" max="12041" width="19.5" style="1552" customWidth="1"/>
    <col min="12042" max="12288" width="9" style="1552"/>
    <col min="12289" max="12289" width="5.19921875" style="1552" customWidth="1"/>
    <col min="12290" max="12290" width="42.59765625" style="1552" customWidth="1"/>
    <col min="12291" max="12291" width="8.3984375" style="1552" customWidth="1"/>
    <col min="12292" max="12292" width="8" style="1552" customWidth="1"/>
    <col min="12293" max="12293" width="7.5" style="1552" customWidth="1"/>
    <col min="12294" max="12294" width="8.5" style="1552" customWidth="1"/>
    <col min="12295" max="12295" width="8" style="1552" customWidth="1"/>
    <col min="12296" max="12296" width="9.8984375" style="1552" customWidth="1"/>
    <col min="12297" max="12297" width="19.5" style="1552" customWidth="1"/>
    <col min="12298" max="12544" width="9" style="1552"/>
    <col min="12545" max="12545" width="5.19921875" style="1552" customWidth="1"/>
    <col min="12546" max="12546" width="42.59765625" style="1552" customWidth="1"/>
    <col min="12547" max="12547" width="8.3984375" style="1552" customWidth="1"/>
    <col min="12548" max="12548" width="8" style="1552" customWidth="1"/>
    <col min="12549" max="12549" width="7.5" style="1552" customWidth="1"/>
    <col min="12550" max="12550" width="8.5" style="1552" customWidth="1"/>
    <col min="12551" max="12551" width="8" style="1552" customWidth="1"/>
    <col min="12552" max="12552" width="9.8984375" style="1552" customWidth="1"/>
    <col min="12553" max="12553" width="19.5" style="1552" customWidth="1"/>
    <col min="12554" max="12800" width="9" style="1552"/>
    <col min="12801" max="12801" width="5.19921875" style="1552" customWidth="1"/>
    <col min="12802" max="12802" width="42.59765625" style="1552" customWidth="1"/>
    <col min="12803" max="12803" width="8.3984375" style="1552" customWidth="1"/>
    <col min="12804" max="12804" width="8" style="1552" customWidth="1"/>
    <col min="12805" max="12805" width="7.5" style="1552" customWidth="1"/>
    <col min="12806" max="12806" width="8.5" style="1552" customWidth="1"/>
    <col min="12807" max="12807" width="8" style="1552" customWidth="1"/>
    <col min="12808" max="12808" width="9.8984375" style="1552" customWidth="1"/>
    <col min="12809" max="12809" width="19.5" style="1552" customWidth="1"/>
    <col min="12810" max="13056" width="9" style="1552"/>
    <col min="13057" max="13057" width="5.19921875" style="1552" customWidth="1"/>
    <col min="13058" max="13058" width="42.59765625" style="1552" customWidth="1"/>
    <col min="13059" max="13059" width="8.3984375" style="1552" customWidth="1"/>
    <col min="13060" max="13060" width="8" style="1552" customWidth="1"/>
    <col min="13061" max="13061" width="7.5" style="1552" customWidth="1"/>
    <col min="13062" max="13062" width="8.5" style="1552" customWidth="1"/>
    <col min="13063" max="13063" width="8" style="1552" customWidth="1"/>
    <col min="13064" max="13064" width="9.8984375" style="1552" customWidth="1"/>
    <col min="13065" max="13065" width="19.5" style="1552" customWidth="1"/>
    <col min="13066" max="13312" width="9" style="1552"/>
    <col min="13313" max="13313" width="5.19921875" style="1552" customWidth="1"/>
    <col min="13314" max="13314" width="42.59765625" style="1552" customWidth="1"/>
    <col min="13315" max="13315" width="8.3984375" style="1552" customWidth="1"/>
    <col min="13316" max="13316" width="8" style="1552" customWidth="1"/>
    <col min="13317" max="13317" width="7.5" style="1552" customWidth="1"/>
    <col min="13318" max="13318" width="8.5" style="1552" customWidth="1"/>
    <col min="13319" max="13319" width="8" style="1552" customWidth="1"/>
    <col min="13320" max="13320" width="9.8984375" style="1552" customWidth="1"/>
    <col min="13321" max="13321" width="19.5" style="1552" customWidth="1"/>
    <col min="13322" max="13568" width="9" style="1552"/>
    <col min="13569" max="13569" width="5.19921875" style="1552" customWidth="1"/>
    <col min="13570" max="13570" width="42.59765625" style="1552" customWidth="1"/>
    <col min="13571" max="13571" width="8.3984375" style="1552" customWidth="1"/>
    <col min="13572" max="13572" width="8" style="1552" customWidth="1"/>
    <col min="13573" max="13573" width="7.5" style="1552" customWidth="1"/>
    <col min="13574" max="13574" width="8.5" style="1552" customWidth="1"/>
    <col min="13575" max="13575" width="8" style="1552" customWidth="1"/>
    <col min="13576" max="13576" width="9.8984375" style="1552" customWidth="1"/>
    <col min="13577" max="13577" width="19.5" style="1552" customWidth="1"/>
    <col min="13578" max="13824" width="9" style="1552"/>
    <col min="13825" max="13825" width="5.19921875" style="1552" customWidth="1"/>
    <col min="13826" max="13826" width="42.59765625" style="1552" customWidth="1"/>
    <col min="13827" max="13827" width="8.3984375" style="1552" customWidth="1"/>
    <col min="13828" max="13828" width="8" style="1552" customWidth="1"/>
    <col min="13829" max="13829" width="7.5" style="1552" customWidth="1"/>
    <col min="13830" max="13830" width="8.5" style="1552" customWidth="1"/>
    <col min="13831" max="13831" width="8" style="1552" customWidth="1"/>
    <col min="13832" max="13832" width="9.8984375" style="1552" customWidth="1"/>
    <col min="13833" max="13833" width="19.5" style="1552" customWidth="1"/>
    <col min="13834" max="14080" width="9" style="1552"/>
    <col min="14081" max="14081" width="5.19921875" style="1552" customWidth="1"/>
    <col min="14082" max="14082" width="42.59765625" style="1552" customWidth="1"/>
    <col min="14083" max="14083" width="8.3984375" style="1552" customWidth="1"/>
    <col min="14084" max="14084" width="8" style="1552" customWidth="1"/>
    <col min="14085" max="14085" width="7.5" style="1552" customWidth="1"/>
    <col min="14086" max="14086" width="8.5" style="1552" customWidth="1"/>
    <col min="14087" max="14087" width="8" style="1552" customWidth="1"/>
    <col min="14088" max="14088" width="9.8984375" style="1552" customWidth="1"/>
    <col min="14089" max="14089" width="19.5" style="1552" customWidth="1"/>
    <col min="14090" max="14336" width="9" style="1552"/>
    <col min="14337" max="14337" width="5.19921875" style="1552" customWidth="1"/>
    <col min="14338" max="14338" width="42.59765625" style="1552" customWidth="1"/>
    <col min="14339" max="14339" width="8.3984375" style="1552" customWidth="1"/>
    <col min="14340" max="14340" width="8" style="1552" customWidth="1"/>
    <col min="14341" max="14341" width="7.5" style="1552" customWidth="1"/>
    <col min="14342" max="14342" width="8.5" style="1552" customWidth="1"/>
    <col min="14343" max="14343" width="8" style="1552" customWidth="1"/>
    <col min="14344" max="14344" width="9.8984375" style="1552" customWidth="1"/>
    <col min="14345" max="14345" width="19.5" style="1552" customWidth="1"/>
    <col min="14346" max="14592" width="9" style="1552"/>
    <col min="14593" max="14593" width="5.19921875" style="1552" customWidth="1"/>
    <col min="14594" max="14594" width="42.59765625" style="1552" customWidth="1"/>
    <col min="14595" max="14595" width="8.3984375" style="1552" customWidth="1"/>
    <col min="14596" max="14596" width="8" style="1552" customWidth="1"/>
    <col min="14597" max="14597" width="7.5" style="1552" customWidth="1"/>
    <col min="14598" max="14598" width="8.5" style="1552" customWidth="1"/>
    <col min="14599" max="14599" width="8" style="1552" customWidth="1"/>
    <col min="14600" max="14600" width="9.8984375" style="1552" customWidth="1"/>
    <col min="14601" max="14601" width="19.5" style="1552" customWidth="1"/>
    <col min="14602" max="14848" width="9" style="1552"/>
    <col min="14849" max="14849" width="5.19921875" style="1552" customWidth="1"/>
    <col min="14850" max="14850" width="42.59765625" style="1552" customWidth="1"/>
    <col min="14851" max="14851" width="8.3984375" style="1552" customWidth="1"/>
    <col min="14852" max="14852" width="8" style="1552" customWidth="1"/>
    <col min="14853" max="14853" width="7.5" style="1552" customWidth="1"/>
    <col min="14854" max="14854" width="8.5" style="1552" customWidth="1"/>
    <col min="14855" max="14855" width="8" style="1552" customWidth="1"/>
    <col min="14856" max="14856" width="9.8984375" style="1552" customWidth="1"/>
    <col min="14857" max="14857" width="19.5" style="1552" customWidth="1"/>
    <col min="14858" max="15104" width="9" style="1552"/>
    <col min="15105" max="15105" width="5.19921875" style="1552" customWidth="1"/>
    <col min="15106" max="15106" width="42.59765625" style="1552" customWidth="1"/>
    <col min="15107" max="15107" width="8.3984375" style="1552" customWidth="1"/>
    <col min="15108" max="15108" width="8" style="1552" customWidth="1"/>
    <col min="15109" max="15109" width="7.5" style="1552" customWidth="1"/>
    <col min="15110" max="15110" width="8.5" style="1552" customWidth="1"/>
    <col min="15111" max="15111" width="8" style="1552" customWidth="1"/>
    <col min="15112" max="15112" width="9.8984375" style="1552" customWidth="1"/>
    <col min="15113" max="15113" width="19.5" style="1552" customWidth="1"/>
    <col min="15114" max="15360" width="9" style="1552"/>
    <col min="15361" max="15361" width="5.19921875" style="1552" customWidth="1"/>
    <col min="15362" max="15362" width="42.59765625" style="1552" customWidth="1"/>
    <col min="15363" max="15363" width="8.3984375" style="1552" customWidth="1"/>
    <col min="15364" max="15364" width="8" style="1552" customWidth="1"/>
    <col min="15365" max="15365" width="7.5" style="1552" customWidth="1"/>
    <col min="15366" max="15366" width="8.5" style="1552" customWidth="1"/>
    <col min="15367" max="15367" width="8" style="1552" customWidth="1"/>
    <col min="15368" max="15368" width="9.8984375" style="1552" customWidth="1"/>
    <col min="15369" max="15369" width="19.5" style="1552" customWidth="1"/>
    <col min="15370" max="15616" width="9" style="1552"/>
    <col min="15617" max="15617" width="5.19921875" style="1552" customWidth="1"/>
    <col min="15618" max="15618" width="42.59765625" style="1552" customWidth="1"/>
    <col min="15619" max="15619" width="8.3984375" style="1552" customWidth="1"/>
    <col min="15620" max="15620" width="8" style="1552" customWidth="1"/>
    <col min="15621" max="15621" width="7.5" style="1552" customWidth="1"/>
    <col min="15622" max="15622" width="8.5" style="1552" customWidth="1"/>
    <col min="15623" max="15623" width="8" style="1552" customWidth="1"/>
    <col min="15624" max="15624" width="9.8984375" style="1552" customWidth="1"/>
    <col min="15625" max="15625" width="19.5" style="1552" customWidth="1"/>
    <col min="15626" max="15872" width="9" style="1552"/>
    <col min="15873" max="15873" width="5.19921875" style="1552" customWidth="1"/>
    <col min="15874" max="15874" width="42.59765625" style="1552" customWidth="1"/>
    <col min="15875" max="15875" width="8.3984375" style="1552" customWidth="1"/>
    <col min="15876" max="15876" width="8" style="1552" customWidth="1"/>
    <col min="15877" max="15877" width="7.5" style="1552" customWidth="1"/>
    <col min="15878" max="15878" width="8.5" style="1552" customWidth="1"/>
    <col min="15879" max="15879" width="8" style="1552" customWidth="1"/>
    <col min="15880" max="15880" width="9.8984375" style="1552" customWidth="1"/>
    <col min="15881" max="15881" width="19.5" style="1552" customWidth="1"/>
    <col min="15882" max="16128" width="9" style="1552"/>
    <col min="16129" max="16129" width="5.19921875" style="1552" customWidth="1"/>
    <col min="16130" max="16130" width="42.59765625" style="1552" customWidth="1"/>
    <col min="16131" max="16131" width="8.3984375" style="1552" customWidth="1"/>
    <col min="16132" max="16132" width="8" style="1552" customWidth="1"/>
    <col min="16133" max="16133" width="7.5" style="1552" customWidth="1"/>
    <col min="16134" max="16134" width="8.5" style="1552" customWidth="1"/>
    <col min="16135" max="16135" width="8" style="1552" customWidth="1"/>
    <col min="16136" max="16136" width="9.8984375" style="1552" customWidth="1"/>
    <col min="16137" max="16137" width="19.5" style="1552" customWidth="1"/>
    <col min="16138" max="16384" width="9" style="1552"/>
  </cols>
  <sheetData>
    <row r="1" spans="1:10" s="1551" customFormat="1" ht="20.100000000000001" customHeight="1">
      <c r="A1" s="3378" t="s">
        <v>5186</v>
      </c>
      <c r="B1" s="3378"/>
      <c r="C1" s="3378"/>
      <c r="D1" s="3378"/>
      <c r="E1" s="3378"/>
      <c r="F1" s="3378"/>
      <c r="G1" s="3378"/>
      <c r="H1" s="3378"/>
      <c r="I1" s="1804"/>
    </row>
    <row r="2" spans="1:10" ht="25.5" customHeight="1">
      <c r="A2" s="3379" t="s">
        <v>5187</v>
      </c>
      <c r="B2" s="3379"/>
      <c r="C2" s="3379"/>
      <c r="D2" s="3379"/>
      <c r="E2" s="3379"/>
      <c r="F2" s="3379"/>
      <c r="G2" s="3379"/>
      <c r="H2" s="3379"/>
      <c r="I2" s="1822"/>
    </row>
    <row r="3" spans="1:10" s="1556" customFormat="1" ht="29.25" customHeight="1">
      <c r="A3" s="3380" t="s">
        <v>1854</v>
      </c>
      <c r="B3" s="3380" t="s">
        <v>5081</v>
      </c>
      <c r="C3" s="3383" t="s">
        <v>5188</v>
      </c>
      <c r="D3" s="3377" t="s">
        <v>1851</v>
      </c>
      <c r="E3" s="3377"/>
      <c r="F3" s="3377" t="s">
        <v>1852</v>
      </c>
      <c r="G3" s="3377"/>
      <c r="H3" s="3383" t="s">
        <v>5189</v>
      </c>
      <c r="I3" s="1845" t="s">
        <v>1858</v>
      </c>
    </row>
    <row r="4" spans="1:10" s="1556" customFormat="1" ht="18" customHeight="1">
      <c r="A4" s="3381"/>
      <c r="B4" s="3381"/>
      <c r="C4" s="3384"/>
      <c r="D4" s="1842" t="s">
        <v>5190</v>
      </c>
      <c r="E4" s="1842" t="s">
        <v>5191</v>
      </c>
      <c r="F4" s="1842" t="s">
        <v>5190</v>
      </c>
      <c r="G4" s="1842" t="s">
        <v>5191</v>
      </c>
      <c r="H4" s="3384"/>
      <c r="I4" s="2003"/>
    </row>
    <row r="5" spans="1:10" ht="14.25" customHeight="1">
      <c r="A5" s="3382"/>
      <c r="B5" s="3382"/>
      <c r="C5" s="1846">
        <v>1</v>
      </c>
      <c r="D5" s="1846">
        <v>2</v>
      </c>
      <c r="E5" s="1846">
        <v>3</v>
      </c>
      <c r="F5" s="1846">
        <v>4</v>
      </c>
      <c r="G5" s="1846">
        <v>5</v>
      </c>
      <c r="H5" s="1846" t="s">
        <v>5192</v>
      </c>
      <c r="I5" s="1811"/>
    </row>
    <row r="6" spans="1:10" ht="14.25" customHeight="1">
      <c r="A6" s="1842">
        <v>1</v>
      </c>
      <c r="B6" s="1811" t="s">
        <v>5193</v>
      </c>
      <c r="C6" s="2074">
        <f>未按权责发生制确认收入审核表!C6</f>
        <v>0</v>
      </c>
      <c r="D6" s="2074">
        <f>未按权责发生制确认收入审核表!D6</f>
        <v>0</v>
      </c>
      <c r="E6" s="2074">
        <f>未按权责发生制确认收入审核表!E6</f>
        <v>0</v>
      </c>
      <c r="F6" s="2074">
        <f>未按权责发生制确认收入审核表!F6</f>
        <v>0</v>
      </c>
      <c r="G6" s="2074">
        <f>未按权责发生制确认收入审核表!G6</f>
        <v>0</v>
      </c>
      <c r="H6" s="2074">
        <f>未按权责发生制确认收入审核表!H6</f>
        <v>0</v>
      </c>
      <c r="I6" s="1811"/>
    </row>
    <row r="7" spans="1:10" ht="14.25" customHeight="1">
      <c r="A7" s="1842">
        <v>2</v>
      </c>
      <c r="B7" s="1811" t="s">
        <v>5194</v>
      </c>
      <c r="C7" s="2074">
        <f>未按权责发生制确认收入审核表!C7</f>
        <v>0</v>
      </c>
      <c r="D7" s="2074">
        <f>未按权责发生制确认收入审核表!D7</f>
        <v>0</v>
      </c>
      <c r="E7" s="2074">
        <f>未按权责发生制确认收入审核表!E7</f>
        <v>0</v>
      </c>
      <c r="F7" s="2074">
        <f>未按权责发生制确认收入审核表!F7</f>
        <v>0</v>
      </c>
      <c r="G7" s="2074">
        <f>未按权责发生制确认收入审核表!G7</f>
        <v>0</v>
      </c>
      <c r="H7" s="2074">
        <f>未按权责发生制确认收入审核表!H7</f>
        <v>0</v>
      </c>
      <c r="I7" s="1811"/>
    </row>
    <row r="8" spans="1:10" ht="14.25" customHeight="1">
      <c r="A8" s="1842">
        <v>3</v>
      </c>
      <c r="B8" s="1811" t="s">
        <v>5195</v>
      </c>
      <c r="C8" s="2074">
        <f>未按权责发生制确认收入审核表!C8</f>
        <v>0</v>
      </c>
      <c r="D8" s="2074">
        <f>未按权责发生制确认收入审核表!D8</f>
        <v>0</v>
      </c>
      <c r="E8" s="2074">
        <f>未按权责发生制确认收入审核表!E8</f>
        <v>0</v>
      </c>
      <c r="F8" s="2074">
        <f>未按权责发生制确认收入审核表!F8</f>
        <v>0</v>
      </c>
      <c r="G8" s="2074">
        <f>未按权责发生制确认收入审核表!G8</f>
        <v>0</v>
      </c>
      <c r="H8" s="2074">
        <f>未按权责发生制确认收入审核表!H8</f>
        <v>0</v>
      </c>
      <c r="I8" s="1811"/>
    </row>
    <row r="9" spans="1:10" ht="14.25" customHeight="1">
      <c r="A9" s="1842">
        <v>4</v>
      </c>
      <c r="B9" s="1811" t="s">
        <v>5196</v>
      </c>
      <c r="C9" s="2074">
        <f>未按权责发生制确认收入审核表!C9</f>
        <v>0</v>
      </c>
      <c r="D9" s="2074">
        <f>未按权责发生制确认收入审核表!D9</f>
        <v>0</v>
      </c>
      <c r="E9" s="2074">
        <f>未按权责发生制确认收入审核表!E9</f>
        <v>0</v>
      </c>
      <c r="F9" s="2074">
        <f>未按权责发生制确认收入审核表!F9</f>
        <v>0</v>
      </c>
      <c r="G9" s="2074">
        <f>未按权责发生制确认收入审核表!G9</f>
        <v>0</v>
      </c>
      <c r="H9" s="2074">
        <f>未按权责发生制确认收入审核表!H9</f>
        <v>0</v>
      </c>
      <c r="I9" s="1811"/>
    </row>
    <row r="10" spans="1:10" ht="14.25" customHeight="1">
      <c r="A10" s="1842">
        <v>5</v>
      </c>
      <c r="B10" s="1811" t="s">
        <v>5197</v>
      </c>
      <c r="C10" s="2074">
        <f>未按权责发生制确认收入审核表!C10</f>
        <v>0</v>
      </c>
      <c r="D10" s="2074">
        <f>未按权责发生制确认收入审核表!D10</f>
        <v>0</v>
      </c>
      <c r="E10" s="2074">
        <f>未按权责发生制确认收入审核表!E10</f>
        <v>0</v>
      </c>
      <c r="F10" s="2074">
        <f>未按权责发生制确认收入审核表!F10</f>
        <v>0</v>
      </c>
      <c r="G10" s="2074">
        <f>未按权责发生制确认收入审核表!G10</f>
        <v>0</v>
      </c>
      <c r="H10" s="2074">
        <f>未按权责发生制确认收入审核表!H10</f>
        <v>0</v>
      </c>
      <c r="I10" s="1811"/>
    </row>
    <row r="11" spans="1:10" ht="14.25" customHeight="1">
      <c r="A11" s="1842">
        <v>6</v>
      </c>
      <c r="B11" s="1811" t="s">
        <v>5198</v>
      </c>
      <c r="C11" s="2074">
        <f>未按权责发生制确认收入审核表!C11</f>
        <v>0</v>
      </c>
      <c r="D11" s="2074">
        <f>未按权责发生制确认收入审核表!D11</f>
        <v>0</v>
      </c>
      <c r="E11" s="2074">
        <f>未按权责发生制确认收入审核表!E11</f>
        <v>0</v>
      </c>
      <c r="F11" s="2074">
        <f>未按权责发生制确认收入审核表!F11</f>
        <v>0</v>
      </c>
      <c r="G11" s="2074">
        <f>未按权责发生制确认收入审核表!G11</f>
        <v>0</v>
      </c>
      <c r="H11" s="2074">
        <f>未按权责发生制确认收入审核表!H11</f>
        <v>0</v>
      </c>
      <c r="I11" s="1811"/>
    </row>
    <row r="12" spans="1:10" ht="14.25" customHeight="1">
      <c r="A12" s="1842">
        <v>7</v>
      </c>
      <c r="B12" s="1811" t="s">
        <v>5199</v>
      </c>
      <c r="C12" s="2074">
        <f>未按权责发生制确认收入审核表!C12</f>
        <v>0</v>
      </c>
      <c r="D12" s="2074">
        <f>未按权责发生制确认收入审核表!D12</f>
        <v>0</v>
      </c>
      <c r="E12" s="2074">
        <f>未按权责发生制确认收入审核表!E12</f>
        <v>0</v>
      </c>
      <c r="F12" s="2074">
        <f>未按权责发生制确认收入审核表!F12</f>
        <v>0</v>
      </c>
      <c r="G12" s="2074">
        <f>未按权责发生制确认收入审核表!G12</f>
        <v>0</v>
      </c>
      <c r="H12" s="2074">
        <f>未按权责发生制确认收入审核表!H12</f>
        <v>0</v>
      </c>
      <c r="I12" s="1811"/>
    </row>
    <row r="13" spans="1:10" ht="14.25" customHeight="1">
      <c r="A13" s="1842">
        <v>8</v>
      </c>
      <c r="B13" s="1811" t="s">
        <v>5200</v>
      </c>
      <c r="C13" s="2074">
        <f>未按权责发生制确认收入审核表!C13</f>
        <v>0</v>
      </c>
      <c r="D13" s="2074">
        <f>未按权责发生制确认收入审核表!D13</f>
        <v>0</v>
      </c>
      <c r="E13" s="2074">
        <f>未按权责发生制确认收入审核表!E13</f>
        <v>0</v>
      </c>
      <c r="F13" s="2074">
        <f>未按权责发生制确认收入审核表!F13</f>
        <v>0</v>
      </c>
      <c r="G13" s="2074">
        <f>未按权责发生制确认收入审核表!G13</f>
        <v>0</v>
      </c>
      <c r="H13" s="2074">
        <f>未按权责发生制确认收入审核表!H13</f>
        <v>0</v>
      </c>
      <c r="I13" s="1811"/>
    </row>
    <row r="14" spans="1:10" ht="14.25" customHeight="1">
      <c r="A14" s="1842">
        <v>9</v>
      </c>
      <c r="B14" s="1811" t="s">
        <v>5201</v>
      </c>
      <c r="C14" s="2074">
        <f>未按权责发生制确认收入审核表!C14</f>
        <v>0</v>
      </c>
      <c r="D14" s="2074">
        <f>未按权责发生制确认收入审核表!D14</f>
        <v>0</v>
      </c>
      <c r="E14" s="2074">
        <f>未按权责发生制确认收入审核表!E14</f>
        <v>0</v>
      </c>
      <c r="F14" s="2074">
        <f>未按权责发生制确认收入审核表!F14</f>
        <v>0</v>
      </c>
      <c r="G14" s="2074">
        <f>未按权责发生制确认收入审核表!G14</f>
        <v>0</v>
      </c>
      <c r="H14" s="2074">
        <f>未按权责发生制确认收入审核表!H14</f>
        <v>0</v>
      </c>
      <c r="I14" s="1811"/>
      <c r="J14" s="1675" t="s">
        <v>6438</v>
      </c>
    </row>
    <row r="15" spans="1:10" ht="14.25" customHeight="1">
      <c r="A15" s="1842">
        <v>10</v>
      </c>
      <c r="B15" s="1811" t="s">
        <v>5202</v>
      </c>
      <c r="C15" s="2074">
        <f>未按权责发生制确认收入审核表!C15</f>
        <v>0</v>
      </c>
      <c r="D15" s="2074">
        <f>未按权责发生制确认收入审核表!D15</f>
        <v>0</v>
      </c>
      <c r="E15" s="2074">
        <f>未按权责发生制确认收入审核表!E15</f>
        <v>0</v>
      </c>
      <c r="F15" s="2074">
        <f>未按权责发生制确认收入审核表!F15</f>
        <v>0</v>
      </c>
      <c r="G15" s="2074">
        <f>未按权责发生制确认收入审核表!G15</f>
        <v>0</v>
      </c>
      <c r="H15" s="2074">
        <f>未按权责发生制确认收入审核表!H15</f>
        <v>0</v>
      </c>
      <c r="I15" s="1811"/>
    </row>
    <row r="16" spans="1:10" ht="14.25" customHeight="1">
      <c r="A16" s="1842">
        <v>11</v>
      </c>
      <c r="B16" s="1811" t="s">
        <v>5203</v>
      </c>
      <c r="C16" s="2074">
        <f>未按权责发生制确认收入审核表!C16</f>
        <v>0</v>
      </c>
      <c r="D16" s="2074">
        <f>未按权责发生制确认收入审核表!D16</f>
        <v>0</v>
      </c>
      <c r="E16" s="2074">
        <f>未按权责发生制确认收入审核表!E16</f>
        <v>0</v>
      </c>
      <c r="F16" s="2074">
        <f>未按权责发生制确认收入审核表!F16</f>
        <v>0</v>
      </c>
      <c r="G16" s="2074">
        <f>未按权责发生制确认收入审核表!G16</f>
        <v>0</v>
      </c>
      <c r="H16" s="2074">
        <f>未按权责发生制确认收入审核表!H16</f>
        <v>0</v>
      </c>
      <c r="I16" s="1811"/>
    </row>
    <row r="17" spans="1:9" ht="14.25" customHeight="1">
      <c r="A17" s="1842">
        <v>12</v>
      </c>
      <c r="B17" s="1811" t="s">
        <v>5204</v>
      </c>
      <c r="C17" s="2074">
        <f>未按权责发生制确认收入审核表!C17</f>
        <v>0</v>
      </c>
      <c r="D17" s="2074">
        <f>未按权责发生制确认收入审核表!D17</f>
        <v>0</v>
      </c>
      <c r="E17" s="2074">
        <f>未按权责发生制确认收入审核表!E17</f>
        <v>0</v>
      </c>
      <c r="F17" s="2074">
        <f>未按权责发生制确认收入审核表!F17</f>
        <v>0</v>
      </c>
      <c r="G17" s="2074">
        <f>未按权责发生制确认收入审核表!G17</f>
        <v>0</v>
      </c>
      <c r="H17" s="2074">
        <f>未按权责发生制确认收入审核表!H17</f>
        <v>0</v>
      </c>
      <c r="I17" s="1811"/>
    </row>
    <row r="18" spans="1:9" ht="14.25" customHeight="1">
      <c r="A18" s="1842">
        <v>13</v>
      </c>
      <c r="B18" s="1811" t="s">
        <v>5205</v>
      </c>
      <c r="C18" s="2074">
        <f>未按权责发生制确认收入审核表!C18</f>
        <v>0</v>
      </c>
      <c r="D18" s="2074">
        <f>未按权责发生制确认收入审核表!D18</f>
        <v>0</v>
      </c>
      <c r="E18" s="2074">
        <f>未按权责发生制确认收入审核表!E18</f>
        <v>0</v>
      </c>
      <c r="F18" s="2074">
        <f>未按权责发生制确认收入审核表!F18</f>
        <v>0</v>
      </c>
      <c r="G18" s="2074">
        <f>未按权责发生制确认收入审核表!G18</f>
        <v>0</v>
      </c>
      <c r="H18" s="2074">
        <f>未按权责发生制确认收入审核表!H18</f>
        <v>0</v>
      </c>
      <c r="I18" s="1811"/>
    </row>
    <row r="19" spans="1:9" ht="114" customHeight="1">
      <c r="A19" s="1842">
        <v>14</v>
      </c>
      <c r="B19" s="1811" t="s">
        <v>5206</v>
      </c>
      <c r="C19" s="2074">
        <f>未按权责发生制确认收入审核表!C19</f>
        <v>0</v>
      </c>
      <c r="D19" s="2074">
        <f>未按权责发生制确认收入审核表!D19</f>
        <v>0</v>
      </c>
      <c r="E19" s="2074">
        <f>未按权责发生制确认收入审核表!E19</f>
        <v>0</v>
      </c>
      <c r="F19" s="2074">
        <f>未按权责发生制确认收入审核表!F19</f>
        <v>0</v>
      </c>
      <c r="G19" s="2074">
        <f>未按权责发生制确认收入审核表!G19</f>
        <v>0</v>
      </c>
      <c r="H19" s="2074">
        <f>未按权责发生制确认收入审核表!H19</f>
        <v>0</v>
      </c>
      <c r="I19" s="1812" t="s">
        <v>5207</v>
      </c>
    </row>
  </sheetData>
  <mergeCells count="8">
    <mergeCell ref="A1:H1"/>
    <mergeCell ref="A2:H2"/>
    <mergeCell ref="A3:A5"/>
    <mergeCell ref="B3:B5"/>
    <mergeCell ref="C3:C4"/>
    <mergeCell ref="D3:E3"/>
    <mergeCell ref="F3:G3"/>
    <mergeCell ref="H3:H4"/>
  </mergeCells>
  <phoneticPr fontId="51" type="noConversion"/>
  <hyperlinks>
    <hyperlink ref="J14" location="未按权责发生制确认收入审核表!A1" display="未按权责发生制确认收入审核表!A1"/>
  </hyperlinks>
  <printOptions horizontalCentered="1"/>
  <pageMargins left="0.78740157480314998" right="0.35433070866141703" top="0.511811023622047" bottom="0.11811023622047198" header="0.511811023622047" footer="0.511811023622047"/>
  <pageSetup paperSize="9" orientation="landscape" r:id="rId1"/>
  <headerFooter alignWithMargins="0"/>
</worksheet>
</file>

<file path=xl/worksheets/sheet1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26">
    <tabColor rgb="FFFFFF00"/>
  </sheetPr>
  <dimension ref="A1:O15"/>
  <sheetViews>
    <sheetView workbookViewId="0">
      <selection sqref="A1:M1"/>
    </sheetView>
  </sheetViews>
  <sheetFormatPr defaultRowHeight="15.6"/>
  <cols>
    <col min="1" max="1" width="4.3984375" style="1551" customWidth="1"/>
    <col min="2" max="2" width="17.19921875" style="1551" customWidth="1"/>
    <col min="3" max="13" width="10.59765625" style="1551" customWidth="1"/>
    <col min="14" max="14" width="15.09765625" style="1551" customWidth="1"/>
    <col min="15" max="256" width="9" style="1551"/>
    <col min="257" max="257" width="4.3984375" style="1551" customWidth="1"/>
    <col min="258" max="258" width="20.59765625" style="1551" customWidth="1"/>
    <col min="259" max="259" width="4.5" style="1551" customWidth="1"/>
    <col min="260" max="260" width="4.8984375" style="1551" customWidth="1"/>
    <col min="261" max="268" width="7.8984375" style="1551" customWidth="1"/>
    <col min="269" max="269" width="8.59765625" style="1551" customWidth="1"/>
    <col min="270" max="270" width="15.09765625" style="1551" customWidth="1"/>
    <col min="271" max="512" width="9" style="1551"/>
    <col min="513" max="513" width="4.3984375" style="1551" customWidth="1"/>
    <col min="514" max="514" width="20.59765625" style="1551" customWidth="1"/>
    <col min="515" max="515" width="4.5" style="1551" customWidth="1"/>
    <col min="516" max="516" width="4.8984375" style="1551" customWidth="1"/>
    <col min="517" max="524" width="7.8984375" style="1551" customWidth="1"/>
    <col min="525" max="525" width="8.59765625" style="1551" customWidth="1"/>
    <col min="526" max="526" width="15.09765625" style="1551" customWidth="1"/>
    <col min="527" max="768" width="9" style="1551"/>
    <col min="769" max="769" width="4.3984375" style="1551" customWidth="1"/>
    <col min="770" max="770" width="20.59765625" style="1551" customWidth="1"/>
    <col min="771" max="771" width="4.5" style="1551" customWidth="1"/>
    <col min="772" max="772" width="4.8984375" style="1551" customWidth="1"/>
    <col min="773" max="780" width="7.8984375" style="1551" customWidth="1"/>
    <col min="781" max="781" width="8.59765625" style="1551" customWidth="1"/>
    <col min="782" max="782" width="15.09765625" style="1551" customWidth="1"/>
    <col min="783" max="1024" width="9" style="1551"/>
    <col min="1025" max="1025" width="4.3984375" style="1551" customWidth="1"/>
    <col min="1026" max="1026" width="20.59765625" style="1551" customWidth="1"/>
    <col min="1027" max="1027" width="4.5" style="1551" customWidth="1"/>
    <col min="1028" max="1028" width="4.8984375" style="1551" customWidth="1"/>
    <col min="1029" max="1036" width="7.8984375" style="1551" customWidth="1"/>
    <col min="1037" max="1037" width="8.59765625" style="1551" customWidth="1"/>
    <col min="1038" max="1038" width="15.09765625" style="1551" customWidth="1"/>
    <col min="1039" max="1280" width="9" style="1551"/>
    <col min="1281" max="1281" width="4.3984375" style="1551" customWidth="1"/>
    <col min="1282" max="1282" width="20.59765625" style="1551" customWidth="1"/>
    <col min="1283" max="1283" width="4.5" style="1551" customWidth="1"/>
    <col min="1284" max="1284" width="4.8984375" style="1551" customWidth="1"/>
    <col min="1285" max="1292" width="7.8984375" style="1551" customWidth="1"/>
    <col min="1293" max="1293" width="8.59765625" style="1551" customWidth="1"/>
    <col min="1294" max="1294" width="15.09765625" style="1551" customWidth="1"/>
    <col min="1295" max="1536" width="9" style="1551"/>
    <col min="1537" max="1537" width="4.3984375" style="1551" customWidth="1"/>
    <col min="1538" max="1538" width="20.59765625" style="1551" customWidth="1"/>
    <col min="1539" max="1539" width="4.5" style="1551" customWidth="1"/>
    <col min="1540" max="1540" width="4.8984375" style="1551" customWidth="1"/>
    <col min="1541" max="1548" width="7.8984375" style="1551" customWidth="1"/>
    <col min="1549" max="1549" width="8.59765625" style="1551" customWidth="1"/>
    <col min="1550" max="1550" width="15.09765625" style="1551" customWidth="1"/>
    <col min="1551" max="1792" width="9" style="1551"/>
    <col min="1793" max="1793" width="4.3984375" style="1551" customWidth="1"/>
    <col min="1794" max="1794" width="20.59765625" style="1551" customWidth="1"/>
    <col min="1795" max="1795" width="4.5" style="1551" customWidth="1"/>
    <col min="1796" max="1796" width="4.8984375" style="1551" customWidth="1"/>
    <col min="1797" max="1804" width="7.8984375" style="1551" customWidth="1"/>
    <col min="1805" max="1805" width="8.59765625" style="1551" customWidth="1"/>
    <col min="1806" max="1806" width="15.09765625" style="1551" customWidth="1"/>
    <col min="1807" max="2048" width="9" style="1551"/>
    <col min="2049" max="2049" width="4.3984375" style="1551" customWidth="1"/>
    <col min="2050" max="2050" width="20.59765625" style="1551" customWidth="1"/>
    <col min="2051" max="2051" width="4.5" style="1551" customWidth="1"/>
    <col min="2052" max="2052" width="4.8984375" style="1551" customWidth="1"/>
    <col min="2053" max="2060" width="7.8984375" style="1551" customWidth="1"/>
    <col min="2061" max="2061" width="8.59765625" style="1551" customWidth="1"/>
    <col min="2062" max="2062" width="15.09765625" style="1551" customWidth="1"/>
    <col min="2063" max="2304" width="9" style="1551"/>
    <col min="2305" max="2305" width="4.3984375" style="1551" customWidth="1"/>
    <col min="2306" max="2306" width="20.59765625" style="1551" customWidth="1"/>
    <col min="2307" max="2307" width="4.5" style="1551" customWidth="1"/>
    <col min="2308" max="2308" width="4.8984375" style="1551" customWidth="1"/>
    <col min="2309" max="2316" width="7.8984375" style="1551" customWidth="1"/>
    <col min="2317" max="2317" width="8.59765625" style="1551" customWidth="1"/>
    <col min="2318" max="2318" width="15.09765625" style="1551" customWidth="1"/>
    <col min="2319" max="2560" width="9" style="1551"/>
    <col min="2561" max="2561" width="4.3984375" style="1551" customWidth="1"/>
    <col min="2562" max="2562" width="20.59765625" style="1551" customWidth="1"/>
    <col min="2563" max="2563" width="4.5" style="1551" customWidth="1"/>
    <col min="2564" max="2564" width="4.8984375" style="1551" customWidth="1"/>
    <col min="2565" max="2572" width="7.8984375" style="1551" customWidth="1"/>
    <col min="2573" max="2573" width="8.59765625" style="1551" customWidth="1"/>
    <col min="2574" max="2574" width="15.09765625" style="1551" customWidth="1"/>
    <col min="2575" max="2816" width="9" style="1551"/>
    <col min="2817" max="2817" width="4.3984375" style="1551" customWidth="1"/>
    <col min="2818" max="2818" width="20.59765625" style="1551" customWidth="1"/>
    <col min="2819" max="2819" width="4.5" style="1551" customWidth="1"/>
    <col min="2820" max="2820" width="4.8984375" style="1551" customWidth="1"/>
    <col min="2821" max="2828" width="7.8984375" style="1551" customWidth="1"/>
    <col min="2829" max="2829" width="8.59765625" style="1551" customWidth="1"/>
    <col min="2830" max="2830" width="15.09765625" style="1551" customWidth="1"/>
    <col min="2831" max="3072" width="9" style="1551"/>
    <col min="3073" max="3073" width="4.3984375" style="1551" customWidth="1"/>
    <col min="3074" max="3074" width="20.59765625" style="1551" customWidth="1"/>
    <col min="3075" max="3075" width="4.5" style="1551" customWidth="1"/>
    <col min="3076" max="3076" width="4.8984375" style="1551" customWidth="1"/>
    <col min="3077" max="3084" width="7.8984375" style="1551" customWidth="1"/>
    <col min="3085" max="3085" width="8.59765625" style="1551" customWidth="1"/>
    <col min="3086" max="3086" width="15.09765625" style="1551" customWidth="1"/>
    <col min="3087" max="3328" width="9" style="1551"/>
    <col min="3329" max="3329" width="4.3984375" style="1551" customWidth="1"/>
    <col min="3330" max="3330" width="20.59765625" style="1551" customWidth="1"/>
    <col min="3331" max="3331" width="4.5" style="1551" customWidth="1"/>
    <col min="3332" max="3332" width="4.8984375" style="1551" customWidth="1"/>
    <col min="3333" max="3340" width="7.8984375" style="1551" customWidth="1"/>
    <col min="3341" max="3341" width="8.59765625" style="1551" customWidth="1"/>
    <col min="3342" max="3342" width="15.09765625" style="1551" customWidth="1"/>
    <col min="3343" max="3584" width="9" style="1551"/>
    <col min="3585" max="3585" width="4.3984375" style="1551" customWidth="1"/>
    <col min="3586" max="3586" width="20.59765625" style="1551" customWidth="1"/>
    <col min="3587" max="3587" width="4.5" style="1551" customWidth="1"/>
    <col min="3588" max="3588" width="4.8984375" style="1551" customWidth="1"/>
    <col min="3589" max="3596" width="7.8984375" style="1551" customWidth="1"/>
    <col min="3597" max="3597" width="8.59765625" style="1551" customWidth="1"/>
    <col min="3598" max="3598" width="15.09765625" style="1551" customWidth="1"/>
    <col min="3599" max="3840" width="9" style="1551"/>
    <col min="3841" max="3841" width="4.3984375" style="1551" customWidth="1"/>
    <col min="3842" max="3842" width="20.59765625" style="1551" customWidth="1"/>
    <col min="3843" max="3843" width="4.5" style="1551" customWidth="1"/>
    <col min="3844" max="3844" width="4.8984375" style="1551" customWidth="1"/>
    <col min="3845" max="3852" width="7.8984375" style="1551" customWidth="1"/>
    <col min="3853" max="3853" width="8.59765625" style="1551" customWidth="1"/>
    <col min="3854" max="3854" width="15.09765625" style="1551" customWidth="1"/>
    <col min="3855" max="4096" width="9" style="1551"/>
    <col min="4097" max="4097" width="4.3984375" style="1551" customWidth="1"/>
    <col min="4098" max="4098" width="20.59765625" style="1551" customWidth="1"/>
    <col min="4099" max="4099" width="4.5" style="1551" customWidth="1"/>
    <col min="4100" max="4100" width="4.8984375" style="1551" customWidth="1"/>
    <col min="4101" max="4108" width="7.8984375" style="1551" customWidth="1"/>
    <col min="4109" max="4109" width="8.59765625" style="1551" customWidth="1"/>
    <col min="4110" max="4110" width="15.09765625" style="1551" customWidth="1"/>
    <col min="4111" max="4352" width="9" style="1551"/>
    <col min="4353" max="4353" width="4.3984375" style="1551" customWidth="1"/>
    <col min="4354" max="4354" width="20.59765625" style="1551" customWidth="1"/>
    <col min="4355" max="4355" width="4.5" style="1551" customWidth="1"/>
    <col min="4356" max="4356" width="4.8984375" style="1551" customWidth="1"/>
    <col min="4357" max="4364" width="7.8984375" style="1551" customWidth="1"/>
    <col min="4365" max="4365" width="8.59765625" style="1551" customWidth="1"/>
    <col min="4366" max="4366" width="15.09765625" style="1551" customWidth="1"/>
    <col min="4367" max="4608" width="9" style="1551"/>
    <col min="4609" max="4609" width="4.3984375" style="1551" customWidth="1"/>
    <col min="4610" max="4610" width="20.59765625" style="1551" customWidth="1"/>
    <col min="4611" max="4611" width="4.5" style="1551" customWidth="1"/>
    <col min="4612" max="4612" width="4.8984375" style="1551" customWidth="1"/>
    <col min="4613" max="4620" width="7.8984375" style="1551" customWidth="1"/>
    <col min="4621" max="4621" width="8.59765625" style="1551" customWidth="1"/>
    <col min="4622" max="4622" width="15.09765625" style="1551" customWidth="1"/>
    <col min="4623" max="4864" width="9" style="1551"/>
    <col min="4865" max="4865" width="4.3984375" style="1551" customWidth="1"/>
    <col min="4866" max="4866" width="20.59765625" style="1551" customWidth="1"/>
    <col min="4867" max="4867" width="4.5" style="1551" customWidth="1"/>
    <col min="4868" max="4868" width="4.8984375" style="1551" customWidth="1"/>
    <col min="4869" max="4876" width="7.8984375" style="1551" customWidth="1"/>
    <col min="4877" max="4877" width="8.59765625" style="1551" customWidth="1"/>
    <col min="4878" max="4878" width="15.09765625" style="1551" customWidth="1"/>
    <col min="4879" max="5120" width="9" style="1551"/>
    <col min="5121" max="5121" width="4.3984375" style="1551" customWidth="1"/>
    <col min="5122" max="5122" width="20.59765625" style="1551" customWidth="1"/>
    <col min="5123" max="5123" width="4.5" style="1551" customWidth="1"/>
    <col min="5124" max="5124" width="4.8984375" style="1551" customWidth="1"/>
    <col min="5125" max="5132" width="7.8984375" style="1551" customWidth="1"/>
    <col min="5133" max="5133" width="8.59765625" style="1551" customWidth="1"/>
    <col min="5134" max="5134" width="15.09765625" style="1551" customWidth="1"/>
    <col min="5135" max="5376" width="9" style="1551"/>
    <col min="5377" max="5377" width="4.3984375" style="1551" customWidth="1"/>
    <col min="5378" max="5378" width="20.59765625" style="1551" customWidth="1"/>
    <col min="5379" max="5379" width="4.5" style="1551" customWidth="1"/>
    <col min="5380" max="5380" width="4.8984375" style="1551" customWidth="1"/>
    <col min="5381" max="5388" width="7.8984375" style="1551" customWidth="1"/>
    <col min="5389" max="5389" width="8.59765625" style="1551" customWidth="1"/>
    <col min="5390" max="5390" width="15.09765625" style="1551" customWidth="1"/>
    <col min="5391" max="5632" width="9" style="1551"/>
    <col min="5633" max="5633" width="4.3984375" style="1551" customWidth="1"/>
    <col min="5634" max="5634" width="20.59765625" style="1551" customWidth="1"/>
    <col min="5635" max="5635" width="4.5" style="1551" customWidth="1"/>
    <col min="5636" max="5636" width="4.8984375" style="1551" customWidth="1"/>
    <col min="5637" max="5644" width="7.8984375" style="1551" customWidth="1"/>
    <col min="5645" max="5645" width="8.59765625" style="1551" customWidth="1"/>
    <col min="5646" max="5646" width="15.09765625" style="1551" customWidth="1"/>
    <col min="5647" max="5888" width="9" style="1551"/>
    <col min="5889" max="5889" width="4.3984375" style="1551" customWidth="1"/>
    <col min="5890" max="5890" width="20.59765625" style="1551" customWidth="1"/>
    <col min="5891" max="5891" width="4.5" style="1551" customWidth="1"/>
    <col min="5892" max="5892" width="4.8984375" style="1551" customWidth="1"/>
    <col min="5893" max="5900" width="7.8984375" style="1551" customWidth="1"/>
    <col min="5901" max="5901" width="8.59765625" style="1551" customWidth="1"/>
    <col min="5902" max="5902" width="15.09765625" style="1551" customWidth="1"/>
    <col min="5903" max="6144" width="9" style="1551"/>
    <col min="6145" max="6145" width="4.3984375" style="1551" customWidth="1"/>
    <col min="6146" max="6146" width="20.59765625" style="1551" customWidth="1"/>
    <col min="6147" max="6147" width="4.5" style="1551" customWidth="1"/>
    <col min="6148" max="6148" width="4.8984375" style="1551" customWidth="1"/>
    <col min="6149" max="6156" width="7.8984375" style="1551" customWidth="1"/>
    <col min="6157" max="6157" width="8.59765625" style="1551" customWidth="1"/>
    <col min="6158" max="6158" width="15.09765625" style="1551" customWidth="1"/>
    <col min="6159" max="6400" width="9" style="1551"/>
    <col min="6401" max="6401" width="4.3984375" style="1551" customWidth="1"/>
    <col min="6402" max="6402" width="20.59765625" style="1551" customWidth="1"/>
    <col min="6403" max="6403" width="4.5" style="1551" customWidth="1"/>
    <col min="6404" max="6404" width="4.8984375" style="1551" customWidth="1"/>
    <col min="6405" max="6412" width="7.8984375" style="1551" customWidth="1"/>
    <col min="6413" max="6413" width="8.59765625" style="1551" customWidth="1"/>
    <col min="6414" max="6414" width="15.09765625" style="1551" customWidth="1"/>
    <col min="6415" max="6656" width="9" style="1551"/>
    <col min="6657" max="6657" width="4.3984375" style="1551" customWidth="1"/>
    <col min="6658" max="6658" width="20.59765625" style="1551" customWidth="1"/>
    <col min="6659" max="6659" width="4.5" style="1551" customWidth="1"/>
    <col min="6660" max="6660" width="4.8984375" style="1551" customWidth="1"/>
    <col min="6661" max="6668" width="7.8984375" style="1551" customWidth="1"/>
    <col min="6669" max="6669" width="8.59765625" style="1551" customWidth="1"/>
    <col min="6670" max="6670" width="15.09765625" style="1551" customWidth="1"/>
    <col min="6671" max="6912" width="9" style="1551"/>
    <col min="6913" max="6913" width="4.3984375" style="1551" customWidth="1"/>
    <col min="6914" max="6914" width="20.59765625" style="1551" customWidth="1"/>
    <col min="6915" max="6915" width="4.5" style="1551" customWidth="1"/>
    <col min="6916" max="6916" width="4.8984375" style="1551" customWidth="1"/>
    <col min="6917" max="6924" width="7.8984375" style="1551" customWidth="1"/>
    <col min="6925" max="6925" width="8.59765625" style="1551" customWidth="1"/>
    <col min="6926" max="6926" width="15.09765625" style="1551" customWidth="1"/>
    <col min="6927" max="7168" width="9" style="1551"/>
    <col min="7169" max="7169" width="4.3984375" style="1551" customWidth="1"/>
    <col min="7170" max="7170" width="20.59765625" style="1551" customWidth="1"/>
    <col min="7171" max="7171" width="4.5" style="1551" customWidth="1"/>
    <col min="7172" max="7172" width="4.8984375" style="1551" customWidth="1"/>
    <col min="7173" max="7180" width="7.8984375" style="1551" customWidth="1"/>
    <col min="7181" max="7181" width="8.59765625" style="1551" customWidth="1"/>
    <col min="7182" max="7182" width="15.09765625" style="1551" customWidth="1"/>
    <col min="7183" max="7424" width="9" style="1551"/>
    <col min="7425" max="7425" width="4.3984375" style="1551" customWidth="1"/>
    <col min="7426" max="7426" width="20.59765625" style="1551" customWidth="1"/>
    <col min="7427" max="7427" width="4.5" style="1551" customWidth="1"/>
    <col min="7428" max="7428" width="4.8984375" style="1551" customWidth="1"/>
    <col min="7429" max="7436" width="7.8984375" style="1551" customWidth="1"/>
    <col min="7437" max="7437" width="8.59765625" style="1551" customWidth="1"/>
    <col min="7438" max="7438" width="15.09765625" style="1551" customWidth="1"/>
    <col min="7439" max="7680" width="9" style="1551"/>
    <col min="7681" max="7681" width="4.3984375" style="1551" customWidth="1"/>
    <col min="7682" max="7682" width="20.59765625" style="1551" customWidth="1"/>
    <col min="7683" max="7683" width="4.5" style="1551" customWidth="1"/>
    <col min="7684" max="7684" width="4.8984375" style="1551" customWidth="1"/>
    <col min="7685" max="7692" width="7.8984375" style="1551" customWidth="1"/>
    <col min="7693" max="7693" width="8.59765625" style="1551" customWidth="1"/>
    <col min="7694" max="7694" width="15.09765625" style="1551" customWidth="1"/>
    <col min="7695" max="7936" width="9" style="1551"/>
    <col min="7937" max="7937" width="4.3984375" style="1551" customWidth="1"/>
    <col min="7938" max="7938" width="20.59765625" style="1551" customWidth="1"/>
    <col min="7939" max="7939" width="4.5" style="1551" customWidth="1"/>
    <col min="7940" max="7940" width="4.8984375" style="1551" customWidth="1"/>
    <col min="7941" max="7948" width="7.8984375" style="1551" customWidth="1"/>
    <col min="7949" max="7949" width="8.59765625" style="1551" customWidth="1"/>
    <col min="7950" max="7950" width="15.09765625" style="1551" customWidth="1"/>
    <col min="7951" max="8192" width="9" style="1551"/>
    <col min="8193" max="8193" width="4.3984375" style="1551" customWidth="1"/>
    <col min="8194" max="8194" width="20.59765625" style="1551" customWidth="1"/>
    <col min="8195" max="8195" width="4.5" style="1551" customWidth="1"/>
    <col min="8196" max="8196" width="4.8984375" style="1551" customWidth="1"/>
    <col min="8197" max="8204" width="7.8984375" style="1551" customWidth="1"/>
    <col min="8205" max="8205" width="8.59765625" style="1551" customWidth="1"/>
    <col min="8206" max="8206" width="15.09765625" style="1551" customWidth="1"/>
    <col min="8207" max="8448" width="9" style="1551"/>
    <col min="8449" max="8449" width="4.3984375" style="1551" customWidth="1"/>
    <col min="8450" max="8450" width="20.59765625" style="1551" customWidth="1"/>
    <col min="8451" max="8451" width="4.5" style="1551" customWidth="1"/>
    <col min="8452" max="8452" width="4.8984375" style="1551" customWidth="1"/>
    <col min="8453" max="8460" width="7.8984375" style="1551" customWidth="1"/>
    <col min="8461" max="8461" width="8.59765625" style="1551" customWidth="1"/>
    <col min="8462" max="8462" width="15.09765625" style="1551" customWidth="1"/>
    <col min="8463" max="8704" width="9" style="1551"/>
    <col min="8705" max="8705" width="4.3984375" style="1551" customWidth="1"/>
    <col min="8706" max="8706" width="20.59765625" style="1551" customWidth="1"/>
    <col min="8707" max="8707" width="4.5" style="1551" customWidth="1"/>
    <col min="8708" max="8708" width="4.8984375" style="1551" customWidth="1"/>
    <col min="8709" max="8716" width="7.8984375" style="1551" customWidth="1"/>
    <col min="8717" max="8717" width="8.59765625" style="1551" customWidth="1"/>
    <col min="8718" max="8718" width="15.09765625" style="1551" customWidth="1"/>
    <col min="8719" max="8960" width="9" style="1551"/>
    <col min="8961" max="8961" width="4.3984375" style="1551" customWidth="1"/>
    <col min="8962" max="8962" width="20.59765625" style="1551" customWidth="1"/>
    <col min="8963" max="8963" width="4.5" style="1551" customWidth="1"/>
    <col min="8964" max="8964" width="4.8984375" style="1551" customWidth="1"/>
    <col min="8965" max="8972" width="7.8984375" style="1551" customWidth="1"/>
    <col min="8973" max="8973" width="8.59765625" style="1551" customWidth="1"/>
    <col min="8974" max="8974" width="15.09765625" style="1551" customWidth="1"/>
    <col min="8975" max="9216" width="9" style="1551"/>
    <col min="9217" max="9217" width="4.3984375" style="1551" customWidth="1"/>
    <col min="9218" max="9218" width="20.59765625" style="1551" customWidth="1"/>
    <col min="9219" max="9219" width="4.5" style="1551" customWidth="1"/>
    <col min="9220" max="9220" width="4.8984375" style="1551" customWidth="1"/>
    <col min="9221" max="9228" width="7.8984375" style="1551" customWidth="1"/>
    <col min="9229" max="9229" width="8.59765625" style="1551" customWidth="1"/>
    <col min="9230" max="9230" width="15.09765625" style="1551" customWidth="1"/>
    <col min="9231" max="9472" width="9" style="1551"/>
    <col min="9473" max="9473" width="4.3984375" style="1551" customWidth="1"/>
    <col min="9474" max="9474" width="20.59765625" style="1551" customWidth="1"/>
    <col min="9475" max="9475" width="4.5" style="1551" customWidth="1"/>
    <col min="9476" max="9476" width="4.8984375" style="1551" customWidth="1"/>
    <col min="9477" max="9484" width="7.8984375" style="1551" customWidth="1"/>
    <col min="9485" max="9485" width="8.59765625" style="1551" customWidth="1"/>
    <col min="9486" max="9486" width="15.09765625" style="1551" customWidth="1"/>
    <col min="9487" max="9728" width="9" style="1551"/>
    <col min="9729" max="9729" width="4.3984375" style="1551" customWidth="1"/>
    <col min="9730" max="9730" width="20.59765625" style="1551" customWidth="1"/>
    <col min="9731" max="9731" width="4.5" style="1551" customWidth="1"/>
    <col min="9732" max="9732" width="4.8984375" style="1551" customWidth="1"/>
    <col min="9733" max="9740" width="7.8984375" style="1551" customWidth="1"/>
    <col min="9741" max="9741" width="8.59765625" style="1551" customWidth="1"/>
    <col min="9742" max="9742" width="15.09765625" style="1551" customWidth="1"/>
    <col min="9743" max="9984" width="9" style="1551"/>
    <col min="9985" max="9985" width="4.3984375" style="1551" customWidth="1"/>
    <col min="9986" max="9986" width="20.59765625" style="1551" customWidth="1"/>
    <col min="9987" max="9987" width="4.5" style="1551" customWidth="1"/>
    <col min="9988" max="9988" width="4.8984375" style="1551" customWidth="1"/>
    <col min="9989" max="9996" width="7.8984375" style="1551" customWidth="1"/>
    <col min="9997" max="9997" width="8.59765625" style="1551" customWidth="1"/>
    <col min="9998" max="9998" width="15.09765625" style="1551" customWidth="1"/>
    <col min="9999" max="10240" width="9" style="1551"/>
    <col min="10241" max="10241" width="4.3984375" style="1551" customWidth="1"/>
    <col min="10242" max="10242" width="20.59765625" style="1551" customWidth="1"/>
    <col min="10243" max="10243" width="4.5" style="1551" customWidth="1"/>
    <col min="10244" max="10244" width="4.8984375" style="1551" customWidth="1"/>
    <col min="10245" max="10252" width="7.8984375" style="1551" customWidth="1"/>
    <col min="10253" max="10253" width="8.59765625" style="1551" customWidth="1"/>
    <col min="10254" max="10254" width="15.09765625" style="1551" customWidth="1"/>
    <col min="10255" max="10496" width="9" style="1551"/>
    <col min="10497" max="10497" width="4.3984375" style="1551" customWidth="1"/>
    <col min="10498" max="10498" width="20.59765625" style="1551" customWidth="1"/>
    <col min="10499" max="10499" width="4.5" style="1551" customWidth="1"/>
    <col min="10500" max="10500" width="4.8984375" style="1551" customWidth="1"/>
    <col min="10501" max="10508" width="7.8984375" style="1551" customWidth="1"/>
    <col min="10509" max="10509" width="8.59765625" style="1551" customWidth="1"/>
    <col min="10510" max="10510" width="15.09765625" style="1551" customWidth="1"/>
    <col min="10511" max="10752" width="9" style="1551"/>
    <col min="10753" max="10753" width="4.3984375" style="1551" customWidth="1"/>
    <col min="10754" max="10754" width="20.59765625" style="1551" customWidth="1"/>
    <col min="10755" max="10755" width="4.5" style="1551" customWidth="1"/>
    <col min="10756" max="10756" width="4.8984375" style="1551" customWidth="1"/>
    <col min="10757" max="10764" width="7.8984375" style="1551" customWidth="1"/>
    <col min="10765" max="10765" width="8.59765625" style="1551" customWidth="1"/>
    <col min="10766" max="10766" width="15.09765625" style="1551" customWidth="1"/>
    <col min="10767" max="11008" width="9" style="1551"/>
    <col min="11009" max="11009" width="4.3984375" style="1551" customWidth="1"/>
    <col min="11010" max="11010" width="20.59765625" style="1551" customWidth="1"/>
    <col min="11011" max="11011" width="4.5" style="1551" customWidth="1"/>
    <col min="11012" max="11012" width="4.8984375" style="1551" customWidth="1"/>
    <col min="11013" max="11020" width="7.8984375" style="1551" customWidth="1"/>
    <col min="11021" max="11021" width="8.59765625" style="1551" customWidth="1"/>
    <col min="11022" max="11022" width="15.09765625" style="1551" customWidth="1"/>
    <col min="11023" max="11264" width="9" style="1551"/>
    <col min="11265" max="11265" width="4.3984375" style="1551" customWidth="1"/>
    <col min="11266" max="11266" width="20.59765625" style="1551" customWidth="1"/>
    <col min="11267" max="11267" width="4.5" style="1551" customWidth="1"/>
    <col min="11268" max="11268" width="4.8984375" style="1551" customWidth="1"/>
    <col min="11269" max="11276" width="7.8984375" style="1551" customWidth="1"/>
    <col min="11277" max="11277" width="8.59765625" style="1551" customWidth="1"/>
    <col min="11278" max="11278" width="15.09765625" style="1551" customWidth="1"/>
    <col min="11279" max="11520" width="9" style="1551"/>
    <col min="11521" max="11521" width="4.3984375" style="1551" customWidth="1"/>
    <col min="11522" max="11522" width="20.59765625" style="1551" customWidth="1"/>
    <col min="11523" max="11523" width="4.5" style="1551" customWidth="1"/>
    <col min="11524" max="11524" width="4.8984375" style="1551" customWidth="1"/>
    <col min="11525" max="11532" width="7.8984375" style="1551" customWidth="1"/>
    <col min="11533" max="11533" width="8.59765625" style="1551" customWidth="1"/>
    <col min="11534" max="11534" width="15.09765625" style="1551" customWidth="1"/>
    <col min="11535" max="11776" width="9" style="1551"/>
    <col min="11777" max="11777" width="4.3984375" style="1551" customWidth="1"/>
    <col min="11778" max="11778" width="20.59765625" style="1551" customWidth="1"/>
    <col min="11779" max="11779" width="4.5" style="1551" customWidth="1"/>
    <col min="11780" max="11780" width="4.8984375" style="1551" customWidth="1"/>
    <col min="11781" max="11788" width="7.8984375" style="1551" customWidth="1"/>
    <col min="11789" max="11789" width="8.59765625" style="1551" customWidth="1"/>
    <col min="11790" max="11790" width="15.09765625" style="1551" customWidth="1"/>
    <col min="11791" max="12032" width="9" style="1551"/>
    <col min="12033" max="12033" width="4.3984375" style="1551" customWidth="1"/>
    <col min="12034" max="12034" width="20.59765625" style="1551" customWidth="1"/>
    <col min="12035" max="12035" width="4.5" style="1551" customWidth="1"/>
    <col min="12036" max="12036" width="4.8984375" style="1551" customWidth="1"/>
    <col min="12037" max="12044" width="7.8984375" style="1551" customWidth="1"/>
    <col min="12045" max="12045" width="8.59765625" style="1551" customWidth="1"/>
    <col min="12046" max="12046" width="15.09765625" style="1551" customWidth="1"/>
    <col min="12047" max="12288" width="9" style="1551"/>
    <col min="12289" max="12289" width="4.3984375" style="1551" customWidth="1"/>
    <col min="12290" max="12290" width="20.59765625" style="1551" customWidth="1"/>
    <col min="12291" max="12291" width="4.5" style="1551" customWidth="1"/>
    <col min="12292" max="12292" width="4.8984375" style="1551" customWidth="1"/>
    <col min="12293" max="12300" width="7.8984375" style="1551" customWidth="1"/>
    <col min="12301" max="12301" width="8.59765625" style="1551" customWidth="1"/>
    <col min="12302" max="12302" width="15.09765625" style="1551" customWidth="1"/>
    <col min="12303" max="12544" width="9" style="1551"/>
    <col min="12545" max="12545" width="4.3984375" style="1551" customWidth="1"/>
    <col min="12546" max="12546" width="20.59765625" style="1551" customWidth="1"/>
    <col min="12547" max="12547" width="4.5" style="1551" customWidth="1"/>
    <col min="12548" max="12548" width="4.8984375" style="1551" customWidth="1"/>
    <col min="12549" max="12556" width="7.8984375" style="1551" customWidth="1"/>
    <col min="12557" max="12557" width="8.59765625" style="1551" customWidth="1"/>
    <col min="12558" max="12558" width="15.09765625" style="1551" customWidth="1"/>
    <col min="12559" max="12800" width="9" style="1551"/>
    <col min="12801" max="12801" width="4.3984375" style="1551" customWidth="1"/>
    <col min="12802" max="12802" width="20.59765625" style="1551" customWidth="1"/>
    <col min="12803" max="12803" width="4.5" style="1551" customWidth="1"/>
    <col min="12804" max="12804" width="4.8984375" style="1551" customWidth="1"/>
    <col min="12805" max="12812" width="7.8984375" style="1551" customWidth="1"/>
    <col min="12813" max="12813" width="8.59765625" style="1551" customWidth="1"/>
    <col min="12814" max="12814" width="15.09765625" style="1551" customWidth="1"/>
    <col min="12815" max="13056" width="9" style="1551"/>
    <col min="13057" max="13057" width="4.3984375" style="1551" customWidth="1"/>
    <col min="13058" max="13058" width="20.59765625" style="1551" customWidth="1"/>
    <col min="13059" max="13059" width="4.5" style="1551" customWidth="1"/>
    <col min="13060" max="13060" width="4.8984375" style="1551" customWidth="1"/>
    <col min="13061" max="13068" width="7.8984375" style="1551" customWidth="1"/>
    <col min="13069" max="13069" width="8.59765625" style="1551" customWidth="1"/>
    <col min="13070" max="13070" width="15.09765625" style="1551" customWidth="1"/>
    <col min="13071" max="13312" width="9" style="1551"/>
    <col min="13313" max="13313" width="4.3984375" style="1551" customWidth="1"/>
    <col min="13314" max="13314" width="20.59765625" style="1551" customWidth="1"/>
    <col min="13315" max="13315" width="4.5" style="1551" customWidth="1"/>
    <col min="13316" max="13316" width="4.8984375" style="1551" customWidth="1"/>
    <col min="13317" max="13324" width="7.8984375" style="1551" customWidth="1"/>
    <col min="13325" max="13325" width="8.59765625" style="1551" customWidth="1"/>
    <col min="13326" max="13326" width="15.09765625" style="1551" customWidth="1"/>
    <col min="13327" max="13568" width="9" style="1551"/>
    <col min="13569" max="13569" width="4.3984375" style="1551" customWidth="1"/>
    <col min="13570" max="13570" width="20.59765625" style="1551" customWidth="1"/>
    <col min="13571" max="13571" width="4.5" style="1551" customWidth="1"/>
    <col min="13572" max="13572" width="4.8984375" style="1551" customWidth="1"/>
    <col min="13573" max="13580" width="7.8984375" style="1551" customWidth="1"/>
    <col min="13581" max="13581" width="8.59765625" style="1551" customWidth="1"/>
    <col min="13582" max="13582" width="15.09765625" style="1551" customWidth="1"/>
    <col min="13583" max="13824" width="9" style="1551"/>
    <col min="13825" max="13825" width="4.3984375" style="1551" customWidth="1"/>
    <col min="13826" max="13826" width="20.59765625" style="1551" customWidth="1"/>
    <col min="13827" max="13827" width="4.5" style="1551" customWidth="1"/>
    <col min="13828" max="13828" width="4.8984375" style="1551" customWidth="1"/>
    <col min="13829" max="13836" width="7.8984375" style="1551" customWidth="1"/>
    <col min="13837" max="13837" width="8.59765625" style="1551" customWidth="1"/>
    <col min="13838" max="13838" width="15.09765625" style="1551" customWidth="1"/>
    <col min="13839" max="14080" width="9" style="1551"/>
    <col min="14081" max="14081" width="4.3984375" style="1551" customWidth="1"/>
    <col min="14082" max="14082" width="20.59765625" style="1551" customWidth="1"/>
    <col min="14083" max="14083" width="4.5" style="1551" customWidth="1"/>
    <col min="14084" max="14084" width="4.8984375" style="1551" customWidth="1"/>
    <col min="14085" max="14092" width="7.8984375" style="1551" customWidth="1"/>
    <col min="14093" max="14093" width="8.59765625" style="1551" customWidth="1"/>
    <col min="14094" max="14094" width="15.09765625" style="1551" customWidth="1"/>
    <col min="14095" max="14336" width="9" style="1551"/>
    <col min="14337" max="14337" width="4.3984375" style="1551" customWidth="1"/>
    <col min="14338" max="14338" width="20.59765625" style="1551" customWidth="1"/>
    <col min="14339" max="14339" width="4.5" style="1551" customWidth="1"/>
    <col min="14340" max="14340" width="4.8984375" style="1551" customWidth="1"/>
    <col min="14341" max="14348" width="7.8984375" style="1551" customWidth="1"/>
    <col min="14349" max="14349" width="8.59765625" style="1551" customWidth="1"/>
    <col min="14350" max="14350" width="15.09765625" style="1551" customWidth="1"/>
    <col min="14351" max="14592" width="9" style="1551"/>
    <col min="14593" max="14593" width="4.3984375" style="1551" customWidth="1"/>
    <col min="14594" max="14594" width="20.59765625" style="1551" customWidth="1"/>
    <col min="14595" max="14595" width="4.5" style="1551" customWidth="1"/>
    <col min="14596" max="14596" width="4.8984375" style="1551" customWidth="1"/>
    <col min="14597" max="14604" width="7.8984375" style="1551" customWidth="1"/>
    <col min="14605" max="14605" width="8.59765625" style="1551" customWidth="1"/>
    <col min="14606" max="14606" width="15.09765625" style="1551" customWidth="1"/>
    <col min="14607" max="14848" width="9" style="1551"/>
    <col min="14849" max="14849" width="4.3984375" style="1551" customWidth="1"/>
    <col min="14850" max="14850" width="20.59765625" style="1551" customWidth="1"/>
    <col min="14851" max="14851" width="4.5" style="1551" customWidth="1"/>
    <col min="14852" max="14852" width="4.8984375" style="1551" customWidth="1"/>
    <col min="14853" max="14860" width="7.8984375" style="1551" customWidth="1"/>
    <col min="14861" max="14861" width="8.59765625" style="1551" customWidth="1"/>
    <col min="14862" max="14862" width="15.09765625" style="1551" customWidth="1"/>
    <col min="14863" max="15104" width="9" style="1551"/>
    <col min="15105" max="15105" width="4.3984375" style="1551" customWidth="1"/>
    <col min="15106" max="15106" width="20.59765625" style="1551" customWidth="1"/>
    <col min="15107" max="15107" width="4.5" style="1551" customWidth="1"/>
    <col min="15108" max="15108" width="4.8984375" style="1551" customWidth="1"/>
    <col min="15109" max="15116" width="7.8984375" style="1551" customWidth="1"/>
    <col min="15117" max="15117" width="8.59765625" style="1551" customWidth="1"/>
    <col min="15118" max="15118" width="15.09765625" style="1551" customWidth="1"/>
    <col min="15119" max="15360" width="9" style="1551"/>
    <col min="15361" max="15361" width="4.3984375" style="1551" customWidth="1"/>
    <col min="15362" max="15362" width="20.59765625" style="1551" customWidth="1"/>
    <col min="15363" max="15363" width="4.5" style="1551" customWidth="1"/>
    <col min="15364" max="15364" width="4.8984375" style="1551" customWidth="1"/>
    <col min="15365" max="15372" width="7.8984375" style="1551" customWidth="1"/>
    <col min="15373" max="15373" width="8.59765625" style="1551" customWidth="1"/>
    <col min="15374" max="15374" width="15.09765625" style="1551" customWidth="1"/>
    <col min="15375" max="15616" width="9" style="1551"/>
    <col min="15617" max="15617" width="4.3984375" style="1551" customWidth="1"/>
    <col min="15618" max="15618" width="20.59765625" style="1551" customWidth="1"/>
    <col min="15619" max="15619" width="4.5" style="1551" customWidth="1"/>
    <col min="15620" max="15620" width="4.8984375" style="1551" customWidth="1"/>
    <col min="15621" max="15628" width="7.8984375" style="1551" customWidth="1"/>
    <col min="15629" max="15629" width="8.59765625" style="1551" customWidth="1"/>
    <col min="15630" max="15630" width="15.09765625" style="1551" customWidth="1"/>
    <col min="15631" max="15872" width="9" style="1551"/>
    <col min="15873" max="15873" width="4.3984375" style="1551" customWidth="1"/>
    <col min="15874" max="15874" width="20.59765625" style="1551" customWidth="1"/>
    <col min="15875" max="15875" width="4.5" style="1551" customWidth="1"/>
    <col min="15876" max="15876" width="4.8984375" style="1551" customWidth="1"/>
    <col min="15877" max="15884" width="7.8984375" style="1551" customWidth="1"/>
    <col min="15885" max="15885" width="8.59765625" style="1551" customWidth="1"/>
    <col min="15886" max="15886" width="15.09765625" style="1551" customWidth="1"/>
    <col min="15887" max="16128" width="9" style="1551"/>
    <col min="16129" max="16129" width="4.3984375" style="1551" customWidth="1"/>
    <col min="16130" max="16130" width="20.59765625" style="1551" customWidth="1"/>
    <col min="16131" max="16131" width="4.5" style="1551" customWidth="1"/>
    <col min="16132" max="16132" width="4.8984375" style="1551" customWidth="1"/>
    <col min="16133" max="16140" width="7.8984375" style="1551" customWidth="1"/>
    <col min="16141" max="16141" width="8.59765625" style="1551" customWidth="1"/>
    <col min="16142" max="16142" width="15.09765625" style="1551" customWidth="1"/>
    <col min="16143" max="16384" width="9" style="1551"/>
  </cols>
  <sheetData>
    <row r="1" spans="1:15" ht="20.100000000000001" customHeight="1">
      <c r="A1" s="3378" t="s">
        <v>5208</v>
      </c>
      <c r="B1" s="3378"/>
      <c r="C1" s="3378"/>
      <c r="D1" s="3378"/>
      <c r="E1" s="3378"/>
      <c r="F1" s="3378"/>
      <c r="G1" s="3378"/>
      <c r="H1" s="3378"/>
      <c r="I1" s="3378"/>
      <c r="J1" s="3378"/>
      <c r="K1" s="3378"/>
      <c r="L1" s="3378"/>
      <c r="M1" s="3378"/>
      <c r="N1" s="1804"/>
    </row>
    <row r="2" spans="1:15" ht="25.5" customHeight="1">
      <c r="A2" s="3379" t="s">
        <v>5209</v>
      </c>
      <c r="B2" s="3379"/>
      <c r="C2" s="3379"/>
      <c r="D2" s="3379"/>
      <c r="E2" s="3379"/>
      <c r="F2" s="3379"/>
      <c r="G2" s="3379"/>
      <c r="H2" s="3379"/>
      <c r="I2" s="3379"/>
      <c r="J2" s="3379"/>
      <c r="K2" s="3379"/>
      <c r="L2" s="3379"/>
      <c r="M2" s="3379"/>
      <c r="N2" s="1835"/>
    </row>
    <row r="3" spans="1:15" ht="14.25" customHeight="1">
      <c r="A3" s="3385" t="s">
        <v>1854</v>
      </c>
      <c r="B3" s="3383" t="s">
        <v>5081</v>
      </c>
      <c r="C3" s="3388" t="s">
        <v>5210</v>
      </c>
      <c r="D3" s="3389"/>
      <c r="E3" s="3390"/>
      <c r="F3" s="3388" t="s">
        <v>5211</v>
      </c>
      <c r="G3" s="3389"/>
      <c r="H3" s="3389"/>
      <c r="I3" s="3389"/>
      <c r="J3" s="3389"/>
      <c r="K3" s="3389"/>
      <c r="L3" s="3390"/>
      <c r="M3" s="3385" t="s">
        <v>5152</v>
      </c>
      <c r="N3" s="3385" t="s">
        <v>5153</v>
      </c>
    </row>
    <row r="4" spans="1:15" ht="39.75" customHeight="1">
      <c r="A4" s="3385"/>
      <c r="B4" s="3387"/>
      <c r="C4" s="1845" t="s">
        <v>1851</v>
      </c>
      <c r="D4" s="1845" t="s">
        <v>1852</v>
      </c>
      <c r="E4" s="1845" t="s">
        <v>5152</v>
      </c>
      <c r="F4" s="1845" t="s">
        <v>5212</v>
      </c>
      <c r="G4" s="1845" t="s">
        <v>5213</v>
      </c>
      <c r="H4" s="1845" t="s">
        <v>5214</v>
      </c>
      <c r="I4" s="1845" t="s">
        <v>5215</v>
      </c>
      <c r="J4" s="1845" t="s">
        <v>5216</v>
      </c>
      <c r="K4" s="1845" t="s">
        <v>5217</v>
      </c>
      <c r="L4" s="1845" t="s">
        <v>5152</v>
      </c>
      <c r="M4" s="3385"/>
      <c r="N4" s="3385"/>
    </row>
    <row r="5" spans="1:15" ht="14.25" customHeight="1">
      <c r="A5" s="3385"/>
      <c r="B5" s="3387"/>
      <c r="C5" s="1843">
        <v>1</v>
      </c>
      <c r="D5" s="1843">
        <v>2</v>
      </c>
      <c r="E5" s="1843" t="s">
        <v>5218</v>
      </c>
      <c r="F5" s="1843">
        <v>4</v>
      </c>
      <c r="G5" s="1843">
        <v>5</v>
      </c>
      <c r="H5" s="1843">
        <v>6</v>
      </c>
      <c r="I5" s="1843">
        <v>7</v>
      </c>
      <c r="J5" s="1845" t="s">
        <v>5219</v>
      </c>
      <c r="K5" s="1845" t="s">
        <v>5220</v>
      </c>
      <c r="L5" s="1845" t="s">
        <v>5221</v>
      </c>
      <c r="M5" s="1843" t="s">
        <v>5222</v>
      </c>
      <c r="N5" s="1970"/>
    </row>
    <row r="6" spans="1:15" ht="14.25" customHeight="1">
      <c r="A6" s="1842">
        <v>1</v>
      </c>
      <c r="B6" s="1819" t="s">
        <v>5223</v>
      </c>
      <c r="C6" s="2074">
        <f>投资收益审核表!C6</f>
        <v>0</v>
      </c>
      <c r="D6" s="2074">
        <f>投资收益审核表!D6</f>
        <v>0</v>
      </c>
      <c r="E6" s="2074">
        <f>投资收益审核表!E6</f>
        <v>0</v>
      </c>
      <c r="F6" s="2074">
        <f>投资收益审核表!F6</f>
        <v>0</v>
      </c>
      <c r="G6" s="2074">
        <f>投资收益审核表!G6</f>
        <v>0</v>
      </c>
      <c r="H6" s="2074">
        <f>投资收益审核表!H6</f>
        <v>0</v>
      </c>
      <c r="I6" s="2074">
        <f>投资收益审核表!I6</f>
        <v>0</v>
      </c>
      <c r="J6" s="2074">
        <f>投资收益审核表!J6</f>
        <v>0</v>
      </c>
      <c r="K6" s="2074">
        <f>投资收益审核表!K6</f>
        <v>0</v>
      </c>
      <c r="L6" s="2074">
        <f>投资收益审核表!L6</f>
        <v>0</v>
      </c>
      <c r="M6" s="2074">
        <f>投资收益审核表!M6</f>
        <v>0</v>
      </c>
      <c r="N6" s="1970"/>
    </row>
    <row r="7" spans="1:15" ht="14.25" customHeight="1">
      <c r="A7" s="1842">
        <v>2</v>
      </c>
      <c r="B7" s="1820" t="s">
        <v>5224</v>
      </c>
      <c r="C7" s="2074">
        <f>投资收益审核表!C7</f>
        <v>0</v>
      </c>
      <c r="D7" s="2074">
        <f>投资收益审核表!D7</f>
        <v>0</v>
      </c>
      <c r="E7" s="2074">
        <f>投资收益审核表!E7</f>
        <v>0</v>
      </c>
      <c r="F7" s="2074">
        <f>投资收益审核表!F7</f>
        <v>0</v>
      </c>
      <c r="G7" s="2074">
        <f>投资收益审核表!G7</f>
        <v>0</v>
      </c>
      <c r="H7" s="2074">
        <f>投资收益审核表!H7</f>
        <v>0</v>
      </c>
      <c r="I7" s="2074">
        <f>投资收益审核表!I7</f>
        <v>0</v>
      </c>
      <c r="J7" s="2074">
        <f>投资收益审核表!J7</f>
        <v>0</v>
      </c>
      <c r="K7" s="2074">
        <f>投资收益审核表!K7</f>
        <v>0</v>
      </c>
      <c r="L7" s="2074">
        <f>投资收益审核表!L7</f>
        <v>0</v>
      </c>
      <c r="M7" s="2074">
        <f>投资收益审核表!M7</f>
        <v>0</v>
      </c>
      <c r="N7" s="1970"/>
    </row>
    <row r="8" spans="1:15" ht="14.25" customHeight="1">
      <c r="A8" s="1842">
        <v>3</v>
      </c>
      <c r="B8" s="1821" t="s">
        <v>5225</v>
      </c>
      <c r="C8" s="2074">
        <f>投资收益审核表!C8</f>
        <v>0</v>
      </c>
      <c r="D8" s="2074">
        <f>投资收益审核表!D8</f>
        <v>0</v>
      </c>
      <c r="E8" s="2074">
        <f>投资收益审核表!E8</f>
        <v>0</v>
      </c>
      <c r="F8" s="2074">
        <f>投资收益审核表!F8</f>
        <v>0</v>
      </c>
      <c r="G8" s="2074">
        <f>投资收益审核表!G8</f>
        <v>0</v>
      </c>
      <c r="H8" s="2074">
        <f>投资收益审核表!H8</f>
        <v>0</v>
      </c>
      <c r="I8" s="2074">
        <f>投资收益审核表!I8</f>
        <v>0</v>
      </c>
      <c r="J8" s="2074">
        <f>投资收益审核表!J8</f>
        <v>0</v>
      </c>
      <c r="K8" s="2074">
        <f>投资收益审核表!K8</f>
        <v>0</v>
      </c>
      <c r="L8" s="2074">
        <f>投资收益审核表!L8</f>
        <v>0</v>
      </c>
      <c r="M8" s="2074">
        <f>投资收益审核表!M8</f>
        <v>0</v>
      </c>
      <c r="N8" s="1970"/>
    </row>
    <row r="9" spans="1:15" ht="14.25" customHeight="1">
      <c r="A9" s="1842">
        <v>4</v>
      </c>
      <c r="B9" s="1820" t="s">
        <v>5226</v>
      </c>
      <c r="C9" s="2074">
        <f>投资收益审核表!C9</f>
        <v>0</v>
      </c>
      <c r="D9" s="2074">
        <f>投资收益审核表!D9</f>
        <v>0</v>
      </c>
      <c r="E9" s="2074">
        <f>投资收益审核表!E9</f>
        <v>0</v>
      </c>
      <c r="F9" s="2074">
        <f>投资收益审核表!F9</f>
        <v>0</v>
      </c>
      <c r="G9" s="2074">
        <f>投资收益审核表!G9</f>
        <v>0</v>
      </c>
      <c r="H9" s="2074">
        <f>投资收益审核表!H9</f>
        <v>0</v>
      </c>
      <c r="I9" s="2074">
        <f>投资收益审核表!I9</f>
        <v>0</v>
      </c>
      <c r="J9" s="2074">
        <f>投资收益审核表!J9</f>
        <v>0</v>
      </c>
      <c r="K9" s="2074">
        <f>投资收益审核表!K9</f>
        <v>0</v>
      </c>
      <c r="L9" s="2074">
        <f>投资收益审核表!L9</f>
        <v>0</v>
      </c>
      <c r="M9" s="2074">
        <f>投资收益审核表!M9</f>
        <v>0</v>
      </c>
      <c r="N9" s="1970"/>
    </row>
    <row r="10" spans="1:15" ht="14.25" customHeight="1">
      <c r="A10" s="1842">
        <v>5</v>
      </c>
      <c r="B10" s="1820" t="s">
        <v>5227</v>
      </c>
      <c r="C10" s="2074">
        <f>投资收益审核表!C10</f>
        <v>0</v>
      </c>
      <c r="D10" s="2074">
        <f>投资收益审核表!D10</f>
        <v>0</v>
      </c>
      <c r="E10" s="2074">
        <f>投资收益审核表!E10</f>
        <v>0</v>
      </c>
      <c r="F10" s="2074">
        <f>投资收益审核表!F10</f>
        <v>0</v>
      </c>
      <c r="G10" s="2074">
        <f>投资收益审核表!G10</f>
        <v>0</v>
      </c>
      <c r="H10" s="2074">
        <f>投资收益审核表!H10</f>
        <v>0</v>
      </c>
      <c r="I10" s="2074">
        <f>投资收益审核表!I10</f>
        <v>0</v>
      </c>
      <c r="J10" s="2074">
        <f>投资收益审核表!J10</f>
        <v>0</v>
      </c>
      <c r="K10" s="2074">
        <f>投资收益审核表!K10</f>
        <v>0</v>
      </c>
      <c r="L10" s="2074">
        <f>投资收益审核表!L10</f>
        <v>0</v>
      </c>
      <c r="M10" s="2074">
        <f>投资收益审核表!M10</f>
        <v>0</v>
      </c>
      <c r="N10" s="1970"/>
    </row>
    <row r="11" spans="1:15" ht="14.25" customHeight="1">
      <c r="A11" s="1842">
        <v>6</v>
      </c>
      <c r="B11" s="1821" t="s">
        <v>5228</v>
      </c>
      <c r="C11" s="2074">
        <f>投资收益审核表!C11</f>
        <v>0</v>
      </c>
      <c r="D11" s="2074">
        <f>投资收益审核表!D11</f>
        <v>0</v>
      </c>
      <c r="E11" s="2074">
        <f>投资收益审核表!E11</f>
        <v>0</v>
      </c>
      <c r="F11" s="2074">
        <f>投资收益审核表!F11</f>
        <v>0</v>
      </c>
      <c r="G11" s="2074">
        <f>投资收益审核表!G11</f>
        <v>0</v>
      </c>
      <c r="H11" s="2074">
        <f>投资收益审核表!H11</f>
        <v>0</v>
      </c>
      <c r="I11" s="2074">
        <f>投资收益审核表!I11</f>
        <v>0</v>
      </c>
      <c r="J11" s="2074">
        <f>投资收益审核表!J11</f>
        <v>0</v>
      </c>
      <c r="K11" s="2074">
        <f>投资收益审核表!K11</f>
        <v>0</v>
      </c>
      <c r="L11" s="2074">
        <f>投资收益审核表!L11</f>
        <v>0</v>
      </c>
      <c r="M11" s="2074">
        <f>投资收益审核表!M11</f>
        <v>0</v>
      </c>
      <c r="N11" s="1970"/>
    </row>
    <row r="12" spans="1:15" ht="14.25" customHeight="1">
      <c r="A12" s="1842">
        <v>7</v>
      </c>
      <c r="B12" s="1821" t="s">
        <v>5229</v>
      </c>
      <c r="C12" s="2074">
        <f>投资收益审核表!C12</f>
        <v>0</v>
      </c>
      <c r="D12" s="2074">
        <f>投资收益审核表!D12</f>
        <v>0</v>
      </c>
      <c r="E12" s="2074">
        <f>投资收益审核表!E12</f>
        <v>0</v>
      </c>
      <c r="F12" s="2074">
        <f>投资收益审核表!F12</f>
        <v>0</v>
      </c>
      <c r="G12" s="2074">
        <f>投资收益审核表!G12</f>
        <v>0</v>
      </c>
      <c r="H12" s="2074">
        <f>投资收益审核表!H12</f>
        <v>0</v>
      </c>
      <c r="I12" s="2074">
        <f>投资收益审核表!I12</f>
        <v>0</v>
      </c>
      <c r="J12" s="2074">
        <f>投资收益审核表!J12</f>
        <v>0</v>
      </c>
      <c r="K12" s="2074">
        <f>投资收益审核表!K12</f>
        <v>0</v>
      </c>
      <c r="L12" s="2074">
        <f>投资收益审核表!L12</f>
        <v>0</v>
      </c>
      <c r="M12" s="2074">
        <f>投资收益审核表!M12</f>
        <v>0</v>
      </c>
      <c r="N12" s="1970"/>
    </row>
    <row r="13" spans="1:15" ht="14.25" customHeight="1">
      <c r="A13" s="1842">
        <v>8</v>
      </c>
      <c r="B13" s="1821" t="s">
        <v>5230</v>
      </c>
      <c r="C13" s="2074">
        <f>投资收益审核表!C13</f>
        <v>0</v>
      </c>
      <c r="D13" s="2074">
        <f>投资收益审核表!D13</f>
        <v>0</v>
      </c>
      <c r="E13" s="2074">
        <f>投资收益审核表!E13</f>
        <v>0</v>
      </c>
      <c r="F13" s="2074">
        <f>投资收益审核表!F13</f>
        <v>0</v>
      </c>
      <c r="G13" s="2074">
        <f>投资收益审核表!G13</f>
        <v>0</v>
      </c>
      <c r="H13" s="2074">
        <f>投资收益审核表!H13</f>
        <v>0</v>
      </c>
      <c r="I13" s="2074">
        <f>投资收益审核表!I13</f>
        <v>0</v>
      </c>
      <c r="J13" s="2074">
        <f>投资收益审核表!J13</f>
        <v>0</v>
      </c>
      <c r="K13" s="2074">
        <f>投资收益审核表!K13</f>
        <v>0</v>
      </c>
      <c r="L13" s="2074">
        <f>投资收益审核表!L13</f>
        <v>0</v>
      </c>
      <c r="M13" s="2074">
        <f>投资收益审核表!M13</f>
        <v>0</v>
      </c>
      <c r="N13" s="1970"/>
      <c r="O13" s="1675" t="s">
        <v>6440</v>
      </c>
    </row>
    <row r="14" spans="1:15" ht="14.25" customHeight="1">
      <c r="A14" s="1842">
        <v>9</v>
      </c>
      <c r="B14" s="1820" t="s">
        <v>5231</v>
      </c>
      <c r="C14" s="2074">
        <f>投资收益审核表!C14</f>
        <v>0</v>
      </c>
      <c r="D14" s="2074">
        <f>投资收益审核表!D14</f>
        <v>0</v>
      </c>
      <c r="E14" s="2074">
        <f>投资收益审核表!E14</f>
        <v>0</v>
      </c>
      <c r="F14" s="2074">
        <f>投资收益审核表!F14</f>
        <v>0</v>
      </c>
      <c r="G14" s="2074">
        <f>投资收益审核表!G14</f>
        <v>0</v>
      </c>
      <c r="H14" s="2074">
        <f>投资收益审核表!H14</f>
        <v>0</v>
      </c>
      <c r="I14" s="2074">
        <f>投资收益审核表!I14</f>
        <v>0</v>
      </c>
      <c r="J14" s="2074">
        <f>投资收益审核表!J14</f>
        <v>0</v>
      </c>
      <c r="K14" s="2074">
        <f>投资收益审核表!K14</f>
        <v>0</v>
      </c>
      <c r="L14" s="2074">
        <f>投资收益审核表!L14</f>
        <v>0</v>
      </c>
      <c r="M14" s="2074">
        <f>投资收益审核表!M14</f>
        <v>0</v>
      </c>
      <c r="N14" s="1970"/>
    </row>
    <row r="15" spans="1:15" ht="129" customHeight="1">
      <c r="A15" s="1842">
        <v>10</v>
      </c>
      <c r="B15" s="1822" t="s">
        <v>5232</v>
      </c>
      <c r="C15" s="2074">
        <f>投资收益审核表!C15</f>
        <v>0</v>
      </c>
      <c r="D15" s="2074">
        <f>投资收益审核表!D15</f>
        <v>0</v>
      </c>
      <c r="E15" s="2074">
        <f>投资收益审核表!E15</f>
        <v>0</v>
      </c>
      <c r="F15" s="2074">
        <f>投资收益审核表!F15</f>
        <v>0</v>
      </c>
      <c r="G15" s="2074">
        <f>投资收益审核表!G15</f>
        <v>0</v>
      </c>
      <c r="H15" s="2074">
        <f>投资收益审核表!H15</f>
        <v>0</v>
      </c>
      <c r="I15" s="2074">
        <f>投资收益审核表!I15</f>
        <v>0</v>
      </c>
      <c r="J15" s="2074">
        <f>投资收益审核表!J15</f>
        <v>0</v>
      </c>
      <c r="K15" s="2074">
        <f>投资收益审核表!K15</f>
        <v>0</v>
      </c>
      <c r="L15" s="2074">
        <f>投资收益审核表!L15</f>
        <v>0</v>
      </c>
      <c r="M15" s="2074">
        <f>投资收益审核表!M15</f>
        <v>0</v>
      </c>
      <c r="N15" s="1821" t="s">
        <v>5233</v>
      </c>
    </row>
  </sheetData>
  <mergeCells count="8">
    <mergeCell ref="N3:N4"/>
    <mergeCell ref="A1:M1"/>
    <mergeCell ref="A2:M2"/>
    <mergeCell ref="A3:A5"/>
    <mergeCell ref="B3:B5"/>
    <mergeCell ref="C3:E3"/>
    <mergeCell ref="F3:L3"/>
    <mergeCell ref="M3:M4"/>
  </mergeCells>
  <phoneticPr fontId="51" type="noConversion"/>
  <hyperlinks>
    <hyperlink ref="O13" location="投资收益审核表!A1" display="投资收益审核表!A1"/>
  </hyperlinks>
  <printOptions horizontalCentered="1"/>
  <pageMargins left="0.78740157480314998" right="0.35433070866141703" top="0.511811023622047" bottom="0.11811023622047198" header="0.511811023622047" footer="0.511811023622047"/>
  <pageSetup paperSize="9" orientation="landscape" r:id="rId1"/>
  <headerFooter alignWithMargins="0"/>
</worksheet>
</file>

<file path=xl/worksheets/sheet1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27">
    <tabColor rgb="FFFFFF00"/>
  </sheetPr>
  <dimension ref="A1:R13"/>
  <sheetViews>
    <sheetView workbookViewId="0">
      <selection activeCell="A2" sqref="A2:P2"/>
    </sheetView>
  </sheetViews>
  <sheetFormatPr defaultRowHeight="15.6"/>
  <cols>
    <col min="1" max="1" width="4.3984375" style="1559" customWidth="1"/>
    <col min="2" max="2" width="8" style="1559" customWidth="1"/>
    <col min="3" max="3" width="4.8984375" style="1559" customWidth="1"/>
    <col min="4" max="16" width="8.69921875" style="1559" customWidth="1"/>
    <col min="17" max="17" width="5.3984375" style="1558" customWidth="1"/>
    <col min="18" max="18" width="35.19921875" style="1558" customWidth="1"/>
    <col min="19" max="256" width="9" style="1558"/>
    <col min="257" max="257" width="4.3984375" style="1558" customWidth="1"/>
    <col min="258" max="258" width="19" style="1558" customWidth="1"/>
    <col min="259" max="259" width="6.5" style="1558" customWidth="1"/>
    <col min="260" max="260" width="6" style="1558" customWidth="1"/>
    <col min="261" max="261" width="6.8984375" style="1558" customWidth="1"/>
    <col min="262" max="266" width="7.69921875" style="1558" customWidth="1"/>
    <col min="267" max="267" width="6.69921875" style="1558" customWidth="1"/>
    <col min="268" max="268" width="5.09765625" style="1558" customWidth="1"/>
    <col min="269" max="269" width="7.69921875" style="1558" customWidth="1"/>
    <col min="270" max="270" width="4.3984375" style="1558" customWidth="1"/>
    <col min="271" max="272" width="6.59765625" style="1558" customWidth="1"/>
    <col min="273" max="273" width="14" style="1558" customWidth="1"/>
    <col min="274" max="274" width="35.19921875" style="1558" customWidth="1"/>
    <col min="275" max="512" width="9" style="1558"/>
    <col min="513" max="513" width="4.3984375" style="1558" customWidth="1"/>
    <col min="514" max="514" width="19" style="1558" customWidth="1"/>
    <col min="515" max="515" width="6.5" style="1558" customWidth="1"/>
    <col min="516" max="516" width="6" style="1558" customWidth="1"/>
    <col min="517" max="517" width="6.8984375" style="1558" customWidth="1"/>
    <col min="518" max="522" width="7.69921875" style="1558" customWidth="1"/>
    <col min="523" max="523" width="6.69921875" style="1558" customWidth="1"/>
    <col min="524" max="524" width="5.09765625" style="1558" customWidth="1"/>
    <col min="525" max="525" width="7.69921875" style="1558" customWidth="1"/>
    <col min="526" max="526" width="4.3984375" style="1558" customWidth="1"/>
    <col min="527" max="528" width="6.59765625" style="1558" customWidth="1"/>
    <col min="529" max="529" width="14" style="1558" customWidth="1"/>
    <col min="530" max="530" width="35.19921875" style="1558" customWidth="1"/>
    <col min="531" max="768" width="9" style="1558"/>
    <col min="769" max="769" width="4.3984375" style="1558" customWidth="1"/>
    <col min="770" max="770" width="19" style="1558" customWidth="1"/>
    <col min="771" max="771" width="6.5" style="1558" customWidth="1"/>
    <col min="772" max="772" width="6" style="1558" customWidth="1"/>
    <col min="773" max="773" width="6.8984375" style="1558" customWidth="1"/>
    <col min="774" max="778" width="7.69921875" style="1558" customWidth="1"/>
    <col min="779" max="779" width="6.69921875" style="1558" customWidth="1"/>
    <col min="780" max="780" width="5.09765625" style="1558" customWidth="1"/>
    <col min="781" max="781" width="7.69921875" style="1558" customWidth="1"/>
    <col min="782" max="782" width="4.3984375" style="1558" customWidth="1"/>
    <col min="783" max="784" width="6.59765625" style="1558" customWidth="1"/>
    <col min="785" max="785" width="14" style="1558" customWidth="1"/>
    <col min="786" max="786" width="35.19921875" style="1558" customWidth="1"/>
    <col min="787" max="1024" width="9" style="1558"/>
    <col min="1025" max="1025" width="4.3984375" style="1558" customWidth="1"/>
    <col min="1026" max="1026" width="19" style="1558" customWidth="1"/>
    <col min="1027" max="1027" width="6.5" style="1558" customWidth="1"/>
    <col min="1028" max="1028" width="6" style="1558" customWidth="1"/>
    <col min="1029" max="1029" width="6.8984375" style="1558" customWidth="1"/>
    <col min="1030" max="1034" width="7.69921875" style="1558" customWidth="1"/>
    <col min="1035" max="1035" width="6.69921875" style="1558" customWidth="1"/>
    <col min="1036" max="1036" width="5.09765625" style="1558" customWidth="1"/>
    <col min="1037" max="1037" width="7.69921875" style="1558" customWidth="1"/>
    <col min="1038" max="1038" width="4.3984375" style="1558" customWidth="1"/>
    <col min="1039" max="1040" width="6.59765625" style="1558" customWidth="1"/>
    <col min="1041" max="1041" width="14" style="1558" customWidth="1"/>
    <col min="1042" max="1042" width="35.19921875" style="1558" customWidth="1"/>
    <col min="1043" max="1280" width="9" style="1558"/>
    <col min="1281" max="1281" width="4.3984375" style="1558" customWidth="1"/>
    <col min="1282" max="1282" width="19" style="1558" customWidth="1"/>
    <col min="1283" max="1283" width="6.5" style="1558" customWidth="1"/>
    <col min="1284" max="1284" width="6" style="1558" customWidth="1"/>
    <col min="1285" max="1285" width="6.8984375" style="1558" customWidth="1"/>
    <col min="1286" max="1290" width="7.69921875" style="1558" customWidth="1"/>
    <col min="1291" max="1291" width="6.69921875" style="1558" customWidth="1"/>
    <col min="1292" max="1292" width="5.09765625" style="1558" customWidth="1"/>
    <col min="1293" max="1293" width="7.69921875" style="1558" customWidth="1"/>
    <col min="1294" max="1294" width="4.3984375" style="1558" customWidth="1"/>
    <col min="1295" max="1296" width="6.59765625" style="1558" customWidth="1"/>
    <col min="1297" max="1297" width="14" style="1558" customWidth="1"/>
    <col min="1298" max="1298" width="35.19921875" style="1558" customWidth="1"/>
    <col min="1299" max="1536" width="9" style="1558"/>
    <col min="1537" max="1537" width="4.3984375" style="1558" customWidth="1"/>
    <col min="1538" max="1538" width="19" style="1558" customWidth="1"/>
    <col min="1539" max="1539" width="6.5" style="1558" customWidth="1"/>
    <col min="1540" max="1540" width="6" style="1558" customWidth="1"/>
    <col min="1541" max="1541" width="6.8984375" style="1558" customWidth="1"/>
    <col min="1542" max="1546" width="7.69921875" style="1558" customWidth="1"/>
    <col min="1547" max="1547" width="6.69921875" style="1558" customWidth="1"/>
    <col min="1548" max="1548" width="5.09765625" style="1558" customWidth="1"/>
    <col min="1549" max="1549" width="7.69921875" style="1558" customWidth="1"/>
    <col min="1550" max="1550" width="4.3984375" style="1558" customWidth="1"/>
    <col min="1551" max="1552" width="6.59765625" style="1558" customWidth="1"/>
    <col min="1553" max="1553" width="14" style="1558" customWidth="1"/>
    <col min="1554" max="1554" width="35.19921875" style="1558" customWidth="1"/>
    <col min="1555" max="1792" width="9" style="1558"/>
    <col min="1793" max="1793" width="4.3984375" style="1558" customWidth="1"/>
    <col min="1794" max="1794" width="19" style="1558" customWidth="1"/>
    <col min="1795" max="1795" width="6.5" style="1558" customWidth="1"/>
    <col min="1796" max="1796" width="6" style="1558" customWidth="1"/>
    <col min="1797" max="1797" width="6.8984375" style="1558" customWidth="1"/>
    <col min="1798" max="1802" width="7.69921875" style="1558" customWidth="1"/>
    <col min="1803" max="1803" width="6.69921875" style="1558" customWidth="1"/>
    <col min="1804" max="1804" width="5.09765625" style="1558" customWidth="1"/>
    <col min="1805" max="1805" width="7.69921875" style="1558" customWidth="1"/>
    <col min="1806" max="1806" width="4.3984375" style="1558" customWidth="1"/>
    <col min="1807" max="1808" width="6.59765625" style="1558" customWidth="1"/>
    <col min="1809" max="1809" width="14" style="1558" customWidth="1"/>
    <col min="1810" max="1810" width="35.19921875" style="1558" customWidth="1"/>
    <col min="1811" max="2048" width="9" style="1558"/>
    <col min="2049" max="2049" width="4.3984375" style="1558" customWidth="1"/>
    <col min="2050" max="2050" width="19" style="1558" customWidth="1"/>
    <col min="2051" max="2051" width="6.5" style="1558" customWidth="1"/>
    <col min="2052" max="2052" width="6" style="1558" customWidth="1"/>
    <col min="2053" max="2053" width="6.8984375" style="1558" customWidth="1"/>
    <col min="2054" max="2058" width="7.69921875" style="1558" customWidth="1"/>
    <col min="2059" max="2059" width="6.69921875" style="1558" customWidth="1"/>
    <col min="2060" max="2060" width="5.09765625" style="1558" customWidth="1"/>
    <col min="2061" max="2061" width="7.69921875" style="1558" customWidth="1"/>
    <col min="2062" max="2062" width="4.3984375" style="1558" customWidth="1"/>
    <col min="2063" max="2064" width="6.59765625" style="1558" customWidth="1"/>
    <col min="2065" max="2065" width="14" style="1558" customWidth="1"/>
    <col min="2066" max="2066" width="35.19921875" style="1558" customWidth="1"/>
    <col min="2067" max="2304" width="9" style="1558"/>
    <col min="2305" max="2305" width="4.3984375" style="1558" customWidth="1"/>
    <col min="2306" max="2306" width="19" style="1558" customWidth="1"/>
    <col min="2307" max="2307" width="6.5" style="1558" customWidth="1"/>
    <col min="2308" max="2308" width="6" style="1558" customWidth="1"/>
    <col min="2309" max="2309" width="6.8984375" style="1558" customWidth="1"/>
    <col min="2310" max="2314" width="7.69921875" style="1558" customWidth="1"/>
    <col min="2315" max="2315" width="6.69921875" style="1558" customWidth="1"/>
    <col min="2316" max="2316" width="5.09765625" style="1558" customWidth="1"/>
    <col min="2317" max="2317" width="7.69921875" style="1558" customWidth="1"/>
    <col min="2318" max="2318" width="4.3984375" style="1558" customWidth="1"/>
    <col min="2319" max="2320" width="6.59765625" style="1558" customWidth="1"/>
    <col min="2321" max="2321" width="14" style="1558" customWidth="1"/>
    <col min="2322" max="2322" width="35.19921875" style="1558" customWidth="1"/>
    <col min="2323" max="2560" width="9" style="1558"/>
    <col min="2561" max="2561" width="4.3984375" style="1558" customWidth="1"/>
    <col min="2562" max="2562" width="19" style="1558" customWidth="1"/>
    <col min="2563" max="2563" width="6.5" style="1558" customWidth="1"/>
    <col min="2564" max="2564" width="6" style="1558" customWidth="1"/>
    <col min="2565" max="2565" width="6.8984375" style="1558" customWidth="1"/>
    <col min="2566" max="2570" width="7.69921875" style="1558" customWidth="1"/>
    <col min="2571" max="2571" width="6.69921875" style="1558" customWidth="1"/>
    <col min="2572" max="2572" width="5.09765625" style="1558" customWidth="1"/>
    <col min="2573" max="2573" width="7.69921875" style="1558" customWidth="1"/>
    <col min="2574" max="2574" width="4.3984375" style="1558" customWidth="1"/>
    <col min="2575" max="2576" width="6.59765625" style="1558" customWidth="1"/>
    <col min="2577" max="2577" width="14" style="1558" customWidth="1"/>
    <col min="2578" max="2578" width="35.19921875" style="1558" customWidth="1"/>
    <col min="2579" max="2816" width="9" style="1558"/>
    <col min="2817" max="2817" width="4.3984375" style="1558" customWidth="1"/>
    <col min="2818" max="2818" width="19" style="1558" customWidth="1"/>
    <col min="2819" max="2819" width="6.5" style="1558" customWidth="1"/>
    <col min="2820" max="2820" width="6" style="1558" customWidth="1"/>
    <col min="2821" max="2821" width="6.8984375" style="1558" customWidth="1"/>
    <col min="2822" max="2826" width="7.69921875" style="1558" customWidth="1"/>
    <col min="2827" max="2827" width="6.69921875" style="1558" customWidth="1"/>
    <col min="2828" max="2828" width="5.09765625" style="1558" customWidth="1"/>
    <col min="2829" max="2829" width="7.69921875" style="1558" customWidth="1"/>
    <col min="2830" max="2830" width="4.3984375" style="1558" customWidth="1"/>
    <col min="2831" max="2832" width="6.59765625" style="1558" customWidth="1"/>
    <col min="2833" max="2833" width="14" style="1558" customWidth="1"/>
    <col min="2834" max="2834" width="35.19921875" style="1558" customWidth="1"/>
    <col min="2835" max="3072" width="9" style="1558"/>
    <col min="3073" max="3073" width="4.3984375" style="1558" customWidth="1"/>
    <col min="3074" max="3074" width="19" style="1558" customWidth="1"/>
    <col min="3075" max="3075" width="6.5" style="1558" customWidth="1"/>
    <col min="3076" max="3076" width="6" style="1558" customWidth="1"/>
    <col min="3077" max="3077" width="6.8984375" style="1558" customWidth="1"/>
    <col min="3078" max="3082" width="7.69921875" style="1558" customWidth="1"/>
    <col min="3083" max="3083" width="6.69921875" style="1558" customWidth="1"/>
    <col min="3084" max="3084" width="5.09765625" style="1558" customWidth="1"/>
    <col min="3085" max="3085" width="7.69921875" style="1558" customWidth="1"/>
    <col min="3086" max="3086" width="4.3984375" style="1558" customWidth="1"/>
    <col min="3087" max="3088" width="6.59765625" style="1558" customWidth="1"/>
    <col min="3089" max="3089" width="14" style="1558" customWidth="1"/>
    <col min="3090" max="3090" width="35.19921875" style="1558" customWidth="1"/>
    <col min="3091" max="3328" width="9" style="1558"/>
    <col min="3329" max="3329" width="4.3984375" style="1558" customWidth="1"/>
    <col min="3330" max="3330" width="19" style="1558" customWidth="1"/>
    <col min="3331" max="3331" width="6.5" style="1558" customWidth="1"/>
    <col min="3332" max="3332" width="6" style="1558" customWidth="1"/>
    <col min="3333" max="3333" width="6.8984375" style="1558" customWidth="1"/>
    <col min="3334" max="3338" width="7.69921875" style="1558" customWidth="1"/>
    <col min="3339" max="3339" width="6.69921875" style="1558" customWidth="1"/>
    <col min="3340" max="3340" width="5.09765625" style="1558" customWidth="1"/>
    <col min="3341" max="3341" width="7.69921875" style="1558" customWidth="1"/>
    <col min="3342" max="3342" width="4.3984375" style="1558" customWidth="1"/>
    <col min="3343" max="3344" width="6.59765625" style="1558" customWidth="1"/>
    <col min="3345" max="3345" width="14" style="1558" customWidth="1"/>
    <col min="3346" max="3346" width="35.19921875" style="1558" customWidth="1"/>
    <col min="3347" max="3584" width="9" style="1558"/>
    <col min="3585" max="3585" width="4.3984375" style="1558" customWidth="1"/>
    <col min="3586" max="3586" width="19" style="1558" customWidth="1"/>
    <col min="3587" max="3587" width="6.5" style="1558" customWidth="1"/>
    <col min="3588" max="3588" width="6" style="1558" customWidth="1"/>
    <col min="3589" max="3589" width="6.8984375" style="1558" customWidth="1"/>
    <col min="3590" max="3594" width="7.69921875" style="1558" customWidth="1"/>
    <col min="3595" max="3595" width="6.69921875" style="1558" customWidth="1"/>
    <col min="3596" max="3596" width="5.09765625" style="1558" customWidth="1"/>
    <col min="3597" max="3597" width="7.69921875" style="1558" customWidth="1"/>
    <col min="3598" max="3598" width="4.3984375" style="1558" customWidth="1"/>
    <col min="3599" max="3600" width="6.59765625" style="1558" customWidth="1"/>
    <col min="3601" max="3601" width="14" style="1558" customWidth="1"/>
    <col min="3602" max="3602" width="35.19921875" style="1558" customWidth="1"/>
    <col min="3603" max="3840" width="9" style="1558"/>
    <col min="3841" max="3841" width="4.3984375" style="1558" customWidth="1"/>
    <col min="3842" max="3842" width="19" style="1558" customWidth="1"/>
    <col min="3843" max="3843" width="6.5" style="1558" customWidth="1"/>
    <col min="3844" max="3844" width="6" style="1558" customWidth="1"/>
    <col min="3845" max="3845" width="6.8984375" style="1558" customWidth="1"/>
    <col min="3846" max="3850" width="7.69921875" style="1558" customWidth="1"/>
    <col min="3851" max="3851" width="6.69921875" style="1558" customWidth="1"/>
    <col min="3852" max="3852" width="5.09765625" style="1558" customWidth="1"/>
    <col min="3853" max="3853" width="7.69921875" style="1558" customWidth="1"/>
    <col min="3854" max="3854" width="4.3984375" style="1558" customWidth="1"/>
    <col min="3855" max="3856" width="6.59765625" style="1558" customWidth="1"/>
    <col min="3857" max="3857" width="14" style="1558" customWidth="1"/>
    <col min="3858" max="3858" width="35.19921875" style="1558" customWidth="1"/>
    <col min="3859" max="4096" width="9" style="1558"/>
    <col min="4097" max="4097" width="4.3984375" style="1558" customWidth="1"/>
    <col min="4098" max="4098" width="19" style="1558" customWidth="1"/>
    <col min="4099" max="4099" width="6.5" style="1558" customWidth="1"/>
    <col min="4100" max="4100" width="6" style="1558" customWidth="1"/>
    <col min="4101" max="4101" width="6.8984375" style="1558" customWidth="1"/>
    <col min="4102" max="4106" width="7.69921875" style="1558" customWidth="1"/>
    <col min="4107" max="4107" width="6.69921875" style="1558" customWidth="1"/>
    <col min="4108" max="4108" width="5.09765625" style="1558" customWidth="1"/>
    <col min="4109" max="4109" width="7.69921875" style="1558" customWidth="1"/>
    <col min="4110" max="4110" width="4.3984375" style="1558" customWidth="1"/>
    <col min="4111" max="4112" width="6.59765625" style="1558" customWidth="1"/>
    <col min="4113" max="4113" width="14" style="1558" customWidth="1"/>
    <col min="4114" max="4114" width="35.19921875" style="1558" customWidth="1"/>
    <col min="4115" max="4352" width="9" style="1558"/>
    <col min="4353" max="4353" width="4.3984375" style="1558" customWidth="1"/>
    <col min="4354" max="4354" width="19" style="1558" customWidth="1"/>
    <col min="4355" max="4355" width="6.5" style="1558" customWidth="1"/>
    <col min="4356" max="4356" width="6" style="1558" customWidth="1"/>
    <col min="4357" max="4357" width="6.8984375" style="1558" customWidth="1"/>
    <col min="4358" max="4362" width="7.69921875" style="1558" customWidth="1"/>
    <col min="4363" max="4363" width="6.69921875" style="1558" customWidth="1"/>
    <col min="4364" max="4364" width="5.09765625" style="1558" customWidth="1"/>
    <col min="4365" max="4365" width="7.69921875" style="1558" customWidth="1"/>
    <col min="4366" max="4366" width="4.3984375" style="1558" customWidth="1"/>
    <col min="4367" max="4368" width="6.59765625" style="1558" customWidth="1"/>
    <col min="4369" max="4369" width="14" style="1558" customWidth="1"/>
    <col min="4370" max="4370" width="35.19921875" style="1558" customWidth="1"/>
    <col min="4371" max="4608" width="9" style="1558"/>
    <col min="4609" max="4609" width="4.3984375" style="1558" customWidth="1"/>
    <col min="4610" max="4610" width="19" style="1558" customWidth="1"/>
    <col min="4611" max="4611" width="6.5" style="1558" customWidth="1"/>
    <col min="4612" max="4612" width="6" style="1558" customWidth="1"/>
    <col min="4613" max="4613" width="6.8984375" style="1558" customWidth="1"/>
    <col min="4614" max="4618" width="7.69921875" style="1558" customWidth="1"/>
    <col min="4619" max="4619" width="6.69921875" style="1558" customWidth="1"/>
    <col min="4620" max="4620" width="5.09765625" style="1558" customWidth="1"/>
    <col min="4621" max="4621" width="7.69921875" style="1558" customWidth="1"/>
    <col min="4622" max="4622" width="4.3984375" style="1558" customWidth="1"/>
    <col min="4623" max="4624" width="6.59765625" style="1558" customWidth="1"/>
    <col min="4625" max="4625" width="14" style="1558" customWidth="1"/>
    <col min="4626" max="4626" width="35.19921875" style="1558" customWidth="1"/>
    <col min="4627" max="4864" width="9" style="1558"/>
    <col min="4865" max="4865" width="4.3984375" style="1558" customWidth="1"/>
    <col min="4866" max="4866" width="19" style="1558" customWidth="1"/>
    <col min="4867" max="4867" width="6.5" style="1558" customWidth="1"/>
    <col min="4868" max="4868" width="6" style="1558" customWidth="1"/>
    <col min="4869" max="4869" width="6.8984375" style="1558" customWidth="1"/>
    <col min="4870" max="4874" width="7.69921875" style="1558" customWidth="1"/>
    <col min="4875" max="4875" width="6.69921875" style="1558" customWidth="1"/>
    <col min="4876" max="4876" width="5.09765625" style="1558" customWidth="1"/>
    <col min="4877" max="4877" width="7.69921875" style="1558" customWidth="1"/>
    <col min="4878" max="4878" width="4.3984375" style="1558" customWidth="1"/>
    <col min="4879" max="4880" width="6.59765625" style="1558" customWidth="1"/>
    <col min="4881" max="4881" width="14" style="1558" customWidth="1"/>
    <col min="4882" max="4882" width="35.19921875" style="1558" customWidth="1"/>
    <col min="4883" max="5120" width="9" style="1558"/>
    <col min="5121" max="5121" width="4.3984375" style="1558" customWidth="1"/>
    <col min="5122" max="5122" width="19" style="1558" customWidth="1"/>
    <col min="5123" max="5123" width="6.5" style="1558" customWidth="1"/>
    <col min="5124" max="5124" width="6" style="1558" customWidth="1"/>
    <col min="5125" max="5125" width="6.8984375" style="1558" customWidth="1"/>
    <col min="5126" max="5130" width="7.69921875" style="1558" customWidth="1"/>
    <col min="5131" max="5131" width="6.69921875" style="1558" customWidth="1"/>
    <col min="5132" max="5132" width="5.09765625" style="1558" customWidth="1"/>
    <col min="5133" max="5133" width="7.69921875" style="1558" customWidth="1"/>
    <col min="5134" max="5134" width="4.3984375" style="1558" customWidth="1"/>
    <col min="5135" max="5136" width="6.59765625" style="1558" customWidth="1"/>
    <col min="5137" max="5137" width="14" style="1558" customWidth="1"/>
    <col min="5138" max="5138" width="35.19921875" style="1558" customWidth="1"/>
    <col min="5139" max="5376" width="9" style="1558"/>
    <col min="5377" max="5377" width="4.3984375" style="1558" customWidth="1"/>
    <col min="5378" max="5378" width="19" style="1558" customWidth="1"/>
    <col min="5379" max="5379" width="6.5" style="1558" customWidth="1"/>
    <col min="5380" max="5380" width="6" style="1558" customWidth="1"/>
    <col min="5381" max="5381" width="6.8984375" style="1558" customWidth="1"/>
    <col min="5382" max="5386" width="7.69921875" style="1558" customWidth="1"/>
    <col min="5387" max="5387" width="6.69921875" style="1558" customWidth="1"/>
    <col min="5388" max="5388" width="5.09765625" style="1558" customWidth="1"/>
    <col min="5389" max="5389" width="7.69921875" style="1558" customWidth="1"/>
    <col min="5390" max="5390" width="4.3984375" style="1558" customWidth="1"/>
    <col min="5391" max="5392" width="6.59765625" style="1558" customWidth="1"/>
    <col min="5393" max="5393" width="14" style="1558" customWidth="1"/>
    <col min="5394" max="5394" width="35.19921875" style="1558" customWidth="1"/>
    <col min="5395" max="5632" width="9" style="1558"/>
    <col min="5633" max="5633" width="4.3984375" style="1558" customWidth="1"/>
    <col min="5634" max="5634" width="19" style="1558" customWidth="1"/>
    <col min="5635" max="5635" width="6.5" style="1558" customWidth="1"/>
    <col min="5636" max="5636" width="6" style="1558" customWidth="1"/>
    <col min="5637" max="5637" width="6.8984375" style="1558" customWidth="1"/>
    <col min="5638" max="5642" width="7.69921875" style="1558" customWidth="1"/>
    <col min="5643" max="5643" width="6.69921875" style="1558" customWidth="1"/>
    <col min="5644" max="5644" width="5.09765625" style="1558" customWidth="1"/>
    <col min="5645" max="5645" width="7.69921875" style="1558" customWidth="1"/>
    <col min="5646" max="5646" width="4.3984375" style="1558" customWidth="1"/>
    <col min="5647" max="5648" width="6.59765625" style="1558" customWidth="1"/>
    <col min="5649" max="5649" width="14" style="1558" customWidth="1"/>
    <col min="5650" max="5650" width="35.19921875" style="1558" customWidth="1"/>
    <col min="5651" max="5888" width="9" style="1558"/>
    <col min="5889" max="5889" width="4.3984375" style="1558" customWidth="1"/>
    <col min="5890" max="5890" width="19" style="1558" customWidth="1"/>
    <col min="5891" max="5891" width="6.5" style="1558" customWidth="1"/>
    <col min="5892" max="5892" width="6" style="1558" customWidth="1"/>
    <col min="5893" max="5893" width="6.8984375" style="1558" customWidth="1"/>
    <col min="5894" max="5898" width="7.69921875" style="1558" customWidth="1"/>
    <col min="5899" max="5899" width="6.69921875" style="1558" customWidth="1"/>
    <col min="5900" max="5900" width="5.09765625" style="1558" customWidth="1"/>
    <col min="5901" max="5901" width="7.69921875" style="1558" customWidth="1"/>
    <col min="5902" max="5902" width="4.3984375" style="1558" customWidth="1"/>
    <col min="5903" max="5904" width="6.59765625" style="1558" customWidth="1"/>
    <col min="5905" max="5905" width="14" style="1558" customWidth="1"/>
    <col min="5906" max="5906" width="35.19921875" style="1558" customWidth="1"/>
    <col min="5907" max="6144" width="9" style="1558"/>
    <col min="6145" max="6145" width="4.3984375" style="1558" customWidth="1"/>
    <col min="6146" max="6146" width="19" style="1558" customWidth="1"/>
    <col min="6147" max="6147" width="6.5" style="1558" customWidth="1"/>
    <col min="6148" max="6148" width="6" style="1558" customWidth="1"/>
    <col min="6149" max="6149" width="6.8984375" style="1558" customWidth="1"/>
    <col min="6150" max="6154" width="7.69921875" style="1558" customWidth="1"/>
    <col min="6155" max="6155" width="6.69921875" style="1558" customWidth="1"/>
    <col min="6156" max="6156" width="5.09765625" style="1558" customWidth="1"/>
    <col min="6157" max="6157" width="7.69921875" style="1558" customWidth="1"/>
    <col min="6158" max="6158" width="4.3984375" style="1558" customWidth="1"/>
    <col min="6159" max="6160" width="6.59765625" style="1558" customWidth="1"/>
    <col min="6161" max="6161" width="14" style="1558" customWidth="1"/>
    <col min="6162" max="6162" width="35.19921875" style="1558" customWidth="1"/>
    <col min="6163" max="6400" width="9" style="1558"/>
    <col min="6401" max="6401" width="4.3984375" style="1558" customWidth="1"/>
    <col min="6402" max="6402" width="19" style="1558" customWidth="1"/>
    <col min="6403" max="6403" width="6.5" style="1558" customWidth="1"/>
    <col min="6404" max="6404" width="6" style="1558" customWidth="1"/>
    <col min="6405" max="6405" width="6.8984375" style="1558" customWidth="1"/>
    <col min="6406" max="6410" width="7.69921875" style="1558" customWidth="1"/>
    <col min="6411" max="6411" width="6.69921875" style="1558" customWidth="1"/>
    <col min="6412" max="6412" width="5.09765625" style="1558" customWidth="1"/>
    <col min="6413" max="6413" width="7.69921875" style="1558" customWidth="1"/>
    <col min="6414" max="6414" width="4.3984375" style="1558" customWidth="1"/>
    <col min="6415" max="6416" width="6.59765625" style="1558" customWidth="1"/>
    <col min="6417" max="6417" width="14" style="1558" customWidth="1"/>
    <col min="6418" max="6418" width="35.19921875" style="1558" customWidth="1"/>
    <col min="6419" max="6656" width="9" style="1558"/>
    <col min="6657" max="6657" width="4.3984375" style="1558" customWidth="1"/>
    <col min="6658" max="6658" width="19" style="1558" customWidth="1"/>
    <col min="6659" max="6659" width="6.5" style="1558" customWidth="1"/>
    <col min="6660" max="6660" width="6" style="1558" customWidth="1"/>
    <col min="6661" max="6661" width="6.8984375" style="1558" customWidth="1"/>
    <col min="6662" max="6666" width="7.69921875" style="1558" customWidth="1"/>
    <col min="6667" max="6667" width="6.69921875" style="1558" customWidth="1"/>
    <col min="6668" max="6668" width="5.09765625" style="1558" customWidth="1"/>
    <col min="6669" max="6669" width="7.69921875" style="1558" customWidth="1"/>
    <col min="6670" max="6670" width="4.3984375" style="1558" customWidth="1"/>
    <col min="6671" max="6672" width="6.59765625" style="1558" customWidth="1"/>
    <col min="6673" max="6673" width="14" style="1558" customWidth="1"/>
    <col min="6674" max="6674" width="35.19921875" style="1558" customWidth="1"/>
    <col min="6675" max="6912" width="9" style="1558"/>
    <col min="6913" max="6913" width="4.3984375" style="1558" customWidth="1"/>
    <col min="6914" max="6914" width="19" style="1558" customWidth="1"/>
    <col min="6915" max="6915" width="6.5" style="1558" customWidth="1"/>
    <col min="6916" max="6916" width="6" style="1558" customWidth="1"/>
    <col min="6917" max="6917" width="6.8984375" style="1558" customWidth="1"/>
    <col min="6918" max="6922" width="7.69921875" style="1558" customWidth="1"/>
    <col min="6923" max="6923" width="6.69921875" style="1558" customWidth="1"/>
    <col min="6924" max="6924" width="5.09765625" style="1558" customWidth="1"/>
    <col min="6925" max="6925" width="7.69921875" style="1558" customWidth="1"/>
    <col min="6926" max="6926" width="4.3984375" style="1558" customWidth="1"/>
    <col min="6927" max="6928" width="6.59765625" style="1558" customWidth="1"/>
    <col min="6929" max="6929" width="14" style="1558" customWidth="1"/>
    <col min="6930" max="6930" width="35.19921875" style="1558" customWidth="1"/>
    <col min="6931" max="7168" width="9" style="1558"/>
    <col min="7169" max="7169" width="4.3984375" style="1558" customWidth="1"/>
    <col min="7170" max="7170" width="19" style="1558" customWidth="1"/>
    <col min="7171" max="7171" width="6.5" style="1558" customWidth="1"/>
    <col min="7172" max="7172" width="6" style="1558" customWidth="1"/>
    <col min="7173" max="7173" width="6.8984375" style="1558" customWidth="1"/>
    <col min="7174" max="7178" width="7.69921875" style="1558" customWidth="1"/>
    <col min="7179" max="7179" width="6.69921875" style="1558" customWidth="1"/>
    <col min="7180" max="7180" width="5.09765625" style="1558" customWidth="1"/>
    <col min="7181" max="7181" width="7.69921875" style="1558" customWidth="1"/>
    <col min="7182" max="7182" width="4.3984375" style="1558" customWidth="1"/>
    <col min="7183" max="7184" width="6.59765625" style="1558" customWidth="1"/>
    <col min="7185" max="7185" width="14" style="1558" customWidth="1"/>
    <col min="7186" max="7186" width="35.19921875" style="1558" customWidth="1"/>
    <col min="7187" max="7424" width="9" style="1558"/>
    <col min="7425" max="7425" width="4.3984375" style="1558" customWidth="1"/>
    <col min="7426" max="7426" width="19" style="1558" customWidth="1"/>
    <col min="7427" max="7427" width="6.5" style="1558" customWidth="1"/>
    <col min="7428" max="7428" width="6" style="1558" customWidth="1"/>
    <col min="7429" max="7429" width="6.8984375" style="1558" customWidth="1"/>
    <col min="7430" max="7434" width="7.69921875" style="1558" customWidth="1"/>
    <col min="7435" max="7435" width="6.69921875" style="1558" customWidth="1"/>
    <col min="7436" max="7436" width="5.09765625" style="1558" customWidth="1"/>
    <col min="7437" max="7437" width="7.69921875" style="1558" customWidth="1"/>
    <col min="7438" max="7438" width="4.3984375" style="1558" customWidth="1"/>
    <col min="7439" max="7440" width="6.59765625" style="1558" customWidth="1"/>
    <col min="7441" max="7441" width="14" style="1558" customWidth="1"/>
    <col min="7442" max="7442" width="35.19921875" style="1558" customWidth="1"/>
    <col min="7443" max="7680" width="9" style="1558"/>
    <col min="7681" max="7681" width="4.3984375" style="1558" customWidth="1"/>
    <col min="7682" max="7682" width="19" style="1558" customWidth="1"/>
    <col min="7683" max="7683" width="6.5" style="1558" customWidth="1"/>
    <col min="7684" max="7684" width="6" style="1558" customWidth="1"/>
    <col min="7685" max="7685" width="6.8984375" style="1558" customWidth="1"/>
    <col min="7686" max="7690" width="7.69921875" style="1558" customWidth="1"/>
    <col min="7691" max="7691" width="6.69921875" style="1558" customWidth="1"/>
    <col min="7692" max="7692" width="5.09765625" style="1558" customWidth="1"/>
    <col min="7693" max="7693" width="7.69921875" style="1558" customWidth="1"/>
    <col min="7694" max="7694" width="4.3984375" style="1558" customWidth="1"/>
    <col min="7695" max="7696" width="6.59765625" style="1558" customWidth="1"/>
    <col min="7697" max="7697" width="14" style="1558" customWidth="1"/>
    <col min="7698" max="7698" width="35.19921875" style="1558" customWidth="1"/>
    <col min="7699" max="7936" width="9" style="1558"/>
    <col min="7937" max="7937" width="4.3984375" style="1558" customWidth="1"/>
    <col min="7938" max="7938" width="19" style="1558" customWidth="1"/>
    <col min="7939" max="7939" width="6.5" style="1558" customWidth="1"/>
    <col min="7940" max="7940" width="6" style="1558" customWidth="1"/>
    <col min="7941" max="7941" width="6.8984375" style="1558" customWidth="1"/>
    <col min="7942" max="7946" width="7.69921875" style="1558" customWidth="1"/>
    <col min="7947" max="7947" width="6.69921875" style="1558" customWidth="1"/>
    <col min="7948" max="7948" width="5.09765625" style="1558" customWidth="1"/>
    <col min="7949" max="7949" width="7.69921875" style="1558" customWidth="1"/>
    <col min="7950" max="7950" width="4.3984375" style="1558" customWidth="1"/>
    <col min="7951" max="7952" width="6.59765625" style="1558" customWidth="1"/>
    <col min="7953" max="7953" width="14" style="1558" customWidth="1"/>
    <col min="7954" max="7954" width="35.19921875" style="1558" customWidth="1"/>
    <col min="7955" max="8192" width="9" style="1558"/>
    <col min="8193" max="8193" width="4.3984375" style="1558" customWidth="1"/>
    <col min="8194" max="8194" width="19" style="1558" customWidth="1"/>
    <col min="8195" max="8195" width="6.5" style="1558" customWidth="1"/>
    <col min="8196" max="8196" width="6" style="1558" customWidth="1"/>
    <col min="8197" max="8197" width="6.8984375" style="1558" customWidth="1"/>
    <col min="8198" max="8202" width="7.69921875" style="1558" customWidth="1"/>
    <col min="8203" max="8203" width="6.69921875" style="1558" customWidth="1"/>
    <col min="8204" max="8204" width="5.09765625" style="1558" customWidth="1"/>
    <col min="8205" max="8205" width="7.69921875" style="1558" customWidth="1"/>
    <col min="8206" max="8206" width="4.3984375" style="1558" customWidth="1"/>
    <col min="8207" max="8208" width="6.59765625" style="1558" customWidth="1"/>
    <col min="8209" max="8209" width="14" style="1558" customWidth="1"/>
    <col min="8210" max="8210" width="35.19921875" style="1558" customWidth="1"/>
    <col min="8211" max="8448" width="9" style="1558"/>
    <col min="8449" max="8449" width="4.3984375" style="1558" customWidth="1"/>
    <col min="8450" max="8450" width="19" style="1558" customWidth="1"/>
    <col min="8451" max="8451" width="6.5" style="1558" customWidth="1"/>
    <col min="8452" max="8452" width="6" style="1558" customWidth="1"/>
    <col min="8453" max="8453" width="6.8984375" style="1558" customWidth="1"/>
    <col min="8454" max="8458" width="7.69921875" style="1558" customWidth="1"/>
    <col min="8459" max="8459" width="6.69921875" style="1558" customWidth="1"/>
    <col min="8460" max="8460" width="5.09765625" style="1558" customWidth="1"/>
    <col min="8461" max="8461" width="7.69921875" style="1558" customWidth="1"/>
    <col min="8462" max="8462" width="4.3984375" style="1558" customWidth="1"/>
    <col min="8463" max="8464" width="6.59765625" style="1558" customWidth="1"/>
    <col min="8465" max="8465" width="14" style="1558" customWidth="1"/>
    <col min="8466" max="8466" width="35.19921875" style="1558" customWidth="1"/>
    <col min="8467" max="8704" width="9" style="1558"/>
    <col min="8705" max="8705" width="4.3984375" style="1558" customWidth="1"/>
    <col min="8706" max="8706" width="19" style="1558" customWidth="1"/>
    <col min="8707" max="8707" width="6.5" style="1558" customWidth="1"/>
    <col min="8708" max="8708" width="6" style="1558" customWidth="1"/>
    <col min="8709" max="8709" width="6.8984375" style="1558" customWidth="1"/>
    <col min="8710" max="8714" width="7.69921875" style="1558" customWidth="1"/>
    <col min="8715" max="8715" width="6.69921875" style="1558" customWidth="1"/>
    <col min="8716" max="8716" width="5.09765625" style="1558" customWidth="1"/>
    <col min="8717" max="8717" width="7.69921875" style="1558" customWidth="1"/>
    <col min="8718" max="8718" width="4.3984375" style="1558" customWidth="1"/>
    <col min="8719" max="8720" width="6.59765625" style="1558" customWidth="1"/>
    <col min="8721" max="8721" width="14" style="1558" customWidth="1"/>
    <col min="8722" max="8722" width="35.19921875" style="1558" customWidth="1"/>
    <col min="8723" max="8960" width="9" style="1558"/>
    <col min="8961" max="8961" width="4.3984375" style="1558" customWidth="1"/>
    <col min="8962" max="8962" width="19" style="1558" customWidth="1"/>
    <col min="8963" max="8963" width="6.5" style="1558" customWidth="1"/>
    <col min="8964" max="8964" width="6" style="1558" customWidth="1"/>
    <col min="8965" max="8965" width="6.8984375" style="1558" customWidth="1"/>
    <col min="8966" max="8970" width="7.69921875" style="1558" customWidth="1"/>
    <col min="8971" max="8971" width="6.69921875" style="1558" customWidth="1"/>
    <col min="8972" max="8972" width="5.09765625" style="1558" customWidth="1"/>
    <col min="8973" max="8973" width="7.69921875" style="1558" customWidth="1"/>
    <col min="8974" max="8974" width="4.3984375" style="1558" customWidth="1"/>
    <col min="8975" max="8976" width="6.59765625" style="1558" customWidth="1"/>
    <col min="8977" max="8977" width="14" style="1558" customWidth="1"/>
    <col min="8978" max="8978" width="35.19921875" style="1558" customWidth="1"/>
    <col min="8979" max="9216" width="9" style="1558"/>
    <col min="9217" max="9217" width="4.3984375" style="1558" customWidth="1"/>
    <col min="9218" max="9218" width="19" style="1558" customWidth="1"/>
    <col min="9219" max="9219" width="6.5" style="1558" customWidth="1"/>
    <col min="9220" max="9220" width="6" style="1558" customWidth="1"/>
    <col min="9221" max="9221" width="6.8984375" style="1558" customWidth="1"/>
    <col min="9222" max="9226" width="7.69921875" style="1558" customWidth="1"/>
    <col min="9227" max="9227" width="6.69921875" style="1558" customWidth="1"/>
    <col min="9228" max="9228" width="5.09765625" style="1558" customWidth="1"/>
    <col min="9229" max="9229" width="7.69921875" style="1558" customWidth="1"/>
    <col min="9230" max="9230" width="4.3984375" style="1558" customWidth="1"/>
    <col min="9231" max="9232" width="6.59765625" style="1558" customWidth="1"/>
    <col min="9233" max="9233" width="14" style="1558" customWidth="1"/>
    <col min="9234" max="9234" width="35.19921875" style="1558" customWidth="1"/>
    <col min="9235" max="9472" width="9" style="1558"/>
    <col min="9473" max="9473" width="4.3984375" style="1558" customWidth="1"/>
    <col min="9474" max="9474" width="19" style="1558" customWidth="1"/>
    <col min="9475" max="9475" width="6.5" style="1558" customWidth="1"/>
    <col min="9476" max="9476" width="6" style="1558" customWidth="1"/>
    <col min="9477" max="9477" width="6.8984375" style="1558" customWidth="1"/>
    <col min="9478" max="9482" width="7.69921875" style="1558" customWidth="1"/>
    <col min="9483" max="9483" width="6.69921875" style="1558" customWidth="1"/>
    <col min="9484" max="9484" width="5.09765625" style="1558" customWidth="1"/>
    <col min="9485" max="9485" width="7.69921875" style="1558" customWidth="1"/>
    <col min="9486" max="9486" width="4.3984375" style="1558" customWidth="1"/>
    <col min="9487" max="9488" width="6.59765625" style="1558" customWidth="1"/>
    <col min="9489" max="9489" width="14" style="1558" customWidth="1"/>
    <col min="9490" max="9490" width="35.19921875" style="1558" customWidth="1"/>
    <col min="9491" max="9728" width="9" style="1558"/>
    <col min="9729" max="9729" width="4.3984375" style="1558" customWidth="1"/>
    <col min="9730" max="9730" width="19" style="1558" customWidth="1"/>
    <col min="9731" max="9731" width="6.5" style="1558" customWidth="1"/>
    <col min="9732" max="9732" width="6" style="1558" customWidth="1"/>
    <col min="9733" max="9733" width="6.8984375" style="1558" customWidth="1"/>
    <col min="9734" max="9738" width="7.69921875" style="1558" customWidth="1"/>
    <col min="9739" max="9739" width="6.69921875" style="1558" customWidth="1"/>
    <col min="9740" max="9740" width="5.09765625" style="1558" customWidth="1"/>
    <col min="9741" max="9741" width="7.69921875" style="1558" customWidth="1"/>
    <col min="9742" max="9742" width="4.3984375" style="1558" customWidth="1"/>
    <col min="9743" max="9744" width="6.59765625" style="1558" customWidth="1"/>
    <col min="9745" max="9745" width="14" style="1558" customWidth="1"/>
    <col min="9746" max="9746" width="35.19921875" style="1558" customWidth="1"/>
    <col min="9747" max="9984" width="9" style="1558"/>
    <col min="9985" max="9985" width="4.3984375" style="1558" customWidth="1"/>
    <col min="9986" max="9986" width="19" style="1558" customWidth="1"/>
    <col min="9987" max="9987" width="6.5" style="1558" customWidth="1"/>
    <col min="9988" max="9988" width="6" style="1558" customWidth="1"/>
    <col min="9989" max="9989" width="6.8984375" style="1558" customWidth="1"/>
    <col min="9990" max="9994" width="7.69921875" style="1558" customWidth="1"/>
    <col min="9995" max="9995" width="6.69921875" style="1558" customWidth="1"/>
    <col min="9996" max="9996" width="5.09765625" style="1558" customWidth="1"/>
    <col min="9997" max="9997" width="7.69921875" style="1558" customWidth="1"/>
    <col min="9998" max="9998" width="4.3984375" style="1558" customWidth="1"/>
    <col min="9999" max="10000" width="6.59765625" style="1558" customWidth="1"/>
    <col min="10001" max="10001" width="14" style="1558" customWidth="1"/>
    <col min="10002" max="10002" width="35.19921875" style="1558" customWidth="1"/>
    <col min="10003" max="10240" width="9" style="1558"/>
    <col min="10241" max="10241" width="4.3984375" style="1558" customWidth="1"/>
    <col min="10242" max="10242" width="19" style="1558" customWidth="1"/>
    <col min="10243" max="10243" width="6.5" style="1558" customWidth="1"/>
    <col min="10244" max="10244" width="6" style="1558" customWidth="1"/>
    <col min="10245" max="10245" width="6.8984375" style="1558" customWidth="1"/>
    <col min="10246" max="10250" width="7.69921875" style="1558" customWidth="1"/>
    <col min="10251" max="10251" width="6.69921875" style="1558" customWidth="1"/>
    <col min="10252" max="10252" width="5.09765625" style="1558" customWidth="1"/>
    <col min="10253" max="10253" width="7.69921875" style="1558" customWidth="1"/>
    <col min="10254" max="10254" width="4.3984375" style="1558" customWidth="1"/>
    <col min="10255" max="10256" width="6.59765625" style="1558" customWidth="1"/>
    <col min="10257" max="10257" width="14" style="1558" customWidth="1"/>
    <col min="10258" max="10258" width="35.19921875" style="1558" customWidth="1"/>
    <col min="10259" max="10496" width="9" style="1558"/>
    <col min="10497" max="10497" width="4.3984375" style="1558" customWidth="1"/>
    <col min="10498" max="10498" width="19" style="1558" customWidth="1"/>
    <col min="10499" max="10499" width="6.5" style="1558" customWidth="1"/>
    <col min="10500" max="10500" width="6" style="1558" customWidth="1"/>
    <col min="10501" max="10501" width="6.8984375" style="1558" customWidth="1"/>
    <col min="10502" max="10506" width="7.69921875" style="1558" customWidth="1"/>
    <col min="10507" max="10507" width="6.69921875" style="1558" customWidth="1"/>
    <col min="10508" max="10508" width="5.09765625" style="1558" customWidth="1"/>
    <col min="10509" max="10509" width="7.69921875" style="1558" customWidth="1"/>
    <col min="10510" max="10510" width="4.3984375" style="1558" customWidth="1"/>
    <col min="10511" max="10512" width="6.59765625" style="1558" customWidth="1"/>
    <col min="10513" max="10513" width="14" style="1558" customWidth="1"/>
    <col min="10514" max="10514" width="35.19921875" style="1558" customWidth="1"/>
    <col min="10515" max="10752" width="9" style="1558"/>
    <col min="10753" max="10753" width="4.3984375" style="1558" customWidth="1"/>
    <col min="10754" max="10754" width="19" style="1558" customWidth="1"/>
    <col min="10755" max="10755" width="6.5" style="1558" customWidth="1"/>
    <col min="10756" max="10756" width="6" style="1558" customWidth="1"/>
    <col min="10757" max="10757" width="6.8984375" style="1558" customWidth="1"/>
    <col min="10758" max="10762" width="7.69921875" style="1558" customWidth="1"/>
    <col min="10763" max="10763" width="6.69921875" style="1558" customWidth="1"/>
    <col min="10764" max="10764" width="5.09765625" style="1558" customWidth="1"/>
    <col min="10765" max="10765" width="7.69921875" style="1558" customWidth="1"/>
    <col min="10766" max="10766" width="4.3984375" style="1558" customWidth="1"/>
    <col min="10767" max="10768" width="6.59765625" style="1558" customWidth="1"/>
    <col min="10769" max="10769" width="14" style="1558" customWidth="1"/>
    <col min="10770" max="10770" width="35.19921875" style="1558" customWidth="1"/>
    <col min="10771" max="11008" width="9" style="1558"/>
    <col min="11009" max="11009" width="4.3984375" style="1558" customWidth="1"/>
    <col min="11010" max="11010" width="19" style="1558" customWidth="1"/>
    <col min="11011" max="11011" width="6.5" style="1558" customWidth="1"/>
    <col min="11012" max="11012" width="6" style="1558" customWidth="1"/>
    <col min="11013" max="11013" width="6.8984375" style="1558" customWidth="1"/>
    <col min="11014" max="11018" width="7.69921875" style="1558" customWidth="1"/>
    <col min="11019" max="11019" width="6.69921875" style="1558" customWidth="1"/>
    <col min="11020" max="11020" width="5.09765625" style="1558" customWidth="1"/>
    <col min="11021" max="11021" width="7.69921875" style="1558" customWidth="1"/>
    <col min="11022" max="11022" width="4.3984375" style="1558" customWidth="1"/>
    <col min="11023" max="11024" width="6.59765625" style="1558" customWidth="1"/>
    <col min="11025" max="11025" width="14" style="1558" customWidth="1"/>
    <col min="11026" max="11026" width="35.19921875" style="1558" customWidth="1"/>
    <col min="11027" max="11264" width="9" style="1558"/>
    <col min="11265" max="11265" width="4.3984375" style="1558" customWidth="1"/>
    <col min="11266" max="11266" width="19" style="1558" customWidth="1"/>
    <col min="11267" max="11267" width="6.5" style="1558" customWidth="1"/>
    <col min="11268" max="11268" width="6" style="1558" customWidth="1"/>
    <col min="11269" max="11269" width="6.8984375" style="1558" customWidth="1"/>
    <col min="11270" max="11274" width="7.69921875" style="1558" customWidth="1"/>
    <col min="11275" max="11275" width="6.69921875" style="1558" customWidth="1"/>
    <col min="11276" max="11276" width="5.09765625" style="1558" customWidth="1"/>
    <col min="11277" max="11277" width="7.69921875" style="1558" customWidth="1"/>
    <col min="11278" max="11278" width="4.3984375" style="1558" customWidth="1"/>
    <col min="11279" max="11280" width="6.59765625" style="1558" customWidth="1"/>
    <col min="11281" max="11281" width="14" style="1558" customWidth="1"/>
    <col min="11282" max="11282" width="35.19921875" style="1558" customWidth="1"/>
    <col min="11283" max="11520" width="9" style="1558"/>
    <col min="11521" max="11521" width="4.3984375" style="1558" customWidth="1"/>
    <col min="11522" max="11522" width="19" style="1558" customWidth="1"/>
    <col min="11523" max="11523" width="6.5" style="1558" customWidth="1"/>
    <col min="11524" max="11524" width="6" style="1558" customWidth="1"/>
    <col min="11525" max="11525" width="6.8984375" style="1558" customWidth="1"/>
    <col min="11526" max="11530" width="7.69921875" style="1558" customWidth="1"/>
    <col min="11531" max="11531" width="6.69921875" style="1558" customWidth="1"/>
    <col min="11532" max="11532" width="5.09765625" style="1558" customWidth="1"/>
    <col min="11533" max="11533" width="7.69921875" style="1558" customWidth="1"/>
    <col min="11534" max="11534" width="4.3984375" style="1558" customWidth="1"/>
    <col min="11535" max="11536" width="6.59765625" style="1558" customWidth="1"/>
    <col min="11537" max="11537" width="14" style="1558" customWidth="1"/>
    <col min="11538" max="11538" width="35.19921875" style="1558" customWidth="1"/>
    <col min="11539" max="11776" width="9" style="1558"/>
    <col min="11777" max="11777" width="4.3984375" style="1558" customWidth="1"/>
    <col min="11778" max="11778" width="19" style="1558" customWidth="1"/>
    <col min="11779" max="11779" width="6.5" style="1558" customWidth="1"/>
    <col min="11780" max="11780" width="6" style="1558" customWidth="1"/>
    <col min="11781" max="11781" width="6.8984375" style="1558" customWidth="1"/>
    <col min="11782" max="11786" width="7.69921875" style="1558" customWidth="1"/>
    <col min="11787" max="11787" width="6.69921875" style="1558" customWidth="1"/>
    <col min="11788" max="11788" width="5.09765625" style="1558" customWidth="1"/>
    <col min="11789" max="11789" width="7.69921875" style="1558" customWidth="1"/>
    <col min="11790" max="11790" width="4.3984375" style="1558" customWidth="1"/>
    <col min="11791" max="11792" width="6.59765625" style="1558" customWidth="1"/>
    <col min="11793" max="11793" width="14" style="1558" customWidth="1"/>
    <col min="11794" max="11794" width="35.19921875" style="1558" customWidth="1"/>
    <col min="11795" max="12032" width="9" style="1558"/>
    <col min="12033" max="12033" width="4.3984375" style="1558" customWidth="1"/>
    <col min="12034" max="12034" width="19" style="1558" customWidth="1"/>
    <col min="12035" max="12035" width="6.5" style="1558" customWidth="1"/>
    <col min="12036" max="12036" width="6" style="1558" customWidth="1"/>
    <col min="12037" max="12037" width="6.8984375" style="1558" customWidth="1"/>
    <col min="12038" max="12042" width="7.69921875" style="1558" customWidth="1"/>
    <col min="12043" max="12043" width="6.69921875" style="1558" customWidth="1"/>
    <col min="12044" max="12044" width="5.09765625" style="1558" customWidth="1"/>
    <col min="12045" max="12045" width="7.69921875" style="1558" customWidth="1"/>
    <col min="12046" max="12046" width="4.3984375" style="1558" customWidth="1"/>
    <col min="12047" max="12048" width="6.59765625" style="1558" customWidth="1"/>
    <col min="12049" max="12049" width="14" style="1558" customWidth="1"/>
    <col min="12050" max="12050" width="35.19921875" style="1558" customWidth="1"/>
    <col min="12051" max="12288" width="9" style="1558"/>
    <col min="12289" max="12289" width="4.3984375" style="1558" customWidth="1"/>
    <col min="12290" max="12290" width="19" style="1558" customWidth="1"/>
    <col min="12291" max="12291" width="6.5" style="1558" customWidth="1"/>
    <col min="12292" max="12292" width="6" style="1558" customWidth="1"/>
    <col min="12293" max="12293" width="6.8984375" style="1558" customWidth="1"/>
    <col min="12294" max="12298" width="7.69921875" style="1558" customWidth="1"/>
    <col min="12299" max="12299" width="6.69921875" style="1558" customWidth="1"/>
    <col min="12300" max="12300" width="5.09765625" style="1558" customWidth="1"/>
    <col min="12301" max="12301" width="7.69921875" style="1558" customWidth="1"/>
    <col min="12302" max="12302" width="4.3984375" style="1558" customWidth="1"/>
    <col min="12303" max="12304" width="6.59765625" style="1558" customWidth="1"/>
    <col min="12305" max="12305" width="14" style="1558" customWidth="1"/>
    <col min="12306" max="12306" width="35.19921875" style="1558" customWidth="1"/>
    <col min="12307" max="12544" width="9" style="1558"/>
    <col min="12545" max="12545" width="4.3984375" style="1558" customWidth="1"/>
    <col min="12546" max="12546" width="19" style="1558" customWidth="1"/>
    <col min="12547" max="12547" width="6.5" style="1558" customWidth="1"/>
    <col min="12548" max="12548" width="6" style="1558" customWidth="1"/>
    <col min="12549" max="12549" width="6.8984375" style="1558" customWidth="1"/>
    <col min="12550" max="12554" width="7.69921875" style="1558" customWidth="1"/>
    <col min="12555" max="12555" width="6.69921875" style="1558" customWidth="1"/>
    <col min="12556" max="12556" width="5.09765625" style="1558" customWidth="1"/>
    <col min="12557" max="12557" width="7.69921875" style="1558" customWidth="1"/>
    <col min="12558" max="12558" width="4.3984375" style="1558" customWidth="1"/>
    <col min="12559" max="12560" width="6.59765625" style="1558" customWidth="1"/>
    <col min="12561" max="12561" width="14" style="1558" customWidth="1"/>
    <col min="12562" max="12562" width="35.19921875" style="1558" customWidth="1"/>
    <col min="12563" max="12800" width="9" style="1558"/>
    <col min="12801" max="12801" width="4.3984375" style="1558" customWidth="1"/>
    <col min="12802" max="12802" width="19" style="1558" customWidth="1"/>
    <col min="12803" max="12803" width="6.5" style="1558" customWidth="1"/>
    <col min="12804" max="12804" width="6" style="1558" customWidth="1"/>
    <col min="12805" max="12805" width="6.8984375" style="1558" customWidth="1"/>
    <col min="12806" max="12810" width="7.69921875" style="1558" customWidth="1"/>
    <col min="12811" max="12811" width="6.69921875" style="1558" customWidth="1"/>
    <col min="12812" max="12812" width="5.09765625" style="1558" customWidth="1"/>
    <col min="12813" max="12813" width="7.69921875" style="1558" customWidth="1"/>
    <col min="12814" max="12814" width="4.3984375" style="1558" customWidth="1"/>
    <col min="12815" max="12816" width="6.59765625" style="1558" customWidth="1"/>
    <col min="12817" max="12817" width="14" style="1558" customWidth="1"/>
    <col min="12818" max="12818" width="35.19921875" style="1558" customWidth="1"/>
    <col min="12819" max="13056" width="9" style="1558"/>
    <col min="13057" max="13057" width="4.3984375" style="1558" customWidth="1"/>
    <col min="13058" max="13058" width="19" style="1558" customWidth="1"/>
    <col min="13059" max="13059" width="6.5" style="1558" customWidth="1"/>
    <col min="13060" max="13060" width="6" style="1558" customWidth="1"/>
    <col min="13061" max="13061" width="6.8984375" style="1558" customWidth="1"/>
    <col min="13062" max="13066" width="7.69921875" style="1558" customWidth="1"/>
    <col min="13067" max="13067" width="6.69921875" style="1558" customWidth="1"/>
    <col min="13068" max="13068" width="5.09765625" style="1558" customWidth="1"/>
    <col min="13069" max="13069" width="7.69921875" style="1558" customWidth="1"/>
    <col min="13070" max="13070" width="4.3984375" style="1558" customWidth="1"/>
    <col min="13071" max="13072" width="6.59765625" style="1558" customWidth="1"/>
    <col min="13073" max="13073" width="14" style="1558" customWidth="1"/>
    <col min="13074" max="13074" width="35.19921875" style="1558" customWidth="1"/>
    <col min="13075" max="13312" width="9" style="1558"/>
    <col min="13313" max="13313" width="4.3984375" style="1558" customWidth="1"/>
    <col min="13314" max="13314" width="19" style="1558" customWidth="1"/>
    <col min="13315" max="13315" width="6.5" style="1558" customWidth="1"/>
    <col min="13316" max="13316" width="6" style="1558" customWidth="1"/>
    <col min="13317" max="13317" width="6.8984375" style="1558" customWidth="1"/>
    <col min="13318" max="13322" width="7.69921875" style="1558" customWidth="1"/>
    <col min="13323" max="13323" width="6.69921875" style="1558" customWidth="1"/>
    <col min="13324" max="13324" width="5.09765625" style="1558" customWidth="1"/>
    <col min="13325" max="13325" width="7.69921875" style="1558" customWidth="1"/>
    <col min="13326" max="13326" width="4.3984375" style="1558" customWidth="1"/>
    <col min="13327" max="13328" width="6.59765625" style="1558" customWidth="1"/>
    <col min="13329" max="13329" width="14" style="1558" customWidth="1"/>
    <col min="13330" max="13330" width="35.19921875" style="1558" customWidth="1"/>
    <col min="13331" max="13568" width="9" style="1558"/>
    <col min="13569" max="13569" width="4.3984375" style="1558" customWidth="1"/>
    <col min="13570" max="13570" width="19" style="1558" customWidth="1"/>
    <col min="13571" max="13571" width="6.5" style="1558" customWidth="1"/>
    <col min="13572" max="13572" width="6" style="1558" customWidth="1"/>
    <col min="13573" max="13573" width="6.8984375" style="1558" customWidth="1"/>
    <col min="13574" max="13578" width="7.69921875" style="1558" customWidth="1"/>
    <col min="13579" max="13579" width="6.69921875" style="1558" customWidth="1"/>
    <col min="13580" max="13580" width="5.09765625" style="1558" customWidth="1"/>
    <col min="13581" max="13581" width="7.69921875" style="1558" customWidth="1"/>
    <col min="13582" max="13582" width="4.3984375" style="1558" customWidth="1"/>
    <col min="13583" max="13584" width="6.59765625" style="1558" customWidth="1"/>
    <col min="13585" max="13585" width="14" style="1558" customWidth="1"/>
    <col min="13586" max="13586" width="35.19921875" style="1558" customWidth="1"/>
    <col min="13587" max="13824" width="9" style="1558"/>
    <col min="13825" max="13825" width="4.3984375" style="1558" customWidth="1"/>
    <col min="13826" max="13826" width="19" style="1558" customWidth="1"/>
    <col min="13827" max="13827" width="6.5" style="1558" customWidth="1"/>
    <col min="13828" max="13828" width="6" style="1558" customWidth="1"/>
    <col min="13829" max="13829" width="6.8984375" style="1558" customWidth="1"/>
    <col min="13830" max="13834" width="7.69921875" style="1558" customWidth="1"/>
    <col min="13835" max="13835" width="6.69921875" style="1558" customWidth="1"/>
    <col min="13836" max="13836" width="5.09765625" style="1558" customWidth="1"/>
    <col min="13837" max="13837" width="7.69921875" style="1558" customWidth="1"/>
    <col min="13838" max="13838" width="4.3984375" style="1558" customWidth="1"/>
    <col min="13839" max="13840" width="6.59765625" style="1558" customWidth="1"/>
    <col min="13841" max="13841" width="14" style="1558" customWidth="1"/>
    <col min="13842" max="13842" width="35.19921875" style="1558" customWidth="1"/>
    <col min="13843" max="14080" width="9" style="1558"/>
    <col min="14081" max="14081" width="4.3984375" style="1558" customWidth="1"/>
    <col min="14082" max="14082" width="19" style="1558" customWidth="1"/>
    <col min="14083" max="14083" width="6.5" style="1558" customWidth="1"/>
    <col min="14084" max="14084" width="6" style="1558" customWidth="1"/>
    <col min="14085" max="14085" width="6.8984375" style="1558" customWidth="1"/>
    <col min="14086" max="14090" width="7.69921875" style="1558" customWidth="1"/>
    <col min="14091" max="14091" width="6.69921875" style="1558" customWidth="1"/>
    <col min="14092" max="14092" width="5.09765625" style="1558" customWidth="1"/>
    <col min="14093" max="14093" width="7.69921875" style="1558" customWidth="1"/>
    <col min="14094" max="14094" width="4.3984375" style="1558" customWidth="1"/>
    <col min="14095" max="14096" width="6.59765625" style="1558" customWidth="1"/>
    <col min="14097" max="14097" width="14" style="1558" customWidth="1"/>
    <col min="14098" max="14098" width="35.19921875" style="1558" customWidth="1"/>
    <col min="14099" max="14336" width="9" style="1558"/>
    <col min="14337" max="14337" width="4.3984375" style="1558" customWidth="1"/>
    <col min="14338" max="14338" width="19" style="1558" customWidth="1"/>
    <col min="14339" max="14339" width="6.5" style="1558" customWidth="1"/>
    <col min="14340" max="14340" width="6" style="1558" customWidth="1"/>
    <col min="14341" max="14341" width="6.8984375" style="1558" customWidth="1"/>
    <col min="14342" max="14346" width="7.69921875" style="1558" customWidth="1"/>
    <col min="14347" max="14347" width="6.69921875" style="1558" customWidth="1"/>
    <col min="14348" max="14348" width="5.09765625" style="1558" customWidth="1"/>
    <col min="14349" max="14349" width="7.69921875" style="1558" customWidth="1"/>
    <col min="14350" max="14350" width="4.3984375" style="1558" customWidth="1"/>
    <col min="14351" max="14352" width="6.59765625" style="1558" customWidth="1"/>
    <col min="14353" max="14353" width="14" style="1558" customWidth="1"/>
    <col min="14354" max="14354" width="35.19921875" style="1558" customWidth="1"/>
    <col min="14355" max="14592" width="9" style="1558"/>
    <col min="14593" max="14593" width="4.3984375" style="1558" customWidth="1"/>
    <col min="14594" max="14594" width="19" style="1558" customWidth="1"/>
    <col min="14595" max="14595" width="6.5" style="1558" customWidth="1"/>
    <col min="14596" max="14596" width="6" style="1558" customWidth="1"/>
    <col min="14597" max="14597" width="6.8984375" style="1558" customWidth="1"/>
    <col min="14598" max="14602" width="7.69921875" style="1558" customWidth="1"/>
    <col min="14603" max="14603" width="6.69921875" style="1558" customWidth="1"/>
    <col min="14604" max="14604" width="5.09765625" style="1558" customWidth="1"/>
    <col min="14605" max="14605" width="7.69921875" style="1558" customWidth="1"/>
    <col min="14606" max="14606" width="4.3984375" style="1558" customWidth="1"/>
    <col min="14607" max="14608" width="6.59765625" style="1558" customWidth="1"/>
    <col min="14609" max="14609" width="14" style="1558" customWidth="1"/>
    <col min="14610" max="14610" width="35.19921875" style="1558" customWidth="1"/>
    <col min="14611" max="14848" width="9" style="1558"/>
    <col min="14849" max="14849" width="4.3984375" style="1558" customWidth="1"/>
    <col min="14850" max="14850" width="19" style="1558" customWidth="1"/>
    <col min="14851" max="14851" width="6.5" style="1558" customWidth="1"/>
    <col min="14852" max="14852" width="6" style="1558" customWidth="1"/>
    <col min="14853" max="14853" width="6.8984375" style="1558" customWidth="1"/>
    <col min="14854" max="14858" width="7.69921875" style="1558" customWidth="1"/>
    <col min="14859" max="14859" width="6.69921875" style="1558" customWidth="1"/>
    <col min="14860" max="14860" width="5.09765625" style="1558" customWidth="1"/>
    <col min="14861" max="14861" width="7.69921875" style="1558" customWidth="1"/>
    <col min="14862" max="14862" width="4.3984375" style="1558" customWidth="1"/>
    <col min="14863" max="14864" width="6.59765625" style="1558" customWidth="1"/>
    <col min="14865" max="14865" width="14" style="1558" customWidth="1"/>
    <col min="14866" max="14866" width="35.19921875" style="1558" customWidth="1"/>
    <col min="14867" max="15104" width="9" style="1558"/>
    <col min="15105" max="15105" width="4.3984375" style="1558" customWidth="1"/>
    <col min="15106" max="15106" width="19" style="1558" customWidth="1"/>
    <col min="15107" max="15107" width="6.5" style="1558" customWidth="1"/>
    <col min="15108" max="15108" width="6" style="1558" customWidth="1"/>
    <col min="15109" max="15109" width="6.8984375" style="1558" customWidth="1"/>
    <col min="15110" max="15114" width="7.69921875" style="1558" customWidth="1"/>
    <col min="15115" max="15115" width="6.69921875" style="1558" customWidth="1"/>
    <col min="15116" max="15116" width="5.09765625" style="1558" customWidth="1"/>
    <col min="15117" max="15117" width="7.69921875" style="1558" customWidth="1"/>
    <col min="15118" max="15118" width="4.3984375" style="1558" customWidth="1"/>
    <col min="15119" max="15120" width="6.59765625" style="1558" customWidth="1"/>
    <col min="15121" max="15121" width="14" style="1558" customWidth="1"/>
    <col min="15122" max="15122" width="35.19921875" style="1558" customWidth="1"/>
    <col min="15123" max="15360" width="9" style="1558"/>
    <col min="15361" max="15361" width="4.3984375" style="1558" customWidth="1"/>
    <col min="15362" max="15362" width="19" style="1558" customWidth="1"/>
    <col min="15363" max="15363" width="6.5" style="1558" customWidth="1"/>
    <col min="15364" max="15364" width="6" style="1558" customWidth="1"/>
    <col min="15365" max="15365" width="6.8984375" style="1558" customWidth="1"/>
    <col min="15366" max="15370" width="7.69921875" style="1558" customWidth="1"/>
    <col min="15371" max="15371" width="6.69921875" style="1558" customWidth="1"/>
    <col min="15372" max="15372" width="5.09765625" style="1558" customWidth="1"/>
    <col min="15373" max="15373" width="7.69921875" style="1558" customWidth="1"/>
    <col min="15374" max="15374" width="4.3984375" style="1558" customWidth="1"/>
    <col min="15375" max="15376" width="6.59765625" style="1558" customWidth="1"/>
    <col min="15377" max="15377" width="14" style="1558" customWidth="1"/>
    <col min="15378" max="15378" width="35.19921875" style="1558" customWidth="1"/>
    <col min="15379" max="15616" width="9" style="1558"/>
    <col min="15617" max="15617" width="4.3984375" style="1558" customWidth="1"/>
    <col min="15618" max="15618" width="19" style="1558" customWidth="1"/>
    <col min="15619" max="15619" width="6.5" style="1558" customWidth="1"/>
    <col min="15620" max="15620" width="6" style="1558" customWidth="1"/>
    <col min="15621" max="15621" width="6.8984375" style="1558" customWidth="1"/>
    <col min="15622" max="15626" width="7.69921875" style="1558" customWidth="1"/>
    <col min="15627" max="15627" width="6.69921875" style="1558" customWidth="1"/>
    <col min="15628" max="15628" width="5.09765625" style="1558" customWidth="1"/>
    <col min="15629" max="15629" width="7.69921875" style="1558" customWidth="1"/>
    <col min="15630" max="15630" width="4.3984375" style="1558" customWidth="1"/>
    <col min="15631" max="15632" width="6.59765625" style="1558" customWidth="1"/>
    <col min="15633" max="15633" width="14" style="1558" customWidth="1"/>
    <col min="15634" max="15634" width="35.19921875" style="1558" customWidth="1"/>
    <col min="15635" max="15872" width="9" style="1558"/>
    <col min="15873" max="15873" width="4.3984375" style="1558" customWidth="1"/>
    <col min="15874" max="15874" width="19" style="1558" customWidth="1"/>
    <col min="15875" max="15875" width="6.5" style="1558" customWidth="1"/>
    <col min="15876" max="15876" width="6" style="1558" customWidth="1"/>
    <col min="15877" max="15877" width="6.8984375" style="1558" customWidth="1"/>
    <col min="15878" max="15882" width="7.69921875" style="1558" customWidth="1"/>
    <col min="15883" max="15883" width="6.69921875" style="1558" customWidth="1"/>
    <col min="15884" max="15884" width="5.09765625" style="1558" customWidth="1"/>
    <col min="15885" max="15885" width="7.69921875" style="1558" customWidth="1"/>
    <col min="15886" max="15886" width="4.3984375" style="1558" customWidth="1"/>
    <col min="15887" max="15888" width="6.59765625" style="1558" customWidth="1"/>
    <col min="15889" max="15889" width="14" style="1558" customWidth="1"/>
    <col min="15890" max="15890" width="35.19921875" style="1558" customWidth="1"/>
    <col min="15891" max="16128" width="9" style="1558"/>
    <col min="16129" max="16129" width="4.3984375" style="1558" customWidth="1"/>
    <col min="16130" max="16130" width="19" style="1558" customWidth="1"/>
    <col min="16131" max="16131" width="6.5" style="1558" customWidth="1"/>
    <col min="16132" max="16132" width="6" style="1558" customWidth="1"/>
    <col min="16133" max="16133" width="6.8984375" style="1558" customWidth="1"/>
    <col min="16134" max="16138" width="7.69921875" style="1558" customWidth="1"/>
    <col min="16139" max="16139" width="6.69921875" style="1558" customWidth="1"/>
    <col min="16140" max="16140" width="5.09765625" style="1558" customWidth="1"/>
    <col min="16141" max="16141" width="7.69921875" style="1558" customWidth="1"/>
    <col min="16142" max="16142" width="4.3984375" style="1558" customWidth="1"/>
    <col min="16143" max="16144" width="6.59765625" style="1558" customWidth="1"/>
    <col min="16145" max="16145" width="14" style="1558" customWidth="1"/>
    <col min="16146" max="16146" width="35.19921875" style="1558" customWidth="1"/>
    <col min="16147" max="16384" width="9" style="1558"/>
  </cols>
  <sheetData>
    <row r="1" spans="1:18" ht="20.100000000000001" customHeight="1">
      <c r="A1" s="3378" t="s">
        <v>5234</v>
      </c>
      <c r="B1" s="3378"/>
      <c r="C1" s="3378"/>
      <c r="D1" s="3378"/>
      <c r="E1" s="3378"/>
      <c r="F1" s="3378"/>
      <c r="G1" s="3378"/>
      <c r="H1" s="3378"/>
      <c r="I1" s="3378"/>
      <c r="J1" s="3378"/>
      <c r="K1" s="3378"/>
      <c r="L1" s="3378"/>
      <c r="M1" s="3378"/>
      <c r="N1" s="3378"/>
      <c r="O1" s="3378"/>
      <c r="P1" s="3378"/>
      <c r="Q1" s="1994"/>
    </row>
    <row r="2" spans="1:18" ht="25.5" customHeight="1">
      <c r="A2" s="3379" t="s">
        <v>5235</v>
      </c>
      <c r="B2" s="3379"/>
      <c r="C2" s="3379"/>
      <c r="D2" s="3379"/>
      <c r="E2" s="3379"/>
      <c r="F2" s="3379"/>
      <c r="G2" s="3379"/>
      <c r="H2" s="3379"/>
      <c r="I2" s="3379"/>
      <c r="J2" s="3379"/>
      <c r="K2" s="3379"/>
      <c r="L2" s="3379"/>
      <c r="M2" s="3379"/>
      <c r="N2" s="3379"/>
      <c r="O2" s="3379"/>
      <c r="P2" s="3379"/>
      <c r="Q2" s="1858"/>
    </row>
    <row r="3" spans="1:18" s="1555" customFormat="1" ht="14.25" customHeight="1">
      <c r="A3" s="3391" t="s">
        <v>1854</v>
      </c>
      <c r="B3" s="3391" t="s">
        <v>1855</v>
      </c>
      <c r="C3" s="3392" t="s">
        <v>5236</v>
      </c>
      <c r="D3" s="3392" t="s">
        <v>5237</v>
      </c>
      <c r="E3" s="3394" t="s">
        <v>5238</v>
      </c>
      <c r="F3" s="3394"/>
      <c r="G3" s="3395" t="s">
        <v>5239</v>
      </c>
      <c r="H3" s="3396"/>
      <c r="I3" s="3396"/>
      <c r="J3" s="3396"/>
      <c r="K3" s="3397"/>
      <c r="L3" s="3394" t="s">
        <v>5240</v>
      </c>
      <c r="M3" s="3394"/>
      <c r="N3" s="3394" t="s">
        <v>5241</v>
      </c>
      <c r="O3" s="3394"/>
      <c r="P3" s="3394"/>
      <c r="Q3" s="3392" t="s">
        <v>5153</v>
      </c>
    </row>
    <row r="4" spans="1:18" s="1555" customFormat="1" ht="32.25" customHeight="1">
      <c r="A4" s="3391"/>
      <c r="B4" s="3391"/>
      <c r="C4" s="3393"/>
      <c r="D4" s="3393"/>
      <c r="E4" s="3394"/>
      <c r="F4" s="3394"/>
      <c r="G4" s="3399" t="s">
        <v>5242</v>
      </c>
      <c r="H4" s="3399" t="s">
        <v>5243</v>
      </c>
      <c r="I4" s="3399" t="s">
        <v>5244</v>
      </c>
      <c r="J4" s="3399" t="s">
        <v>5245</v>
      </c>
      <c r="K4" s="3399" t="s">
        <v>5246</v>
      </c>
      <c r="L4" s="3392" t="s">
        <v>5247</v>
      </c>
      <c r="M4" s="3392" t="s">
        <v>5248</v>
      </c>
      <c r="N4" s="3392" t="s">
        <v>5249</v>
      </c>
      <c r="O4" s="3392" t="s">
        <v>5250</v>
      </c>
      <c r="P4" s="3392" t="s">
        <v>5251</v>
      </c>
      <c r="Q4" s="3393"/>
    </row>
    <row r="5" spans="1:18" s="1555" customFormat="1" ht="30.75" customHeight="1">
      <c r="A5" s="3391"/>
      <c r="B5" s="3391"/>
      <c r="C5" s="3393"/>
      <c r="D5" s="3393"/>
      <c r="E5" s="1859" t="s">
        <v>2438</v>
      </c>
      <c r="F5" s="1859" t="s">
        <v>5252</v>
      </c>
      <c r="G5" s="3400"/>
      <c r="H5" s="3400"/>
      <c r="I5" s="3400"/>
      <c r="J5" s="3400"/>
      <c r="K5" s="3400"/>
      <c r="L5" s="3393"/>
      <c r="M5" s="3393"/>
      <c r="N5" s="3393"/>
      <c r="O5" s="3393"/>
      <c r="P5" s="3393"/>
      <c r="Q5" s="3393"/>
    </row>
    <row r="6" spans="1:18" s="1555" customFormat="1" ht="14.25" customHeight="1">
      <c r="A6" s="3391"/>
      <c r="B6" s="3391"/>
      <c r="C6" s="1860">
        <v>1</v>
      </c>
      <c r="D6" s="1860">
        <v>2</v>
      </c>
      <c r="E6" s="1860">
        <v>3</v>
      </c>
      <c r="F6" s="1860">
        <v>4</v>
      </c>
      <c r="G6" s="1860">
        <v>5</v>
      </c>
      <c r="H6" s="1860">
        <v>6</v>
      </c>
      <c r="I6" s="1860">
        <v>7</v>
      </c>
      <c r="J6" s="1860">
        <v>8</v>
      </c>
      <c r="K6" s="1860">
        <v>9</v>
      </c>
      <c r="L6" s="1860">
        <v>10</v>
      </c>
      <c r="M6" s="1860">
        <v>11</v>
      </c>
      <c r="N6" s="1860">
        <v>12</v>
      </c>
      <c r="O6" s="1860">
        <v>13</v>
      </c>
      <c r="P6" s="1860">
        <v>14</v>
      </c>
      <c r="Q6" s="1968"/>
    </row>
    <row r="7" spans="1:18" s="1559" customFormat="1" ht="14.25" customHeight="1">
      <c r="A7" s="1860">
        <v>1</v>
      </c>
      <c r="B7" s="1861" t="s">
        <v>5253</v>
      </c>
      <c r="C7" s="1864">
        <f>专项用途财政性资金审核表!C7</f>
        <v>2011</v>
      </c>
      <c r="D7" s="2082">
        <f>专项用途财政性资金审核表!D7</f>
        <v>0</v>
      </c>
      <c r="E7" s="2082">
        <f>专项用途财政性资金审核表!E7</f>
        <v>0</v>
      </c>
      <c r="F7" s="2082">
        <f>专项用途财政性资金审核表!F7</f>
        <v>0</v>
      </c>
      <c r="G7" s="2082">
        <f>专项用途财政性资金审核表!G7</f>
        <v>0</v>
      </c>
      <c r="H7" s="2082">
        <f>专项用途财政性资金审核表!H7</f>
        <v>0</v>
      </c>
      <c r="I7" s="2082">
        <f>专项用途财政性资金审核表!I7</f>
        <v>0</v>
      </c>
      <c r="J7" s="2082">
        <f>专项用途财政性资金审核表!J7</f>
        <v>0</v>
      </c>
      <c r="K7" s="2082">
        <f>专项用途财政性资金审核表!K7</f>
        <v>0</v>
      </c>
      <c r="L7" s="2082">
        <f>专项用途财政性资金审核表!L7</f>
        <v>0</v>
      </c>
      <c r="M7" s="2082">
        <f>专项用途财政性资金审核表!M7</f>
        <v>0</v>
      </c>
      <c r="N7" s="2082">
        <f>专项用途财政性资金审核表!N7</f>
        <v>0</v>
      </c>
      <c r="O7" s="2082">
        <f>专项用途财政性资金审核表!O7</f>
        <v>0</v>
      </c>
      <c r="P7" s="2082">
        <f>专项用途财政性资金审核表!P7</f>
        <v>0</v>
      </c>
      <c r="Q7" s="1971"/>
    </row>
    <row r="8" spans="1:18" s="1559" customFormat="1" ht="14.25" customHeight="1">
      <c r="A8" s="1860">
        <v>2</v>
      </c>
      <c r="B8" s="1861" t="s">
        <v>1349</v>
      </c>
      <c r="C8" s="1864">
        <f>专项用途财政性资金审核表!C8</f>
        <v>2012</v>
      </c>
      <c r="D8" s="2082">
        <f>专项用途财政性资金审核表!D8</f>
        <v>0</v>
      </c>
      <c r="E8" s="2082">
        <f>专项用途财政性资金审核表!E8</f>
        <v>0</v>
      </c>
      <c r="F8" s="2082">
        <f>专项用途财政性资金审核表!F8</f>
        <v>0</v>
      </c>
      <c r="G8" s="1861" t="s">
        <v>1860</v>
      </c>
      <c r="H8" s="2082">
        <f>专项用途财政性资金审核表!H8</f>
        <v>0</v>
      </c>
      <c r="I8" s="2082">
        <f>专项用途财政性资金审核表!I8</f>
        <v>0</v>
      </c>
      <c r="J8" s="2082">
        <f>专项用途财政性资金审核表!J8</f>
        <v>0</v>
      </c>
      <c r="K8" s="2082">
        <f>专项用途财政性资金审核表!K8</f>
        <v>0</v>
      </c>
      <c r="L8" s="2082">
        <f>专项用途财政性资金审核表!L8</f>
        <v>0</v>
      </c>
      <c r="M8" s="2082">
        <f>专项用途财政性资金审核表!M8</f>
        <v>0</v>
      </c>
      <c r="N8" s="2082">
        <f>专项用途财政性资金审核表!N8</f>
        <v>0</v>
      </c>
      <c r="O8" s="2082">
        <f>专项用途财政性资金审核表!O8</f>
        <v>0</v>
      </c>
      <c r="P8" s="2082">
        <f>专项用途财政性资金审核表!P8</f>
        <v>0</v>
      </c>
      <c r="Q8" s="1971"/>
    </row>
    <row r="9" spans="1:18" ht="14.25" customHeight="1">
      <c r="A9" s="1860">
        <v>3</v>
      </c>
      <c r="B9" s="1861" t="s">
        <v>1350</v>
      </c>
      <c r="C9" s="1864">
        <f>专项用途财政性资金审核表!C9</f>
        <v>2013</v>
      </c>
      <c r="D9" s="2082">
        <f>专项用途财政性资金审核表!D9</f>
        <v>0</v>
      </c>
      <c r="E9" s="2082">
        <f>专项用途财政性资金审核表!E9</f>
        <v>0</v>
      </c>
      <c r="F9" s="2082">
        <f>专项用途财政性资金审核表!F9</f>
        <v>0</v>
      </c>
      <c r="G9" s="1861" t="s">
        <v>1860</v>
      </c>
      <c r="H9" s="1861" t="s">
        <v>1860</v>
      </c>
      <c r="I9" s="2082">
        <f>专项用途财政性资金审核表!I9</f>
        <v>0</v>
      </c>
      <c r="J9" s="2082">
        <f>专项用途财政性资金审核表!J9</f>
        <v>0</v>
      </c>
      <c r="K9" s="2082">
        <f>专项用途财政性资金审核表!K9</f>
        <v>0</v>
      </c>
      <c r="L9" s="2082">
        <f>专项用途财政性资金审核表!L9</f>
        <v>0</v>
      </c>
      <c r="M9" s="2082">
        <f>专项用途财政性资金审核表!M9</f>
        <v>0</v>
      </c>
      <c r="N9" s="2082">
        <f>专项用途财政性资金审核表!N9</f>
        <v>0</v>
      </c>
      <c r="O9" s="2082">
        <f>专项用途财政性资金审核表!O9</f>
        <v>0</v>
      </c>
      <c r="P9" s="2082">
        <f>专项用途财政性资金审核表!P9</f>
        <v>0</v>
      </c>
      <c r="Q9" s="1971"/>
    </row>
    <row r="10" spans="1:18" ht="14.25" customHeight="1">
      <c r="A10" s="1860">
        <v>4</v>
      </c>
      <c r="B10" s="1861" t="s">
        <v>1351</v>
      </c>
      <c r="C10" s="1864">
        <f>专项用途财政性资金审核表!C10</f>
        <v>2014</v>
      </c>
      <c r="D10" s="2082">
        <f>专项用途财政性资金审核表!D10</f>
        <v>0</v>
      </c>
      <c r="E10" s="2082">
        <f>专项用途财政性资金审核表!E10</f>
        <v>0</v>
      </c>
      <c r="F10" s="2082">
        <f>专项用途财政性资金审核表!F10</f>
        <v>0</v>
      </c>
      <c r="G10" s="1861" t="s">
        <v>1860</v>
      </c>
      <c r="H10" s="1861" t="s">
        <v>1860</v>
      </c>
      <c r="I10" s="1861" t="s">
        <v>1860</v>
      </c>
      <c r="J10" s="2082">
        <f>专项用途财政性资金审核表!J10</f>
        <v>0</v>
      </c>
      <c r="K10" s="2082">
        <f>专项用途财政性资金审核表!K10</f>
        <v>0</v>
      </c>
      <c r="L10" s="2082">
        <f>专项用途财政性资金审核表!L10</f>
        <v>0</v>
      </c>
      <c r="M10" s="2082">
        <f>专项用途财政性资金审核表!M10</f>
        <v>0</v>
      </c>
      <c r="N10" s="2082">
        <f>专项用途财政性资金审核表!N10</f>
        <v>0</v>
      </c>
      <c r="O10" s="2082">
        <f>专项用途财政性资金审核表!O10</f>
        <v>0</v>
      </c>
      <c r="P10" s="2082">
        <f>专项用途财政性资金审核表!P10</f>
        <v>0</v>
      </c>
      <c r="Q10" s="1971"/>
    </row>
    <row r="11" spans="1:18" ht="14.25" customHeight="1">
      <c r="A11" s="1860">
        <v>5</v>
      </c>
      <c r="B11" s="1861" t="s">
        <v>1352</v>
      </c>
      <c r="C11" s="1864">
        <f>专项用途财政性资金审核表!C11</f>
        <v>2015</v>
      </c>
      <c r="D11" s="2082">
        <f>专项用途财政性资金审核表!D11</f>
        <v>0</v>
      </c>
      <c r="E11" s="2082">
        <f>专项用途财政性资金审核表!E11</f>
        <v>0</v>
      </c>
      <c r="F11" s="2082">
        <f>专项用途财政性资金审核表!F11</f>
        <v>0</v>
      </c>
      <c r="G11" s="1861" t="s">
        <v>1860</v>
      </c>
      <c r="H11" s="1861" t="s">
        <v>1860</v>
      </c>
      <c r="I11" s="1861" t="s">
        <v>1860</v>
      </c>
      <c r="J11" s="1861" t="s">
        <v>1860</v>
      </c>
      <c r="K11" s="2082">
        <f>专项用途财政性资金审核表!K11</f>
        <v>0</v>
      </c>
      <c r="L11" s="2082">
        <f>专项用途财政性资金审核表!L11</f>
        <v>0</v>
      </c>
      <c r="M11" s="2082">
        <f>专项用途财政性资金审核表!M11</f>
        <v>0</v>
      </c>
      <c r="N11" s="2082">
        <f>专项用途财政性资金审核表!N11</f>
        <v>0</v>
      </c>
      <c r="O11" s="2082">
        <f>专项用途财政性资金审核表!O11</f>
        <v>0</v>
      </c>
      <c r="P11" s="2082">
        <f>专项用途财政性资金审核表!P11</f>
        <v>0</v>
      </c>
      <c r="Q11" s="1971"/>
    </row>
    <row r="12" spans="1:18" ht="14.25" customHeight="1">
      <c r="A12" s="1860">
        <v>6</v>
      </c>
      <c r="B12" s="1861" t="s">
        <v>5254</v>
      </c>
      <c r="C12" s="1864">
        <f>专项用途财政性资金审核表!C12</f>
        <v>2016</v>
      </c>
      <c r="D12" s="2082">
        <f>专项用途财政性资金审核表!D12</f>
        <v>0</v>
      </c>
      <c r="E12" s="2082">
        <f>专项用途财政性资金审核表!E12</f>
        <v>0</v>
      </c>
      <c r="F12" s="2082">
        <f>专项用途财政性资金审核表!F12</f>
        <v>0</v>
      </c>
      <c r="G12" s="1861" t="s">
        <v>1860</v>
      </c>
      <c r="H12" s="1861" t="s">
        <v>1860</v>
      </c>
      <c r="I12" s="1861" t="s">
        <v>1860</v>
      </c>
      <c r="J12" s="1861" t="s">
        <v>1860</v>
      </c>
      <c r="K12" s="1861" t="s">
        <v>1860</v>
      </c>
      <c r="L12" s="2082">
        <f>专项用途财政性资金审核表!L12</f>
        <v>0</v>
      </c>
      <c r="M12" s="2082">
        <f>专项用途财政性资金审核表!M12</f>
        <v>0</v>
      </c>
      <c r="N12" s="2082">
        <f>专项用途财政性资金审核表!N12</f>
        <v>0</v>
      </c>
      <c r="O12" s="2082">
        <f>专项用途财政性资金审核表!O12</f>
        <v>0</v>
      </c>
      <c r="P12" s="2082">
        <f>专项用途财政性资金审核表!P12</f>
        <v>0</v>
      </c>
      <c r="Q12" s="1971"/>
      <c r="R12" s="1675" t="s">
        <v>6442</v>
      </c>
    </row>
    <row r="13" spans="1:18" s="1559" customFormat="1" ht="19.5" customHeight="1">
      <c r="A13" s="1862">
        <v>7</v>
      </c>
      <c r="B13" s="1863" t="s">
        <v>5255</v>
      </c>
      <c r="C13" s="1861" t="s">
        <v>1860</v>
      </c>
      <c r="D13" s="2082">
        <f>专项用途财政性资金审核表!D13</f>
        <v>0</v>
      </c>
      <c r="E13" s="2082">
        <f>专项用途财政性资金审核表!E13</f>
        <v>0</v>
      </c>
      <c r="F13" s="2082">
        <f>专项用途财政性资金审核表!F13</f>
        <v>0</v>
      </c>
      <c r="G13" s="1861" t="s">
        <v>1860</v>
      </c>
      <c r="H13" s="1861" t="s">
        <v>1860</v>
      </c>
      <c r="I13" s="1861" t="s">
        <v>1860</v>
      </c>
      <c r="J13" s="1861" t="s">
        <v>1860</v>
      </c>
      <c r="K13" s="1861" t="s">
        <v>1860</v>
      </c>
      <c r="L13" s="2082">
        <f>专项用途财政性资金审核表!L13</f>
        <v>0</v>
      </c>
      <c r="M13" s="2082">
        <f>专项用途财政性资金审核表!M13</f>
        <v>0</v>
      </c>
      <c r="N13" s="2082">
        <f>专项用途财政性资金审核表!N13</f>
        <v>0</v>
      </c>
      <c r="O13" s="2082">
        <f>专项用途财政性资金审核表!O13</f>
        <v>0</v>
      </c>
      <c r="P13" s="2082">
        <f>专项用途财政性资金审核表!P13</f>
        <v>0</v>
      </c>
      <c r="Q13" s="1863" t="s">
        <v>6103</v>
      </c>
    </row>
  </sheetData>
  <mergeCells count="21">
    <mergeCell ref="Q3:Q5"/>
    <mergeCell ref="G4:G5"/>
    <mergeCell ref="H4:H5"/>
    <mergeCell ref="I4:I5"/>
    <mergeCell ref="J4:J5"/>
    <mergeCell ref="K4:K5"/>
    <mergeCell ref="L4:L5"/>
    <mergeCell ref="M4:M5"/>
    <mergeCell ref="N4:N5"/>
    <mergeCell ref="O4:O5"/>
    <mergeCell ref="A1:P1"/>
    <mergeCell ref="A2:P2"/>
    <mergeCell ref="A3:A6"/>
    <mergeCell ref="B3:B6"/>
    <mergeCell ref="C3:C5"/>
    <mergeCell ref="D3:D5"/>
    <mergeCell ref="E3:F4"/>
    <mergeCell ref="G3:K3"/>
    <mergeCell ref="L3:M3"/>
    <mergeCell ref="N3:P3"/>
    <mergeCell ref="P4:P5"/>
  </mergeCells>
  <phoneticPr fontId="51" type="noConversion"/>
  <hyperlinks>
    <hyperlink ref="R12" location="专项用途财政性资金审核表!A1" display="专项用途财政性资金审核表!A1"/>
  </hyperlinks>
  <printOptions horizontalCentered="1"/>
  <pageMargins left="0.78740157480314998" right="0.35433070866141703" top="0.511811023622047" bottom="0.11811023622047198" header="0.511811023622047" footer="0.511811023622047"/>
  <pageSetup paperSize="9" orientation="landscape" r:id="rId1"/>
  <headerFooter alignWithMargins="0"/>
</worksheet>
</file>

<file path=xl/worksheets/sheet1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28"/>
  <dimension ref="A1:K18"/>
  <sheetViews>
    <sheetView workbookViewId="0">
      <selection sqref="A1:H1"/>
    </sheetView>
  </sheetViews>
  <sheetFormatPr defaultRowHeight="15.6"/>
  <cols>
    <col min="1" max="1" width="5.19921875" style="1551" customWidth="1"/>
    <col min="2" max="2" width="35.59765625" style="1551" customWidth="1"/>
    <col min="3" max="3" width="12.3984375" style="1551" customWidth="1"/>
    <col min="4" max="4" width="7.5" style="1551" customWidth="1"/>
    <col min="5" max="8" width="12.3984375" style="1551" customWidth="1"/>
    <col min="9" max="9" width="14" style="1551" customWidth="1"/>
    <col min="10" max="10" width="19" style="1551" customWidth="1"/>
    <col min="11" max="256" width="9" style="1551"/>
    <col min="257" max="257" width="5.19921875" style="1551" customWidth="1"/>
    <col min="258" max="258" width="35.59765625" style="1551" customWidth="1"/>
    <col min="259" max="259" width="9.59765625" style="1551" customWidth="1"/>
    <col min="260" max="260" width="9.8984375" style="1551" customWidth="1"/>
    <col min="261" max="261" width="13.09765625" style="1551" customWidth="1"/>
    <col min="262" max="262" width="9" style="1551"/>
    <col min="263" max="263" width="10.09765625" style="1551" customWidth="1"/>
    <col min="264" max="264" width="13.09765625" style="1551" customWidth="1"/>
    <col min="265" max="265" width="14" style="1551" customWidth="1"/>
    <col min="266" max="266" width="19" style="1551" customWidth="1"/>
    <col min="267" max="512" width="9" style="1551"/>
    <col min="513" max="513" width="5.19921875" style="1551" customWidth="1"/>
    <col min="514" max="514" width="35.59765625" style="1551" customWidth="1"/>
    <col min="515" max="515" width="9.59765625" style="1551" customWidth="1"/>
    <col min="516" max="516" width="9.8984375" style="1551" customWidth="1"/>
    <col min="517" max="517" width="13.09765625" style="1551" customWidth="1"/>
    <col min="518" max="518" width="9" style="1551"/>
    <col min="519" max="519" width="10.09765625" style="1551" customWidth="1"/>
    <col min="520" max="520" width="13.09765625" style="1551" customWidth="1"/>
    <col min="521" max="521" width="14" style="1551" customWidth="1"/>
    <col min="522" max="522" width="19" style="1551" customWidth="1"/>
    <col min="523" max="768" width="9" style="1551"/>
    <col min="769" max="769" width="5.19921875" style="1551" customWidth="1"/>
    <col min="770" max="770" width="35.59765625" style="1551" customWidth="1"/>
    <col min="771" max="771" width="9.59765625" style="1551" customWidth="1"/>
    <col min="772" max="772" width="9.8984375" style="1551" customWidth="1"/>
    <col min="773" max="773" width="13.09765625" style="1551" customWidth="1"/>
    <col min="774" max="774" width="9" style="1551"/>
    <col min="775" max="775" width="10.09765625" style="1551" customWidth="1"/>
    <col min="776" max="776" width="13.09765625" style="1551" customWidth="1"/>
    <col min="777" max="777" width="14" style="1551" customWidth="1"/>
    <col min="778" max="778" width="19" style="1551" customWidth="1"/>
    <col min="779" max="1024" width="9" style="1551"/>
    <col min="1025" max="1025" width="5.19921875" style="1551" customWidth="1"/>
    <col min="1026" max="1026" width="35.59765625" style="1551" customWidth="1"/>
    <col min="1027" max="1027" width="9.59765625" style="1551" customWidth="1"/>
    <col min="1028" max="1028" width="9.8984375" style="1551" customWidth="1"/>
    <col min="1029" max="1029" width="13.09765625" style="1551" customWidth="1"/>
    <col min="1030" max="1030" width="9" style="1551"/>
    <col min="1031" max="1031" width="10.09765625" style="1551" customWidth="1"/>
    <col min="1032" max="1032" width="13.09765625" style="1551" customWidth="1"/>
    <col min="1033" max="1033" width="14" style="1551" customWidth="1"/>
    <col min="1034" max="1034" width="19" style="1551" customWidth="1"/>
    <col min="1035" max="1280" width="9" style="1551"/>
    <col min="1281" max="1281" width="5.19921875" style="1551" customWidth="1"/>
    <col min="1282" max="1282" width="35.59765625" style="1551" customWidth="1"/>
    <col min="1283" max="1283" width="9.59765625" style="1551" customWidth="1"/>
    <col min="1284" max="1284" width="9.8984375" style="1551" customWidth="1"/>
    <col min="1285" max="1285" width="13.09765625" style="1551" customWidth="1"/>
    <col min="1286" max="1286" width="9" style="1551"/>
    <col min="1287" max="1287" width="10.09765625" style="1551" customWidth="1"/>
    <col min="1288" max="1288" width="13.09765625" style="1551" customWidth="1"/>
    <col min="1289" max="1289" width="14" style="1551" customWidth="1"/>
    <col min="1290" max="1290" width="19" style="1551" customWidth="1"/>
    <col min="1291" max="1536" width="9" style="1551"/>
    <col min="1537" max="1537" width="5.19921875" style="1551" customWidth="1"/>
    <col min="1538" max="1538" width="35.59765625" style="1551" customWidth="1"/>
    <col min="1539" max="1539" width="9.59765625" style="1551" customWidth="1"/>
    <col min="1540" max="1540" width="9.8984375" style="1551" customWidth="1"/>
    <col min="1541" max="1541" width="13.09765625" style="1551" customWidth="1"/>
    <col min="1542" max="1542" width="9" style="1551"/>
    <col min="1543" max="1543" width="10.09765625" style="1551" customWidth="1"/>
    <col min="1544" max="1544" width="13.09765625" style="1551" customWidth="1"/>
    <col min="1545" max="1545" width="14" style="1551" customWidth="1"/>
    <col min="1546" max="1546" width="19" style="1551" customWidth="1"/>
    <col min="1547" max="1792" width="9" style="1551"/>
    <col min="1793" max="1793" width="5.19921875" style="1551" customWidth="1"/>
    <col min="1794" max="1794" width="35.59765625" style="1551" customWidth="1"/>
    <col min="1795" max="1795" width="9.59765625" style="1551" customWidth="1"/>
    <col min="1796" max="1796" width="9.8984375" style="1551" customWidth="1"/>
    <col min="1797" max="1797" width="13.09765625" style="1551" customWidth="1"/>
    <col min="1798" max="1798" width="9" style="1551"/>
    <col min="1799" max="1799" width="10.09765625" style="1551" customWidth="1"/>
    <col min="1800" max="1800" width="13.09765625" style="1551" customWidth="1"/>
    <col min="1801" max="1801" width="14" style="1551" customWidth="1"/>
    <col min="1802" max="1802" width="19" style="1551" customWidth="1"/>
    <col min="1803" max="2048" width="9" style="1551"/>
    <col min="2049" max="2049" width="5.19921875" style="1551" customWidth="1"/>
    <col min="2050" max="2050" width="35.59765625" style="1551" customWidth="1"/>
    <col min="2051" max="2051" width="9.59765625" style="1551" customWidth="1"/>
    <col min="2052" max="2052" width="9.8984375" style="1551" customWidth="1"/>
    <col min="2053" max="2053" width="13.09765625" style="1551" customWidth="1"/>
    <col min="2054" max="2054" width="9" style="1551"/>
    <col min="2055" max="2055" width="10.09765625" style="1551" customWidth="1"/>
    <col min="2056" max="2056" width="13.09765625" style="1551" customWidth="1"/>
    <col min="2057" max="2057" width="14" style="1551" customWidth="1"/>
    <col min="2058" max="2058" width="19" style="1551" customWidth="1"/>
    <col min="2059" max="2304" width="9" style="1551"/>
    <col min="2305" max="2305" width="5.19921875" style="1551" customWidth="1"/>
    <col min="2306" max="2306" width="35.59765625" style="1551" customWidth="1"/>
    <col min="2307" max="2307" width="9.59765625" style="1551" customWidth="1"/>
    <col min="2308" max="2308" width="9.8984375" style="1551" customWidth="1"/>
    <col min="2309" max="2309" width="13.09765625" style="1551" customWidth="1"/>
    <col min="2310" max="2310" width="9" style="1551"/>
    <col min="2311" max="2311" width="10.09765625" style="1551" customWidth="1"/>
    <col min="2312" max="2312" width="13.09765625" style="1551" customWidth="1"/>
    <col min="2313" max="2313" width="14" style="1551" customWidth="1"/>
    <col min="2314" max="2314" width="19" style="1551" customWidth="1"/>
    <col min="2315" max="2560" width="9" style="1551"/>
    <col min="2561" max="2561" width="5.19921875" style="1551" customWidth="1"/>
    <col min="2562" max="2562" width="35.59765625" style="1551" customWidth="1"/>
    <col min="2563" max="2563" width="9.59765625" style="1551" customWidth="1"/>
    <col min="2564" max="2564" width="9.8984375" style="1551" customWidth="1"/>
    <col min="2565" max="2565" width="13.09765625" style="1551" customWidth="1"/>
    <col min="2566" max="2566" width="9" style="1551"/>
    <col min="2567" max="2567" width="10.09765625" style="1551" customWidth="1"/>
    <col min="2568" max="2568" width="13.09765625" style="1551" customWidth="1"/>
    <col min="2569" max="2569" width="14" style="1551" customWidth="1"/>
    <col min="2570" max="2570" width="19" style="1551" customWidth="1"/>
    <col min="2571" max="2816" width="9" style="1551"/>
    <col min="2817" max="2817" width="5.19921875" style="1551" customWidth="1"/>
    <col min="2818" max="2818" width="35.59765625" style="1551" customWidth="1"/>
    <col min="2819" max="2819" width="9.59765625" style="1551" customWidth="1"/>
    <col min="2820" max="2820" width="9.8984375" style="1551" customWidth="1"/>
    <col min="2821" max="2821" width="13.09765625" style="1551" customWidth="1"/>
    <col min="2822" max="2822" width="9" style="1551"/>
    <col min="2823" max="2823" width="10.09765625" style="1551" customWidth="1"/>
    <col min="2824" max="2824" width="13.09765625" style="1551" customWidth="1"/>
    <col min="2825" max="2825" width="14" style="1551" customWidth="1"/>
    <col min="2826" max="2826" width="19" style="1551" customWidth="1"/>
    <col min="2827" max="3072" width="9" style="1551"/>
    <col min="3073" max="3073" width="5.19921875" style="1551" customWidth="1"/>
    <col min="3074" max="3074" width="35.59765625" style="1551" customWidth="1"/>
    <col min="3075" max="3075" width="9.59765625" style="1551" customWidth="1"/>
    <col min="3076" max="3076" width="9.8984375" style="1551" customWidth="1"/>
    <col min="3077" max="3077" width="13.09765625" style="1551" customWidth="1"/>
    <col min="3078" max="3078" width="9" style="1551"/>
    <col min="3079" max="3079" width="10.09765625" style="1551" customWidth="1"/>
    <col min="3080" max="3080" width="13.09765625" style="1551" customWidth="1"/>
    <col min="3081" max="3081" width="14" style="1551" customWidth="1"/>
    <col min="3082" max="3082" width="19" style="1551" customWidth="1"/>
    <col min="3083" max="3328" width="9" style="1551"/>
    <col min="3329" max="3329" width="5.19921875" style="1551" customWidth="1"/>
    <col min="3330" max="3330" width="35.59765625" style="1551" customWidth="1"/>
    <col min="3331" max="3331" width="9.59765625" style="1551" customWidth="1"/>
    <col min="3332" max="3332" width="9.8984375" style="1551" customWidth="1"/>
    <col min="3333" max="3333" width="13.09765625" style="1551" customWidth="1"/>
    <col min="3334" max="3334" width="9" style="1551"/>
    <col min="3335" max="3335" width="10.09765625" style="1551" customWidth="1"/>
    <col min="3336" max="3336" width="13.09765625" style="1551" customWidth="1"/>
    <col min="3337" max="3337" width="14" style="1551" customWidth="1"/>
    <col min="3338" max="3338" width="19" style="1551" customWidth="1"/>
    <col min="3339" max="3584" width="9" style="1551"/>
    <col min="3585" max="3585" width="5.19921875" style="1551" customWidth="1"/>
    <col min="3586" max="3586" width="35.59765625" style="1551" customWidth="1"/>
    <col min="3587" max="3587" width="9.59765625" style="1551" customWidth="1"/>
    <col min="3588" max="3588" width="9.8984375" style="1551" customWidth="1"/>
    <col min="3589" max="3589" width="13.09765625" style="1551" customWidth="1"/>
    <col min="3590" max="3590" width="9" style="1551"/>
    <col min="3591" max="3591" width="10.09765625" style="1551" customWidth="1"/>
    <col min="3592" max="3592" width="13.09765625" style="1551" customWidth="1"/>
    <col min="3593" max="3593" width="14" style="1551" customWidth="1"/>
    <col min="3594" max="3594" width="19" style="1551" customWidth="1"/>
    <col min="3595" max="3840" width="9" style="1551"/>
    <col min="3841" max="3841" width="5.19921875" style="1551" customWidth="1"/>
    <col min="3842" max="3842" width="35.59765625" style="1551" customWidth="1"/>
    <col min="3843" max="3843" width="9.59765625" style="1551" customWidth="1"/>
    <col min="3844" max="3844" width="9.8984375" style="1551" customWidth="1"/>
    <col min="3845" max="3845" width="13.09765625" style="1551" customWidth="1"/>
    <col min="3846" max="3846" width="9" style="1551"/>
    <col min="3847" max="3847" width="10.09765625" style="1551" customWidth="1"/>
    <col min="3848" max="3848" width="13.09765625" style="1551" customWidth="1"/>
    <col min="3849" max="3849" width="14" style="1551" customWidth="1"/>
    <col min="3850" max="3850" width="19" style="1551" customWidth="1"/>
    <col min="3851" max="4096" width="9" style="1551"/>
    <col min="4097" max="4097" width="5.19921875" style="1551" customWidth="1"/>
    <col min="4098" max="4098" width="35.59765625" style="1551" customWidth="1"/>
    <col min="4099" max="4099" width="9.59765625" style="1551" customWidth="1"/>
    <col min="4100" max="4100" width="9.8984375" style="1551" customWidth="1"/>
    <col min="4101" max="4101" width="13.09765625" style="1551" customWidth="1"/>
    <col min="4102" max="4102" width="9" style="1551"/>
    <col min="4103" max="4103" width="10.09765625" style="1551" customWidth="1"/>
    <col min="4104" max="4104" width="13.09765625" style="1551" customWidth="1"/>
    <col min="4105" max="4105" width="14" style="1551" customWidth="1"/>
    <col min="4106" max="4106" width="19" style="1551" customWidth="1"/>
    <col min="4107" max="4352" width="9" style="1551"/>
    <col min="4353" max="4353" width="5.19921875" style="1551" customWidth="1"/>
    <col min="4354" max="4354" width="35.59765625" style="1551" customWidth="1"/>
    <col min="4355" max="4355" width="9.59765625" style="1551" customWidth="1"/>
    <col min="4356" max="4356" width="9.8984375" style="1551" customWidth="1"/>
    <col min="4357" max="4357" width="13.09765625" style="1551" customWidth="1"/>
    <col min="4358" max="4358" width="9" style="1551"/>
    <col min="4359" max="4359" width="10.09765625" style="1551" customWidth="1"/>
    <col min="4360" max="4360" width="13.09765625" style="1551" customWidth="1"/>
    <col min="4361" max="4361" width="14" style="1551" customWidth="1"/>
    <col min="4362" max="4362" width="19" style="1551" customWidth="1"/>
    <col min="4363" max="4608" width="9" style="1551"/>
    <col min="4609" max="4609" width="5.19921875" style="1551" customWidth="1"/>
    <col min="4610" max="4610" width="35.59765625" style="1551" customWidth="1"/>
    <col min="4611" max="4611" width="9.59765625" style="1551" customWidth="1"/>
    <col min="4612" max="4612" width="9.8984375" style="1551" customWidth="1"/>
    <col min="4613" max="4613" width="13.09765625" style="1551" customWidth="1"/>
    <col min="4614" max="4614" width="9" style="1551"/>
    <col min="4615" max="4615" width="10.09765625" style="1551" customWidth="1"/>
    <col min="4616" max="4616" width="13.09765625" style="1551" customWidth="1"/>
    <col min="4617" max="4617" width="14" style="1551" customWidth="1"/>
    <col min="4618" max="4618" width="19" style="1551" customWidth="1"/>
    <col min="4619" max="4864" width="9" style="1551"/>
    <col min="4865" max="4865" width="5.19921875" style="1551" customWidth="1"/>
    <col min="4866" max="4866" width="35.59765625" style="1551" customWidth="1"/>
    <col min="4867" max="4867" width="9.59765625" style="1551" customWidth="1"/>
    <col min="4868" max="4868" width="9.8984375" style="1551" customWidth="1"/>
    <col min="4869" max="4869" width="13.09765625" style="1551" customWidth="1"/>
    <col min="4870" max="4870" width="9" style="1551"/>
    <col min="4871" max="4871" width="10.09765625" style="1551" customWidth="1"/>
    <col min="4872" max="4872" width="13.09765625" style="1551" customWidth="1"/>
    <col min="4873" max="4873" width="14" style="1551" customWidth="1"/>
    <col min="4874" max="4874" width="19" style="1551" customWidth="1"/>
    <col min="4875" max="5120" width="9" style="1551"/>
    <col min="5121" max="5121" width="5.19921875" style="1551" customWidth="1"/>
    <col min="5122" max="5122" width="35.59765625" style="1551" customWidth="1"/>
    <col min="5123" max="5123" width="9.59765625" style="1551" customWidth="1"/>
    <col min="5124" max="5124" width="9.8984375" style="1551" customWidth="1"/>
    <col min="5125" max="5125" width="13.09765625" style="1551" customWidth="1"/>
    <col min="5126" max="5126" width="9" style="1551"/>
    <col min="5127" max="5127" width="10.09765625" style="1551" customWidth="1"/>
    <col min="5128" max="5128" width="13.09765625" style="1551" customWidth="1"/>
    <col min="5129" max="5129" width="14" style="1551" customWidth="1"/>
    <col min="5130" max="5130" width="19" style="1551" customWidth="1"/>
    <col min="5131" max="5376" width="9" style="1551"/>
    <col min="5377" max="5377" width="5.19921875" style="1551" customWidth="1"/>
    <col min="5378" max="5378" width="35.59765625" style="1551" customWidth="1"/>
    <col min="5379" max="5379" width="9.59765625" style="1551" customWidth="1"/>
    <col min="5380" max="5380" width="9.8984375" style="1551" customWidth="1"/>
    <col min="5381" max="5381" width="13.09765625" style="1551" customWidth="1"/>
    <col min="5382" max="5382" width="9" style="1551"/>
    <col min="5383" max="5383" width="10.09765625" style="1551" customWidth="1"/>
    <col min="5384" max="5384" width="13.09765625" style="1551" customWidth="1"/>
    <col min="5385" max="5385" width="14" style="1551" customWidth="1"/>
    <col min="5386" max="5386" width="19" style="1551" customWidth="1"/>
    <col min="5387" max="5632" width="9" style="1551"/>
    <col min="5633" max="5633" width="5.19921875" style="1551" customWidth="1"/>
    <col min="5634" max="5634" width="35.59765625" style="1551" customWidth="1"/>
    <col min="5635" max="5635" width="9.59765625" style="1551" customWidth="1"/>
    <col min="5636" max="5636" width="9.8984375" style="1551" customWidth="1"/>
    <col min="5637" max="5637" width="13.09765625" style="1551" customWidth="1"/>
    <col min="5638" max="5638" width="9" style="1551"/>
    <col min="5639" max="5639" width="10.09765625" style="1551" customWidth="1"/>
    <col min="5640" max="5640" width="13.09765625" style="1551" customWidth="1"/>
    <col min="5641" max="5641" width="14" style="1551" customWidth="1"/>
    <col min="5642" max="5642" width="19" style="1551" customWidth="1"/>
    <col min="5643" max="5888" width="9" style="1551"/>
    <col min="5889" max="5889" width="5.19921875" style="1551" customWidth="1"/>
    <col min="5890" max="5890" width="35.59765625" style="1551" customWidth="1"/>
    <col min="5891" max="5891" width="9.59765625" style="1551" customWidth="1"/>
    <col min="5892" max="5892" width="9.8984375" style="1551" customWidth="1"/>
    <col min="5893" max="5893" width="13.09765625" style="1551" customWidth="1"/>
    <col min="5894" max="5894" width="9" style="1551"/>
    <col min="5895" max="5895" width="10.09765625" style="1551" customWidth="1"/>
    <col min="5896" max="5896" width="13.09765625" style="1551" customWidth="1"/>
    <col min="5897" max="5897" width="14" style="1551" customWidth="1"/>
    <col min="5898" max="5898" width="19" style="1551" customWidth="1"/>
    <col min="5899" max="6144" width="9" style="1551"/>
    <col min="6145" max="6145" width="5.19921875" style="1551" customWidth="1"/>
    <col min="6146" max="6146" width="35.59765625" style="1551" customWidth="1"/>
    <col min="6147" max="6147" width="9.59765625" style="1551" customWidth="1"/>
    <col min="6148" max="6148" width="9.8984375" style="1551" customWidth="1"/>
    <col min="6149" max="6149" width="13.09765625" style="1551" customWidth="1"/>
    <col min="6150" max="6150" width="9" style="1551"/>
    <col min="6151" max="6151" width="10.09765625" style="1551" customWidth="1"/>
    <col min="6152" max="6152" width="13.09765625" style="1551" customWidth="1"/>
    <col min="6153" max="6153" width="14" style="1551" customWidth="1"/>
    <col min="6154" max="6154" width="19" style="1551" customWidth="1"/>
    <col min="6155" max="6400" width="9" style="1551"/>
    <col min="6401" max="6401" width="5.19921875" style="1551" customWidth="1"/>
    <col min="6402" max="6402" width="35.59765625" style="1551" customWidth="1"/>
    <col min="6403" max="6403" width="9.59765625" style="1551" customWidth="1"/>
    <col min="6404" max="6404" width="9.8984375" style="1551" customWidth="1"/>
    <col min="6405" max="6405" width="13.09765625" style="1551" customWidth="1"/>
    <col min="6406" max="6406" width="9" style="1551"/>
    <col min="6407" max="6407" width="10.09765625" style="1551" customWidth="1"/>
    <col min="6408" max="6408" width="13.09765625" style="1551" customWidth="1"/>
    <col min="6409" max="6409" width="14" style="1551" customWidth="1"/>
    <col min="6410" max="6410" width="19" style="1551" customWidth="1"/>
    <col min="6411" max="6656" width="9" style="1551"/>
    <col min="6657" max="6657" width="5.19921875" style="1551" customWidth="1"/>
    <col min="6658" max="6658" width="35.59765625" style="1551" customWidth="1"/>
    <col min="6659" max="6659" width="9.59765625" style="1551" customWidth="1"/>
    <col min="6660" max="6660" width="9.8984375" style="1551" customWidth="1"/>
    <col min="6661" max="6661" width="13.09765625" style="1551" customWidth="1"/>
    <col min="6662" max="6662" width="9" style="1551"/>
    <col min="6663" max="6663" width="10.09765625" style="1551" customWidth="1"/>
    <col min="6664" max="6664" width="13.09765625" style="1551" customWidth="1"/>
    <col min="6665" max="6665" width="14" style="1551" customWidth="1"/>
    <col min="6666" max="6666" width="19" style="1551" customWidth="1"/>
    <col min="6667" max="6912" width="9" style="1551"/>
    <col min="6913" max="6913" width="5.19921875" style="1551" customWidth="1"/>
    <col min="6914" max="6914" width="35.59765625" style="1551" customWidth="1"/>
    <col min="6915" max="6915" width="9.59765625" style="1551" customWidth="1"/>
    <col min="6916" max="6916" width="9.8984375" style="1551" customWidth="1"/>
    <col min="6917" max="6917" width="13.09765625" style="1551" customWidth="1"/>
    <col min="6918" max="6918" width="9" style="1551"/>
    <col min="6919" max="6919" width="10.09765625" style="1551" customWidth="1"/>
    <col min="6920" max="6920" width="13.09765625" style="1551" customWidth="1"/>
    <col min="6921" max="6921" width="14" style="1551" customWidth="1"/>
    <col min="6922" max="6922" width="19" style="1551" customWidth="1"/>
    <col min="6923" max="7168" width="9" style="1551"/>
    <col min="7169" max="7169" width="5.19921875" style="1551" customWidth="1"/>
    <col min="7170" max="7170" width="35.59765625" style="1551" customWidth="1"/>
    <col min="7171" max="7171" width="9.59765625" style="1551" customWidth="1"/>
    <col min="7172" max="7172" width="9.8984375" style="1551" customWidth="1"/>
    <col min="7173" max="7173" width="13.09765625" style="1551" customWidth="1"/>
    <col min="7174" max="7174" width="9" style="1551"/>
    <col min="7175" max="7175" width="10.09765625" style="1551" customWidth="1"/>
    <col min="7176" max="7176" width="13.09765625" style="1551" customWidth="1"/>
    <col min="7177" max="7177" width="14" style="1551" customWidth="1"/>
    <col min="7178" max="7178" width="19" style="1551" customWidth="1"/>
    <col min="7179" max="7424" width="9" style="1551"/>
    <col min="7425" max="7425" width="5.19921875" style="1551" customWidth="1"/>
    <col min="7426" max="7426" width="35.59765625" style="1551" customWidth="1"/>
    <col min="7427" max="7427" width="9.59765625" style="1551" customWidth="1"/>
    <col min="7428" max="7428" width="9.8984375" style="1551" customWidth="1"/>
    <col min="7429" max="7429" width="13.09765625" style="1551" customWidth="1"/>
    <col min="7430" max="7430" width="9" style="1551"/>
    <col min="7431" max="7431" width="10.09765625" style="1551" customWidth="1"/>
    <col min="7432" max="7432" width="13.09765625" style="1551" customWidth="1"/>
    <col min="7433" max="7433" width="14" style="1551" customWidth="1"/>
    <col min="7434" max="7434" width="19" style="1551" customWidth="1"/>
    <col min="7435" max="7680" width="9" style="1551"/>
    <col min="7681" max="7681" width="5.19921875" style="1551" customWidth="1"/>
    <col min="7682" max="7682" width="35.59765625" style="1551" customWidth="1"/>
    <col min="7683" max="7683" width="9.59765625" style="1551" customWidth="1"/>
    <col min="7684" max="7684" width="9.8984375" style="1551" customWidth="1"/>
    <col min="7685" max="7685" width="13.09765625" style="1551" customWidth="1"/>
    <col min="7686" max="7686" width="9" style="1551"/>
    <col min="7687" max="7687" width="10.09765625" style="1551" customWidth="1"/>
    <col min="7688" max="7688" width="13.09765625" style="1551" customWidth="1"/>
    <col min="7689" max="7689" width="14" style="1551" customWidth="1"/>
    <col min="7690" max="7690" width="19" style="1551" customWidth="1"/>
    <col min="7691" max="7936" width="9" style="1551"/>
    <col min="7937" max="7937" width="5.19921875" style="1551" customWidth="1"/>
    <col min="7938" max="7938" width="35.59765625" style="1551" customWidth="1"/>
    <col min="7939" max="7939" width="9.59765625" style="1551" customWidth="1"/>
    <col min="7940" max="7940" width="9.8984375" style="1551" customWidth="1"/>
    <col min="7941" max="7941" width="13.09765625" style="1551" customWidth="1"/>
    <col min="7942" max="7942" width="9" style="1551"/>
    <col min="7943" max="7943" width="10.09765625" style="1551" customWidth="1"/>
    <col min="7944" max="7944" width="13.09765625" style="1551" customWidth="1"/>
    <col min="7945" max="7945" width="14" style="1551" customWidth="1"/>
    <col min="7946" max="7946" width="19" style="1551" customWidth="1"/>
    <col min="7947" max="8192" width="9" style="1551"/>
    <col min="8193" max="8193" width="5.19921875" style="1551" customWidth="1"/>
    <col min="8194" max="8194" width="35.59765625" style="1551" customWidth="1"/>
    <col min="8195" max="8195" width="9.59765625" style="1551" customWidth="1"/>
    <col min="8196" max="8196" width="9.8984375" style="1551" customWidth="1"/>
    <col min="8197" max="8197" width="13.09765625" style="1551" customWidth="1"/>
    <col min="8198" max="8198" width="9" style="1551"/>
    <col min="8199" max="8199" width="10.09765625" style="1551" customWidth="1"/>
    <col min="8200" max="8200" width="13.09765625" style="1551" customWidth="1"/>
    <col min="8201" max="8201" width="14" style="1551" customWidth="1"/>
    <col min="8202" max="8202" width="19" style="1551" customWidth="1"/>
    <col min="8203" max="8448" width="9" style="1551"/>
    <col min="8449" max="8449" width="5.19921875" style="1551" customWidth="1"/>
    <col min="8450" max="8450" width="35.59765625" style="1551" customWidth="1"/>
    <col min="8451" max="8451" width="9.59765625" style="1551" customWidth="1"/>
    <col min="8452" max="8452" width="9.8984375" style="1551" customWidth="1"/>
    <col min="8453" max="8453" width="13.09765625" style="1551" customWidth="1"/>
    <col min="8454" max="8454" width="9" style="1551"/>
    <col min="8455" max="8455" width="10.09765625" style="1551" customWidth="1"/>
    <col min="8456" max="8456" width="13.09765625" style="1551" customWidth="1"/>
    <col min="8457" max="8457" width="14" style="1551" customWidth="1"/>
    <col min="8458" max="8458" width="19" style="1551" customWidth="1"/>
    <col min="8459" max="8704" width="9" style="1551"/>
    <col min="8705" max="8705" width="5.19921875" style="1551" customWidth="1"/>
    <col min="8706" max="8706" width="35.59765625" style="1551" customWidth="1"/>
    <col min="8707" max="8707" width="9.59765625" style="1551" customWidth="1"/>
    <col min="8708" max="8708" width="9.8984375" style="1551" customWidth="1"/>
    <col min="8709" max="8709" width="13.09765625" style="1551" customWidth="1"/>
    <col min="8710" max="8710" width="9" style="1551"/>
    <col min="8711" max="8711" width="10.09765625" style="1551" customWidth="1"/>
    <col min="8712" max="8712" width="13.09765625" style="1551" customWidth="1"/>
    <col min="8713" max="8713" width="14" style="1551" customWidth="1"/>
    <col min="8714" max="8714" width="19" style="1551" customWidth="1"/>
    <col min="8715" max="8960" width="9" style="1551"/>
    <col min="8961" max="8961" width="5.19921875" style="1551" customWidth="1"/>
    <col min="8962" max="8962" width="35.59765625" style="1551" customWidth="1"/>
    <col min="8963" max="8963" width="9.59765625" style="1551" customWidth="1"/>
    <col min="8964" max="8964" width="9.8984375" style="1551" customWidth="1"/>
    <col min="8965" max="8965" width="13.09765625" style="1551" customWidth="1"/>
    <col min="8966" max="8966" width="9" style="1551"/>
    <col min="8967" max="8967" width="10.09765625" style="1551" customWidth="1"/>
    <col min="8968" max="8968" width="13.09765625" style="1551" customWidth="1"/>
    <col min="8969" max="8969" width="14" style="1551" customWidth="1"/>
    <col min="8970" max="8970" width="19" style="1551" customWidth="1"/>
    <col min="8971" max="9216" width="9" style="1551"/>
    <col min="9217" max="9217" width="5.19921875" style="1551" customWidth="1"/>
    <col min="9218" max="9218" width="35.59765625" style="1551" customWidth="1"/>
    <col min="9219" max="9219" width="9.59765625" style="1551" customWidth="1"/>
    <col min="9220" max="9220" width="9.8984375" style="1551" customWidth="1"/>
    <col min="9221" max="9221" width="13.09765625" style="1551" customWidth="1"/>
    <col min="9222" max="9222" width="9" style="1551"/>
    <col min="9223" max="9223" width="10.09765625" style="1551" customWidth="1"/>
    <col min="9224" max="9224" width="13.09765625" style="1551" customWidth="1"/>
    <col min="9225" max="9225" width="14" style="1551" customWidth="1"/>
    <col min="9226" max="9226" width="19" style="1551" customWidth="1"/>
    <col min="9227" max="9472" width="9" style="1551"/>
    <col min="9473" max="9473" width="5.19921875" style="1551" customWidth="1"/>
    <col min="9474" max="9474" width="35.59765625" style="1551" customWidth="1"/>
    <col min="9475" max="9475" width="9.59765625" style="1551" customWidth="1"/>
    <col min="9476" max="9476" width="9.8984375" style="1551" customWidth="1"/>
    <col min="9477" max="9477" width="13.09765625" style="1551" customWidth="1"/>
    <col min="9478" max="9478" width="9" style="1551"/>
    <col min="9479" max="9479" width="10.09765625" style="1551" customWidth="1"/>
    <col min="9480" max="9480" width="13.09765625" style="1551" customWidth="1"/>
    <col min="9481" max="9481" width="14" style="1551" customWidth="1"/>
    <col min="9482" max="9482" width="19" style="1551" customWidth="1"/>
    <col min="9483" max="9728" width="9" style="1551"/>
    <col min="9729" max="9729" width="5.19921875" style="1551" customWidth="1"/>
    <col min="9730" max="9730" width="35.59765625" style="1551" customWidth="1"/>
    <col min="9731" max="9731" width="9.59765625" style="1551" customWidth="1"/>
    <col min="9732" max="9732" width="9.8984375" style="1551" customWidth="1"/>
    <col min="9733" max="9733" width="13.09765625" style="1551" customWidth="1"/>
    <col min="9734" max="9734" width="9" style="1551"/>
    <col min="9735" max="9735" width="10.09765625" style="1551" customWidth="1"/>
    <col min="9736" max="9736" width="13.09765625" style="1551" customWidth="1"/>
    <col min="9737" max="9737" width="14" style="1551" customWidth="1"/>
    <col min="9738" max="9738" width="19" style="1551" customWidth="1"/>
    <col min="9739" max="9984" width="9" style="1551"/>
    <col min="9985" max="9985" width="5.19921875" style="1551" customWidth="1"/>
    <col min="9986" max="9986" width="35.59765625" style="1551" customWidth="1"/>
    <col min="9987" max="9987" width="9.59765625" style="1551" customWidth="1"/>
    <col min="9988" max="9988" width="9.8984375" style="1551" customWidth="1"/>
    <col min="9989" max="9989" width="13.09765625" style="1551" customWidth="1"/>
    <col min="9990" max="9990" width="9" style="1551"/>
    <col min="9991" max="9991" width="10.09765625" style="1551" customWidth="1"/>
    <col min="9992" max="9992" width="13.09765625" style="1551" customWidth="1"/>
    <col min="9993" max="9993" width="14" style="1551" customWidth="1"/>
    <col min="9994" max="9994" width="19" style="1551" customWidth="1"/>
    <col min="9995" max="10240" width="9" style="1551"/>
    <col min="10241" max="10241" width="5.19921875" style="1551" customWidth="1"/>
    <col min="10242" max="10242" width="35.59765625" style="1551" customWidth="1"/>
    <col min="10243" max="10243" width="9.59765625" style="1551" customWidth="1"/>
    <col min="10244" max="10244" width="9.8984375" style="1551" customWidth="1"/>
    <col min="10245" max="10245" width="13.09765625" style="1551" customWidth="1"/>
    <col min="10246" max="10246" width="9" style="1551"/>
    <col min="10247" max="10247" width="10.09765625" style="1551" customWidth="1"/>
    <col min="10248" max="10248" width="13.09765625" style="1551" customWidth="1"/>
    <col min="10249" max="10249" width="14" style="1551" customWidth="1"/>
    <col min="10250" max="10250" width="19" style="1551" customWidth="1"/>
    <col min="10251" max="10496" width="9" style="1551"/>
    <col min="10497" max="10497" width="5.19921875" style="1551" customWidth="1"/>
    <col min="10498" max="10498" width="35.59765625" style="1551" customWidth="1"/>
    <col min="10499" max="10499" width="9.59765625" style="1551" customWidth="1"/>
    <col min="10500" max="10500" width="9.8984375" style="1551" customWidth="1"/>
    <col min="10501" max="10501" width="13.09765625" style="1551" customWidth="1"/>
    <col min="10502" max="10502" width="9" style="1551"/>
    <col min="10503" max="10503" width="10.09765625" style="1551" customWidth="1"/>
    <col min="10504" max="10504" width="13.09765625" style="1551" customWidth="1"/>
    <col min="10505" max="10505" width="14" style="1551" customWidth="1"/>
    <col min="10506" max="10506" width="19" style="1551" customWidth="1"/>
    <col min="10507" max="10752" width="9" style="1551"/>
    <col min="10753" max="10753" width="5.19921875" style="1551" customWidth="1"/>
    <col min="10754" max="10754" width="35.59765625" style="1551" customWidth="1"/>
    <col min="10755" max="10755" width="9.59765625" style="1551" customWidth="1"/>
    <col min="10756" max="10756" width="9.8984375" style="1551" customWidth="1"/>
    <col min="10757" max="10757" width="13.09765625" style="1551" customWidth="1"/>
    <col min="10758" max="10758" width="9" style="1551"/>
    <col min="10759" max="10759" width="10.09765625" style="1551" customWidth="1"/>
    <col min="10760" max="10760" width="13.09765625" style="1551" customWidth="1"/>
    <col min="10761" max="10761" width="14" style="1551" customWidth="1"/>
    <col min="10762" max="10762" width="19" style="1551" customWidth="1"/>
    <col min="10763" max="11008" width="9" style="1551"/>
    <col min="11009" max="11009" width="5.19921875" style="1551" customWidth="1"/>
    <col min="11010" max="11010" width="35.59765625" style="1551" customWidth="1"/>
    <col min="11011" max="11011" width="9.59765625" style="1551" customWidth="1"/>
    <col min="11012" max="11012" width="9.8984375" style="1551" customWidth="1"/>
    <col min="11013" max="11013" width="13.09765625" style="1551" customWidth="1"/>
    <col min="11014" max="11014" width="9" style="1551"/>
    <col min="11015" max="11015" width="10.09765625" style="1551" customWidth="1"/>
    <col min="11016" max="11016" width="13.09765625" style="1551" customWidth="1"/>
    <col min="11017" max="11017" width="14" style="1551" customWidth="1"/>
    <col min="11018" max="11018" width="19" style="1551" customWidth="1"/>
    <col min="11019" max="11264" width="9" style="1551"/>
    <col min="11265" max="11265" width="5.19921875" style="1551" customWidth="1"/>
    <col min="11266" max="11266" width="35.59765625" style="1551" customWidth="1"/>
    <col min="11267" max="11267" width="9.59765625" style="1551" customWidth="1"/>
    <col min="11268" max="11268" width="9.8984375" style="1551" customWidth="1"/>
    <col min="11269" max="11269" width="13.09765625" style="1551" customWidth="1"/>
    <col min="11270" max="11270" width="9" style="1551"/>
    <col min="11271" max="11271" width="10.09765625" style="1551" customWidth="1"/>
    <col min="11272" max="11272" width="13.09765625" style="1551" customWidth="1"/>
    <col min="11273" max="11273" width="14" style="1551" customWidth="1"/>
    <col min="11274" max="11274" width="19" style="1551" customWidth="1"/>
    <col min="11275" max="11520" width="9" style="1551"/>
    <col min="11521" max="11521" width="5.19921875" style="1551" customWidth="1"/>
    <col min="11522" max="11522" width="35.59765625" style="1551" customWidth="1"/>
    <col min="11523" max="11523" width="9.59765625" style="1551" customWidth="1"/>
    <col min="11524" max="11524" width="9.8984375" style="1551" customWidth="1"/>
    <col min="11525" max="11525" width="13.09765625" style="1551" customWidth="1"/>
    <col min="11526" max="11526" width="9" style="1551"/>
    <col min="11527" max="11527" width="10.09765625" style="1551" customWidth="1"/>
    <col min="11528" max="11528" width="13.09765625" style="1551" customWidth="1"/>
    <col min="11529" max="11529" width="14" style="1551" customWidth="1"/>
    <col min="11530" max="11530" width="19" style="1551" customWidth="1"/>
    <col min="11531" max="11776" width="9" style="1551"/>
    <col min="11777" max="11777" width="5.19921875" style="1551" customWidth="1"/>
    <col min="11778" max="11778" width="35.59765625" style="1551" customWidth="1"/>
    <col min="11779" max="11779" width="9.59765625" style="1551" customWidth="1"/>
    <col min="11780" max="11780" width="9.8984375" style="1551" customWidth="1"/>
    <col min="11781" max="11781" width="13.09765625" style="1551" customWidth="1"/>
    <col min="11782" max="11782" width="9" style="1551"/>
    <col min="11783" max="11783" width="10.09765625" style="1551" customWidth="1"/>
    <col min="11784" max="11784" width="13.09765625" style="1551" customWidth="1"/>
    <col min="11785" max="11785" width="14" style="1551" customWidth="1"/>
    <col min="11786" max="11786" width="19" style="1551" customWidth="1"/>
    <col min="11787" max="12032" width="9" style="1551"/>
    <col min="12033" max="12033" width="5.19921875" style="1551" customWidth="1"/>
    <col min="12034" max="12034" width="35.59765625" style="1551" customWidth="1"/>
    <col min="12035" max="12035" width="9.59765625" style="1551" customWidth="1"/>
    <col min="12036" max="12036" width="9.8984375" style="1551" customWidth="1"/>
    <col min="12037" max="12037" width="13.09765625" style="1551" customWidth="1"/>
    <col min="12038" max="12038" width="9" style="1551"/>
    <col min="12039" max="12039" width="10.09765625" style="1551" customWidth="1"/>
    <col min="12040" max="12040" width="13.09765625" style="1551" customWidth="1"/>
    <col min="12041" max="12041" width="14" style="1551" customWidth="1"/>
    <col min="12042" max="12042" width="19" style="1551" customWidth="1"/>
    <col min="12043" max="12288" width="9" style="1551"/>
    <col min="12289" max="12289" width="5.19921875" style="1551" customWidth="1"/>
    <col min="12290" max="12290" width="35.59765625" style="1551" customWidth="1"/>
    <col min="12291" max="12291" width="9.59765625" style="1551" customWidth="1"/>
    <col min="12292" max="12292" width="9.8984375" style="1551" customWidth="1"/>
    <col min="12293" max="12293" width="13.09765625" style="1551" customWidth="1"/>
    <col min="12294" max="12294" width="9" style="1551"/>
    <col min="12295" max="12295" width="10.09765625" style="1551" customWidth="1"/>
    <col min="12296" max="12296" width="13.09765625" style="1551" customWidth="1"/>
    <col min="12297" max="12297" width="14" style="1551" customWidth="1"/>
    <col min="12298" max="12298" width="19" style="1551" customWidth="1"/>
    <col min="12299" max="12544" width="9" style="1551"/>
    <col min="12545" max="12545" width="5.19921875" style="1551" customWidth="1"/>
    <col min="12546" max="12546" width="35.59765625" style="1551" customWidth="1"/>
    <col min="12547" max="12547" width="9.59765625" style="1551" customWidth="1"/>
    <col min="12548" max="12548" width="9.8984375" style="1551" customWidth="1"/>
    <col min="12549" max="12549" width="13.09765625" style="1551" customWidth="1"/>
    <col min="12550" max="12550" width="9" style="1551"/>
    <col min="12551" max="12551" width="10.09765625" style="1551" customWidth="1"/>
    <col min="12552" max="12552" width="13.09765625" style="1551" customWidth="1"/>
    <col min="12553" max="12553" width="14" style="1551" customWidth="1"/>
    <col min="12554" max="12554" width="19" style="1551" customWidth="1"/>
    <col min="12555" max="12800" width="9" style="1551"/>
    <col min="12801" max="12801" width="5.19921875" style="1551" customWidth="1"/>
    <col min="12802" max="12802" width="35.59765625" style="1551" customWidth="1"/>
    <col min="12803" max="12803" width="9.59765625" style="1551" customWidth="1"/>
    <col min="12804" max="12804" width="9.8984375" style="1551" customWidth="1"/>
    <col min="12805" max="12805" width="13.09765625" style="1551" customWidth="1"/>
    <col min="12806" max="12806" width="9" style="1551"/>
    <col min="12807" max="12807" width="10.09765625" style="1551" customWidth="1"/>
    <col min="12808" max="12808" width="13.09765625" style="1551" customWidth="1"/>
    <col min="12809" max="12809" width="14" style="1551" customWidth="1"/>
    <col min="12810" max="12810" width="19" style="1551" customWidth="1"/>
    <col min="12811" max="13056" width="9" style="1551"/>
    <col min="13057" max="13057" width="5.19921875" style="1551" customWidth="1"/>
    <col min="13058" max="13058" width="35.59765625" style="1551" customWidth="1"/>
    <col min="13059" max="13059" width="9.59765625" style="1551" customWidth="1"/>
    <col min="13060" max="13060" width="9.8984375" style="1551" customWidth="1"/>
    <col min="13061" max="13061" width="13.09765625" style="1551" customWidth="1"/>
    <col min="13062" max="13062" width="9" style="1551"/>
    <col min="13063" max="13063" width="10.09765625" style="1551" customWidth="1"/>
    <col min="13064" max="13064" width="13.09765625" style="1551" customWidth="1"/>
    <col min="13065" max="13065" width="14" style="1551" customWidth="1"/>
    <col min="13066" max="13066" width="19" style="1551" customWidth="1"/>
    <col min="13067" max="13312" width="9" style="1551"/>
    <col min="13313" max="13313" width="5.19921875" style="1551" customWidth="1"/>
    <col min="13314" max="13314" width="35.59765625" style="1551" customWidth="1"/>
    <col min="13315" max="13315" width="9.59765625" style="1551" customWidth="1"/>
    <col min="13316" max="13316" width="9.8984375" style="1551" customWidth="1"/>
    <col min="13317" max="13317" width="13.09765625" style="1551" customWidth="1"/>
    <col min="13318" max="13318" width="9" style="1551"/>
    <col min="13319" max="13319" width="10.09765625" style="1551" customWidth="1"/>
    <col min="13320" max="13320" width="13.09765625" style="1551" customWidth="1"/>
    <col min="13321" max="13321" width="14" style="1551" customWidth="1"/>
    <col min="13322" max="13322" width="19" style="1551" customWidth="1"/>
    <col min="13323" max="13568" width="9" style="1551"/>
    <col min="13569" max="13569" width="5.19921875" style="1551" customWidth="1"/>
    <col min="13570" max="13570" width="35.59765625" style="1551" customWidth="1"/>
    <col min="13571" max="13571" width="9.59765625" style="1551" customWidth="1"/>
    <col min="13572" max="13572" width="9.8984375" style="1551" customWidth="1"/>
    <col min="13573" max="13573" width="13.09765625" style="1551" customWidth="1"/>
    <col min="13574" max="13574" width="9" style="1551"/>
    <col min="13575" max="13575" width="10.09765625" style="1551" customWidth="1"/>
    <col min="13576" max="13576" width="13.09765625" style="1551" customWidth="1"/>
    <col min="13577" max="13577" width="14" style="1551" customWidth="1"/>
    <col min="13578" max="13578" width="19" style="1551" customWidth="1"/>
    <col min="13579" max="13824" width="9" style="1551"/>
    <col min="13825" max="13825" width="5.19921875" style="1551" customWidth="1"/>
    <col min="13826" max="13826" width="35.59765625" style="1551" customWidth="1"/>
    <col min="13827" max="13827" width="9.59765625" style="1551" customWidth="1"/>
    <col min="13828" max="13828" width="9.8984375" style="1551" customWidth="1"/>
    <col min="13829" max="13829" width="13.09765625" style="1551" customWidth="1"/>
    <col min="13830" max="13830" width="9" style="1551"/>
    <col min="13831" max="13831" width="10.09765625" style="1551" customWidth="1"/>
    <col min="13832" max="13832" width="13.09765625" style="1551" customWidth="1"/>
    <col min="13833" max="13833" width="14" style="1551" customWidth="1"/>
    <col min="13834" max="13834" width="19" style="1551" customWidth="1"/>
    <col min="13835" max="14080" width="9" style="1551"/>
    <col min="14081" max="14081" width="5.19921875" style="1551" customWidth="1"/>
    <col min="14082" max="14082" width="35.59765625" style="1551" customWidth="1"/>
    <col min="14083" max="14083" width="9.59765625" style="1551" customWidth="1"/>
    <col min="14084" max="14084" width="9.8984375" style="1551" customWidth="1"/>
    <col min="14085" max="14085" width="13.09765625" style="1551" customWidth="1"/>
    <col min="14086" max="14086" width="9" style="1551"/>
    <col min="14087" max="14087" width="10.09765625" style="1551" customWidth="1"/>
    <col min="14088" max="14088" width="13.09765625" style="1551" customWidth="1"/>
    <col min="14089" max="14089" width="14" style="1551" customWidth="1"/>
    <col min="14090" max="14090" width="19" style="1551" customWidth="1"/>
    <col min="14091" max="14336" width="9" style="1551"/>
    <col min="14337" max="14337" width="5.19921875" style="1551" customWidth="1"/>
    <col min="14338" max="14338" width="35.59765625" style="1551" customWidth="1"/>
    <col min="14339" max="14339" width="9.59765625" style="1551" customWidth="1"/>
    <col min="14340" max="14340" width="9.8984375" style="1551" customWidth="1"/>
    <col min="14341" max="14341" width="13.09765625" style="1551" customWidth="1"/>
    <col min="14342" max="14342" width="9" style="1551"/>
    <col min="14343" max="14343" width="10.09765625" style="1551" customWidth="1"/>
    <col min="14344" max="14344" width="13.09765625" style="1551" customWidth="1"/>
    <col min="14345" max="14345" width="14" style="1551" customWidth="1"/>
    <col min="14346" max="14346" width="19" style="1551" customWidth="1"/>
    <col min="14347" max="14592" width="9" style="1551"/>
    <col min="14593" max="14593" width="5.19921875" style="1551" customWidth="1"/>
    <col min="14594" max="14594" width="35.59765625" style="1551" customWidth="1"/>
    <col min="14595" max="14595" width="9.59765625" style="1551" customWidth="1"/>
    <col min="14596" max="14596" width="9.8984375" style="1551" customWidth="1"/>
    <col min="14597" max="14597" width="13.09765625" style="1551" customWidth="1"/>
    <col min="14598" max="14598" width="9" style="1551"/>
    <col min="14599" max="14599" width="10.09765625" style="1551" customWidth="1"/>
    <col min="14600" max="14600" width="13.09765625" style="1551" customWidth="1"/>
    <col min="14601" max="14601" width="14" style="1551" customWidth="1"/>
    <col min="14602" max="14602" width="19" style="1551" customWidth="1"/>
    <col min="14603" max="14848" width="9" style="1551"/>
    <col min="14849" max="14849" width="5.19921875" style="1551" customWidth="1"/>
    <col min="14850" max="14850" width="35.59765625" style="1551" customWidth="1"/>
    <col min="14851" max="14851" width="9.59765625" style="1551" customWidth="1"/>
    <col min="14852" max="14852" width="9.8984375" style="1551" customWidth="1"/>
    <col min="14853" max="14853" width="13.09765625" style="1551" customWidth="1"/>
    <col min="14854" max="14854" width="9" style="1551"/>
    <col min="14855" max="14855" width="10.09765625" style="1551" customWidth="1"/>
    <col min="14856" max="14856" width="13.09765625" style="1551" customWidth="1"/>
    <col min="14857" max="14857" width="14" style="1551" customWidth="1"/>
    <col min="14858" max="14858" width="19" style="1551" customWidth="1"/>
    <col min="14859" max="15104" width="9" style="1551"/>
    <col min="15105" max="15105" width="5.19921875" style="1551" customWidth="1"/>
    <col min="15106" max="15106" width="35.59765625" style="1551" customWidth="1"/>
    <col min="15107" max="15107" width="9.59765625" style="1551" customWidth="1"/>
    <col min="15108" max="15108" width="9.8984375" style="1551" customWidth="1"/>
    <col min="15109" max="15109" width="13.09765625" style="1551" customWidth="1"/>
    <col min="15110" max="15110" width="9" style="1551"/>
    <col min="15111" max="15111" width="10.09765625" style="1551" customWidth="1"/>
    <col min="15112" max="15112" width="13.09765625" style="1551" customWidth="1"/>
    <col min="15113" max="15113" width="14" style="1551" customWidth="1"/>
    <col min="15114" max="15114" width="19" style="1551" customWidth="1"/>
    <col min="15115" max="15360" width="9" style="1551"/>
    <col min="15361" max="15361" width="5.19921875" style="1551" customWidth="1"/>
    <col min="15362" max="15362" width="35.59765625" style="1551" customWidth="1"/>
    <col min="15363" max="15363" width="9.59765625" style="1551" customWidth="1"/>
    <col min="15364" max="15364" width="9.8984375" style="1551" customWidth="1"/>
    <col min="15365" max="15365" width="13.09765625" style="1551" customWidth="1"/>
    <col min="15366" max="15366" width="9" style="1551"/>
    <col min="15367" max="15367" width="10.09765625" style="1551" customWidth="1"/>
    <col min="15368" max="15368" width="13.09765625" style="1551" customWidth="1"/>
    <col min="15369" max="15369" width="14" style="1551" customWidth="1"/>
    <col min="15370" max="15370" width="19" style="1551" customWidth="1"/>
    <col min="15371" max="15616" width="9" style="1551"/>
    <col min="15617" max="15617" width="5.19921875" style="1551" customWidth="1"/>
    <col min="15618" max="15618" width="35.59765625" style="1551" customWidth="1"/>
    <col min="15619" max="15619" width="9.59765625" style="1551" customWidth="1"/>
    <col min="15620" max="15620" width="9.8984375" style="1551" customWidth="1"/>
    <col min="15621" max="15621" width="13.09765625" style="1551" customWidth="1"/>
    <col min="15622" max="15622" width="9" style="1551"/>
    <col min="15623" max="15623" width="10.09765625" style="1551" customWidth="1"/>
    <col min="15624" max="15624" width="13.09765625" style="1551" customWidth="1"/>
    <col min="15625" max="15625" width="14" style="1551" customWidth="1"/>
    <col min="15626" max="15626" width="19" style="1551" customWidth="1"/>
    <col min="15627" max="15872" width="9" style="1551"/>
    <col min="15873" max="15873" width="5.19921875" style="1551" customWidth="1"/>
    <col min="15874" max="15874" width="35.59765625" style="1551" customWidth="1"/>
    <col min="15875" max="15875" width="9.59765625" style="1551" customWidth="1"/>
    <col min="15876" max="15876" width="9.8984375" style="1551" customWidth="1"/>
    <col min="15877" max="15877" width="13.09765625" style="1551" customWidth="1"/>
    <col min="15878" max="15878" width="9" style="1551"/>
    <col min="15879" max="15879" width="10.09765625" style="1551" customWidth="1"/>
    <col min="15880" max="15880" width="13.09765625" style="1551" customWidth="1"/>
    <col min="15881" max="15881" width="14" style="1551" customWidth="1"/>
    <col min="15882" max="15882" width="19" style="1551" customWidth="1"/>
    <col min="15883" max="16128" width="9" style="1551"/>
    <col min="16129" max="16129" width="5.19921875" style="1551" customWidth="1"/>
    <col min="16130" max="16130" width="35.59765625" style="1551" customWidth="1"/>
    <col min="16131" max="16131" width="9.59765625" style="1551" customWidth="1"/>
    <col min="16132" max="16132" width="9.8984375" style="1551" customWidth="1"/>
    <col min="16133" max="16133" width="13.09765625" style="1551" customWidth="1"/>
    <col min="16134" max="16134" width="9" style="1551"/>
    <col min="16135" max="16135" width="10.09765625" style="1551" customWidth="1"/>
    <col min="16136" max="16136" width="13.09765625" style="1551" customWidth="1"/>
    <col min="16137" max="16137" width="14" style="1551" customWidth="1"/>
    <col min="16138" max="16138" width="19" style="1551" customWidth="1"/>
    <col min="16139" max="16384" width="9" style="1551"/>
  </cols>
  <sheetData>
    <row r="1" spans="1:11" ht="20.100000000000001" customHeight="1">
      <c r="A1" s="3378" t="s">
        <v>5257</v>
      </c>
      <c r="B1" s="3378"/>
      <c r="C1" s="3378"/>
      <c r="D1" s="3378"/>
      <c r="E1" s="3378"/>
      <c r="F1" s="3378"/>
      <c r="G1" s="3378"/>
      <c r="H1" s="3378"/>
      <c r="I1" s="2014"/>
      <c r="J1" s="1544"/>
    </row>
    <row r="2" spans="1:11" ht="25.5" customHeight="1">
      <c r="A2" s="3379" t="s">
        <v>5258</v>
      </c>
      <c r="B2" s="3379"/>
      <c r="C2" s="3379"/>
      <c r="D2" s="3379"/>
      <c r="E2" s="3379"/>
      <c r="F2" s="3379"/>
      <c r="G2" s="3379"/>
      <c r="H2" s="3379"/>
      <c r="I2" s="1835"/>
      <c r="J2" s="1544"/>
    </row>
    <row r="3" spans="1:11" s="1555" customFormat="1" ht="24" customHeight="1">
      <c r="A3" s="3380" t="s">
        <v>1854</v>
      </c>
      <c r="B3" s="3380" t="s">
        <v>5081</v>
      </c>
      <c r="C3" s="1843" t="s">
        <v>1851</v>
      </c>
      <c r="D3" s="1845" t="s">
        <v>5259</v>
      </c>
      <c r="E3" s="1845" t="s">
        <v>5260</v>
      </c>
      <c r="F3" s="1843" t="s">
        <v>1852</v>
      </c>
      <c r="G3" s="1843" t="s">
        <v>5261</v>
      </c>
      <c r="H3" s="1845" t="s">
        <v>1307</v>
      </c>
      <c r="I3" s="1845" t="s">
        <v>5153</v>
      </c>
      <c r="J3" s="1544"/>
      <c r="K3" s="1549"/>
    </row>
    <row r="4" spans="1:11" s="1555" customFormat="1" ht="14.25" customHeight="1">
      <c r="A4" s="3382"/>
      <c r="B4" s="3382"/>
      <c r="C4" s="1842">
        <v>1</v>
      </c>
      <c r="D4" s="1842">
        <v>2</v>
      </c>
      <c r="E4" s="1842">
        <v>3</v>
      </c>
      <c r="F4" s="1842">
        <v>4</v>
      </c>
      <c r="G4" s="1842" t="s">
        <v>5262</v>
      </c>
      <c r="H4" s="1842" t="s">
        <v>5263</v>
      </c>
      <c r="I4" s="1954"/>
      <c r="J4" s="1540"/>
      <c r="K4" s="1549"/>
    </row>
    <row r="5" spans="1:11" ht="14.25" customHeight="1">
      <c r="A5" s="1842">
        <v>1</v>
      </c>
      <c r="B5" s="1820" t="s">
        <v>5264</v>
      </c>
      <c r="C5" s="2074">
        <f>工资福利!C16</f>
        <v>0</v>
      </c>
      <c r="D5" s="1954" t="s">
        <v>1860</v>
      </c>
      <c r="E5" s="1954" t="s">
        <v>1860</v>
      </c>
      <c r="F5" s="2074">
        <f>工资福利!C17</f>
        <v>0</v>
      </c>
      <c r="G5" s="2077">
        <f>C5-F5</f>
        <v>0</v>
      </c>
      <c r="H5" s="1954" t="s">
        <v>1860</v>
      </c>
      <c r="I5" s="1820"/>
      <c r="J5" s="1561"/>
      <c r="K5" s="1544"/>
    </row>
    <row r="6" spans="1:11" ht="14.25" customHeight="1">
      <c r="A6" s="1842">
        <v>2</v>
      </c>
      <c r="B6" s="1820" t="s">
        <v>5265</v>
      </c>
      <c r="C6" s="2074">
        <f>工资福利!C24</f>
        <v>0</v>
      </c>
      <c r="D6" s="1954" t="s">
        <v>1860</v>
      </c>
      <c r="E6" s="1954" t="s">
        <v>1860</v>
      </c>
      <c r="F6" s="2074">
        <f>工资福利!H24</f>
        <v>0</v>
      </c>
      <c r="G6" s="2077">
        <f t="shared" ref="G6:G16" si="0">C6-F6</f>
        <v>0</v>
      </c>
      <c r="H6" s="1954" t="s">
        <v>1860</v>
      </c>
      <c r="I6" s="1820"/>
      <c r="J6" s="1561"/>
      <c r="K6" s="1544"/>
    </row>
    <row r="7" spans="1:11" ht="14.25" customHeight="1">
      <c r="A7" s="1842">
        <v>3</v>
      </c>
      <c r="B7" s="1811" t="s">
        <v>5266</v>
      </c>
      <c r="C7" s="2074">
        <f>工资福利!E16</f>
        <v>0</v>
      </c>
      <c r="D7" s="2236">
        <v>14</v>
      </c>
      <c r="E7" s="1954" t="s">
        <v>1860</v>
      </c>
      <c r="F7" s="2074">
        <f>工资福利!E17</f>
        <v>0</v>
      </c>
      <c r="G7" s="2077">
        <f t="shared" si="0"/>
        <v>0</v>
      </c>
      <c r="H7" s="1954" t="s">
        <v>1860</v>
      </c>
      <c r="I7" s="1820"/>
      <c r="J7" s="1561"/>
      <c r="K7" s="1544"/>
    </row>
    <row r="8" spans="1:11" ht="14.25" customHeight="1">
      <c r="A8" s="1842">
        <v>4</v>
      </c>
      <c r="B8" s="1932" t="s">
        <v>5267</v>
      </c>
      <c r="C8" s="2077">
        <f>C9+C10</f>
        <v>0</v>
      </c>
      <c r="D8" s="1954" t="s">
        <v>1860</v>
      </c>
      <c r="E8" s="2077">
        <f>E9</f>
        <v>0</v>
      </c>
      <c r="F8" s="2077">
        <f>F9+F10</f>
        <v>0</v>
      </c>
      <c r="G8" s="2077">
        <f>G9+G10</f>
        <v>0</v>
      </c>
      <c r="H8" s="2077">
        <f>H9</f>
        <v>0</v>
      </c>
      <c r="I8" s="1820"/>
      <c r="J8" s="1561"/>
      <c r="K8" s="1544"/>
    </row>
    <row r="9" spans="1:11" ht="14.25" customHeight="1">
      <c r="A9" s="1842">
        <v>5</v>
      </c>
      <c r="B9" s="1811" t="s">
        <v>5268</v>
      </c>
      <c r="C9" s="2074">
        <f>工资福利!F16</f>
        <v>0</v>
      </c>
      <c r="D9" s="2236">
        <v>2.5</v>
      </c>
      <c r="E9" s="2074">
        <f>工资福利!F20</f>
        <v>0</v>
      </c>
      <c r="F9" s="2074">
        <f>工资福利!F17</f>
        <v>0</v>
      </c>
      <c r="G9" s="2077">
        <f>C9-F9</f>
        <v>0</v>
      </c>
      <c r="H9" s="2077">
        <f>C9+E9-F9</f>
        <v>0</v>
      </c>
      <c r="I9" s="1820"/>
      <c r="J9" s="1561"/>
      <c r="K9" s="1544"/>
    </row>
    <row r="10" spans="1:11" ht="14.25" customHeight="1">
      <c r="A10" s="1842">
        <v>6</v>
      </c>
      <c r="B10" s="1811" t="s">
        <v>5269</v>
      </c>
      <c r="C10" s="2074">
        <f>工资福利!F25</f>
        <v>0</v>
      </c>
      <c r="D10" s="2236">
        <v>100</v>
      </c>
      <c r="E10" s="1954" t="s">
        <v>1860</v>
      </c>
      <c r="F10" s="2074">
        <f>工资福利!H25</f>
        <v>0</v>
      </c>
      <c r="G10" s="2077">
        <f t="shared" si="0"/>
        <v>0</v>
      </c>
      <c r="H10" s="1954" t="s">
        <v>1860</v>
      </c>
      <c r="I10" s="1820"/>
      <c r="J10" s="1561"/>
      <c r="K10" s="1544"/>
    </row>
    <row r="11" spans="1:11" ht="14.25" customHeight="1">
      <c r="A11" s="1842">
        <v>7</v>
      </c>
      <c r="B11" s="1811" t="s">
        <v>5270</v>
      </c>
      <c r="C11" s="2074">
        <f>工资福利!G14</f>
        <v>0</v>
      </c>
      <c r="D11" s="2236">
        <v>2</v>
      </c>
      <c r="E11" s="1954" t="s">
        <v>1860</v>
      </c>
      <c r="F11" s="2074">
        <f>工资福利!G17</f>
        <v>0</v>
      </c>
      <c r="G11" s="2077">
        <f t="shared" si="0"/>
        <v>0</v>
      </c>
      <c r="H11" s="1954" t="s">
        <v>1860</v>
      </c>
      <c r="I11" s="1820"/>
      <c r="J11" s="1561"/>
      <c r="K11" s="1544"/>
    </row>
    <row r="12" spans="1:11" ht="14.25" customHeight="1">
      <c r="A12" s="1842">
        <v>8</v>
      </c>
      <c r="B12" s="1811" t="s">
        <v>5271</v>
      </c>
      <c r="C12" s="2074">
        <f>社保!D8</f>
        <v>0</v>
      </c>
      <c r="D12" s="1954" t="s">
        <v>1860</v>
      </c>
      <c r="E12" s="1954" t="s">
        <v>1860</v>
      </c>
      <c r="F12" s="2074">
        <f>社保!E8</f>
        <v>0</v>
      </c>
      <c r="G12" s="2077">
        <f t="shared" si="0"/>
        <v>0</v>
      </c>
      <c r="H12" s="1954" t="s">
        <v>1860</v>
      </c>
      <c r="I12" s="1820"/>
      <c r="J12" s="1561"/>
      <c r="K12" s="1544"/>
    </row>
    <row r="13" spans="1:11" ht="14.25" customHeight="1">
      <c r="A13" s="1842">
        <v>9</v>
      </c>
      <c r="B13" s="1811" t="s">
        <v>5272</v>
      </c>
      <c r="C13" s="2074">
        <f>社保!D17</f>
        <v>0</v>
      </c>
      <c r="D13" s="1954" t="s">
        <v>1860</v>
      </c>
      <c r="E13" s="1954" t="s">
        <v>1860</v>
      </c>
      <c r="F13" s="2074">
        <f>社保!E17</f>
        <v>0</v>
      </c>
      <c r="G13" s="2077">
        <f t="shared" si="0"/>
        <v>0</v>
      </c>
      <c r="H13" s="1954" t="s">
        <v>1860</v>
      </c>
      <c r="I13" s="1820"/>
      <c r="J13" s="1561"/>
      <c r="K13" s="1544"/>
    </row>
    <row r="14" spans="1:11" ht="14.25" customHeight="1">
      <c r="A14" s="1842">
        <v>10</v>
      </c>
      <c r="B14" s="1811" t="s">
        <v>5273</v>
      </c>
      <c r="C14" s="2074">
        <f>社保!D15</f>
        <v>0</v>
      </c>
      <c r="D14" s="2236">
        <v>5</v>
      </c>
      <c r="E14" s="1954" t="s">
        <v>1860</v>
      </c>
      <c r="F14" s="2074">
        <f>社保!E15</f>
        <v>0</v>
      </c>
      <c r="G14" s="2077">
        <f t="shared" si="0"/>
        <v>0</v>
      </c>
      <c r="H14" s="1954" t="s">
        <v>1860</v>
      </c>
      <c r="I14" s="1820"/>
      <c r="J14" s="1561"/>
      <c r="K14" s="1544"/>
    </row>
    <row r="15" spans="1:11" ht="14.25" customHeight="1">
      <c r="A15" s="1842">
        <v>11</v>
      </c>
      <c r="B15" s="1819" t="s">
        <v>5274</v>
      </c>
      <c r="C15" s="2074">
        <f>社保!D16</f>
        <v>0</v>
      </c>
      <c r="D15" s="2236">
        <v>5</v>
      </c>
      <c r="E15" s="1954" t="s">
        <v>1860</v>
      </c>
      <c r="F15" s="2074">
        <f>社保!E16</f>
        <v>0</v>
      </c>
      <c r="G15" s="2077">
        <f t="shared" si="0"/>
        <v>0</v>
      </c>
      <c r="H15" s="1954" t="s">
        <v>1860</v>
      </c>
      <c r="I15" s="1820"/>
      <c r="J15" s="1561"/>
      <c r="K15" s="1544"/>
    </row>
    <row r="16" spans="1:11" ht="14.25" customHeight="1">
      <c r="A16" s="1842">
        <v>12</v>
      </c>
      <c r="B16" s="1819" t="s">
        <v>5275</v>
      </c>
      <c r="C16" s="2074">
        <f>社保!D18</f>
        <v>0</v>
      </c>
      <c r="D16" s="1954" t="s">
        <v>1860</v>
      </c>
      <c r="E16" s="2081">
        <v>0</v>
      </c>
      <c r="F16" s="2074">
        <f>社保!E18</f>
        <v>0</v>
      </c>
      <c r="G16" s="2077">
        <f t="shared" si="0"/>
        <v>0</v>
      </c>
      <c r="H16" s="2077">
        <f>C16+E16-F16</f>
        <v>0</v>
      </c>
      <c r="I16" s="1820"/>
      <c r="J16" s="1561"/>
      <c r="K16" s="1544"/>
    </row>
    <row r="17" spans="1:11" ht="172.5" customHeight="1">
      <c r="A17" s="1842">
        <v>13</v>
      </c>
      <c r="B17" s="1819" t="s">
        <v>5276</v>
      </c>
      <c r="C17" s="2077">
        <f>SUM(C5,C7:C8,C11:C16)</f>
        <v>0</v>
      </c>
      <c r="D17" s="1954" t="s">
        <v>1860</v>
      </c>
      <c r="E17" s="2077">
        <f>SUM(E5,E7:E8,E11:E16)</f>
        <v>0</v>
      </c>
      <c r="F17" s="2077">
        <f>SUM(F5,F7:F8,F11:F16)</f>
        <v>0</v>
      </c>
      <c r="G17" s="2077">
        <f>SUM(G5,G7:G8,G11:G16)</f>
        <v>0</v>
      </c>
      <c r="H17" s="2077">
        <f>SUM(H5,H7:H8,H11:H16)</f>
        <v>0</v>
      </c>
      <c r="I17" s="1812" t="s">
        <v>5277</v>
      </c>
      <c r="J17" s="1562"/>
      <c r="K17" s="1544"/>
    </row>
    <row r="18" spans="1:11">
      <c r="A18" s="2000"/>
    </row>
  </sheetData>
  <mergeCells count="4">
    <mergeCell ref="A1:H1"/>
    <mergeCell ref="A2:H2"/>
    <mergeCell ref="A3:A4"/>
    <mergeCell ref="B3:B4"/>
  </mergeCells>
  <phoneticPr fontId="51" type="noConversion"/>
  <printOptions horizontalCentered="1"/>
  <pageMargins left="0.78740157480314998" right="0.35433070866141703" top="0.511811023622047" bottom="0.11811023622047198" header="0.511811023622047" footer="0.511811023622047"/>
  <pageSetup paperSize="9" orientation="landscape" r:id="rId1"/>
  <headerFooter alignWithMargins="0"/>
</worksheet>
</file>

<file path=xl/worksheets/sheet1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29"/>
  <dimension ref="A1:D22"/>
  <sheetViews>
    <sheetView workbookViewId="0">
      <selection sqref="A1:C1"/>
    </sheetView>
  </sheetViews>
  <sheetFormatPr defaultRowHeight="15.6"/>
  <cols>
    <col min="1" max="1" width="5.19921875" style="1551" customWidth="1"/>
    <col min="2" max="2" width="60.8984375" style="1551" customWidth="1"/>
    <col min="3" max="3" width="15.19921875" style="1551" customWidth="1"/>
    <col min="4" max="4" width="14.8984375" style="1551" customWidth="1"/>
    <col min="5" max="256" width="9" style="1551"/>
    <col min="257" max="257" width="5.19921875" style="1551" customWidth="1"/>
    <col min="258" max="258" width="72.69921875" style="1551" customWidth="1"/>
    <col min="259" max="259" width="15.19921875" style="1551" customWidth="1"/>
    <col min="260" max="260" width="14.8984375" style="1551" customWidth="1"/>
    <col min="261" max="512" width="9" style="1551"/>
    <col min="513" max="513" width="5.19921875" style="1551" customWidth="1"/>
    <col min="514" max="514" width="72.69921875" style="1551" customWidth="1"/>
    <col min="515" max="515" width="15.19921875" style="1551" customWidth="1"/>
    <col min="516" max="516" width="14.8984375" style="1551" customWidth="1"/>
    <col min="517" max="768" width="9" style="1551"/>
    <col min="769" max="769" width="5.19921875" style="1551" customWidth="1"/>
    <col min="770" max="770" width="72.69921875" style="1551" customWidth="1"/>
    <col min="771" max="771" width="15.19921875" style="1551" customWidth="1"/>
    <col min="772" max="772" width="14.8984375" style="1551" customWidth="1"/>
    <col min="773" max="1024" width="9" style="1551"/>
    <col min="1025" max="1025" width="5.19921875" style="1551" customWidth="1"/>
    <col min="1026" max="1026" width="72.69921875" style="1551" customWidth="1"/>
    <col min="1027" max="1027" width="15.19921875" style="1551" customWidth="1"/>
    <col min="1028" max="1028" width="14.8984375" style="1551" customWidth="1"/>
    <col min="1029" max="1280" width="9" style="1551"/>
    <col min="1281" max="1281" width="5.19921875" style="1551" customWidth="1"/>
    <col min="1282" max="1282" width="72.69921875" style="1551" customWidth="1"/>
    <col min="1283" max="1283" width="15.19921875" style="1551" customWidth="1"/>
    <col min="1284" max="1284" width="14.8984375" style="1551" customWidth="1"/>
    <col min="1285" max="1536" width="9" style="1551"/>
    <col min="1537" max="1537" width="5.19921875" style="1551" customWidth="1"/>
    <col min="1538" max="1538" width="72.69921875" style="1551" customWidth="1"/>
    <col min="1539" max="1539" width="15.19921875" style="1551" customWidth="1"/>
    <col min="1540" max="1540" width="14.8984375" style="1551" customWidth="1"/>
    <col min="1541" max="1792" width="9" style="1551"/>
    <col min="1793" max="1793" width="5.19921875" style="1551" customWidth="1"/>
    <col min="1794" max="1794" width="72.69921875" style="1551" customWidth="1"/>
    <col min="1795" max="1795" width="15.19921875" style="1551" customWidth="1"/>
    <col min="1796" max="1796" width="14.8984375" style="1551" customWidth="1"/>
    <col min="1797" max="2048" width="9" style="1551"/>
    <col min="2049" max="2049" width="5.19921875" style="1551" customWidth="1"/>
    <col min="2050" max="2050" width="72.69921875" style="1551" customWidth="1"/>
    <col min="2051" max="2051" width="15.19921875" style="1551" customWidth="1"/>
    <col min="2052" max="2052" width="14.8984375" style="1551" customWidth="1"/>
    <col min="2053" max="2304" width="9" style="1551"/>
    <col min="2305" max="2305" width="5.19921875" style="1551" customWidth="1"/>
    <col min="2306" max="2306" width="72.69921875" style="1551" customWidth="1"/>
    <col min="2307" max="2307" width="15.19921875" style="1551" customWidth="1"/>
    <col min="2308" max="2308" width="14.8984375" style="1551" customWidth="1"/>
    <col min="2309" max="2560" width="9" style="1551"/>
    <col min="2561" max="2561" width="5.19921875" style="1551" customWidth="1"/>
    <col min="2562" max="2562" width="72.69921875" style="1551" customWidth="1"/>
    <col min="2563" max="2563" width="15.19921875" style="1551" customWidth="1"/>
    <col min="2564" max="2564" width="14.8984375" style="1551" customWidth="1"/>
    <col min="2565" max="2816" width="9" style="1551"/>
    <col min="2817" max="2817" width="5.19921875" style="1551" customWidth="1"/>
    <col min="2818" max="2818" width="72.69921875" style="1551" customWidth="1"/>
    <col min="2819" max="2819" width="15.19921875" style="1551" customWidth="1"/>
    <col min="2820" max="2820" width="14.8984375" style="1551" customWidth="1"/>
    <col min="2821" max="3072" width="9" style="1551"/>
    <col min="3073" max="3073" width="5.19921875" style="1551" customWidth="1"/>
    <col min="3074" max="3074" width="72.69921875" style="1551" customWidth="1"/>
    <col min="3075" max="3075" width="15.19921875" style="1551" customWidth="1"/>
    <col min="3076" max="3076" width="14.8984375" style="1551" customWidth="1"/>
    <col min="3077" max="3328" width="9" style="1551"/>
    <col min="3329" max="3329" width="5.19921875" style="1551" customWidth="1"/>
    <col min="3330" max="3330" width="72.69921875" style="1551" customWidth="1"/>
    <col min="3331" max="3331" width="15.19921875" style="1551" customWidth="1"/>
    <col min="3332" max="3332" width="14.8984375" style="1551" customWidth="1"/>
    <col min="3333" max="3584" width="9" style="1551"/>
    <col min="3585" max="3585" width="5.19921875" style="1551" customWidth="1"/>
    <col min="3586" max="3586" width="72.69921875" style="1551" customWidth="1"/>
    <col min="3587" max="3587" width="15.19921875" style="1551" customWidth="1"/>
    <col min="3588" max="3588" width="14.8984375" style="1551" customWidth="1"/>
    <col min="3589" max="3840" width="9" style="1551"/>
    <col min="3841" max="3841" width="5.19921875" style="1551" customWidth="1"/>
    <col min="3842" max="3842" width="72.69921875" style="1551" customWidth="1"/>
    <col min="3843" max="3843" width="15.19921875" style="1551" customWidth="1"/>
    <col min="3844" max="3844" width="14.8984375" style="1551" customWidth="1"/>
    <col min="3845" max="4096" width="9" style="1551"/>
    <col min="4097" max="4097" width="5.19921875" style="1551" customWidth="1"/>
    <col min="4098" max="4098" width="72.69921875" style="1551" customWidth="1"/>
    <col min="4099" max="4099" width="15.19921875" style="1551" customWidth="1"/>
    <col min="4100" max="4100" width="14.8984375" style="1551" customWidth="1"/>
    <col min="4101" max="4352" width="9" style="1551"/>
    <col min="4353" max="4353" width="5.19921875" style="1551" customWidth="1"/>
    <col min="4354" max="4354" width="72.69921875" style="1551" customWidth="1"/>
    <col min="4355" max="4355" width="15.19921875" style="1551" customWidth="1"/>
    <col min="4356" max="4356" width="14.8984375" style="1551" customWidth="1"/>
    <col min="4357" max="4608" width="9" style="1551"/>
    <col min="4609" max="4609" width="5.19921875" style="1551" customWidth="1"/>
    <col min="4610" max="4610" width="72.69921875" style="1551" customWidth="1"/>
    <col min="4611" max="4611" width="15.19921875" style="1551" customWidth="1"/>
    <col min="4612" max="4612" width="14.8984375" style="1551" customWidth="1"/>
    <col min="4613" max="4864" width="9" style="1551"/>
    <col min="4865" max="4865" width="5.19921875" style="1551" customWidth="1"/>
    <col min="4866" max="4866" width="72.69921875" style="1551" customWidth="1"/>
    <col min="4867" max="4867" width="15.19921875" style="1551" customWidth="1"/>
    <col min="4868" max="4868" width="14.8984375" style="1551" customWidth="1"/>
    <col min="4869" max="5120" width="9" style="1551"/>
    <col min="5121" max="5121" width="5.19921875" style="1551" customWidth="1"/>
    <col min="5122" max="5122" width="72.69921875" style="1551" customWidth="1"/>
    <col min="5123" max="5123" width="15.19921875" style="1551" customWidth="1"/>
    <col min="5124" max="5124" width="14.8984375" style="1551" customWidth="1"/>
    <col min="5125" max="5376" width="9" style="1551"/>
    <col min="5377" max="5377" width="5.19921875" style="1551" customWidth="1"/>
    <col min="5378" max="5378" width="72.69921875" style="1551" customWidth="1"/>
    <col min="5379" max="5379" width="15.19921875" style="1551" customWidth="1"/>
    <col min="5380" max="5380" width="14.8984375" style="1551" customWidth="1"/>
    <col min="5381" max="5632" width="9" style="1551"/>
    <col min="5633" max="5633" width="5.19921875" style="1551" customWidth="1"/>
    <col min="5634" max="5634" width="72.69921875" style="1551" customWidth="1"/>
    <col min="5635" max="5635" width="15.19921875" style="1551" customWidth="1"/>
    <col min="5636" max="5636" width="14.8984375" style="1551" customWidth="1"/>
    <col min="5637" max="5888" width="9" style="1551"/>
    <col min="5889" max="5889" width="5.19921875" style="1551" customWidth="1"/>
    <col min="5890" max="5890" width="72.69921875" style="1551" customWidth="1"/>
    <col min="5891" max="5891" width="15.19921875" style="1551" customWidth="1"/>
    <col min="5892" max="5892" width="14.8984375" style="1551" customWidth="1"/>
    <col min="5893" max="6144" width="9" style="1551"/>
    <col min="6145" max="6145" width="5.19921875" style="1551" customWidth="1"/>
    <col min="6146" max="6146" width="72.69921875" style="1551" customWidth="1"/>
    <col min="6147" max="6147" width="15.19921875" style="1551" customWidth="1"/>
    <col min="6148" max="6148" width="14.8984375" style="1551" customWidth="1"/>
    <col min="6149" max="6400" width="9" style="1551"/>
    <col min="6401" max="6401" width="5.19921875" style="1551" customWidth="1"/>
    <col min="6402" max="6402" width="72.69921875" style="1551" customWidth="1"/>
    <col min="6403" max="6403" width="15.19921875" style="1551" customWidth="1"/>
    <col min="6404" max="6404" width="14.8984375" style="1551" customWidth="1"/>
    <col min="6405" max="6656" width="9" style="1551"/>
    <col min="6657" max="6657" width="5.19921875" style="1551" customWidth="1"/>
    <col min="6658" max="6658" width="72.69921875" style="1551" customWidth="1"/>
    <col min="6659" max="6659" width="15.19921875" style="1551" customWidth="1"/>
    <col min="6660" max="6660" width="14.8984375" style="1551" customWidth="1"/>
    <col min="6661" max="6912" width="9" style="1551"/>
    <col min="6913" max="6913" width="5.19921875" style="1551" customWidth="1"/>
    <col min="6914" max="6914" width="72.69921875" style="1551" customWidth="1"/>
    <col min="6915" max="6915" width="15.19921875" style="1551" customWidth="1"/>
    <col min="6916" max="6916" width="14.8984375" style="1551" customWidth="1"/>
    <col min="6917" max="7168" width="9" style="1551"/>
    <col min="7169" max="7169" width="5.19921875" style="1551" customWidth="1"/>
    <col min="7170" max="7170" width="72.69921875" style="1551" customWidth="1"/>
    <col min="7171" max="7171" width="15.19921875" style="1551" customWidth="1"/>
    <col min="7172" max="7172" width="14.8984375" style="1551" customWidth="1"/>
    <col min="7173" max="7424" width="9" style="1551"/>
    <col min="7425" max="7425" width="5.19921875" style="1551" customWidth="1"/>
    <col min="7426" max="7426" width="72.69921875" style="1551" customWidth="1"/>
    <col min="7427" max="7427" width="15.19921875" style="1551" customWidth="1"/>
    <col min="7428" max="7428" width="14.8984375" style="1551" customWidth="1"/>
    <col min="7429" max="7680" width="9" style="1551"/>
    <col min="7681" max="7681" width="5.19921875" style="1551" customWidth="1"/>
    <col min="7682" max="7682" width="72.69921875" style="1551" customWidth="1"/>
    <col min="7683" max="7683" width="15.19921875" style="1551" customWidth="1"/>
    <col min="7684" max="7684" width="14.8984375" style="1551" customWidth="1"/>
    <col min="7685" max="7936" width="9" style="1551"/>
    <col min="7937" max="7937" width="5.19921875" style="1551" customWidth="1"/>
    <col min="7938" max="7938" width="72.69921875" style="1551" customWidth="1"/>
    <col min="7939" max="7939" width="15.19921875" style="1551" customWidth="1"/>
    <col min="7940" max="7940" width="14.8984375" style="1551" customWidth="1"/>
    <col min="7941" max="8192" width="9" style="1551"/>
    <col min="8193" max="8193" width="5.19921875" style="1551" customWidth="1"/>
    <col min="8194" max="8194" width="72.69921875" style="1551" customWidth="1"/>
    <col min="8195" max="8195" width="15.19921875" style="1551" customWidth="1"/>
    <col min="8196" max="8196" width="14.8984375" style="1551" customWidth="1"/>
    <col min="8197" max="8448" width="9" style="1551"/>
    <col min="8449" max="8449" width="5.19921875" style="1551" customWidth="1"/>
    <col min="8450" max="8450" width="72.69921875" style="1551" customWidth="1"/>
    <col min="8451" max="8451" width="15.19921875" style="1551" customWidth="1"/>
    <col min="8452" max="8452" width="14.8984375" style="1551" customWidth="1"/>
    <col min="8453" max="8704" width="9" style="1551"/>
    <col min="8705" max="8705" width="5.19921875" style="1551" customWidth="1"/>
    <col min="8706" max="8706" width="72.69921875" style="1551" customWidth="1"/>
    <col min="8707" max="8707" width="15.19921875" style="1551" customWidth="1"/>
    <col min="8708" max="8708" width="14.8984375" style="1551" customWidth="1"/>
    <col min="8709" max="8960" width="9" style="1551"/>
    <col min="8961" max="8961" width="5.19921875" style="1551" customWidth="1"/>
    <col min="8962" max="8962" width="72.69921875" style="1551" customWidth="1"/>
    <col min="8963" max="8963" width="15.19921875" style="1551" customWidth="1"/>
    <col min="8964" max="8964" width="14.8984375" style="1551" customWidth="1"/>
    <col min="8965" max="9216" width="9" style="1551"/>
    <col min="9217" max="9217" width="5.19921875" style="1551" customWidth="1"/>
    <col min="9218" max="9218" width="72.69921875" style="1551" customWidth="1"/>
    <col min="9219" max="9219" width="15.19921875" style="1551" customWidth="1"/>
    <col min="9220" max="9220" width="14.8984375" style="1551" customWidth="1"/>
    <col min="9221" max="9472" width="9" style="1551"/>
    <col min="9473" max="9473" width="5.19921875" style="1551" customWidth="1"/>
    <col min="9474" max="9474" width="72.69921875" style="1551" customWidth="1"/>
    <col min="9475" max="9475" width="15.19921875" style="1551" customWidth="1"/>
    <col min="9476" max="9476" width="14.8984375" style="1551" customWidth="1"/>
    <col min="9477" max="9728" width="9" style="1551"/>
    <col min="9729" max="9729" width="5.19921875" style="1551" customWidth="1"/>
    <col min="9730" max="9730" width="72.69921875" style="1551" customWidth="1"/>
    <col min="9731" max="9731" width="15.19921875" style="1551" customWidth="1"/>
    <col min="9732" max="9732" width="14.8984375" style="1551" customWidth="1"/>
    <col min="9733" max="9984" width="9" style="1551"/>
    <col min="9985" max="9985" width="5.19921875" style="1551" customWidth="1"/>
    <col min="9986" max="9986" width="72.69921875" style="1551" customWidth="1"/>
    <col min="9987" max="9987" width="15.19921875" style="1551" customWidth="1"/>
    <col min="9988" max="9988" width="14.8984375" style="1551" customWidth="1"/>
    <col min="9989" max="10240" width="9" style="1551"/>
    <col min="10241" max="10241" width="5.19921875" style="1551" customWidth="1"/>
    <col min="10242" max="10242" width="72.69921875" style="1551" customWidth="1"/>
    <col min="10243" max="10243" width="15.19921875" style="1551" customWidth="1"/>
    <col min="10244" max="10244" width="14.8984375" style="1551" customWidth="1"/>
    <col min="10245" max="10496" width="9" style="1551"/>
    <col min="10497" max="10497" width="5.19921875" style="1551" customWidth="1"/>
    <col min="10498" max="10498" width="72.69921875" style="1551" customWidth="1"/>
    <col min="10499" max="10499" width="15.19921875" style="1551" customWidth="1"/>
    <col min="10500" max="10500" width="14.8984375" style="1551" customWidth="1"/>
    <col min="10501" max="10752" width="9" style="1551"/>
    <col min="10753" max="10753" width="5.19921875" style="1551" customWidth="1"/>
    <col min="10754" max="10754" width="72.69921875" style="1551" customWidth="1"/>
    <col min="10755" max="10755" width="15.19921875" style="1551" customWidth="1"/>
    <col min="10756" max="10756" width="14.8984375" style="1551" customWidth="1"/>
    <col min="10757" max="11008" width="9" style="1551"/>
    <col min="11009" max="11009" width="5.19921875" style="1551" customWidth="1"/>
    <col min="11010" max="11010" width="72.69921875" style="1551" customWidth="1"/>
    <col min="11011" max="11011" width="15.19921875" style="1551" customWidth="1"/>
    <col min="11012" max="11012" width="14.8984375" style="1551" customWidth="1"/>
    <col min="11013" max="11264" width="9" style="1551"/>
    <col min="11265" max="11265" width="5.19921875" style="1551" customWidth="1"/>
    <col min="11266" max="11266" width="72.69921875" style="1551" customWidth="1"/>
    <col min="11267" max="11267" width="15.19921875" style="1551" customWidth="1"/>
    <col min="11268" max="11268" width="14.8984375" style="1551" customWidth="1"/>
    <col min="11269" max="11520" width="9" style="1551"/>
    <col min="11521" max="11521" width="5.19921875" style="1551" customWidth="1"/>
    <col min="11522" max="11522" width="72.69921875" style="1551" customWidth="1"/>
    <col min="11523" max="11523" width="15.19921875" style="1551" customWidth="1"/>
    <col min="11524" max="11524" width="14.8984375" style="1551" customWidth="1"/>
    <col min="11525" max="11776" width="9" style="1551"/>
    <col min="11777" max="11777" width="5.19921875" style="1551" customWidth="1"/>
    <col min="11778" max="11778" width="72.69921875" style="1551" customWidth="1"/>
    <col min="11779" max="11779" width="15.19921875" style="1551" customWidth="1"/>
    <col min="11780" max="11780" width="14.8984375" style="1551" customWidth="1"/>
    <col min="11781" max="12032" width="9" style="1551"/>
    <col min="12033" max="12033" width="5.19921875" style="1551" customWidth="1"/>
    <col min="12034" max="12034" width="72.69921875" style="1551" customWidth="1"/>
    <col min="12035" max="12035" width="15.19921875" style="1551" customWidth="1"/>
    <col min="12036" max="12036" width="14.8984375" style="1551" customWidth="1"/>
    <col min="12037" max="12288" width="9" style="1551"/>
    <col min="12289" max="12289" width="5.19921875" style="1551" customWidth="1"/>
    <col min="12290" max="12290" width="72.69921875" style="1551" customWidth="1"/>
    <col min="12291" max="12291" width="15.19921875" style="1551" customWidth="1"/>
    <col min="12292" max="12292" width="14.8984375" style="1551" customWidth="1"/>
    <col min="12293" max="12544" width="9" style="1551"/>
    <col min="12545" max="12545" width="5.19921875" style="1551" customWidth="1"/>
    <col min="12546" max="12546" width="72.69921875" style="1551" customWidth="1"/>
    <col min="12547" max="12547" width="15.19921875" style="1551" customWidth="1"/>
    <col min="12548" max="12548" width="14.8984375" style="1551" customWidth="1"/>
    <col min="12549" max="12800" width="9" style="1551"/>
    <col min="12801" max="12801" width="5.19921875" style="1551" customWidth="1"/>
    <col min="12802" max="12802" width="72.69921875" style="1551" customWidth="1"/>
    <col min="12803" max="12803" width="15.19921875" style="1551" customWidth="1"/>
    <col min="12804" max="12804" width="14.8984375" style="1551" customWidth="1"/>
    <col min="12805" max="13056" width="9" style="1551"/>
    <col min="13057" max="13057" width="5.19921875" style="1551" customWidth="1"/>
    <col min="13058" max="13058" width="72.69921875" style="1551" customWidth="1"/>
    <col min="13059" max="13059" width="15.19921875" style="1551" customWidth="1"/>
    <col min="13060" max="13060" width="14.8984375" style="1551" customWidth="1"/>
    <col min="13061" max="13312" width="9" style="1551"/>
    <col min="13313" max="13313" width="5.19921875" style="1551" customWidth="1"/>
    <col min="13314" max="13314" width="72.69921875" style="1551" customWidth="1"/>
    <col min="13315" max="13315" width="15.19921875" style="1551" customWidth="1"/>
    <col min="13316" max="13316" width="14.8984375" style="1551" customWidth="1"/>
    <col min="13317" max="13568" width="9" style="1551"/>
    <col min="13569" max="13569" width="5.19921875" style="1551" customWidth="1"/>
    <col min="13570" max="13570" width="72.69921875" style="1551" customWidth="1"/>
    <col min="13571" max="13571" width="15.19921875" style="1551" customWidth="1"/>
    <col min="13572" max="13572" width="14.8984375" style="1551" customWidth="1"/>
    <col min="13573" max="13824" width="9" style="1551"/>
    <col min="13825" max="13825" width="5.19921875" style="1551" customWidth="1"/>
    <col min="13826" max="13826" width="72.69921875" style="1551" customWidth="1"/>
    <col min="13827" max="13827" width="15.19921875" style="1551" customWidth="1"/>
    <col min="13828" max="13828" width="14.8984375" style="1551" customWidth="1"/>
    <col min="13829" max="14080" width="9" style="1551"/>
    <col min="14081" max="14081" width="5.19921875" style="1551" customWidth="1"/>
    <col min="14082" max="14082" width="72.69921875" style="1551" customWidth="1"/>
    <col min="14083" max="14083" width="15.19921875" style="1551" customWidth="1"/>
    <col min="14084" max="14084" width="14.8984375" style="1551" customWidth="1"/>
    <col min="14085" max="14336" width="9" style="1551"/>
    <col min="14337" max="14337" width="5.19921875" style="1551" customWidth="1"/>
    <col min="14338" max="14338" width="72.69921875" style="1551" customWidth="1"/>
    <col min="14339" max="14339" width="15.19921875" style="1551" customWidth="1"/>
    <col min="14340" max="14340" width="14.8984375" style="1551" customWidth="1"/>
    <col min="14341" max="14592" width="9" style="1551"/>
    <col min="14593" max="14593" width="5.19921875" style="1551" customWidth="1"/>
    <col min="14594" max="14594" width="72.69921875" style="1551" customWidth="1"/>
    <col min="14595" max="14595" width="15.19921875" style="1551" customWidth="1"/>
    <col min="14596" max="14596" width="14.8984375" style="1551" customWidth="1"/>
    <col min="14597" max="14848" width="9" style="1551"/>
    <col min="14849" max="14849" width="5.19921875" style="1551" customWidth="1"/>
    <col min="14850" max="14850" width="72.69921875" style="1551" customWidth="1"/>
    <col min="14851" max="14851" width="15.19921875" style="1551" customWidth="1"/>
    <col min="14852" max="14852" width="14.8984375" style="1551" customWidth="1"/>
    <col min="14853" max="15104" width="9" style="1551"/>
    <col min="15105" max="15105" width="5.19921875" style="1551" customWidth="1"/>
    <col min="15106" max="15106" width="72.69921875" style="1551" customWidth="1"/>
    <col min="15107" max="15107" width="15.19921875" style="1551" customWidth="1"/>
    <col min="15108" max="15108" width="14.8984375" style="1551" customWidth="1"/>
    <col min="15109" max="15360" width="9" style="1551"/>
    <col min="15361" max="15361" width="5.19921875" style="1551" customWidth="1"/>
    <col min="15362" max="15362" width="72.69921875" style="1551" customWidth="1"/>
    <col min="15363" max="15363" width="15.19921875" style="1551" customWidth="1"/>
    <col min="15364" max="15364" width="14.8984375" style="1551" customWidth="1"/>
    <col min="15365" max="15616" width="9" style="1551"/>
    <col min="15617" max="15617" width="5.19921875" style="1551" customWidth="1"/>
    <col min="15618" max="15618" width="72.69921875" style="1551" customWidth="1"/>
    <col min="15619" max="15619" width="15.19921875" style="1551" customWidth="1"/>
    <col min="15620" max="15620" width="14.8984375" style="1551" customWidth="1"/>
    <col min="15621" max="15872" width="9" style="1551"/>
    <col min="15873" max="15873" width="5.19921875" style="1551" customWidth="1"/>
    <col min="15874" max="15874" width="72.69921875" style="1551" customWidth="1"/>
    <col min="15875" max="15875" width="15.19921875" style="1551" customWidth="1"/>
    <col min="15876" max="15876" width="14.8984375" style="1551" customWidth="1"/>
    <col min="15877" max="16128" width="9" style="1551"/>
    <col min="16129" max="16129" width="5.19921875" style="1551" customWidth="1"/>
    <col min="16130" max="16130" width="72.69921875" style="1551" customWidth="1"/>
    <col min="16131" max="16131" width="15.19921875" style="1551" customWidth="1"/>
    <col min="16132" max="16132" width="14.8984375" style="1551" customWidth="1"/>
    <col min="16133" max="16384" width="9" style="1551"/>
  </cols>
  <sheetData>
    <row r="1" spans="1:4" ht="20.100000000000001" customHeight="1">
      <c r="A1" s="3378" t="s">
        <v>5278</v>
      </c>
      <c r="B1" s="3378"/>
      <c r="C1" s="3378"/>
      <c r="D1" s="1804"/>
    </row>
    <row r="2" spans="1:4" ht="25.5" customHeight="1">
      <c r="A2" s="3379" t="s">
        <v>5279</v>
      </c>
      <c r="B2" s="3379"/>
      <c r="C2" s="3379"/>
      <c r="D2" s="1835"/>
    </row>
    <row r="3" spans="1:4" s="1552" customFormat="1" ht="14.25" customHeight="1">
      <c r="A3" s="1842" t="s">
        <v>1854</v>
      </c>
      <c r="B3" s="1842" t="s">
        <v>5280</v>
      </c>
      <c r="C3" s="1842" t="s">
        <v>1865</v>
      </c>
      <c r="D3" s="1842" t="s">
        <v>1859</v>
      </c>
    </row>
    <row r="4" spans="1:4" s="1552" customFormat="1" ht="32.25" customHeight="1">
      <c r="A4" s="1842">
        <v>1</v>
      </c>
      <c r="B4" s="1811" t="s">
        <v>5281</v>
      </c>
      <c r="C4" s="2074">
        <f>广宣!J22</f>
        <v>0</v>
      </c>
      <c r="D4" s="1995" t="s">
        <v>5282</v>
      </c>
    </row>
    <row r="5" spans="1:4" s="1552" customFormat="1" ht="14.25" customHeight="1">
      <c r="A5" s="1842">
        <v>2</v>
      </c>
      <c r="B5" s="1811" t="s">
        <v>5283</v>
      </c>
      <c r="C5" s="2074">
        <f>广宣!J23</f>
        <v>0</v>
      </c>
      <c r="D5" s="1954"/>
    </row>
    <row r="6" spans="1:4" s="1552" customFormat="1" ht="14.25" customHeight="1">
      <c r="A6" s="1842">
        <v>3</v>
      </c>
      <c r="B6" s="1811" t="s">
        <v>5284</v>
      </c>
      <c r="C6" s="2074">
        <f>广宣!J24</f>
        <v>0</v>
      </c>
      <c r="D6" s="1954"/>
    </row>
    <row r="7" spans="1:4" s="1552" customFormat="1" ht="33.75" customHeight="1">
      <c r="A7" s="1842">
        <v>4</v>
      </c>
      <c r="B7" s="1811" t="s">
        <v>5285</v>
      </c>
      <c r="C7" s="2074">
        <f>广宣!J29</f>
        <v>0</v>
      </c>
      <c r="D7" s="1995" t="s">
        <v>5286</v>
      </c>
    </row>
    <row r="8" spans="1:4" s="1552" customFormat="1" ht="23.25" customHeight="1">
      <c r="A8" s="1842">
        <v>5</v>
      </c>
      <c r="B8" s="1811" t="s">
        <v>5287</v>
      </c>
      <c r="C8" s="2228">
        <v>15</v>
      </c>
      <c r="D8" s="1954"/>
    </row>
    <row r="9" spans="1:4" s="1552" customFormat="1" ht="14.25" customHeight="1">
      <c r="A9" s="1842">
        <v>6</v>
      </c>
      <c r="B9" s="1933" t="s">
        <v>5288</v>
      </c>
      <c r="C9" s="2074">
        <f>广宣!J30</f>
        <v>0</v>
      </c>
      <c r="D9" s="1954"/>
    </row>
    <row r="10" spans="1:4" s="1552" customFormat="1" ht="14.25" customHeight="1">
      <c r="A10" s="1842">
        <v>7</v>
      </c>
      <c r="B10" s="1933" t="s">
        <v>5289</v>
      </c>
      <c r="C10" s="2074">
        <f>MAX(C6-C9,0)</f>
        <v>0</v>
      </c>
      <c r="D10" s="1954"/>
    </row>
    <row r="11" spans="1:4" s="1552" customFormat="1" ht="14.25" customHeight="1">
      <c r="A11" s="1842">
        <v>8</v>
      </c>
      <c r="B11" s="1933" t="s">
        <v>5290</v>
      </c>
      <c r="C11" s="2074">
        <f>广宣!J33</f>
        <v>0</v>
      </c>
      <c r="D11" s="1954"/>
    </row>
    <row r="12" spans="1:4" s="1552" customFormat="1" ht="29.25" customHeight="1">
      <c r="A12" s="1842">
        <v>9</v>
      </c>
      <c r="B12" s="1934" t="s">
        <v>5291</v>
      </c>
      <c r="C12" s="2077">
        <f>MAX(0,MIN(C9-C6,C11))</f>
        <v>0</v>
      </c>
      <c r="D12" s="1954"/>
    </row>
    <row r="13" spans="1:4" s="1552" customFormat="1" ht="14.25" customHeight="1">
      <c r="A13" s="1842">
        <v>10</v>
      </c>
      <c r="B13" s="1934" t="s">
        <v>5292</v>
      </c>
      <c r="C13" s="2074">
        <f>广宣!J36</f>
        <v>0</v>
      </c>
      <c r="D13" s="1954"/>
    </row>
    <row r="14" spans="1:4" s="1552" customFormat="1" ht="14.25" customHeight="1">
      <c r="A14" s="1842">
        <v>11</v>
      </c>
      <c r="B14" s="1933" t="s">
        <v>5293</v>
      </c>
      <c r="C14" s="2074">
        <f>广宣!J37</f>
        <v>0</v>
      </c>
      <c r="D14" s="1954"/>
    </row>
    <row r="15" spans="1:4" s="1552" customFormat="1" ht="29.25" customHeight="1">
      <c r="A15" s="1842">
        <v>12</v>
      </c>
      <c r="B15" s="1934" t="s">
        <v>5294</v>
      </c>
      <c r="C15" s="2077">
        <f>C5+C13-C14-C12+MAX(0,C6-C9)</f>
        <v>0</v>
      </c>
      <c r="D15" s="1954"/>
    </row>
    <row r="16" spans="1:4" s="1552" customFormat="1" ht="72" customHeight="1">
      <c r="A16" s="1842">
        <v>13</v>
      </c>
      <c r="B16" s="1933" t="s">
        <v>5295</v>
      </c>
      <c r="C16" s="2077">
        <f>C10+C11-C12</f>
        <v>0</v>
      </c>
      <c r="D16" s="1996" t="s">
        <v>5296</v>
      </c>
    </row>
    <row r="17" spans="1:1">
      <c r="A17" s="2000"/>
    </row>
    <row r="18" spans="1:1">
      <c r="A18" s="2000"/>
    </row>
    <row r="19" spans="1:1">
      <c r="A19" s="2000"/>
    </row>
    <row r="20" spans="1:1">
      <c r="A20" s="2000"/>
    </row>
    <row r="21" spans="1:1">
      <c r="A21" s="2000"/>
    </row>
    <row r="22" spans="1:1">
      <c r="A22" s="2000"/>
    </row>
  </sheetData>
  <mergeCells count="2">
    <mergeCell ref="A1:C1"/>
    <mergeCell ref="A2:C2"/>
  </mergeCells>
  <phoneticPr fontId="51" type="noConversion"/>
  <printOptions horizontalCentered="1"/>
  <pageMargins left="0.78740157480314998" right="0.35433070866141703" top="0.511811023622047" bottom="0.11811023622047198" header="0.511811023622047" footer="0.511811023622047"/>
  <pageSetup paperSize="9" orientation="landscape" r:id="rId1"/>
  <headerFooter alignWithMargins="0"/>
</worksheet>
</file>

<file path=xl/worksheets/sheet13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30"/>
  <dimension ref="A1:O25"/>
  <sheetViews>
    <sheetView workbookViewId="0">
      <selection sqref="A1:H1"/>
    </sheetView>
  </sheetViews>
  <sheetFormatPr defaultRowHeight="15.6"/>
  <cols>
    <col min="1" max="1" width="5.19921875" style="1551" customWidth="1"/>
    <col min="2" max="2" width="13.3984375" style="1551" customWidth="1"/>
    <col min="3" max="3" width="13.69921875" style="1551" customWidth="1"/>
    <col min="4" max="4" width="14.09765625" style="1551" customWidth="1"/>
    <col min="5" max="5" width="13.69921875" style="1551" customWidth="1"/>
    <col min="6" max="6" width="13" style="1551" customWidth="1"/>
    <col min="7" max="7" width="13.59765625" style="1551" customWidth="1"/>
    <col min="8" max="8" width="12.69921875" style="1551" customWidth="1"/>
    <col min="9" max="9" width="17.3984375" style="1551" customWidth="1"/>
    <col min="10" max="256" width="9" style="1551"/>
    <col min="257" max="257" width="5.19921875" style="1551" customWidth="1"/>
    <col min="258" max="258" width="13.3984375" style="1551" customWidth="1"/>
    <col min="259" max="259" width="13.69921875" style="1551" customWidth="1"/>
    <col min="260" max="260" width="14.09765625" style="1551" customWidth="1"/>
    <col min="261" max="261" width="13.69921875" style="1551" customWidth="1"/>
    <col min="262" max="262" width="13" style="1551" customWidth="1"/>
    <col min="263" max="263" width="13.59765625" style="1551" customWidth="1"/>
    <col min="264" max="264" width="12.69921875" style="1551" customWidth="1"/>
    <col min="265" max="265" width="17.3984375" style="1551" customWidth="1"/>
    <col min="266" max="512" width="9" style="1551"/>
    <col min="513" max="513" width="5.19921875" style="1551" customWidth="1"/>
    <col min="514" max="514" width="13.3984375" style="1551" customWidth="1"/>
    <col min="515" max="515" width="13.69921875" style="1551" customWidth="1"/>
    <col min="516" max="516" width="14.09765625" style="1551" customWidth="1"/>
    <col min="517" max="517" width="13.69921875" style="1551" customWidth="1"/>
    <col min="518" max="518" width="13" style="1551" customWidth="1"/>
    <col min="519" max="519" width="13.59765625" style="1551" customWidth="1"/>
    <col min="520" max="520" width="12.69921875" style="1551" customWidth="1"/>
    <col min="521" max="521" width="17.3984375" style="1551" customWidth="1"/>
    <col min="522" max="768" width="9" style="1551"/>
    <col min="769" max="769" width="5.19921875" style="1551" customWidth="1"/>
    <col min="770" max="770" width="13.3984375" style="1551" customWidth="1"/>
    <col min="771" max="771" width="13.69921875" style="1551" customWidth="1"/>
    <col min="772" max="772" width="14.09765625" style="1551" customWidth="1"/>
    <col min="773" max="773" width="13.69921875" style="1551" customWidth="1"/>
    <col min="774" max="774" width="13" style="1551" customWidth="1"/>
    <col min="775" max="775" width="13.59765625" style="1551" customWidth="1"/>
    <col min="776" max="776" width="12.69921875" style="1551" customWidth="1"/>
    <col min="777" max="777" width="17.3984375" style="1551" customWidth="1"/>
    <col min="778" max="1024" width="9" style="1551"/>
    <col min="1025" max="1025" width="5.19921875" style="1551" customWidth="1"/>
    <col min="1026" max="1026" width="13.3984375" style="1551" customWidth="1"/>
    <col min="1027" max="1027" width="13.69921875" style="1551" customWidth="1"/>
    <col min="1028" max="1028" width="14.09765625" style="1551" customWidth="1"/>
    <col min="1029" max="1029" width="13.69921875" style="1551" customWidth="1"/>
    <col min="1030" max="1030" width="13" style="1551" customWidth="1"/>
    <col min="1031" max="1031" width="13.59765625" style="1551" customWidth="1"/>
    <col min="1032" max="1032" width="12.69921875" style="1551" customWidth="1"/>
    <col min="1033" max="1033" width="17.3984375" style="1551" customWidth="1"/>
    <col min="1034" max="1280" width="9" style="1551"/>
    <col min="1281" max="1281" width="5.19921875" style="1551" customWidth="1"/>
    <col min="1282" max="1282" width="13.3984375" style="1551" customWidth="1"/>
    <col min="1283" max="1283" width="13.69921875" style="1551" customWidth="1"/>
    <col min="1284" max="1284" width="14.09765625" style="1551" customWidth="1"/>
    <col min="1285" max="1285" width="13.69921875" style="1551" customWidth="1"/>
    <col min="1286" max="1286" width="13" style="1551" customWidth="1"/>
    <col min="1287" max="1287" width="13.59765625" style="1551" customWidth="1"/>
    <col min="1288" max="1288" width="12.69921875" style="1551" customWidth="1"/>
    <col min="1289" max="1289" width="17.3984375" style="1551" customWidth="1"/>
    <col min="1290" max="1536" width="9" style="1551"/>
    <col min="1537" max="1537" width="5.19921875" style="1551" customWidth="1"/>
    <col min="1538" max="1538" width="13.3984375" style="1551" customWidth="1"/>
    <col min="1539" max="1539" width="13.69921875" style="1551" customWidth="1"/>
    <col min="1540" max="1540" width="14.09765625" style="1551" customWidth="1"/>
    <col min="1541" max="1541" width="13.69921875" style="1551" customWidth="1"/>
    <col min="1542" max="1542" width="13" style="1551" customWidth="1"/>
    <col min="1543" max="1543" width="13.59765625" style="1551" customWidth="1"/>
    <col min="1544" max="1544" width="12.69921875" style="1551" customWidth="1"/>
    <col min="1545" max="1545" width="17.3984375" style="1551" customWidth="1"/>
    <col min="1546" max="1792" width="9" style="1551"/>
    <col min="1793" max="1793" width="5.19921875" style="1551" customWidth="1"/>
    <col min="1794" max="1794" width="13.3984375" style="1551" customWidth="1"/>
    <col min="1795" max="1795" width="13.69921875" style="1551" customWidth="1"/>
    <col min="1796" max="1796" width="14.09765625" style="1551" customWidth="1"/>
    <col min="1797" max="1797" width="13.69921875" style="1551" customWidth="1"/>
    <col min="1798" max="1798" width="13" style="1551" customWidth="1"/>
    <col min="1799" max="1799" width="13.59765625" style="1551" customWidth="1"/>
    <col min="1800" max="1800" width="12.69921875" style="1551" customWidth="1"/>
    <col min="1801" max="1801" width="17.3984375" style="1551" customWidth="1"/>
    <col min="1802" max="2048" width="9" style="1551"/>
    <col min="2049" max="2049" width="5.19921875" style="1551" customWidth="1"/>
    <col min="2050" max="2050" width="13.3984375" style="1551" customWidth="1"/>
    <col min="2051" max="2051" width="13.69921875" style="1551" customWidth="1"/>
    <col min="2052" max="2052" width="14.09765625" style="1551" customWidth="1"/>
    <col min="2053" max="2053" width="13.69921875" style="1551" customWidth="1"/>
    <col min="2054" max="2054" width="13" style="1551" customWidth="1"/>
    <col min="2055" max="2055" width="13.59765625" style="1551" customWidth="1"/>
    <col min="2056" max="2056" width="12.69921875" style="1551" customWidth="1"/>
    <col min="2057" max="2057" width="17.3984375" style="1551" customWidth="1"/>
    <col min="2058" max="2304" width="9" style="1551"/>
    <col min="2305" max="2305" width="5.19921875" style="1551" customWidth="1"/>
    <col min="2306" max="2306" width="13.3984375" style="1551" customWidth="1"/>
    <col min="2307" max="2307" width="13.69921875" style="1551" customWidth="1"/>
    <col min="2308" max="2308" width="14.09765625" style="1551" customWidth="1"/>
    <col min="2309" max="2309" width="13.69921875" style="1551" customWidth="1"/>
    <col min="2310" max="2310" width="13" style="1551" customWidth="1"/>
    <col min="2311" max="2311" width="13.59765625" style="1551" customWidth="1"/>
    <col min="2312" max="2312" width="12.69921875" style="1551" customWidth="1"/>
    <col min="2313" max="2313" width="17.3984375" style="1551" customWidth="1"/>
    <col min="2314" max="2560" width="9" style="1551"/>
    <col min="2561" max="2561" width="5.19921875" style="1551" customWidth="1"/>
    <col min="2562" max="2562" width="13.3984375" style="1551" customWidth="1"/>
    <col min="2563" max="2563" width="13.69921875" style="1551" customWidth="1"/>
    <col min="2564" max="2564" width="14.09765625" style="1551" customWidth="1"/>
    <col min="2565" max="2565" width="13.69921875" style="1551" customWidth="1"/>
    <col min="2566" max="2566" width="13" style="1551" customWidth="1"/>
    <col min="2567" max="2567" width="13.59765625" style="1551" customWidth="1"/>
    <col min="2568" max="2568" width="12.69921875" style="1551" customWidth="1"/>
    <col min="2569" max="2569" width="17.3984375" style="1551" customWidth="1"/>
    <col min="2570" max="2816" width="9" style="1551"/>
    <col min="2817" max="2817" width="5.19921875" style="1551" customWidth="1"/>
    <col min="2818" max="2818" width="13.3984375" style="1551" customWidth="1"/>
    <col min="2819" max="2819" width="13.69921875" style="1551" customWidth="1"/>
    <col min="2820" max="2820" width="14.09765625" style="1551" customWidth="1"/>
    <col min="2821" max="2821" width="13.69921875" style="1551" customWidth="1"/>
    <col min="2822" max="2822" width="13" style="1551" customWidth="1"/>
    <col min="2823" max="2823" width="13.59765625" style="1551" customWidth="1"/>
    <col min="2824" max="2824" width="12.69921875" style="1551" customWidth="1"/>
    <col min="2825" max="2825" width="17.3984375" style="1551" customWidth="1"/>
    <col min="2826" max="3072" width="9" style="1551"/>
    <col min="3073" max="3073" width="5.19921875" style="1551" customWidth="1"/>
    <col min="3074" max="3074" width="13.3984375" style="1551" customWidth="1"/>
    <col min="3075" max="3075" width="13.69921875" style="1551" customWidth="1"/>
    <col min="3076" max="3076" width="14.09765625" style="1551" customWidth="1"/>
    <col min="3077" max="3077" width="13.69921875" style="1551" customWidth="1"/>
    <col min="3078" max="3078" width="13" style="1551" customWidth="1"/>
    <col min="3079" max="3079" width="13.59765625" style="1551" customWidth="1"/>
    <col min="3080" max="3080" width="12.69921875" style="1551" customWidth="1"/>
    <col min="3081" max="3081" width="17.3984375" style="1551" customWidth="1"/>
    <col min="3082" max="3328" width="9" style="1551"/>
    <col min="3329" max="3329" width="5.19921875" style="1551" customWidth="1"/>
    <col min="3330" max="3330" width="13.3984375" style="1551" customWidth="1"/>
    <col min="3331" max="3331" width="13.69921875" style="1551" customWidth="1"/>
    <col min="3332" max="3332" width="14.09765625" style="1551" customWidth="1"/>
    <col min="3333" max="3333" width="13.69921875" style="1551" customWidth="1"/>
    <col min="3334" max="3334" width="13" style="1551" customWidth="1"/>
    <col min="3335" max="3335" width="13.59765625" style="1551" customWidth="1"/>
    <col min="3336" max="3336" width="12.69921875" style="1551" customWidth="1"/>
    <col min="3337" max="3337" width="17.3984375" style="1551" customWidth="1"/>
    <col min="3338" max="3584" width="9" style="1551"/>
    <col min="3585" max="3585" width="5.19921875" style="1551" customWidth="1"/>
    <col min="3586" max="3586" width="13.3984375" style="1551" customWidth="1"/>
    <col min="3587" max="3587" width="13.69921875" style="1551" customWidth="1"/>
    <col min="3588" max="3588" width="14.09765625" style="1551" customWidth="1"/>
    <col min="3589" max="3589" width="13.69921875" style="1551" customWidth="1"/>
    <col min="3590" max="3590" width="13" style="1551" customWidth="1"/>
    <col min="3591" max="3591" width="13.59765625" style="1551" customWidth="1"/>
    <col min="3592" max="3592" width="12.69921875" style="1551" customWidth="1"/>
    <col min="3593" max="3593" width="17.3984375" style="1551" customWidth="1"/>
    <col min="3594" max="3840" width="9" style="1551"/>
    <col min="3841" max="3841" width="5.19921875" style="1551" customWidth="1"/>
    <col min="3842" max="3842" width="13.3984375" style="1551" customWidth="1"/>
    <col min="3843" max="3843" width="13.69921875" style="1551" customWidth="1"/>
    <col min="3844" max="3844" width="14.09765625" style="1551" customWidth="1"/>
    <col min="3845" max="3845" width="13.69921875" style="1551" customWidth="1"/>
    <col min="3846" max="3846" width="13" style="1551" customWidth="1"/>
    <col min="3847" max="3847" width="13.59765625" style="1551" customWidth="1"/>
    <col min="3848" max="3848" width="12.69921875" style="1551" customWidth="1"/>
    <col min="3849" max="3849" width="17.3984375" style="1551" customWidth="1"/>
    <col min="3850" max="4096" width="9" style="1551"/>
    <col min="4097" max="4097" width="5.19921875" style="1551" customWidth="1"/>
    <col min="4098" max="4098" width="13.3984375" style="1551" customWidth="1"/>
    <col min="4099" max="4099" width="13.69921875" style="1551" customWidth="1"/>
    <col min="4100" max="4100" width="14.09765625" style="1551" customWidth="1"/>
    <col min="4101" max="4101" width="13.69921875" style="1551" customWidth="1"/>
    <col min="4102" max="4102" width="13" style="1551" customWidth="1"/>
    <col min="4103" max="4103" width="13.59765625" style="1551" customWidth="1"/>
    <col min="4104" max="4104" width="12.69921875" style="1551" customWidth="1"/>
    <col min="4105" max="4105" width="17.3984375" style="1551" customWidth="1"/>
    <col min="4106" max="4352" width="9" style="1551"/>
    <col min="4353" max="4353" width="5.19921875" style="1551" customWidth="1"/>
    <col min="4354" max="4354" width="13.3984375" style="1551" customWidth="1"/>
    <col min="4355" max="4355" width="13.69921875" style="1551" customWidth="1"/>
    <col min="4356" max="4356" width="14.09765625" style="1551" customWidth="1"/>
    <col min="4357" max="4357" width="13.69921875" style="1551" customWidth="1"/>
    <col min="4358" max="4358" width="13" style="1551" customWidth="1"/>
    <col min="4359" max="4359" width="13.59765625" style="1551" customWidth="1"/>
    <col min="4360" max="4360" width="12.69921875" style="1551" customWidth="1"/>
    <col min="4361" max="4361" width="17.3984375" style="1551" customWidth="1"/>
    <col min="4362" max="4608" width="9" style="1551"/>
    <col min="4609" max="4609" width="5.19921875" style="1551" customWidth="1"/>
    <col min="4610" max="4610" width="13.3984375" style="1551" customWidth="1"/>
    <col min="4611" max="4611" width="13.69921875" style="1551" customWidth="1"/>
    <col min="4612" max="4612" width="14.09765625" style="1551" customWidth="1"/>
    <col min="4613" max="4613" width="13.69921875" style="1551" customWidth="1"/>
    <col min="4614" max="4614" width="13" style="1551" customWidth="1"/>
    <col min="4615" max="4615" width="13.59765625" style="1551" customWidth="1"/>
    <col min="4616" max="4616" width="12.69921875" style="1551" customWidth="1"/>
    <col min="4617" max="4617" width="17.3984375" style="1551" customWidth="1"/>
    <col min="4618" max="4864" width="9" style="1551"/>
    <col min="4865" max="4865" width="5.19921875" style="1551" customWidth="1"/>
    <col min="4866" max="4866" width="13.3984375" style="1551" customWidth="1"/>
    <col min="4867" max="4867" width="13.69921875" style="1551" customWidth="1"/>
    <col min="4868" max="4868" width="14.09765625" style="1551" customWidth="1"/>
    <col min="4869" max="4869" width="13.69921875" style="1551" customWidth="1"/>
    <col min="4870" max="4870" width="13" style="1551" customWidth="1"/>
    <col min="4871" max="4871" width="13.59765625" style="1551" customWidth="1"/>
    <col min="4872" max="4872" width="12.69921875" style="1551" customWidth="1"/>
    <col min="4873" max="4873" width="17.3984375" style="1551" customWidth="1"/>
    <col min="4874" max="5120" width="9" style="1551"/>
    <col min="5121" max="5121" width="5.19921875" style="1551" customWidth="1"/>
    <col min="5122" max="5122" width="13.3984375" style="1551" customWidth="1"/>
    <col min="5123" max="5123" width="13.69921875" style="1551" customWidth="1"/>
    <col min="5124" max="5124" width="14.09765625" style="1551" customWidth="1"/>
    <col min="5125" max="5125" width="13.69921875" style="1551" customWidth="1"/>
    <col min="5126" max="5126" width="13" style="1551" customWidth="1"/>
    <col min="5127" max="5127" width="13.59765625" style="1551" customWidth="1"/>
    <col min="5128" max="5128" width="12.69921875" style="1551" customWidth="1"/>
    <col min="5129" max="5129" width="17.3984375" style="1551" customWidth="1"/>
    <col min="5130" max="5376" width="9" style="1551"/>
    <col min="5377" max="5377" width="5.19921875" style="1551" customWidth="1"/>
    <col min="5378" max="5378" width="13.3984375" style="1551" customWidth="1"/>
    <col min="5379" max="5379" width="13.69921875" style="1551" customWidth="1"/>
    <col min="5380" max="5380" width="14.09765625" style="1551" customWidth="1"/>
    <col min="5381" max="5381" width="13.69921875" style="1551" customWidth="1"/>
    <col min="5382" max="5382" width="13" style="1551" customWidth="1"/>
    <col min="5383" max="5383" width="13.59765625" style="1551" customWidth="1"/>
    <col min="5384" max="5384" width="12.69921875" style="1551" customWidth="1"/>
    <col min="5385" max="5385" width="17.3984375" style="1551" customWidth="1"/>
    <col min="5386" max="5632" width="9" style="1551"/>
    <col min="5633" max="5633" width="5.19921875" style="1551" customWidth="1"/>
    <col min="5634" max="5634" width="13.3984375" style="1551" customWidth="1"/>
    <col min="5635" max="5635" width="13.69921875" style="1551" customWidth="1"/>
    <col min="5636" max="5636" width="14.09765625" style="1551" customWidth="1"/>
    <col min="5637" max="5637" width="13.69921875" style="1551" customWidth="1"/>
    <col min="5638" max="5638" width="13" style="1551" customWidth="1"/>
    <col min="5639" max="5639" width="13.59765625" style="1551" customWidth="1"/>
    <col min="5640" max="5640" width="12.69921875" style="1551" customWidth="1"/>
    <col min="5641" max="5641" width="17.3984375" style="1551" customWidth="1"/>
    <col min="5642" max="5888" width="9" style="1551"/>
    <col min="5889" max="5889" width="5.19921875" style="1551" customWidth="1"/>
    <col min="5890" max="5890" width="13.3984375" style="1551" customWidth="1"/>
    <col min="5891" max="5891" width="13.69921875" style="1551" customWidth="1"/>
    <col min="5892" max="5892" width="14.09765625" style="1551" customWidth="1"/>
    <col min="5893" max="5893" width="13.69921875" style="1551" customWidth="1"/>
    <col min="5894" max="5894" width="13" style="1551" customWidth="1"/>
    <col min="5895" max="5895" width="13.59765625" style="1551" customWidth="1"/>
    <col min="5896" max="5896" width="12.69921875" style="1551" customWidth="1"/>
    <col min="5897" max="5897" width="17.3984375" style="1551" customWidth="1"/>
    <col min="5898" max="6144" width="9" style="1551"/>
    <col min="6145" max="6145" width="5.19921875" style="1551" customWidth="1"/>
    <col min="6146" max="6146" width="13.3984375" style="1551" customWidth="1"/>
    <col min="6147" max="6147" width="13.69921875" style="1551" customWidth="1"/>
    <col min="6148" max="6148" width="14.09765625" style="1551" customWidth="1"/>
    <col min="6149" max="6149" width="13.69921875" style="1551" customWidth="1"/>
    <col min="6150" max="6150" width="13" style="1551" customWidth="1"/>
    <col min="6151" max="6151" width="13.59765625" style="1551" customWidth="1"/>
    <col min="6152" max="6152" width="12.69921875" style="1551" customWidth="1"/>
    <col min="6153" max="6153" width="17.3984375" style="1551" customWidth="1"/>
    <col min="6154" max="6400" width="9" style="1551"/>
    <col min="6401" max="6401" width="5.19921875" style="1551" customWidth="1"/>
    <col min="6402" max="6402" width="13.3984375" style="1551" customWidth="1"/>
    <col min="6403" max="6403" width="13.69921875" style="1551" customWidth="1"/>
    <col min="6404" max="6404" width="14.09765625" style="1551" customWidth="1"/>
    <col min="6405" max="6405" width="13.69921875" style="1551" customWidth="1"/>
    <col min="6406" max="6406" width="13" style="1551" customWidth="1"/>
    <col min="6407" max="6407" width="13.59765625" style="1551" customWidth="1"/>
    <col min="6408" max="6408" width="12.69921875" style="1551" customWidth="1"/>
    <col min="6409" max="6409" width="17.3984375" style="1551" customWidth="1"/>
    <col min="6410" max="6656" width="9" style="1551"/>
    <col min="6657" max="6657" width="5.19921875" style="1551" customWidth="1"/>
    <col min="6658" max="6658" width="13.3984375" style="1551" customWidth="1"/>
    <col min="6659" max="6659" width="13.69921875" style="1551" customWidth="1"/>
    <col min="6660" max="6660" width="14.09765625" style="1551" customWidth="1"/>
    <col min="6661" max="6661" width="13.69921875" style="1551" customWidth="1"/>
    <col min="6662" max="6662" width="13" style="1551" customWidth="1"/>
    <col min="6663" max="6663" width="13.59765625" style="1551" customWidth="1"/>
    <col min="6664" max="6664" width="12.69921875" style="1551" customWidth="1"/>
    <col min="6665" max="6665" width="17.3984375" style="1551" customWidth="1"/>
    <col min="6666" max="6912" width="9" style="1551"/>
    <col min="6913" max="6913" width="5.19921875" style="1551" customWidth="1"/>
    <col min="6914" max="6914" width="13.3984375" style="1551" customWidth="1"/>
    <col min="6915" max="6915" width="13.69921875" style="1551" customWidth="1"/>
    <col min="6916" max="6916" width="14.09765625" style="1551" customWidth="1"/>
    <col min="6917" max="6917" width="13.69921875" style="1551" customWidth="1"/>
    <col min="6918" max="6918" width="13" style="1551" customWidth="1"/>
    <col min="6919" max="6919" width="13.59765625" style="1551" customWidth="1"/>
    <col min="6920" max="6920" width="12.69921875" style="1551" customWidth="1"/>
    <col min="6921" max="6921" width="17.3984375" style="1551" customWidth="1"/>
    <col min="6922" max="7168" width="9" style="1551"/>
    <col min="7169" max="7169" width="5.19921875" style="1551" customWidth="1"/>
    <col min="7170" max="7170" width="13.3984375" style="1551" customWidth="1"/>
    <col min="7171" max="7171" width="13.69921875" style="1551" customWidth="1"/>
    <col min="7172" max="7172" width="14.09765625" style="1551" customWidth="1"/>
    <col min="7173" max="7173" width="13.69921875" style="1551" customWidth="1"/>
    <col min="7174" max="7174" width="13" style="1551" customWidth="1"/>
    <col min="7175" max="7175" width="13.59765625" style="1551" customWidth="1"/>
    <col min="7176" max="7176" width="12.69921875" style="1551" customWidth="1"/>
    <col min="7177" max="7177" width="17.3984375" style="1551" customWidth="1"/>
    <col min="7178" max="7424" width="9" style="1551"/>
    <col min="7425" max="7425" width="5.19921875" style="1551" customWidth="1"/>
    <col min="7426" max="7426" width="13.3984375" style="1551" customWidth="1"/>
    <col min="7427" max="7427" width="13.69921875" style="1551" customWidth="1"/>
    <col min="7428" max="7428" width="14.09765625" style="1551" customWidth="1"/>
    <col min="7429" max="7429" width="13.69921875" style="1551" customWidth="1"/>
    <col min="7430" max="7430" width="13" style="1551" customWidth="1"/>
    <col min="7431" max="7431" width="13.59765625" style="1551" customWidth="1"/>
    <col min="7432" max="7432" width="12.69921875" style="1551" customWidth="1"/>
    <col min="7433" max="7433" width="17.3984375" style="1551" customWidth="1"/>
    <col min="7434" max="7680" width="9" style="1551"/>
    <col min="7681" max="7681" width="5.19921875" style="1551" customWidth="1"/>
    <col min="7682" max="7682" width="13.3984375" style="1551" customWidth="1"/>
    <col min="7683" max="7683" width="13.69921875" style="1551" customWidth="1"/>
    <col min="7684" max="7684" width="14.09765625" style="1551" customWidth="1"/>
    <col min="7685" max="7685" width="13.69921875" style="1551" customWidth="1"/>
    <col min="7686" max="7686" width="13" style="1551" customWidth="1"/>
    <col min="7687" max="7687" width="13.59765625" style="1551" customWidth="1"/>
    <col min="7688" max="7688" width="12.69921875" style="1551" customWidth="1"/>
    <col min="7689" max="7689" width="17.3984375" style="1551" customWidth="1"/>
    <col min="7690" max="7936" width="9" style="1551"/>
    <col min="7937" max="7937" width="5.19921875" style="1551" customWidth="1"/>
    <col min="7938" max="7938" width="13.3984375" style="1551" customWidth="1"/>
    <col min="7939" max="7939" width="13.69921875" style="1551" customWidth="1"/>
    <col min="7940" max="7940" width="14.09765625" style="1551" customWidth="1"/>
    <col min="7941" max="7941" width="13.69921875" style="1551" customWidth="1"/>
    <col min="7942" max="7942" width="13" style="1551" customWidth="1"/>
    <col min="7943" max="7943" width="13.59765625" style="1551" customWidth="1"/>
    <col min="7944" max="7944" width="12.69921875" style="1551" customWidth="1"/>
    <col min="7945" max="7945" width="17.3984375" style="1551" customWidth="1"/>
    <col min="7946" max="8192" width="9" style="1551"/>
    <col min="8193" max="8193" width="5.19921875" style="1551" customWidth="1"/>
    <col min="8194" max="8194" width="13.3984375" style="1551" customWidth="1"/>
    <col min="8195" max="8195" width="13.69921875" style="1551" customWidth="1"/>
    <col min="8196" max="8196" width="14.09765625" style="1551" customWidth="1"/>
    <col min="8197" max="8197" width="13.69921875" style="1551" customWidth="1"/>
    <col min="8198" max="8198" width="13" style="1551" customWidth="1"/>
    <col min="8199" max="8199" width="13.59765625" style="1551" customWidth="1"/>
    <col min="8200" max="8200" width="12.69921875" style="1551" customWidth="1"/>
    <col min="8201" max="8201" width="17.3984375" style="1551" customWidth="1"/>
    <col min="8202" max="8448" width="9" style="1551"/>
    <col min="8449" max="8449" width="5.19921875" style="1551" customWidth="1"/>
    <col min="8450" max="8450" width="13.3984375" style="1551" customWidth="1"/>
    <col min="8451" max="8451" width="13.69921875" style="1551" customWidth="1"/>
    <col min="8452" max="8452" width="14.09765625" style="1551" customWidth="1"/>
    <col min="8453" max="8453" width="13.69921875" style="1551" customWidth="1"/>
    <col min="8454" max="8454" width="13" style="1551" customWidth="1"/>
    <col min="8455" max="8455" width="13.59765625" style="1551" customWidth="1"/>
    <col min="8456" max="8456" width="12.69921875" style="1551" customWidth="1"/>
    <col min="8457" max="8457" width="17.3984375" style="1551" customWidth="1"/>
    <col min="8458" max="8704" width="9" style="1551"/>
    <col min="8705" max="8705" width="5.19921875" style="1551" customWidth="1"/>
    <col min="8706" max="8706" width="13.3984375" style="1551" customWidth="1"/>
    <col min="8707" max="8707" width="13.69921875" style="1551" customWidth="1"/>
    <col min="8708" max="8708" width="14.09765625" style="1551" customWidth="1"/>
    <col min="8709" max="8709" width="13.69921875" style="1551" customWidth="1"/>
    <col min="8710" max="8710" width="13" style="1551" customWidth="1"/>
    <col min="8711" max="8711" width="13.59765625" style="1551" customWidth="1"/>
    <col min="8712" max="8712" width="12.69921875" style="1551" customWidth="1"/>
    <col min="8713" max="8713" width="17.3984375" style="1551" customWidth="1"/>
    <col min="8714" max="8960" width="9" style="1551"/>
    <col min="8961" max="8961" width="5.19921875" style="1551" customWidth="1"/>
    <col min="8962" max="8962" width="13.3984375" style="1551" customWidth="1"/>
    <col min="8963" max="8963" width="13.69921875" style="1551" customWidth="1"/>
    <col min="8964" max="8964" width="14.09765625" style="1551" customWidth="1"/>
    <col min="8965" max="8965" width="13.69921875" style="1551" customWidth="1"/>
    <col min="8966" max="8966" width="13" style="1551" customWidth="1"/>
    <col min="8967" max="8967" width="13.59765625" style="1551" customWidth="1"/>
    <col min="8968" max="8968" width="12.69921875" style="1551" customWidth="1"/>
    <col min="8969" max="8969" width="17.3984375" style="1551" customWidth="1"/>
    <col min="8970" max="9216" width="9" style="1551"/>
    <col min="9217" max="9217" width="5.19921875" style="1551" customWidth="1"/>
    <col min="9218" max="9218" width="13.3984375" style="1551" customWidth="1"/>
    <col min="9219" max="9219" width="13.69921875" style="1551" customWidth="1"/>
    <col min="9220" max="9220" width="14.09765625" style="1551" customWidth="1"/>
    <col min="9221" max="9221" width="13.69921875" style="1551" customWidth="1"/>
    <col min="9222" max="9222" width="13" style="1551" customWidth="1"/>
    <col min="9223" max="9223" width="13.59765625" style="1551" customWidth="1"/>
    <col min="9224" max="9224" width="12.69921875" style="1551" customWidth="1"/>
    <col min="9225" max="9225" width="17.3984375" style="1551" customWidth="1"/>
    <col min="9226" max="9472" width="9" style="1551"/>
    <col min="9473" max="9473" width="5.19921875" style="1551" customWidth="1"/>
    <col min="9474" max="9474" width="13.3984375" style="1551" customWidth="1"/>
    <col min="9475" max="9475" width="13.69921875" style="1551" customWidth="1"/>
    <col min="9476" max="9476" width="14.09765625" style="1551" customWidth="1"/>
    <col min="9477" max="9477" width="13.69921875" style="1551" customWidth="1"/>
    <col min="9478" max="9478" width="13" style="1551" customWidth="1"/>
    <col min="9479" max="9479" width="13.59765625" style="1551" customWidth="1"/>
    <col min="9480" max="9480" width="12.69921875" style="1551" customWidth="1"/>
    <col min="9481" max="9481" width="17.3984375" style="1551" customWidth="1"/>
    <col min="9482" max="9728" width="9" style="1551"/>
    <col min="9729" max="9729" width="5.19921875" style="1551" customWidth="1"/>
    <col min="9730" max="9730" width="13.3984375" style="1551" customWidth="1"/>
    <col min="9731" max="9731" width="13.69921875" style="1551" customWidth="1"/>
    <col min="9732" max="9732" width="14.09765625" style="1551" customWidth="1"/>
    <col min="9733" max="9733" width="13.69921875" style="1551" customWidth="1"/>
    <col min="9734" max="9734" width="13" style="1551" customWidth="1"/>
    <col min="9735" max="9735" width="13.59765625" style="1551" customWidth="1"/>
    <col min="9736" max="9736" width="12.69921875" style="1551" customWidth="1"/>
    <col min="9737" max="9737" width="17.3984375" style="1551" customWidth="1"/>
    <col min="9738" max="9984" width="9" style="1551"/>
    <col min="9985" max="9985" width="5.19921875" style="1551" customWidth="1"/>
    <col min="9986" max="9986" width="13.3984375" style="1551" customWidth="1"/>
    <col min="9987" max="9987" width="13.69921875" style="1551" customWidth="1"/>
    <col min="9988" max="9988" width="14.09765625" style="1551" customWidth="1"/>
    <col min="9989" max="9989" width="13.69921875" style="1551" customWidth="1"/>
    <col min="9990" max="9990" width="13" style="1551" customWidth="1"/>
    <col min="9991" max="9991" width="13.59765625" style="1551" customWidth="1"/>
    <col min="9992" max="9992" width="12.69921875" style="1551" customWidth="1"/>
    <col min="9993" max="9993" width="17.3984375" style="1551" customWidth="1"/>
    <col min="9994" max="10240" width="9" style="1551"/>
    <col min="10241" max="10241" width="5.19921875" style="1551" customWidth="1"/>
    <col min="10242" max="10242" width="13.3984375" style="1551" customWidth="1"/>
    <col min="10243" max="10243" width="13.69921875" style="1551" customWidth="1"/>
    <col min="10244" max="10244" width="14.09765625" style="1551" customWidth="1"/>
    <col min="10245" max="10245" width="13.69921875" style="1551" customWidth="1"/>
    <col min="10246" max="10246" width="13" style="1551" customWidth="1"/>
    <col min="10247" max="10247" width="13.59765625" style="1551" customWidth="1"/>
    <col min="10248" max="10248" width="12.69921875" style="1551" customWidth="1"/>
    <col min="10249" max="10249" width="17.3984375" style="1551" customWidth="1"/>
    <col min="10250" max="10496" width="9" style="1551"/>
    <col min="10497" max="10497" width="5.19921875" style="1551" customWidth="1"/>
    <col min="10498" max="10498" width="13.3984375" style="1551" customWidth="1"/>
    <col min="10499" max="10499" width="13.69921875" style="1551" customWidth="1"/>
    <col min="10500" max="10500" width="14.09765625" style="1551" customWidth="1"/>
    <col min="10501" max="10501" width="13.69921875" style="1551" customWidth="1"/>
    <col min="10502" max="10502" width="13" style="1551" customWidth="1"/>
    <col min="10503" max="10503" width="13.59765625" style="1551" customWidth="1"/>
    <col min="10504" max="10504" width="12.69921875" style="1551" customWidth="1"/>
    <col min="10505" max="10505" width="17.3984375" style="1551" customWidth="1"/>
    <col min="10506" max="10752" width="9" style="1551"/>
    <col min="10753" max="10753" width="5.19921875" style="1551" customWidth="1"/>
    <col min="10754" max="10754" width="13.3984375" style="1551" customWidth="1"/>
    <col min="10755" max="10755" width="13.69921875" style="1551" customWidth="1"/>
    <col min="10756" max="10756" width="14.09765625" style="1551" customWidth="1"/>
    <col min="10757" max="10757" width="13.69921875" style="1551" customWidth="1"/>
    <col min="10758" max="10758" width="13" style="1551" customWidth="1"/>
    <col min="10759" max="10759" width="13.59765625" style="1551" customWidth="1"/>
    <col min="10760" max="10760" width="12.69921875" style="1551" customWidth="1"/>
    <col min="10761" max="10761" width="17.3984375" style="1551" customWidth="1"/>
    <col min="10762" max="11008" width="9" style="1551"/>
    <col min="11009" max="11009" width="5.19921875" style="1551" customWidth="1"/>
    <col min="11010" max="11010" width="13.3984375" style="1551" customWidth="1"/>
    <col min="11011" max="11011" width="13.69921875" style="1551" customWidth="1"/>
    <col min="11012" max="11012" width="14.09765625" style="1551" customWidth="1"/>
    <col min="11013" max="11013" width="13.69921875" style="1551" customWidth="1"/>
    <col min="11014" max="11014" width="13" style="1551" customWidth="1"/>
    <col min="11015" max="11015" width="13.59765625" style="1551" customWidth="1"/>
    <col min="11016" max="11016" width="12.69921875" style="1551" customWidth="1"/>
    <col min="11017" max="11017" width="17.3984375" style="1551" customWidth="1"/>
    <col min="11018" max="11264" width="9" style="1551"/>
    <col min="11265" max="11265" width="5.19921875" style="1551" customWidth="1"/>
    <col min="11266" max="11266" width="13.3984375" style="1551" customWidth="1"/>
    <col min="11267" max="11267" width="13.69921875" style="1551" customWidth="1"/>
    <col min="11268" max="11268" width="14.09765625" style="1551" customWidth="1"/>
    <col min="11269" max="11269" width="13.69921875" style="1551" customWidth="1"/>
    <col min="11270" max="11270" width="13" style="1551" customWidth="1"/>
    <col min="11271" max="11271" width="13.59765625" style="1551" customWidth="1"/>
    <col min="11272" max="11272" width="12.69921875" style="1551" customWidth="1"/>
    <col min="11273" max="11273" width="17.3984375" style="1551" customWidth="1"/>
    <col min="11274" max="11520" width="9" style="1551"/>
    <col min="11521" max="11521" width="5.19921875" style="1551" customWidth="1"/>
    <col min="11522" max="11522" width="13.3984375" style="1551" customWidth="1"/>
    <col min="11523" max="11523" width="13.69921875" style="1551" customWidth="1"/>
    <col min="11524" max="11524" width="14.09765625" style="1551" customWidth="1"/>
    <col min="11525" max="11525" width="13.69921875" style="1551" customWidth="1"/>
    <col min="11526" max="11526" width="13" style="1551" customWidth="1"/>
    <col min="11527" max="11527" width="13.59765625" style="1551" customWidth="1"/>
    <col min="11528" max="11528" width="12.69921875" style="1551" customWidth="1"/>
    <col min="11529" max="11529" width="17.3984375" style="1551" customWidth="1"/>
    <col min="11530" max="11776" width="9" style="1551"/>
    <col min="11777" max="11777" width="5.19921875" style="1551" customWidth="1"/>
    <col min="11778" max="11778" width="13.3984375" style="1551" customWidth="1"/>
    <col min="11779" max="11779" width="13.69921875" style="1551" customWidth="1"/>
    <col min="11780" max="11780" width="14.09765625" style="1551" customWidth="1"/>
    <col min="11781" max="11781" width="13.69921875" style="1551" customWidth="1"/>
    <col min="11782" max="11782" width="13" style="1551" customWidth="1"/>
    <col min="11783" max="11783" width="13.59765625" style="1551" customWidth="1"/>
    <col min="11784" max="11784" width="12.69921875" style="1551" customWidth="1"/>
    <col min="11785" max="11785" width="17.3984375" style="1551" customWidth="1"/>
    <col min="11786" max="12032" width="9" style="1551"/>
    <col min="12033" max="12033" width="5.19921875" style="1551" customWidth="1"/>
    <col min="12034" max="12034" width="13.3984375" style="1551" customWidth="1"/>
    <col min="12035" max="12035" width="13.69921875" style="1551" customWidth="1"/>
    <col min="12036" max="12036" width="14.09765625" style="1551" customWidth="1"/>
    <col min="12037" max="12037" width="13.69921875" style="1551" customWidth="1"/>
    <col min="12038" max="12038" width="13" style="1551" customWidth="1"/>
    <col min="12039" max="12039" width="13.59765625" style="1551" customWidth="1"/>
    <col min="12040" max="12040" width="12.69921875" style="1551" customWidth="1"/>
    <col min="12041" max="12041" width="17.3984375" style="1551" customWidth="1"/>
    <col min="12042" max="12288" width="9" style="1551"/>
    <col min="12289" max="12289" width="5.19921875" style="1551" customWidth="1"/>
    <col min="12290" max="12290" width="13.3984375" style="1551" customWidth="1"/>
    <col min="12291" max="12291" width="13.69921875" style="1551" customWidth="1"/>
    <col min="12292" max="12292" width="14.09765625" style="1551" customWidth="1"/>
    <col min="12293" max="12293" width="13.69921875" style="1551" customWidth="1"/>
    <col min="12294" max="12294" width="13" style="1551" customWidth="1"/>
    <col min="12295" max="12295" width="13.59765625" style="1551" customWidth="1"/>
    <col min="12296" max="12296" width="12.69921875" style="1551" customWidth="1"/>
    <col min="12297" max="12297" width="17.3984375" style="1551" customWidth="1"/>
    <col min="12298" max="12544" width="9" style="1551"/>
    <col min="12545" max="12545" width="5.19921875" style="1551" customWidth="1"/>
    <col min="12546" max="12546" width="13.3984375" style="1551" customWidth="1"/>
    <col min="12547" max="12547" width="13.69921875" style="1551" customWidth="1"/>
    <col min="12548" max="12548" width="14.09765625" style="1551" customWidth="1"/>
    <col min="12549" max="12549" width="13.69921875" style="1551" customWidth="1"/>
    <col min="12550" max="12550" width="13" style="1551" customWidth="1"/>
    <col min="12551" max="12551" width="13.59765625" style="1551" customWidth="1"/>
    <col min="12552" max="12552" width="12.69921875" style="1551" customWidth="1"/>
    <col min="12553" max="12553" width="17.3984375" style="1551" customWidth="1"/>
    <col min="12554" max="12800" width="9" style="1551"/>
    <col min="12801" max="12801" width="5.19921875" style="1551" customWidth="1"/>
    <col min="12802" max="12802" width="13.3984375" style="1551" customWidth="1"/>
    <col min="12803" max="12803" width="13.69921875" style="1551" customWidth="1"/>
    <col min="12804" max="12804" width="14.09765625" style="1551" customWidth="1"/>
    <col min="12805" max="12805" width="13.69921875" style="1551" customWidth="1"/>
    <col min="12806" max="12806" width="13" style="1551" customWidth="1"/>
    <col min="12807" max="12807" width="13.59765625" style="1551" customWidth="1"/>
    <col min="12808" max="12808" width="12.69921875" style="1551" customWidth="1"/>
    <col min="12809" max="12809" width="17.3984375" style="1551" customWidth="1"/>
    <col min="12810" max="13056" width="9" style="1551"/>
    <col min="13057" max="13057" width="5.19921875" style="1551" customWidth="1"/>
    <col min="13058" max="13058" width="13.3984375" style="1551" customWidth="1"/>
    <col min="13059" max="13059" width="13.69921875" style="1551" customWidth="1"/>
    <col min="13060" max="13060" width="14.09765625" style="1551" customWidth="1"/>
    <col min="13061" max="13061" width="13.69921875" style="1551" customWidth="1"/>
    <col min="13062" max="13062" width="13" style="1551" customWidth="1"/>
    <col min="13063" max="13063" width="13.59765625" style="1551" customWidth="1"/>
    <col min="13064" max="13064" width="12.69921875" style="1551" customWidth="1"/>
    <col min="13065" max="13065" width="17.3984375" style="1551" customWidth="1"/>
    <col min="13066" max="13312" width="9" style="1551"/>
    <col min="13313" max="13313" width="5.19921875" style="1551" customWidth="1"/>
    <col min="13314" max="13314" width="13.3984375" style="1551" customWidth="1"/>
    <col min="13315" max="13315" width="13.69921875" style="1551" customWidth="1"/>
    <col min="13316" max="13316" width="14.09765625" style="1551" customWidth="1"/>
    <col min="13317" max="13317" width="13.69921875" style="1551" customWidth="1"/>
    <col min="13318" max="13318" width="13" style="1551" customWidth="1"/>
    <col min="13319" max="13319" width="13.59765625" style="1551" customWidth="1"/>
    <col min="13320" max="13320" width="12.69921875" style="1551" customWidth="1"/>
    <col min="13321" max="13321" width="17.3984375" style="1551" customWidth="1"/>
    <col min="13322" max="13568" width="9" style="1551"/>
    <col min="13569" max="13569" width="5.19921875" style="1551" customWidth="1"/>
    <col min="13570" max="13570" width="13.3984375" style="1551" customWidth="1"/>
    <col min="13571" max="13571" width="13.69921875" style="1551" customWidth="1"/>
    <col min="13572" max="13572" width="14.09765625" style="1551" customWidth="1"/>
    <col min="13573" max="13573" width="13.69921875" style="1551" customWidth="1"/>
    <col min="13574" max="13574" width="13" style="1551" customWidth="1"/>
    <col min="13575" max="13575" width="13.59765625" style="1551" customWidth="1"/>
    <col min="13576" max="13576" width="12.69921875" style="1551" customWidth="1"/>
    <col min="13577" max="13577" width="17.3984375" style="1551" customWidth="1"/>
    <col min="13578" max="13824" width="9" style="1551"/>
    <col min="13825" max="13825" width="5.19921875" style="1551" customWidth="1"/>
    <col min="13826" max="13826" width="13.3984375" style="1551" customWidth="1"/>
    <col min="13827" max="13827" width="13.69921875" style="1551" customWidth="1"/>
    <col min="13828" max="13828" width="14.09765625" style="1551" customWidth="1"/>
    <col min="13829" max="13829" width="13.69921875" style="1551" customWidth="1"/>
    <col min="13830" max="13830" width="13" style="1551" customWidth="1"/>
    <col min="13831" max="13831" width="13.59765625" style="1551" customWidth="1"/>
    <col min="13832" max="13832" width="12.69921875" style="1551" customWidth="1"/>
    <col min="13833" max="13833" width="17.3984375" style="1551" customWidth="1"/>
    <col min="13834" max="14080" width="9" style="1551"/>
    <col min="14081" max="14081" width="5.19921875" style="1551" customWidth="1"/>
    <col min="14082" max="14082" width="13.3984375" style="1551" customWidth="1"/>
    <col min="14083" max="14083" width="13.69921875" style="1551" customWidth="1"/>
    <col min="14084" max="14084" width="14.09765625" style="1551" customWidth="1"/>
    <col min="14085" max="14085" width="13.69921875" style="1551" customWidth="1"/>
    <col min="14086" max="14086" width="13" style="1551" customWidth="1"/>
    <col min="14087" max="14087" width="13.59765625" style="1551" customWidth="1"/>
    <col min="14088" max="14088" width="12.69921875" style="1551" customWidth="1"/>
    <col min="14089" max="14089" width="17.3984375" style="1551" customWidth="1"/>
    <col min="14090" max="14336" width="9" style="1551"/>
    <col min="14337" max="14337" width="5.19921875" style="1551" customWidth="1"/>
    <col min="14338" max="14338" width="13.3984375" style="1551" customWidth="1"/>
    <col min="14339" max="14339" width="13.69921875" style="1551" customWidth="1"/>
    <col min="14340" max="14340" width="14.09765625" style="1551" customWidth="1"/>
    <col min="14341" max="14341" width="13.69921875" style="1551" customWidth="1"/>
    <col min="14342" max="14342" width="13" style="1551" customWidth="1"/>
    <col min="14343" max="14343" width="13.59765625" style="1551" customWidth="1"/>
    <col min="14344" max="14344" width="12.69921875" style="1551" customWidth="1"/>
    <col min="14345" max="14345" width="17.3984375" style="1551" customWidth="1"/>
    <col min="14346" max="14592" width="9" style="1551"/>
    <col min="14593" max="14593" width="5.19921875" style="1551" customWidth="1"/>
    <col min="14594" max="14594" width="13.3984375" style="1551" customWidth="1"/>
    <col min="14595" max="14595" width="13.69921875" style="1551" customWidth="1"/>
    <col min="14596" max="14596" width="14.09765625" style="1551" customWidth="1"/>
    <col min="14597" max="14597" width="13.69921875" style="1551" customWidth="1"/>
    <col min="14598" max="14598" width="13" style="1551" customWidth="1"/>
    <col min="14599" max="14599" width="13.59765625" style="1551" customWidth="1"/>
    <col min="14600" max="14600" width="12.69921875" style="1551" customWidth="1"/>
    <col min="14601" max="14601" width="17.3984375" style="1551" customWidth="1"/>
    <col min="14602" max="14848" width="9" style="1551"/>
    <col min="14849" max="14849" width="5.19921875" style="1551" customWidth="1"/>
    <col min="14850" max="14850" width="13.3984375" style="1551" customWidth="1"/>
    <col min="14851" max="14851" width="13.69921875" style="1551" customWidth="1"/>
    <col min="14852" max="14852" width="14.09765625" style="1551" customWidth="1"/>
    <col min="14853" max="14853" width="13.69921875" style="1551" customWidth="1"/>
    <col min="14854" max="14854" width="13" style="1551" customWidth="1"/>
    <col min="14855" max="14855" width="13.59765625" style="1551" customWidth="1"/>
    <col min="14856" max="14856" width="12.69921875" style="1551" customWidth="1"/>
    <col min="14857" max="14857" width="17.3984375" style="1551" customWidth="1"/>
    <col min="14858" max="15104" width="9" style="1551"/>
    <col min="15105" max="15105" width="5.19921875" style="1551" customWidth="1"/>
    <col min="15106" max="15106" width="13.3984375" style="1551" customWidth="1"/>
    <col min="15107" max="15107" width="13.69921875" style="1551" customWidth="1"/>
    <col min="15108" max="15108" width="14.09765625" style="1551" customWidth="1"/>
    <col min="15109" max="15109" width="13.69921875" style="1551" customWidth="1"/>
    <col min="15110" max="15110" width="13" style="1551" customWidth="1"/>
    <col min="15111" max="15111" width="13.59765625" style="1551" customWidth="1"/>
    <col min="15112" max="15112" width="12.69921875" style="1551" customWidth="1"/>
    <col min="15113" max="15113" width="17.3984375" style="1551" customWidth="1"/>
    <col min="15114" max="15360" width="9" style="1551"/>
    <col min="15361" max="15361" width="5.19921875" style="1551" customWidth="1"/>
    <col min="15362" max="15362" width="13.3984375" style="1551" customWidth="1"/>
    <col min="15363" max="15363" width="13.69921875" style="1551" customWidth="1"/>
    <col min="15364" max="15364" width="14.09765625" style="1551" customWidth="1"/>
    <col min="15365" max="15365" width="13.69921875" style="1551" customWidth="1"/>
    <col min="15366" max="15366" width="13" style="1551" customWidth="1"/>
    <col min="15367" max="15367" width="13.59765625" style="1551" customWidth="1"/>
    <col min="15368" max="15368" width="12.69921875" style="1551" customWidth="1"/>
    <col min="15369" max="15369" width="17.3984375" style="1551" customWidth="1"/>
    <col min="15370" max="15616" width="9" style="1551"/>
    <col min="15617" max="15617" width="5.19921875" style="1551" customWidth="1"/>
    <col min="15618" max="15618" width="13.3984375" style="1551" customWidth="1"/>
    <col min="15619" max="15619" width="13.69921875" style="1551" customWidth="1"/>
    <col min="15620" max="15620" width="14.09765625" style="1551" customWidth="1"/>
    <col min="15621" max="15621" width="13.69921875" style="1551" customWidth="1"/>
    <col min="15622" max="15622" width="13" style="1551" customWidth="1"/>
    <col min="15623" max="15623" width="13.59765625" style="1551" customWidth="1"/>
    <col min="15624" max="15624" width="12.69921875" style="1551" customWidth="1"/>
    <col min="15625" max="15625" width="17.3984375" style="1551" customWidth="1"/>
    <col min="15626" max="15872" width="9" style="1551"/>
    <col min="15873" max="15873" width="5.19921875" style="1551" customWidth="1"/>
    <col min="15874" max="15874" width="13.3984375" style="1551" customWidth="1"/>
    <col min="15875" max="15875" width="13.69921875" style="1551" customWidth="1"/>
    <col min="15876" max="15876" width="14.09765625" style="1551" customWidth="1"/>
    <col min="15877" max="15877" width="13.69921875" style="1551" customWidth="1"/>
    <col min="15878" max="15878" width="13" style="1551" customWidth="1"/>
    <col min="15879" max="15879" width="13.59765625" style="1551" customWidth="1"/>
    <col min="15880" max="15880" width="12.69921875" style="1551" customWidth="1"/>
    <col min="15881" max="15881" width="17.3984375" style="1551" customWidth="1"/>
    <col min="15882" max="16128" width="9" style="1551"/>
    <col min="16129" max="16129" width="5.19921875" style="1551" customWidth="1"/>
    <col min="16130" max="16130" width="13.3984375" style="1551" customWidth="1"/>
    <col min="16131" max="16131" width="13.69921875" style="1551" customWidth="1"/>
    <col min="16132" max="16132" width="14.09765625" style="1551" customWidth="1"/>
    <col min="16133" max="16133" width="13.69921875" style="1551" customWidth="1"/>
    <col min="16134" max="16134" width="13" style="1551" customWidth="1"/>
    <col min="16135" max="16135" width="13.59765625" style="1551" customWidth="1"/>
    <col min="16136" max="16136" width="12.69921875" style="1551" customWidth="1"/>
    <col min="16137" max="16137" width="17.3984375" style="1551" customWidth="1"/>
    <col min="16138" max="16384" width="9" style="1551"/>
  </cols>
  <sheetData>
    <row r="1" spans="1:15" ht="20.100000000000001" customHeight="1">
      <c r="A1" s="3378" t="s">
        <v>5297</v>
      </c>
      <c r="B1" s="3378"/>
      <c r="C1" s="3378"/>
      <c r="D1" s="3378"/>
      <c r="E1" s="3378"/>
      <c r="F1" s="3378"/>
      <c r="G1" s="3378"/>
      <c r="H1" s="3378"/>
      <c r="I1" s="1804"/>
    </row>
    <row r="2" spans="1:15" ht="19.5" customHeight="1">
      <c r="A2" s="3379" t="s">
        <v>5298</v>
      </c>
      <c r="B2" s="3379"/>
      <c r="C2" s="3379"/>
      <c r="D2" s="3379"/>
      <c r="E2" s="3379"/>
      <c r="F2" s="3379"/>
      <c r="G2" s="3379"/>
      <c r="H2" s="3379"/>
      <c r="I2" s="1835"/>
    </row>
    <row r="3" spans="1:15" s="1552" customFormat="1" ht="14.25" customHeight="1">
      <c r="A3" s="3380" t="s">
        <v>1854</v>
      </c>
      <c r="B3" s="3380" t="s">
        <v>5299</v>
      </c>
      <c r="C3" s="3377" t="s">
        <v>5300</v>
      </c>
      <c r="D3" s="3377"/>
      <c r="E3" s="3377"/>
      <c r="F3" s="3377"/>
      <c r="G3" s="1842" t="s">
        <v>5301</v>
      </c>
      <c r="H3" s="3383" t="s">
        <v>5261</v>
      </c>
      <c r="I3" s="3383" t="s">
        <v>1856</v>
      </c>
    </row>
    <row r="4" spans="1:15" s="1552" customFormat="1" ht="30.75" customHeight="1">
      <c r="A4" s="3381"/>
      <c r="B4" s="3381"/>
      <c r="C4" s="1842" t="s">
        <v>1851</v>
      </c>
      <c r="D4" s="1846" t="s">
        <v>5302</v>
      </c>
      <c r="E4" s="1842" t="s">
        <v>5303</v>
      </c>
      <c r="F4" s="1846" t="s">
        <v>5261</v>
      </c>
      <c r="G4" s="1842" t="s">
        <v>1851</v>
      </c>
      <c r="H4" s="3384"/>
      <c r="I4" s="3384" t="s">
        <v>1856</v>
      </c>
    </row>
    <row r="5" spans="1:15" s="1552" customFormat="1" ht="14.25" customHeight="1">
      <c r="A5" s="3382"/>
      <c r="B5" s="1842">
        <v>1</v>
      </c>
      <c r="C5" s="1842">
        <v>2</v>
      </c>
      <c r="D5" s="1846">
        <v>3</v>
      </c>
      <c r="E5" s="1842">
        <v>4</v>
      </c>
      <c r="F5" s="1842" t="s">
        <v>5304</v>
      </c>
      <c r="G5" s="1842">
        <v>6</v>
      </c>
      <c r="H5" s="1842" t="s">
        <v>5305</v>
      </c>
      <c r="I5" s="1811"/>
    </row>
    <row r="6" spans="1:15" s="1552" customFormat="1" ht="14.25" customHeight="1">
      <c r="A6" s="1842">
        <v>1</v>
      </c>
      <c r="B6" s="1931" t="str">
        <f>捐赠!B7&amp;""</f>
        <v/>
      </c>
      <c r="C6" s="2077">
        <f>捐赠!D7+捐赠!J7</f>
        <v>0</v>
      </c>
      <c r="D6" s="1954" t="s">
        <v>1860</v>
      </c>
      <c r="E6" s="1954" t="s">
        <v>1860</v>
      </c>
      <c r="F6" s="1954" t="s">
        <v>1860</v>
      </c>
      <c r="G6" s="2074">
        <f>捐赠!C7</f>
        <v>0</v>
      </c>
      <c r="H6" s="1954" t="s">
        <v>1860</v>
      </c>
      <c r="I6" s="1811"/>
    </row>
    <row r="7" spans="1:15" s="1552" customFormat="1" ht="14.25" customHeight="1">
      <c r="A7" s="1842">
        <v>2</v>
      </c>
      <c r="B7" s="1931" t="str">
        <f>捐赠!B8&amp;""</f>
        <v/>
      </c>
      <c r="C7" s="2077">
        <f>捐赠!D8+捐赠!J8</f>
        <v>0</v>
      </c>
      <c r="D7" s="1954" t="s">
        <v>1860</v>
      </c>
      <c r="E7" s="1954" t="s">
        <v>1860</v>
      </c>
      <c r="F7" s="1954" t="s">
        <v>1860</v>
      </c>
      <c r="G7" s="2074">
        <f>捐赠!C8</f>
        <v>0</v>
      </c>
      <c r="H7" s="1954" t="s">
        <v>1860</v>
      </c>
      <c r="I7" s="1811"/>
    </row>
    <row r="8" spans="1:15" s="1552" customFormat="1" ht="14.25" customHeight="1">
      <c r="A8" s="1842">
        <v>3</v>
      </c>
      <c r="B8" s="1931" t="str">
        <f>捐赠!B9&amp;""</f>
        <v/>
      </c>
      <c r="C8" s="2077">
        <f>捐赠!D9+捐赠!J9</f>
        <v>0</v>
      </c>
      <c r="D8" s="1954" t="s">
        <v>1860</v>
      </c>
      <c r="E8" s="1954" t="s">
        <v>1860</v>
      </c>
      <c r="F8" s="1954" t="s">
        <v>1860</v>
      </c>
      <c r="G8" s="2074">
        <f>捐赠!C9</f>
        <v>0</v>
      </c>
      <c r="H8" s="1954" t="s">
        <v>1860</v>
      </c>
      <c r="I8" s="1811"/>
    </row>
    <row r="9" spans="1:15" s="1552" customFormat="1" ht="14.25" customHeight="1">
      <c r="A9" s="1842">
        <v>4</v>
      </c>
      <c r="B9" s="1931" t="str">
        <f>捐赠!B10&amp;""</f>
        <v/>
      </c>
      <c r="C9" s="2077">
        <f>捐赠!D10+捐赠!J10</f>
        <v>0</v>
      </c>
      <c r="D9" s="1954" t="s">
        <v>1860</v>
      </c>
      <c r="E9" s="1954" t="s">
        <v>1860</v>
      </c>
      <c r="F9" s="1954" t="s">
        <v>1860</v>
      </c>
      <c r="G9" s="2074">
        <f>捐赠!C10</f>
        <v>0</v>
      </c>
      <c r="H9" s="1954" t="s">
        <v>1860</v>
      </c>
      <c r="I9" s="1811"/>
    </row>
    <row r="10" spans="1:15" s="1552" customFormat="1" ht="14.25" customHeight="1">
      <c r="A10" s="1842">
        <v>5</v>
      </c>
      <c r="B10" s="1931" t="str">
        <f>捐赠!B11&amp;""</f>
        <v/>
      </c>
      <c r="C10" s="2077">
        <f>捐赠!D11+捐赠!J11</f>
        <v>0</v>
      </c>
      <c r="D10" s="1954" t="s">
        <v>1860</v>
      </c>
      <c r="E10" s="1954" t="s">
        <v>1860</v>
      </c>
      <c r="F10" s="1954" t="s">
        <v>1860</v>
      </c>
      <c r="G10" s="2074">
        <f>捐赠!C11</f>
        <v>0</v>
      </c>
      <c r="H10" s="1954" t="s">
        <v>1860</v>
      </c>
      <c r="I10" s="1811"/>
    </row>
    <row r="11" spans="1:15" s="1552" customFormat="1" ht="14.25" customHeight="1">
      <c r="A11" s="1842">
        <v>6</v>
      </c>
      <c r="B11" s="1931" t="str">
        <f>捐赠!B12&amp;""</f>
        <v/>
      </c>
      <c r="C11" s="2077">
        <f>捐赠!D12+捐赠!J12</f>
        <v>0</v>
      </c>
      <c r="D11" s="1954" t="s">
        <v>1860</v>
      </c>
      <c r="E11" s="1954" t="s">
        <v>1860</v>
      </c>
      <c r="F11" s="1954" t="s">
        <v>1860</v>
      </c>
      <c r="G11" s="2074">
        <f>捐赠!C12</f>
        <v>0</v>
      </c>
      <c r="H11" s="1954" t="s">
        <v>1860</v>
      </c>
      <c r="I11" s="1811"/>
    </row>
    <row r="12" spans="1:15" s="1552" customFormat="1" ht="14.25" customHeight="1">
      <c r="A12" s="1842">
        <v>7</v>
      </c>
      <c r="B12" s="1931" t="str">
        <f>捐赠!B13&amp;""</f>
        <v/>
      </c>
      <c r="C12" s="2077">
        <f>捐赠!D13+捐赠!J13</f>
        <v>0</v>
      </c>
      <c r="D12" s="1954" t="s">
        <v>1860</v>
      </c>
      <c r="E12" s="1954" t="s">
        <v>1860</v>
      </c>
      <c r="F12" s="1954" t="s">
        <v>1860</v>
      </c>
      <c r="G12" s="2074">
        <f>捐赠!C13</f>
        <v>0</v>
      </c>
      <c r="H12" s="1954" t="s">
        <v>1860</v>
      </c>
      <c r="I12" s="1811"/>
    </row>
    <row r="13" spans="1:15" s="1552" customFormat="1" ht="14.25" customHeight="1">
      <c r="A13" s="1842">
        <v>8</v>
      </c>
      <c r="B13" s="1931" t="str">
        <f>捐赠!B14&amp;""</f>
        <v/>
      </c>
      <c r="C13" s="2077">
        <f>捐赠!D14+捐赠!J14</f>
        <v>0</v>
      </c>
      <c r="D13" s="1954" t="s">
        <v>1860</v>
      </c>
      <c r="E13" s="1954" t="s">
        <v>1860</v>
      </c>
      <c r="F13" s="1954" t="s">
        <v>1860</v>
      </c>
      <c r="G13" s="2074">
        <f>捐赠!C14</f>
        <v>0</v>
      </c>
      <c r="H13" s="1954" t="s">
        <v>1860</v>
      </c>
      <c r="I13" s="1811"/>
    </row>
    <row r="14" spans="1:15" s="1552" customFormat="1" ht="14.25" customHeight="1">
      <c r="A14" s="1842">
        <v>9</v>
      </c>
      <c r="B14" s="1553"/>
      <c r="C14" s="2078"/>
      <c r="D14" s="1954" t="s">
        <v>1860</v>
      </c>
      <c r="E14" s="1954" t="s">
        <v>1860</v>
      </c>
      <c r="F14" s="1954" t="s">
        <v>1860</v>
      </c>
      <c r="G14" s="2078"/>
      <c r="H14" s="1954" t="s">
        <v>1860</v>
      </c>
      <c r="I14" s="1811"/>
    </row>
    <row r="15" spans="1:15" s="1552" customFormat="1" ht="14.25" customHeight="1">
      <c r="A15" s="1842">
        <v>10</v>
      </c>
      <c r="B15" s="1553"/>
      <c r="C15" s="2078"/>
      <c r="D15" s="1954" t="s">
        <v>1860</v>
      </c>
      <c r="E15" s="1954" t="s">
        <v>1860</v>
      </c>
      <c r="F15" s="1954" t="s">
        <v>1860</v>
      </c>
      <c r="G15" s="2078"/>
      <c r="H15" s="1954" t="s">
        <v>1860</v>
      </c>
      <c r="I15" s="1811"/>
      <c r="J15" s="1541"/>
      <c r="K15" s="1541"/>
      <c r="L15" s="1551"/>
      <c r="M15" s="1551"/>
      <c r="N15" s="1551"/>
      <c r="O15" s="1551"/>
    </row>
    <row r="16" spans="1:15" ht="14.25" customHeight="1">
      <c r="A16" s="1842">
        <v>11</v>
      </c>
      <c r="B16" s="1553"/>
      <c r="C16" s="2078"/>
      <c r="D16" s="1954" t="s">
        <v>1860</v>
      </c>
      <c r="E16" s="1954" t="s">
        <v>1860</v>
      </c>
      <c r="F16" s="1954" t="s">
        <v>1860</v>
      </c>
      <c r="G16" s="2078"/>
      <c r="H16" s="1954" t="s">
        <v>1860</v>
      </c>
      <c r="I16" s="1970"/>
    </row>
    <row r="17" spans="1:10" ht="14.25" customHeight="1">
      <c r="A17" s="1842">
        <v>12</v>
      </c>
      <c r="B17" s="1553"/>
      <c r="C17" s="2078"/>
      <c r="D17" s="1954" t="s">
        <v>1860</v>
      </c>
      <c r="E17" s="1954" t="s">
        <v>1860</v>
      </c>
      <c r="F17" s="1954" t="s">
        <v>1860</v>
      </c>
      <c r="G17" s="2078"/>
      <c r="H17" s="1954" t="s">
        <v>1860</v>
      </c>
      <c r="I17" s="1970"/>
    </row>
    <row r="18" spans="1:10" ht="14.25" customHeight="1">
      <c r="A18" s="1842">
        <v>13</v>
      </c>
      <c r="B18" s="1553"/>
      <c r="C18" s="2078"/>
      <c r="D18" s="1954" t="s">
        <v>1860</v>
      </c>
      <c r="E18" s="1954" t="s">
        <v>1860</v>
      </c>
      <c r="F18" s="1954" t="s">
        <v>1860</v>
      </c>
      <c r="G18" s="2078"/>
      <c r="H18" s="1954" t="s">
        <v>1860</v>
      </c>
      <c r="I18" s="1970"/>
    </row>
    <row r="19" spans="1:10" ht="14.25" customHeight="1">
      <c r="A19" s="1842">
        <v>14</v>
      </c>
      <c r="B19" s="1553"/>
      <c r="C19" s="2078"/>
      <c r="D19" s="1954" t="s">
        <v>1860</v>
      </c>
      <c r="E19" s="1954" t="s">
        <v>1860</v>
      </c>
      <c r="F19" s="1954" t="s">
        <v>1860</v>
      </c>
      <c r="G19" s="2078"/>
      <c r="H19" s="1954" t="s">
        <v>1860</v>
      </c>
      <c r="I19" s="1970"/>
    </row>
    <row r="20" spans="1:10" ht="14.25" customHeight="1">
      <c r="A20" s="1842">
        <v>15</v>
      </c>
      <c r="B20" s="1553"/>
      <c r="C20" s="2078"/>
      <c r="D20" s="1954" t="s">
        <v>1860</v>
      </c>
      <c r="E20" s="1954" t="s">
        <v>1860</v>
      </c>
      <c r="F20" s="1954" t="s">
        <v>1860</v>
      </c>
      <c r="G20" s="2078"/>
      <c r="H20" s="1954" t="s">
        <v>1860</v>
      </c>
      <c r="I20" s="1970"/>
    </row>
    <row r="21" spans="1:10" ht="14.25" customHeight="1">
      <c r="A21" s="1842">
        <v>16</v>
      </c>
      <c r="B21" s="1553"/>
      <c r="C21" s="2078"/>
      <c r="D21" s="1954" t="s">
        <v>1860</v>
      </c>
      <c r="E21" s="1954" t="s">
        <v>1860</v>
      </c>
      <c r="F21" s="1954" t="s">
        <v>1860</v>
      </c>
      <c r="G21" s="2078"/>
      <c r="H21" s="1954" t="s">
        <v>1860</v>
      </c>
      <c r="I21" s="1970"/>
    </row>
    <row r="22" spans="1:10" ht="14.25" customHeight="1">
      <c r="A22" s="1842">
        <v>17</v>
      </c>
      <c r="B22" s="1553"/>
      <c r="C22" s="2078"/>
      <c r="D22" s="1954" t="s">
        <v>1860</v>
      </c>
      <c r="E22" s="1954" t="s">
        <v>1860</v>
      </c>
      <c r="F22" s="1954" t="s">
        <v>5306</v>
      </c>
      <c r="G22" s="2078"/>
      <c r="H22" s="1954" t="s">
        <v>1860</v>
      </c>
      <c r="I22" s="1970"/>
    </row>
    <row r="23" spans="1:10" ht="14.25" customHeight="1">
      <c r="A23" s="1842">
        <v>18</v>
      </c>
      <c r="B23" s="1553"/>
      <c r="C23" s="2078"/>
      <c r="D23" s="1954" t="s">
        <v>1860</v>
      </c>
      <c r="E23" s="1954" t="s">
        <v>1860</v>
      </c>
      <c r="F23" s="1954" t="s">
        <v>1860</v>
      </c>
      <c r="G23" s="2078"/>
      <c r="H23" s="1954" t="s">
        <v>1860</v>
      </c>
      <c r="I23" s="1970"/>
    </row>
    <row r="24" spans="1:10" ht="14.25" customHeight="1">
      <c r="A24" s="1842">
        <v>19</v>
      </c>
      <c r="B24" s="2006"/>
      <c r="C24" s="2078"/>
      <c r="D24" s="1954" t="s">
        <v>1860</v>
      </c>
      <c r="E24" s="1954" t="s">
        <v>1860</v>
      </c>
      <c r="F24" s="1954" t="s">
        <v>1860</v>
      </c>
      <c r="G24" s="2078"/>
      <c r="H24" s="1954" t="s">
        <v>1860</v>
      </c>
      <c r="I24" s="1970"/>
    </row>
    <row r="25" spans="1:10" s="1552" customFormat="1" ht="31.5" customHeight="1">
      <c r="A25" s="1843">
        <v>20</v>
      </c>
      <c r="B25" s="1845" t="s">
        <v>5307</v>
      </c>
      <c r="C25" s="2080">
        <f>SUM(C6:C24)</f>
        <v>0</v>
      </c>
      <c r="D25" s="2080">
        <f>MAX(0,ROUND('A100000中华人民共和国企业所得税年度纳税申报表（A类）'!D16*0.12,2))</f>
        <v>0</v>
      </c>
      <c r="E25" s="2080">
        <f>MIN(N(D25),N(C25))</f>
        <v>0</v>
      </c>
      <c r="F25" s="2080">
        <f>C25-E25</f>
        <v>0</v>
      </c>
      <c r="G25" s="2080">
        <f>SUM(G6:G24)</f>
        <v>0</v>
      </c>
      <c r="H25" s="2080">
        <f>F25+G25</f>
        <v>0</v>
      </c>
      <c r="I25" s="1812" t="s">
        <v>5308</v>
      </c>
      <c r="J25" s="1556"/>
    </row>
  </sheetData>
  <mergeCells count="7">
    <mergeCell ref="I3:I4"/>
    <mergeCell ref="A1:H1"/>
    <mergeCell ref="A2:H2"/>
    <mergeCell ref="A3:A5"/>
    <mergeCell ref="B3:B4"/>
    <mergeCell ref="C3:F3"/>
    <mergeCell ref="H3:H4"/>
  </mergeCells>
  <phoneticPr fontId="51" type="noConversion"/>
  <printOptions horizontalCentered="1"/>
  <pageMargins left="0.78740157480314998" right="0.35433070866141703" top="0.511811023622047" bottom="0.11811023622047198" header="0.511811023622047" footer="0.511811023622047"/>
  <pageSetup paperSize="9" scale="90" orientation="landscape" r:id="rId1"/>
  <headerFooter alignWithMargins="0"/>
</worksheet>
</file>

<file path=xl/worksheets/sheet13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31"/>
  <dimension ref="A1:N32"/>
  <sheetViews>
    <sheetView topLeftCell="A4" workbookViewId="0">
      <selection activeCell="I7" sqref="I7"/>
    </sheetView>
  </sheetViews>
  <sheetFormatPr defaultRowHeight="15.6"/>
  <cols>
    <col min="1" max="1" width="5.19921875" style="1551" customWidth="1"/>
    <col min="2" max="2" width="26" style="1551" customWidth="1"/>
    <col min="3" max="11" width="11.09765625" style="1551" customWidth="1"/>
    <col min="12" max="12" width="6.3984375" style="1551" customWidth="1"/>
    <col min="13" max="13" width="18.3984375" style="1552" customWidth="1"/>
    <col min="14" max="14" width="48.09765625" style="1551" customWidth="1"/>
    <col min="15" max="256" width="9" style="1551"/>
    <col min="257" max="257" width="5.19921875" style="1551" customWidth="1"/>
    <col min="258" max="258" width="30.8984375" style="1551" customWidth="1"/>
    <col min="259" max="259" width="6.3984375" style="1551" customWidth="1"/>
    <col min="260" max="260" width="6.5" style="1551" customWidth="1"/>
    <col min="261" max="261" width="6.09765625" style="1551" customWidth="1"/>
    <col min="262" max="262" width="6" style="1551" customWidth="1"/>
    <col min="263" max="264" width="7" style="1551" customWidth="1"/>
    <col min="265" max="265" width="8.69921875" style="1551" customWidth="1"/>
    <col min="266" max="266" width="6.5" style="1551" customWidth="1"/>
    <col min="267" max="267" width="6.8984375" style="1551" customWidth="1"/>
    <col min="268" max="268" width="6.3984375" style="1551" customWidth="1"/>
    <col min="269" max="269" width="18.3984375" style="1551" customWidth="1"/>
    <col min="270" max="270" width="48.09765625" style="1551" customWidth="1"/>
    <col min="271" max="512" width="9" style="1551"/>
    <col min="513" max="513" width="5.19921875" style="1551" customWidth="1"/>
    <col min="514" max="514" width="30.8984375" style="1551" customWidth="1"/>
    <col min="515" max="515" width="6.3984375" style="1551" customWidth="1"/>
    <col min="516" max="516" width="6.5" style="1551" customWidth="1"/>
    <col min="517" max="517" width="6.09765625" style="1551" customWidth="1"/>
    <col min="518" max="518" width="6" style="1551" customWidth="1"/>
    <col min="519" max="520" width="7" style="1551" customWidth="1"/>
    <col min="521" max="521" width="8.69921875" style="1551" customWidth="1"/>
    <col min="522" max="522" width="6.5" style="1551" customWidth="1"/>
    <col min="523" max="523" width="6.8984375" style="1551" customWidth="1"/>
    <col min="524" max="524" width="6.3984375" style="1551" customWidth="1"/>
    <col min="525" max="525" width="18.3984375" style="1551" customWidth="1"/>
    <col min="526" max="526" width="48.09765625" style="1551" customWidth="1"/>
    <col min="527" max="768" width="9" style="1551"/>
    <col min="769" max="769" width="5.19921875" style="1551" customWidth="1"/>
    <col min="770" max="770" width="30.8984375" style="1551" customWidth="1"/>
    <col min="771" max="771" width="6.3984375" style="1551" customWidth="1"/>
    <col min="772" max="772" width="6.5" style="1551" customWidth="1"/>
    <col min="773" max="773" width="6.09765625" style="1551" customWidth="1"/>
    <col min="774" max="774" width="6" style="1551" customWidth="1"/>
    <col min="775" max="776" width="7" style="1551" customWidth="1"/>
    <col min="777" max="777" width="8.69921875" style="1551" customWidth="1"/>
    <col min="778" max="778" width="6.5" style="1551" customWidth="1"/>
    <col min="779" max="779" width="6.8984375" style="1551" customWidth="1"/>
    <col min="780" max="780" width="6.3984375" style="1551" customWidth="1"/>
    <col min="781" max="781" width="18.3984375" style="1551" customWidth="1"/>
    <col min="782" max="782" width="48.09765625" style="1551" customWidth="1"/>
    <col min="783" max="1024" width="9" style="1551"/>
    <col min="1025" max="1025" width="5.19921875" style="1551" customWidth="1"/>
    <col min="1026" max="1026" width="30.8984375" style="1551" customWidth="1"/>
    <col min="1027" max="1027" width="6.3984375" style="1551" customWidth="1"/>
    <col min="1028" max="1028" width="6.5" style="1551" customWidth="1"/>
    <col min="1029" max="1029" width="6.09765625" style="1551" customWidth="1"/>
    <col min="1030" max="1030" width="6" style="1551" customWidth="1"/>
    <col min="1031" max="1032" width="7" style="1551" customWidth="1"/>
    <col min="1033" max="1033" width="8.69921875" style="1551" customWidth="1"/>
    <col min="1034" max="1034" width="6.5" style="1551" customWidth="1"/>
    <col min="1035" max="1035" width="6.8984375" style="1551" customWidth="1"/>
    <col min="1036" max="1036" width="6.3984375" style="1551" customWidth="1"/>
    <col min="1037" max="1037" width="18.3984375" style="1551" customWidth="1"/>
    <col min="1038" max="1038" width="48.09765625" style="1551" customWidth="1"/>
    <col min="1039" max="1280" width="9" style="1551"/>
    <col min="1281" max="1281" width="5.19921875" style="1551" customWidth="1"/>
    <col min="1282" max="1282" width="30.8984375" style="1551" customWidth="1"/>
    <col min="1283" max="1283" width="6.3984375" style="1551" customWidth="1"/>
    <col min="1284" max="1284" width="6.5" style="1551" customWidth="1"/>
    <col min="1285" max="1285" width="6.09765625" style="1551" customWidth="1"/>
    <col min="1286" max="1286" width="6" style="1551" customWidth="1"/>
    <col min="1287" max="1288" width="7" style="1551" customWidth="1"/>
    <col min="1289" max="1289" width="8.69921875" style="1551" customWidth="1"/>
    <col min="1290" max="1290" width="6.5" style="1551" customWidth="1"/>
    <col min="1291" max="1291" width="6.8984375" style="1551" customWidth="1"/>
    <col min="1292" max="1292" width="6.3984375" style="1551" customWidth="1"/>
    <col min="1293" max="1293" width="18.3984375" style="1551" customWidth="1"/>
    <col min="1294" max="1294" width="48.09765625" style="1551" customWidth="1"/>
    <col min="1295" max="1536" width="9" style="1551"/>
    <col min="1537" max="1537" width="5.19921875" style="1551" customWidth="1"/>
    <col min="1538" max="1538" width="30.8984375" style="1551" customWidth="1"/>
    <col min="1539" max="1539" width="6.3984375" style="1551" customWidth="1"/>
    <col min="1540" max="1540" width="6.5" style="1551" customWidth="1"/>
    <col min="1541" max="1541" width="6.09765625" style="1551" customWidth="1"/>
    <col min="1542" max="1542" width="6" style="1551" customWidth="1"/>
    <col min="1543" max="1544" width="7" style="1551" customWidth="1"/>
    <col min="1545" max="1545" width="8.69921875" style="1551" customWidth="1"/>
    <col min="1546" max="1546" width="6.5" style="1551" customWidth="1"/>
    <col min="1547" max="1547" width="6.8984375" style="1551" customWidth="1"/>
    <col min="1548" max="1548" width="6.3984375" style="1551" customWidth="1"/>
    <col min="1549" max="1549" width="18.3984375" style="1551" customWidth="1"/>
    <col min="1550" max="1550" width="48.09765625" style="1551" customWidth="1"/>
    <col min="1551" max="1792" width="9" style="1551"/>
    <col min="1793" max="1793" width="5.19921875" style="1551" customWidth="1"/>
    <col min="1794" max="1794" width="30.8984375" style="1551" customWidth="1"/>
    <col min="1795" max="1795" width="6.3984375" style="1551" customWidth="1"/>
    <col min="1796" max="1796" width="6.5" style="1551" customWidth="1"/>
    <col min="1797" max="1797" width="6.09765625" style="1551" customWidth="1"/>
    <col min="1798" max="1798" width="6" style="1551" customWidth="1"/>
    <col min="1799" max="1800" width="7" style="1551" customWidth="1"/>
    <col min="1801" max="1801" width="8.69921875" style="1551" customWidth="1"/>
    <col min="1802" max="1802" width="6.5" style="1551" customWidth="1"/>
    <col min="1803" max="1803" width="6.8984375" style="1551" customWidth="1"/>
    <col min="1804" max="1804" width="6.3984375" style="1551" customWidth="1"/>
    <col min="1805" max="1805" width="18.3984375" style="1551" customWidth="1"/>
    <col min="1806" max="1806" width="48.09765625" style="1551" customWidth="1"/>
    <col min="1807" max="2048" width="9" style="1551"/>
    <col min="2049" max="2049" width="5.19921875" style="1551" customWidth="1"/>
    <col min="2050" max="2050" width="30.8984375" style="1551" customWidth="1"/>
    <col min="2051" max="2051" width="6.3984375" style="1551" customWidth="1"/>
    <col min="2052" max="2052" width="6.5" style="1551" customWidth="1"/>
    <col min="2053" max="2053" width="6.09765625" style="1551" customWidth="1"/>
    <col min="2054" max="2054" width="6" style="1551" customWidth="1"/>
    <col min="2055" max="2056" width="7" style="1551" customWidth="1"/>
    <col min="2057" max="2057" width="8.69921875" style="1551" customWidth="1"/>
    <col min="2058" max="2058" width="6.5" style="1551" customWidth="1"/>
    <col min="2059" max="2059" width="6.8984375" style="1551" customWidth="1"/>
    <col min="2060" max="2060" width="6.3984375" style="1551" customWidth="1"/>
    <col min="2061" max="2061" width="18.3984375" style="1551" customWidth="1"/>
    <col min="2062" max="2062" width="48.09765625" style="1551" customWidth="1"/>
    <col min="2063" max="2304" width="9" style="1551"/>
    <col min="2305" max="2305" width="5.19921875" style="1551" customWidth="1"/>
    <col min="2306" max="2306" width="30.8984375" style="1551" customWidth="1"/>
    <col min="2307" max="2307" width="6.3984375" style="1551" customWidth="1"/>
    <col min="2308" max="2308" width="6.5" style="1551" customWidth="1"/>
    <col min="2309" max="2309" width="6.09765625" style="1551" customWidth="1"/>
    <col min="2310" max="2310" width="6" style="1551" customWidth="1"/>
    <col min="2311" max="2312" width="7" style="1551" customWidth="1"/>
    <col min="2313" max="2313" width="8.69921875" style="1551" customWidth="1"/>
    <col min="2314" max="2314" width="6.5" style="1551" customWidth="1"/>
    <col min="2315" max="2315" width="6.8984375" style="1551" customWidth="1"/>
    <col min="2316" max="2316" width="6.3984375" style="1551" customWidth="1"/>
    <col min="2317" max="2317" width="18.3984375" style="1551" customWidth="1"/>
    <col min="2318" max="2318" width="48.09765625" style="1551" customWidth="1"/>
    <col min="2319" max="2560" width="9" style="1551"/>
    <col min="2561" max="2561" width="5.19921875" style="1551" customWidth="1"/>
    <col min="2562" max="2562" width="30.8984375" style="1551" customWidth="1"/>
    <col min="2563" max="2563" width="6.3984375" style="1551" customWidth="1"/>
    <col min="2564" max="2564" width="6.5" style="1551" customWidth="1"/>
    <col min="2565" max="2565" width="6.09765625" style="1551" customWidth="1"/>
    <col min="2566" max="2566" width="6" style="1551" customWidth="1"/>
    <col min="2567" max="2568" width="7" style="1551" customWidth="1"/>
    <col min="2569" max="2569" width="8.69921875" style="1551" customWidth="1"/>
    <col min="2570" max="2570" width="6.5" style="1551" customWidth="1"/>
    <col min="2571" max="2571" width="6.8984375" style="1551" customWidth="1"/>
    <col min="2572" max="2572" width="6.3984375" style="1551" customWidth="1"/>
    <col min="2573" max="2573" width="18.3984375" style="1551" customWidth="1"/>
    <col min="2574" max="2574" width="48.09765625" style="1551" customWidth="1"/>
    <col min="2575" max="2816" width="9" style="1551"/>
    <col min="2817" max="2817" width="5.19921875" style="1551" customWidth="1"/>
    <col min="2818" max="2818" width="30.8984375" style="1551" customWidth="1"/>
    <col min="2819" max="2819" width="6.3984375" style="1551" customWidth="1"/>
    <col min="2820" max="2820" width="6.5" style="1551" customWidth="1"/>
    <col min="2821" max="2821" width="6.09765625" style="1551" customWidth="1"/>
    <col min="2822" max="2822" width="6" style="1551" customWidth="1"/>
    <col min="2823" max="2824" width="7" style="1551" customWidth="1"/>
    <col min="2825" max="2825" width="8.69921875" style="1551" customWidth="1"/>
    <col min="2826" max="2826" width="6.5" style="1551" customWidth="1"/>
    <col min="2827" max="2827" width="6.8984375" style="1551" customWidth="1"/>
    <col min="2828" max="2828" width="6.3984375" style="1551" customWidth="1"/>
    <col min="2829" max="2829" width="18.3984375" style="1551" customWidth="1"/>
    <col min="2830" max="2830" width="48.09765625" style="1551" customWidth="1"/>
    <col min="2831" max="3072" width="9" style="1551"/>
    <col min="3073" max="3073" width="5.19921875" style="1551" customWidth="1"/>
    <col min="3074" max="3074" width="30.8984375" style="1551" customWidth="1"/>
    <col min="3075" max="3075" width="6.3984375" style="1551" customWidth="1"/>
    <col min="3076" max="3076" width="6.5" style="1551" customWidth="1"/>
    <col min="3077" max="3077" width="6.09765625" style="1551" customWidth="1"/>
    <col min="3078" max="3078" width="6" style="1551" customWidth="1"/>
    <col min="3079" max="3080" width="7" style="1551" customWidth="1"/>
    <col min="3081" max="3081" width="8.69921875" style="1551" customWidth="1"/>
    <col min="3082" max="3082" width="6.5" style="1551" customWidth="1"/>
    <col min="3083" max="3083" width="6.8984375" style="1551" customWidth="1"/>
    <col min="3084" max="3084" width="6.3984375" style="1551" customWidth="1"/>
    <col min="3085" max="3085" width="18.3984375" style="1551" customWidth="1"/>
    <col min="3086" max="3086" width="48.09765625" style="1551" customWidth="1"/>
    <col min="3087" max="3328" width="9" style="1551"/>
    <col min="3329" max="3329" width="5.19921875" style="1551" customWidth="1"/>
    <col min="3330" max="3330" width="30.8984375" style="1551" customWidth="1"/>
    <col min="3331" max="3331" width="6.3984375" style="1551" customWidth="1"/>
    <col min="3332" max="3332" width="6.5" style="1551" customWidth="1"/>
    <col min="3333" max="3333" width="6.09765625" style="1551" customWidth="1"/>
    <col min="3334" max="3334" width="6" style="1551" customWidth="1"/>
    <col min="3335" max="3336" width="7" style="1551" customWidth="1"/>
    <col min="3337" max="3337" width="8.69921875" style="1551" customWidth="1"/>
    <col min="3338" max="3338" width="6.5" style="1551" customWidth="1"/>
    <col min="3339" max="3339" width="6.8984375" style="1551" customWidth="1"/>
    <col min="3340" max="3340" width="6.3984375" style="1551" customWidth="1"/>
    <col min="3341" max="3341" width="18.3984375" style="1551" customWidth="1"/>
    <col min="3342" max="3342" width="48.09765625" style="1551" customWidth="1"/>
    <col min="3343" max="3584" width="9" style="1551"/>
    <col min="3585" max="3585" width="5.19921875" style="1551" customWidth="1"/>
    <col min="3586" max="3586" width="30.8984375" style="1551" customWidth="1"/>
    <col min="3587" max="3587" width="6.3984375" style="1551" customWidth="1"/>
    <col min="3588" max="3588" width="6.5" style="1551" customWidth="1"/>
    <col min="3589" max="3589" width="6.09765625" style="1551" customWidth="1"/>
    <col min="3590" max="3590" width="6" style="1551" customWidth="1"/>
    <col min="3591" max="3592" width="7" style="1551" customWidth="1"/>
    <col min="3593" max="3593" width="8.69921875" style="1551" customWidth="1"/>
    <col min="3594" max="3594" width="6.5" style="1551" customWidth="1"/>
    <col min="3595" max="3595" width="6.8984375" style="1551" customWidth="1"/>
    <col min="3596" max="3596" width="6.3984375" style="1551" customWidth="1"/>
    <col min="3597" max="3597" width="18.3984375" style="1551" customWidth="1"/>
    <col min="3598" max="3598" width="48.09765625" style="1551" customWidth="1"/>
    <col min="3599" max="3840" width="9" style="1551"/>
    <col min="3841" max="3841" width="5.19921875" style="1551" customWidth="1"/>
    <col min="3842" max="3842" width="30.8984375" style="1551" customWidth="1"/>
    <col min="3843" max="3843" width="6.3984375" style="1551" customWidth="1"/>
    <col min="3844" max="3844" width="6.5" style="1551" customWidth="1"/>
    <col min="3845" max="3845" width="6.09765625" style="1551" customWidth="1"/>
    <col min="3846" max="3846" width="6" style="1551" customWidth="1"/>
    <col min="3847" max="3848" width="7" style="1551" customWidth="1"/>
    <col min="3849" max="3849" width="8.69921875" style="1551" customWidth="1"/>
    <col min="3850" max="3850" width="6.5" style="1551" customWidth="1"/>
    <col min="3851" max="3851" width="6.8984375" style="1551" customWidth="1"/>
    <col min="3852" max="3852" width="6.3984375" style="1551" customWidth="1"/>
    <col min="3853" max="3853" width="18.3984375" style="1551" customWidth="1"/>
    <col min="3854" max="3854" width="48.09765625" style="1551" customWidth="1"/>
    <col min="3855" max="4096" width="9" style="1551"/>
    <col min="4097" max="4097" width="5.19921875" style="1551" customWidth="1"/>
    <col min="4098" max="4098" width="30.8984375" style="1551" customWidth="1"/>
    <col min="4099" max="4099" width="6.3984375" style="1551" customWidth="1"/>
    <col min="4100" max="4100" width="6.5" style="1551" customWidth="1"/>
    <col min="4101" max="4101" width="6.09765625" style="1551" customWidth="1"/>
    <col min="4102" max="4102" width="6" style="1551" customWidth="1"/>
    <col min="4103" max="4104" width="7" style="1551" customWidth="1"/>
    <col min="4105" max="4105" width="8.69921875" style="1551" customWidth="1"/>
    <col min="4106" max="4106" width="6.5" style="1551" customWidth="1"/>
    <col min="4107" max="4107" width="6.8984375" style="1551" customWidth="1"/>
    <col min="4108" max="4108" width="6.3984375" style="1551" customWidth="1"/>
    <col min="4109" max="4109" width="18.3984375" style="1551" customWidth="1"/>
    <col min="4110" max="4110" width="48.09765625" style="1551" customWidth="1"/>
    <col min="4111" max="4352" width="9" style="1551"/>
    <col min="4353" max="4353" width="5.19921875" style="1551" customWidth="1"/>
    <col min="4354" max="4354" width="30.8984375" style="1551" customWidth="1"/>
    <col min="4355" max="4355" width="6.3984375" style="1551" customWidth="1"/>
    <col min="4356" max="4356" width="6.5" style="1551" customWidth="1"/>
    <col min="4357" max="4357" width="6.09765625" style="1551" customWidth="1"/>
    <col min="4358" max="4358" width="6" style="1551" customWidth="1"/>
    <col min="4359" max="4360" width="7" style="1551" customWidth="1"/>
    <col min="4361" max="4361" width="8.69921875" style="1551" customWidth="1"/>
    <col min="4362" max="4362" width="6.5" style="1551" customWidth="1"/>
    <col min="4363" max="4363" width="6.8984375" style="1551" customWidth="1"/>
    <col min="4364" max="4364" width="6.3984375" style="1551" customWidth="1"/>
    <col min="4365" max="4365" width="18.3984375" style="1551" customWidth="1"/>
    <col min="4366" max="4366" width="48.09765625" style="1551" customWidth="1"/>
    <col min="4367" max="4608" width="9" style="1551"/>
    <col min="4609" max="4609" width="5.19921875" style="1551" customWidth="1"/>
    <col min="4610" max="4610" width="30.8984375" style="1551" customWidth="1"/>
    <col min="4611" max="4611" width="6.3984375" style="1551" customWidth="1"/>
    <col min="4612" max="4612" width="6.5" style="1551" customWidth="1"/>
    <col min="4613" max="4613" width="6.09765625" style="1551" customWidth="1"/>
    <col min="4614" max="4614" width="6" style="1551" customWidth="1"/>
    <col min="4615" max="4616" width="7" style="1551" customWidth="1"/>
    <col min="4617" max="4617" width="8.69921875" style="1551" customWidth="1"/>
    <col min="4618" max="4618" width="6.5" style="1551" customWidth="1"/>
    <col min="4619" max="4619" width="6.8984375" style="1551" customWidth="1"/>
    <col min="4620" max="4620" width="6.3984375" style="1551" customWidth="1"/>
    <col min="4621" max="4621" width="18.3984375" style="1551" customWidth="1"/>
    <col min="4622" max="4622" width="48.09765625" style="1551" customWidth="1"/>
    <col min="4623" max="4864" width="9" style="1551"/>
    <col min="4865" max="4865" width="5.19921875" style="1551" customWidth="1"/>
    <col min="4866" max="4866" width="30.8984375" style="1551" customWidth="1"/>
    <col min="4867" max="4867" width="6.3984375" style="1551" customWidth="1"/>
    <col min="4868" max="4868" width="6.5" style="1551" customWidth="1"/>
    <col min="4869" max="4869" width="6.09765625" style="1551" customWidth="1"/>
    <col min="4870" max="4870" width="6" style="1551" customWidth="1"/>
    <col min="4871" max="4872" width="7" style="1551" customWidth="1"/>
    <col min="4873" max="4873" width="8.69921875" style="1551" customWidth="1"/>
    <col min="4874" max="4874" width="6.5" style="1551" customWidth="1"/>
    <col min="4875" max="4875" width="6.8984375" style="1551" customWidth="1"/>
    <col min="4876" max="4876" width="6.3984375" style="1551" customWidth="1"/>
    <col min="4877" max="4877" width="18.3984375" style="1551" customWidth="1"/>
    <col min="4878" max="4878" width="48.09765625" style="1551" customWidth="1"/>
    <col min="4879" max="5120" width="9" style="1551"/>
    <col min="5121" max="5121" width="5.19921875" style="1551" customWidth="1"/>
    <col min="5122" max="5122" width="30.8984375" style="1551" customWidth="1"/>
    <col min="5123" max="5123" width="6.3984375" style="1551" customWidth="1"/>
    <col min="5124" max="5124" width="6.5" style="1551" customWidth="1"/>
    <col min="5125" max="5125" width="6.09765625" style="1551" customWidth="1"/>
    <col min="5126" max="5126" width="6" style="1551" customWidth="1"/>
    <col min="5127" max="5128" width="7" style="1551" customWidth="1"/>
    <col min="5129" max="5129" width="8.69921875" style="1551" customWidth="1"/>
    <col min="5130" max="5130" width="6.5" style="1551" customWidth="1"/>
    <col min="5131" max="5131" width="6.8984375" style="1551" customWidth="1"/>
    <col min="5132" max="5132" width="6.3984375" style="1551" customWidth="1"/>
    <col min="5133" max="5133" width="18.3984375" style="1551" customWidth="1"/>
    <col min="5134" max="5134" width="48.09765625" style="1551" customWidth="1"/>
    <col min="5135" max="5376" width="9" style="1551"/>
    <col min="5377" max="5377" width="5.19921875" style="1551" customWidth="1"/>
    <col min="5378" max="5378" width="30.8984375" style="1551" customWidth="1"/>
    <col min="5379" max="5379" width="6.3984375" style="1551" customWidth="1"/>
    <col min="5380" max="5380" width="6.5" style="1551" customWidth="1"/>
    <col min="5381" max="5381" width="6.09765625" style="1551" customWidth="1"/>
    <col min="5382" max="5382" width="6" style="1551" customWidth="1"/>
    <col min="5383" max="5384" width="7" style="1551" customWidth="1"/>
    <col min="5385" max="5385" width="8.69921875" style="1551" customWidth="1"/>
    <col min="5386" max="5386" width="6.5" style="1551" customWidth="1"/>
    <col min="5387" max="5387" width="6.8984375" style="1551" customWidth="1"/>
    <col min="5388" max="5388" width="6.3984375" style="1551" customWidth="1"/>
    <col min="5389" max="5389" width="18.3984375" style="1551" customWidth="1"/>
    <col min="5390" max="5390" width="48.09765625" style="1551" customWidth="1"/>
    <col min="5391" max="5632" width="9" style="1551"/>
    <col min="5633" max="5633" width="5.19921875" style="1551" customWidth="1"/>
    <col min="5634" max="5634" width="30.8984375" style="1551" customWidth="1"/>
    <col min="5635" max="5635" width="6.3984375" style="1551" customWidth="1"/>
    <col min="5636" max="5636" width="6.5" style="1551" customWidth="1"/>
    <col min="5637" max="5637" width="6.09765625" style="1551" customWidth="1"/>
    <col min="5638" max="5638" width="6" style="1551" customWidth="1"/>
    <col min="5639" max="5640" width="7" style="1551" customWidth="1"/>
    <col min="5641" max="5641" width="8.69921875" style="1551" customWidth="1"/>
    <col min="5642" max="5642" width="6.5" style="1551" customWidth="1"/>
    <col min="5643" max="5643" width="6.8984375" style="1551" customWidth="1"/>
    <col min="5644" max="5644" width="6.3984375" style="1551" customWidth="1"/>
    <col min="5645" max="5645" width="18.3984375" style="1551" customWidth="1"/>
    <col min="5646" max="5646" width="48.09765625" style="1551" customWidth="1"/>
    <col min="5647" max="5888" width="9" style="1551"/>
    <col min="5889" max="5889" width="5.19921875" style="1551" customWidth="1"/>
    <col min="5890" max="5890" width="30.8984375" style="1551" customWidth="1"/>
    <col min="5891" max="5891" width="6.3984375" style="1551" customWidth="1"/>
    <col min="5892" max="5892" width="6.5" style="1551" customWidth="1"/>
    <col min="5893" max="5893" width="6.09765625" style="1551" customWidth="1"/>
    <col min="5894" max="5894" width="6" style="1551" customWidth="1"/>
    <col min="5895" max="5896" width="7" style="1551" customWidth="1"/>
    <col min="5897" max="5897" width="8.69921875" style="1551" customWidth="1"/>
    <col min="5898" max="5898" width="6.5" style="1551" customWidth="1"/>
    <col min="5899" max="5899" width="6.8984375" style="1551" customWidth="1"/>
    <col min="5900" max="5900" width="6.3984375" style="1551" customWidth="1"/>
    <col min="5901" max="5901" width="18.3984375" style="1551" customWidth="1"/>
    <col min="5902" max="5902" width="48.09765625" style="1551" customWidth="1"/>
    <col min="5903" max="6144" width="9" style="1551"/>
    <col min="6145" max="6145" width="5.19921875" style="1551" customWidth="1"/>
    <col min="6146" max="6146" width="30.8984375" style="1551" customWidth="1"/>
    <col min="6147" max="6147" width="6.3984375" style="1551" customWidth="1"/>
    <col min="6148" max="6148" width="6.5" style="1551" customWidth="1"/>
    <col min="6149" max="6149" width="6.09765625" style="1551" customWidth="1"/>
    <col min="6150" max="6150" width="6" style="1551" customWidth="1"/>
    <col min="6151" max="6152" width="7" style="1551" customWidth="1"/>
    <col min="6153" max="6153" width="8.69921875" style="1551" customWidth="1"/>
    <col min="6154" max="6154" width="6.5" style="1551" customWidth="1"/>
    <col min="6155" max="6155" width="6.8984375" style="1551" customWidth="1"/>
    <col min="6156" max="6156" width="6.3984375" style="1551" customWidth="1"/>
    <col min="6157" max="6157" width="18.3984375" style="1551" customWidth="1"/>
    <col min="6158" max="6158" width="48.09765625" style="1551" customWidth="1"/>
    <col min="6159" max="6400" width="9" style="1551"/>
    <col min="6401" max="6401" width="5.19921875" style="1551" customWidth="1"/>
    <col min="6402" max="6402" width="30.8984375" style="1551" customWidth="1"/>
    <col min="6403" max="6403" width="6.3984375" style="1551" customWidth="1"/>
    <col min="6404" max="6404" width="6.5" style="1551" customWidth="1"/>
    <col min="6405" max="6405" width="6.09765625" style="1551" customWidth="1"/>
    <col min="6406" max="6406" width="6" style="1551" customWidth="1"/>
    <col min="6407" max="6408" width="7" style="1551" customWidth="1"/>
    <col min="6409" max="6409" width="8.69921875" style="1551" customWidth="1"/>
    <col min="6410" max="6410" width="6.5" style="1551" customWidth="1"/>
    <col min="6411" max="6411" width="6.8984375" style="1551" customWidth="1"/>
    <col min="6412" max="6412" width="6.3984375" style="1551" customWidth="1"/>
    <col min="6413" max="6413" width="18.3984375" style="1551" customWidth="1"/>
    <col min="6414" max="6414" width="48.09765625" style="1551" customWidth="1"/>
    <col min="6415" max="6656" width="9" style="1551"/>
    <col min="6657" max="6657" width="5.19921875" style="1551" customWidth="1"/>
    <col min="6658" max="6658" width="30.8984375" style="1551" customWidth="1"/>
    <col min="6659" max="6659" width="6.3984375" style="1551" customWidth="1"/>
    <col min="6660" max="6660" width="6.5" style="1551" customWidth="1"/>
    <col min="6661" max="6661" width="6.09765625" style="1551" customWidth="1"/>
    <col min="6662" max="6662" width="6" style="1551" customWidth="1"/>
    <col min="6663" max="6664" width="7" style="1551" customWidth="1"/>
    <col min="6665" max="6665" width="8.69921875" style="1551" customWidth="1"/>
    <col min="6666" max="6666" width="6.5" style="1551" customWidth="1"/>
    <col min="6667" max="6667" width="6.8984375" style="1551" customWidth="1"/>
    <col min="6668" max="6668" width="6.3984375" style="1551" customWidth="1"/>
    <col min="6669" max="6669" width="18.3984375" style="1551" customWidth="1"/>
    <col min="6670" max="6670" width="48.09765625" style="1551" customWidth="1"/>
    <col min="6671" max="6912" width="9" style="1551"/>
    <col min="6913" max="6913" width="5.19921875" style="1551" customWidth="1"/>
    <col min="6914" max="6914" width="30.8984375" style="1551" customWidth="1"/>
    <col min="6915" max="6915" width="6.3984375" style="1551" customWidth="1"/>
    <col min="6916" max="6916" width="6.5" style="1551" customWidth="1"/>
    <col min="6917" max="6917" width="6.09765625" style="1551" customWidth="1"/>
    <col min="6918" max="6918" width="6" style="1551" customWidth="1"/>
    <col min="6919" max="6920" width="7" style="1551" customWidth="1"/>
    <col min="6921" max="6921" width="8.69921875" style="1551" customWidth="1"/>
    <col min="6922" max="6922" width="6.5" style="1551" customWidth="1"/>
    <col min="6923" max="6923" width="6.8984375" style="1551" customWidth="1"/>
    <col min="6924" max="6924" width="6.3984375" style="1551" customWidth="1"/>
    <col min="6925" max="6925" width="18.3984375" style="1551" customWidth="1"/>
    <col min="6926" max="6926" width="48.09765625" style="1551" customWidth="1"/>
    <col min="6927" max="7168" width="9" style="1551"/>
    <col min="7169" max="7169" width="5.19921875" style="1551" customWidth="1"/>
    <col min="7170" max="7170" width="30.8984375" style="1551" customWidth="1"/>
    <col min="7171" max="7171" width="6.3984375" style="1551" customWidth="1"/>
    <col min="7172" max="7172" width="6.5" style="1551" customWidth="1"/>
    <col min="7173" max="7173" width="6.09765625" style="1551" customWidth="1"/>
    <col min="7174" max="7174" width="6" style="1551" customWidth="1"/>
    <col min="7175" max="7176" width="7" style="1551" customWidth="1"/>
    <col min="7177" max="7177" width="8.69921875" style="1551" customWidth="1"/>
    <col min="7178" max="7178" width="6.5" style="1551" customWidth="1"/>
    <col min="7179" max="7179" width="6.8984375" style="1551" customWidth="1"/>
    <col min="7180" max="7180" width="6.3984375" style="1551" customWidth="1"/>
    <col min="7181" max="7181" width="18.3984375" style="1551" customWidth="1"/>
    <col min="7182" max="7182" width="48.09765625" style="1551" customWidth="1"/>
    <col min="7183" max="7424" width="9" style="1551"/>
    <col min="7425" max="7425" width="5.19921875" style="1551" customWidth="1"/>
    <col min="7426" max="7426" width="30.8984375" style="1551" customWidth="1"/>
    <col min="7427" max="7427" width="6.3984375" style="1551" customWidth="1"/>
    <col min="7428" max="7428" width="6.5" style="1551" customWidth="1"/>
    <col min="7429" max="7429" width="6.09765625" style="1551" customWidth="1"/>
    <col min="7430" max="7430" width="6" style="1551" customWidth="1"/>
    <col min="7431" max="7432" width="7" style="1551" customWidth="1"/>
    <col min="7433" max="7433" width="8.69921875" style="1551" customWidth="1"/>
    <col min="7434" max="7434" width="6.5" style="1551" customWidth="1"/>
    <col min="7435" max="7435" width="6.8984375" style="1551" customWidth="1"/>
    <col min="7436" max="7436" width="6.3984375" style="1551" customWidth="1"/>
    <col min="7437" max="7437" width="18.3984375" style="1551" customWidth="1"/>
    <col min="7438" max="7438" width="48.09765625" style="1551" customWidth="1"/>
    <col min="7439" max="7680" width="9" style="1551"/>
    <col min="7681" max="7681" width="5.19921875" style="1551" customWidth="1"/>
    <col min="7682" max="7682" width="30.8984375" style="1551" customWidth="1"/>
    <col min="7683" max="7683" width="6.3984375" style="1551" customWidth="1"/>
    <col min="7684" max="7684" width="6.5" style="1551" customWidth="1"/>
    <col min="7685" max="7685" width="6.09765625" style="1551" customWidth="1"/>
    <col min="7686" max="7686" width="6" style="1551" customWidth="1"/>
    <col min="7687" max="7688" width="7" style="1551" customWidth="1"/>
    <col min="7689" max="7689" width="8.69921875" style="1551" customWidth="1"/>
    <col min="7690" max="7690" width="6.5" style="1551" customWidth="1"/>
    <col min="7691" max="7691" width="6.8984375" style="1551" customWidth="1"/>
    <col min="7692" max="7692" width="6.3984375" style="1551" customWidth="1"/>
    <col min="7693" max="7693" width="18.3984375" style="1551" customWidth="1"/>
    <col min="7694" max="7694" width="48.09765625" style="1551" customWidth="1"/>
    <col min="7695" max="7936" width="9" style="1551"/>
    <col min="7937" max="7937" width="5.19921875" style="1551" customWidth="1"/>
    <col min="7938" max="7938" width="30.8984375" style="1551" customWidth="1"/>
    <col min="7939" max="7939" width="6.3984375" style="1551" customWidth="1"/>
    <col min="7940" max="7940" width="6.5" style="1551" customWidth="1"/>
    <col min="7941" max="7941" width="6.09765625" style="1551" customWidth="1"/>
    <col min="7942" max="7942" width="6" style="1551" customWidth="1"/>
    <col min="7943" max="7944" width="7" style="1551" customWidth="1"/>
    <col min="7945" max="7945" width="8.69921875" style="1551" customWidth="1"/>
    <col min="7946" max="7946" width="6.5" style="1551" customWidth="1"/>
    <col min="7947" max="7947" width="6.8984375" style="1551" customWidth="1"/>
    <col min="7948" max="7948" width="6.3984375" style="1551" customWidth="1"/>
    <col min="7949" max="7949" width="18.3984375" style="1551" customWidth="1"/>
    <col min="7950" max="7950" width="48.09765625" style="1551" customWidth="1"/>
    <col min="7951" max="8192" width="9" style="1551"/>
    <col min="8193" max="8193" width="5.19921875" style="1551" customWidth="1"/>
    <col min="8194" max="8194" width="30.8984375" style="1551" customWidth="1"/>
    <col min="8195" max="8195" width="6.3984375" style="1551" customWidth="1"/>
    <col min="8196" max="8196" width="6.5" style="1551" customWidth="1"/>
    <col min="8197" max="8197" width="6.09765625" style="1551" customWidth="1"/>
    <col min="8198" max="8198" width="6" style="1551" customWidth="1"/>
    <col min="8199" max="8200" width="7" style="1551" customWidth="1"/>
    <col min="8201" max="8201" width="8.69921875" style="1551" customWidth="1"/>
    <col min="8202" max="8202" width="6.5" style="1551" customWidth="1"/>
    <col min="8203" max="8203" width="6.8984375" style="1551" customWidth="1"/>
    <col min="8204" max="8204" width="6.3984375" style="1551" customWidth="1"/>
    <col min="8205" max="8205" width="18.3984375" style="1551" customWidth="1"/>
    <col min="8206" max="8206" width="48.09765625" style="1551" customWidth="1"/>
    <col min="8207" max="8448" width="9" style="1551"/>
    <col min="8449" max="8449" width="5.19921875" style="1551" customWidth="1"/>
    <col min="8450" max="8450" width="30.8984375" style="1551" customWidth="1"/>
    <col min="8451" max="8451" width="6.3984375" style="1551" customWidth="1"/>
    <col min="8452" max="8452" width="6.5" style="1551" customWidth="1"/>
    <col min="8453" max="8453" width="6.09765625" style="1551" customWidth="1"/>
    <col min="8454" max="8454" width="6" style="1551" customWidth="1"/>
    <col min="8455" max="8456" width="7" style="1551" customWidth="1"/>
    <col min="8457" max="8457" width="8.69921875" style="1551" customWidth="1"/>
    <col min="8458" max="8458" width="6.5" style="1551" customWidth="1"/>
    <col min="8459" max="8459" width="6.8984375" style="1551" customWidth="1"/>
    <col min="8460" max="8460" width="6.3984375" style="1551" customWidth="1"/>
    <col min="8461" max="8461" width="18.3984375" style="1551" customWidth="1"/>
    <col min="8462" max="8462" width="48.09765625" style="1551" customWidth="1"/>
    <col min="8463" max="8704" width="9" style="1551"/>
    <col min="8705" max="8705" width="5.19921875" style="1551" customWidth="1"/>
    <col min="8706" max="8706" width="30.8984375" style="1551" customWidth="1"/>
    <col min="8707" max="8707" width="6.3984375" style="1551" customWidth="1"/>
    <col min="8708" max="8708" width="6.5" style="1551" customWidth="1"/>
    <col min="8709" max="8709" width="6.09765625" style="1551" customWidth="1"/>
    <col min="8710" max="8710" width="6" style="1551" customWidth="1"/>
    <col min="8711" max="8712" width="7" style="1551" customWidth="1"/>
    <col min="8713" max="8713" width="8.69921875" style="1551" customWidth="1"/>
    <col min="8714" max="8714" width="6.5" style="1551" customWidth="1"/>
    <col min="8715" max="8715" width="6.8984375" style="1551" customWidth="1"/>
    <col min="8716" max="8716" width="6.3984375" style="1551" customWidth="1"/>
    <col min="8717" max="8717" width="18.3984375" style="1551" customWidth="1"/>
    <col min="8718" max="8718" width="48.09765625" style="1551" customWidth="1"/>
    <col min="8719" max="8960" width="9" style="1551"/>
    <col min="8961" max="8961" width="5.19921875" style="1551" customWidth="1"/>
    <col min="8962" max="8962" width="30.8984375" style="1551" customWidth="1"/>
    <col min="8963" max="8963" width="6.3984375" style="1551" customWidth="1"/>
    <col min="8964" max="8964" width="6.5" style="1551" customWidth="1"/>
    <col min="8965" max="8965" width="6.09765625" style="1551" customWidth="1"/>
    <col min="8966" max="8966" width="6" style="1551" customWidth="1"/>
    <col min="8967" max="8968" width="7" style="1551" customWidth="1"/>
    <col min="8969" max="8969" width="8.69921875" style="1551" customWidth="1"/>
    <col min="8970" max="8970" width="6.5" style="1551" customWidth="1"/>
    <col min="8971" max="8971" width="6.8984375" style="1551" customWidth="1"/>
    <col min="8972" max="8972" width="6.3984375" style="1551" customWidth="1"/>
    <col min="8973" max="8973" width="18.3984375" style="1551" customWidth="1"/>
    <col min="8974" max="8974" width="48.09765625" style="1551" customWidth="1"/>
    <col min="8975" max="9216" width="9" style="1551"/>
    <col min="9217" max="9217" width="5.19921875" style="1551" customWidth="1"/>
    <col min="9218" max="9218" width="30.8984375" style="1551" customWidth="1"/>
    <col min="9219" max="9219" width="6.3984375" style="1551" customWidth="1"/>
    <col min="9220" max="9220" width="6.5" style="1551" customWidth="1"/>
    <col min="9221" max="9221" width="6.09765625" style="1551" customWidth="1"/>
    <col min="9222" max="9222" width="6" style="1551" customWidth="1"/>
    <col min="9223" max="9224" width="7" style="1551" customWidth="1"/>
    <col min="9225" max="9225" width="8.69921875" style="1551" customWidth="1"/>
    <col min="9226" max="9226" width="6.5" style="1551" customWidth="1"/>
    <col min="9227" max="9227" width="6.8984375" style="1551" customWidth="1"/>
    <col min="9228" max="9228" width="6.3984375" style="1551" customWidth="1"/>
    <col min="9229" max="9229" width="18.3984375" style="1551" customWidth="1"/>
    <col min="9230" max="9230" width="48.09765625" style="1551" customWidth="1"/>
    <col min="9231" max="9472" width="9" style="1551"/>
    <col min="9473" max="9473" width="5.19921875" style="1551" customWidth="1"/>
    <col min="9474" max="9474" width="30.8984375" style="1551" customWidth="1"/>
    <col min="9475" max="9475" width="6.3984375" style="1551" customWidth="1"/>
    <col min="9476" max="9476" width="6.5" style="1551" customWidth="1"/>
    <col min="9477" max="9477" width="6.09765625" style="1551" customWidth="1"/>
    <col min="9478" max="9478" width="6" style="1551" customWidth="1"/>
    <col min="9479" max="9480" width="7" style="1551" customWidth="1"/>
    <col min="9481" max="9481" width="8.69921875" style="1551" customWidth="1"/>
    <col min="9482" max="9482" width="6.5" style="1551" customWidth="1"/>
    <col min="9483" max="9483" width="6.8984375" style="1551" customWidth="1"/>
    <col min="9484" max="9484" width="6.3984375" style="1551" customWidth="1"/>
    <col min="9485" max="9485" width="18.3984375" style="1551" customWidth="1"/>
    <col min="9486" max="9486" width="48.09765625" style="1551" customWidth="1"/>
    <col min="9487" max="9728" width="9" style="1551"/>
    <col min="9729" max="9729" width="5.19921875" style="1551" customWidth="1"/>
    <col min="9730" max="9730" width="30.8984375" style="1551" customWidth="1"/>
    <col min="9731" max="9731" width="6.3984375" style="1551" customWidth="1"/>
    <col min="9732" max="9732" width="6.5" style="1551" customWidth="1"/>
    <col min="9733" max="9733" width="6.09765625" style="1551" customWidth="1"/>
    <col min="9734" max="9734" width="6" style="1551" customWidth="1"/>
    <col min="9735" max="9736" width="7" style="1551" customWidth="1"/>
    <col min="9737" max="9737" width="8.69921875" style="1551" customWidth="1"/>
    <col min="9738" max="9738" width="6.5" style="1551" customWidth="1"/>
    <col min="9739" max="9739" width="6.8984375" style="1551" customWidth="1"/>
    <col min="9740" max="9740" width="6.3984375" style="1551" customWidth="1"/>
    <col min="9741" max="9741" width="18.3984375" style="1551" customWidth="1"/>
    <col min="9742" max="9742" width="48.09765625" style="1551" customWidth="1"/>
    <col min="9743" max="9984" width="9" style="1551"/>
    <col min="9985" max="9985" width="5.19921875" style="1551" customWidth="1"/>
    <col min="9986" max="9986" width="30.8984375" style="1551" customWidth="1"/>
    <col min="9987" max="9987" width="6.3984375" style="1551" customWidth="1"/>
    <col min="9988" max="9988" width="6.5" style="1551" customWidth="1"/>
    <col min="9989" max="9989" width="6.09765625" style="1551" customWidth="1"/>
    <col min="9990" max="9990" width="6" style="1551" customWidth="1"/>
    <col min="9991" max="9992" width="7" style="1551" customWidth="1"/>
    <col min="9993" max="9993" width="8.69921875" style="1551" customWidth="1"/>
    <col min="9994" max="9994" width="6.5" style="1551" customWidth="1"/>
    <col min="9995" max="9995" width="6.8984375" style="1551" customWidth="1"/>
    <col min="9996" max="9996" width="6.3984375" style="1551" customWidth="1"/>
    <col min="9997" max="9997" width="18.3984375" style="1551" customWidth="1"/>
    <col min="9998" max="9998" width="48.09765625" style="1551" customWidth="1"/>
    <col min="9999" max="10240" width="9" style="1551"/>
    <col min="10241" max="10241" width="5.19921875" style="1551" customWidth="1"/>
    <col min="10242" max="10242" width="30.8984375" style="1551" customWidth="1"/>
    <col min="10243" max="10243" width="6.3984375" style="1551" customWidth="1"/>
    <col min="10244" max="10244" width="6.5" style="1551" customWidth="1"/>
    <col min="10245" max="10245" width="6.09765625" style="1551" customWidth="1"/>
    <col min="10246" max="10246" width="6" style="1551" customWidth="1"/>
    <col min="10247" max="10248" width="7" style="1551" customWidth="1"/>
    <col min="10249" max="10249" width="8.69921875" style="1551" customWidth="1"/>
    <col min="10250" max="10250" width="6.5" style="1551" customWidth="1"/>
    <col min="10251" max="10251" width="6.8984375" style="1551" customWidth="1"/>
    <col min="10252" max="10252" width="6.3984375" style="1551" customWidth="1"/>
    <col min="10253" max="10253" width="18.3984375" style="1551" customWidth="1"/>
    <col min="10254" max="10254" width="48.09765625" style="1551" customWidth="1"/>
    <col min="10255" max="10496" width="9" style="1551"/>
    <col min="10497" max="10497" width="5.19921875" style="1551" customWidth="1"/>
    <col min="10498" max="10498" width="30.8984375" style="1551" customWidth="1"/>
    <col min="10499" max="10499" width="6.3984375" style="1551" customWidth="1"/>
    <col min="10500" max="10500" width="6.5" style="1551" customWidth="1"/>
    <col min="10501" max="10501" width="6.09765625" style="1551" customWidth="1"/>
    <col min="10502" max="10502" width="6" style="1551" customWidth="1"/>
    <col min="10503" max="10504" width="7" style="1551" customWidth="1"/>
    <col min="10505" max="10505" width="8.69921875" style="1551" customWidth="1"/>
    <col min="10506" max="10506" width="6.5" style="1551" customWidth="1"/>
    <col min="10507" max="10507" width="6.8984375" style="1551" customWidth="1"/>
    <col min="10508" max="10508" width="6.3984375" style="1551" customWidth="1"/>
    <col min="10509" max="10509" width="18.3984375" style="1551" customWidth="1"/>
    <col min="10510" max="10510" width="48.09765625" style="1551" customWidth="1"/>
    <col min="10511" max="10752" width="9" style="1551"/>
    <col min="10753" max="10753" width="5.19921875" style="1551" customWidth="1"/>
    <col min="10754" max="10754" width="30.8984375" style="1551" customWidth="1"/>
    <col min="10755" max="10755" width="6.3984375" style="1551" customWidth="1"/>
    <col min="10756" max="10756" width="6.5" style="1551" customWidth="1"/>
    <col min="10757" max="10757" width="6.09765625" style="1551" customWidth="1"/>
    <col min="10758" max="10758" width="6" style="1551" customWidth="1"/>
    <col min="10759" max="10760" width="7" style="1551" customWidth="1"/>
    <col min="10761" max="10761" width="8.69921875" style="1551" customWidth="1"/>
    <col min="10762" max="10762" width="6.5" style="1551" customWidth="1"/>
    <col min="10763" max="10763" width="6.8984375" style="1551" customWidth="1"/>
    <col min="10764" max="10764" width="6.3984375" style="1551" customWidth="1"/>
    <col min="10765" max="10765" width="18.3984375" style="1551" customWidth="1"/>
    <col min="10766" max="10766" width="48.09765625" style="1551" customWidth="1"/>
    <col min="10767" max="11008" width="9" style="1551"/>
    <col min="11009" max="11009" width="5.19921875" style="1551" customWidth="1"/>
    <col min="11010" max="11010" width="30.8984375" style="1551" customWidth="1"/>
    <col min="11011" max="11011" width="6.3984375" style="1551" customWidth="1"/>
    <col min="11012" max="11012" width="6.5" style="1551" customWidth="1"/>
    <col min="11013" max="11013" width="6.09765625" style="1551" customWidth="1"/>
    <col min="11014" max="11014" width="6" style="1551" customWidth="1"/>
    <col min="11015" max="11016" width="7" style="1551" customWidth="1"/>
    <col min="11017" max="11017" width="8.69921875" style="1551" customWidth="1"/>
    <col min="11018" max="11018" width="6.5" style="1551" customWidth="1"/>
    <col min="11019" max="11019" width="6.8984375" style="1551" customWidth="1"/>
    <col min="11020" max="11020" width="6.3984375" style="1551" customWidth="1"/>
    <col min="11021" max="11021" width="18.3984375" style="1551" customWidth="1"/>
    <col min="11022" max="11022" width="48.09765625" style="1551" customWidth="1"/>
    <col min="11023" max="11264" width="9" style="1551"/>
    <col min="11265" max="11265" width="5.19921875" style="1551" customWidth="1"/>
    <col min="11266" max="11266" width="30.8984375" style="1551" customWidth="1"/>
    <col min="11267" max="11267" width="6.3984375" style="1551" customWidth="1"/>
    <col min="11268" max="11268" width="6.5" style="1551" customWidth="1"/>
    <col min="11269" max="11269" width="6.09765625" style="1551" customWidth="1"/>
    <col min="11270" max="11270" width="6" style="1551" customWidth="1"/>
    <col min="11271" max="11272" width="7" style="1551" customWidth="1"/>
    <col min="11273" max="11273" width="8.69921875" style="1551" customWidth="1"/>
    <col min="11274" max="11274" width="6.5" style="1551" customWidth="1"/>
    <col min="11275" max="11275" width="6.8984375" style="1551" customWidth="1"/>
    <col min="11276" max="11276" width="6.3984375" style="1551" customWidth="1"/>
    <col min="11277" max="11277" width="18.3984375" style="1551" customWidth="1"/>
    <col min="11278" max="11278" width="48.09765625" style="1551" customWidth="1"/>
    <col min="11279" max="11520" width="9" style="1551"/>
    <col min="11521" max="11521" width="5.19921875" style="1551" customWidth="1"/>
    <col min="11522" max="11522" width="30.8984375" style="1551" customWidth="1"/>
    <col min="11523" max="11523" width="6.3984375" style="1551" customWidth="1"/>
    <col min="11524" max="11524" width="6.5" style="1551" customWidth="1"/>
    <col min="11525" max="11525" width="6.09765625" style="1551" customWidth="1"/>
    <col min="11526" max="11526" width="6" style="1551" customWidth="1"/>
    <col min="11527" max="11528" width="7" style="1551" customWidth="1"/>
    <col min="11529" max="11529" width="8.69921875" style="1551" customWidth="1"/>
    <col min="11530" max="11530" width="6.5" style="1551" customWidth="1"/>
    <col min="11531" max="11531" width="6.8984375" style="1551" customWidth="1"/>
    <col min="11532" max="11532" width="6.3984375" style="1551" customWidth="1"/>
    <col min="11533" max="11533" width="18.3984375" style="1551" customWidth="1"/>
    <col min="11534" max="11534" width="48.09765625" style="1551" customWidth="1"/>
    <col min="11535" max="11776" width="9" style="1551"/>
    <col min="11777" max="11777" width="5.19921875" style="1551" customWidth="1"/>
    <col min="11778" max="11778" width="30.8984375" style="1551" customWidth="1"/>
    <col min="11779" max="11779" width="6.3984375" style="1551" customWidth="1"/>
    <col min="11780" max="11780" width="6.5" style="1551" customWidth="1"/>
    <col min="11781" max="11781" width="6.09765625" style="1551" customWidth="1"/>
    <col min="11782" max="11782" width="6" style="1551" customWidth="1"/>
    <col min="11783" max="11784" width="7" style="1551" customWidth="1"/>
    <col min="11785" max="11785" width="8.69921875" style="1551" customWidth="1"/>
    <col min="11786" max="11786" width="6.5" style="1551" customWidth="1"/>
    <col min="11787" max="11787" width="6.8984375" style="1551" customWidth="1"/>
    <col min="11788" max="11788" width="6.3984375" style="1551" customWidth="1"/>
    <col min="11789" max="11789" width="18.3984375" style="1551" customWidth="1"/>
    <col min="11790" max="11790" width="48.09765625" style="1551" customWidth="1"/>
    <col min="11791" max="12032" width="9" style="1551"/>
    <col min="12033" max="12033" width="5.19921875" style="1551" customWidth="1"/>
    <col min="12034" max="12034" width="30.8984375" style="1551" customWidth="1"/>
    <col min="12035" max="12035" width="6.3984375" style="1551" customWidth="1"/>
    <col min="12036" max="12036" width="6.5" style="1551" customWidth="1"/>
    <col min="12037" max="12037" width="6.09765625" style="1551" customWidth="1"/>
    <col min="12038" max="12038" width="6" style="1551" customWidth="1"/>
    <col min="12039" max="12040" width="7" style="1551" customWidth="1"/>
    <col min="12041" max="12041" width="8.69921875" style="1551" customWidth="1"/>
    <col min="12042" max="12042" width="6.5" style="1551" customWidth="1"/>
    <col min="12043" max="12043" width="6.8984375" style="1551" customWidth="1"/>
    <col min="12044" max="12044" width="6.3984375" style="1551" customWidth="1"/>
    <col min="12045" max="12045" width="18.3984375" style="1551" customWidth="1"/>
    <col min="12046" max="12046" width="48.09765625" style="1551" customWidth="1"/>
    <col min="12047" max="12288" width="9" style="1551"/>
    <col min="12289" max="12289" width="5.19921875" style="1551" customWidth="1"/>
    <col min="12290" max="12290" width="30.8984375" style="1551" customWidth="1"/>
    <col min="12291" max="12291" width="6.3984375" style="1551" customWidth="1"/>
    <col min="12292" max="12292" width="6.5" style="1551" customWidth="1"/>
    <col min="12293" max="12293" width="6.09765625" style="1551" customWidth="1"/>
    <col min="12294" max="12294" width="6" style="1551" customWidth="1"/>
    <col min="12295" max="12296" width="7" style="1551" customWidth="1"/>
    <col min="12297" max="12297" width="8.69921875" style="1551" customWidth="1"/>
    <col min="12298" max="12298" width="6.5" style="1551" customWidth="1"/>
    <col min="12299" max="12299" width="6.8984375" style="1551" customWidth="1"/>
    <col min="12300" max="12300" width="6.3984375" style="1551" customWidth="1"/>
    <col min="12301" max="12301" width="18.3984375" style="1551" customWidth="1"/>
    <col min="12302" max="12302" width="48.09765625" style="1551" customWidth="1"/>
    <col min="12303" max="12544" width="9" style="1551"/>
    <col min="12545" max="12545" width="5.19921875" style="1551" customWidth="1"/>
    <col min="12546" max="12546" width="30.8984375" style="1551" customWidth="1"/>
    <col min="12547" max="12547" width="6.3984375" style="1551" customWidth="1"/>
    <col min="12548" max="12548" width="6.5" style="1551" customWidth="1"/>
    <col min="12549" max="12549" width="6.09765625" style="1551" customWidth="1"/>
    <col min="12550" max="12550" width="6" style="1551" customWidth="1"/>
    <col min="12551" max="12552" width="7" style="1551" customWidth="1"/>
    <col min="12553" max="12553" width="8.69921875" style="1551" customWidth="1"/>
    <col min="12554" max="12554" width="6.5" style="1551" customWidth="1"/>
    <col min="12555" max="12555" width="6.8984375" style="1551" customWidth="1"/>
    <col min="12556" max="12556" width="6.3984375" style="1551" customWidth="1"/>
    <col min="12557" max="12557" width="18.3984375" style="1551" customWidth="1"/>
    <col min="12558" max="12558" width="48.09765625" style="1551" customWidth="1"/>
    <col min="12559" max="12800" width="9" style="1551"/>
    <col min="12801" max="12801" width="5.19921875" style="1551" customWidth="1"/>
    <col min="12802" max="12802" width="30.8984375" style="1551" customWidth="1"/>
    <col min="12803" max="12803" width="6.3984375" style="1551" customWidth="1"/>
    <col min="12804" max="12804" width="6.5" style="1551" customWidth="1"/>
    <col min="12805" max="12805" width="6.09765625" style="1551" customWidth="1"/>
    <col min="12806" max="12806" width="6" style="1551" customWidth="1"/>
    <col min="12807" max="12808" width="7" style="1551" customWidth="1"/>
    <col min="12809" max="12809" width="8.69921875" style="1551" customWidth="1"/>
    <col min="12810" max="12810" width="6.5" style="1551" customWidth="1"/>
    <col min="12811" max="12811" width="6.8984375" style="1551" customWidth="1"/>
    <col min="12812" max="12812" width="6.3984375" style="1551" customWidth="1"/>
    <col min="12813" max="12813" width="18.3984375" style="1551" customWidth="1"/>
    <col min="12814" max="12814" width="48.09765625" style="1551" customWidth="1"/>
    <col min="12815" max="13056" width="9" style="1551"/>
    <col min="13057" max="13057" width="5.19921875" style="1551" customWidth="1"/>
    <col min="13058" max="13058" width="30.8984375" style="1551" customWidth="1"/>
    <col min="13059" max="13059" width="6.3984375" style="1551" customWidth="1"/>
    <col min="13060" max="13060" width="6.5" style="1551" customWidth="1"/>
    <col min="13061" max="13061" width="6.09765625" style="1551" customWidth="1"/>
    <col min="13062" max="13062" width="6" style="1551" customWidth="1"/>
    <col min="13063" max="13064" width="7" style="1551" customWidth="1"/>
    <col min="13065" max="13065" width="8.69921875" style="1551" customWidth="1"/>
    <col min="13066" max="13066" width="6.5" style="1551" customWidth="1"/>
    <col min="13067" max="13067" width="6.8984375" style="1551" customWidth="1"/>
    <col min="13068" max="13068" width="6.3984375" style="1551" customWidth="1"/>
    <col min="13069" max="13069" width="18.3984375" style="1551" customWidth="1"/>
    <col min="13070" max="13070" width="48.09765625" style="1551" customWidth="1"/>
    <col min="13071" max="13312" width="9" style="1551"/>
    <col min="13313" max="13313" width="5.19921875" style="1551" customWidth="1"/>
    <col min="13314" max="13314" width="30.8984375" style="1551" customWidth="1"/>
    <col min="13315" max="13315" width="6.3984375" style="1551" customWidth="1"/>
    <col min="13316" max="13316" width="6.5" style="1551" customWidth="1"/>
    <col min="13317" max="13317" width="6.09765625" style="1551" customWidth="1"/>
    <col min="13318" max="13318" width="6" style="1551" customWidth="1"/>
    <col min="13319" max="13320" width="7" style="1551" customWidth="1"/>
    <col min="13321" max="13321" width="8.69921875" style="1551" customWidth="1"/>
    <col min="13322" max="13322" width="6.5" style="1551" customWidth="1"/>
    <col min="13323" max="13323" width="6.8984375" style="1551" customWidth="1"/>
    <col min="13324" max="13324" width="6.3984375" style="1551" customWidth="1"/>
    <col min="13325" max="13325" width="18.3984375" style="1551" customWidth="1"/>
    <col min="13326" max="13326" width="48.09765625" style="1551" customWidth="1"/>
    <col min="13327" max="13568" width="9" style="1551"/>
    <col min="13569" max="13569" width="5.19921875" style="1551" customWidth="1"/>
    <col min="13570" max="13570" width="30.8984375" style="1551" customWidth="1"/>
    <col min="13571" max="13571" width="6.3984375" style="1551" customWidth="1"/>
    <col min="13572" max="13572" width="6.5" style="1551" customWidth="1"/>
    <col min="13573" max="13573" width="6.09765625" style="1551" customWidth="1"/>
    <col min="13574" max="13574" width="6" style="1551" customWidth="1"/>
    <col min="13575" max="13576" width="7" style="1551" customWidth="1"/>
    <col min="13577" max="13577" width="8.69921875" style="1551" customWidth="1"/>
    <col min="13578" max="13578" width="6.5" style="1551" customWidth="1"/>
    <col min="13579" max="13579" width="6.8984375" style="1551" customWidth="1"/>
    <col min="13580" max="13580" width="6.3984375" style="1551" customWidth="1"/>
    <col min="13581" max="13581" width="18.3984375" style="1551" customWidth="1"/>
    <col min="13582" max="13582" width="48.09765625" style="1551" customWidth="1"/>
    <col min="13583" max="13824" width="9" style="1551"/>
    <col min="13825" max="13825" width="5.19921875" style="1551" customWidth="1"/>
    <col min="13826" max="13826" width="30.8984375" style="1551" customWidth="1"/>
    <col min="13827" max="13827" width="6.3984375" style="1551" customWidth="1"/>
    <col min="13828" max="13828" width="6.5" style="1551" customWidth="1"/>
    <col min="13829" max="13829" width="6.09765625" style="1551" customWidth="1"/>
    <col min="13830" max="13830" width="6" style="1551" customWidth="1"/>
    <col min="13831" max="13832" width="7" style="1551" customWidth="1"/>
    <col min="13833" max="13833" width="8.69921875" style="1551" customWidth="1"/>
    <col min="13834" max="13834" width="6.5" style="1551" customWidth="1"/>
    <col min="13835" max="13835" width="6.8984375" style="1551" customWidth="1"/>
    <col min="13836" max="13836" width="6.3984375" style="1551" customWidth="1"/>
    <col min="13837" max="13837" width="18.3984375" style="1551" customWidth="1"/>
    <col min="13838" max="13838" width="48.09765625" style="1551" customWidth="1"/>
    <col min="13839" max="14080" width="9" style="1551"/>
    <col min="14081" max="14081" width="5.19921875" style="1551" customWidth="1"/>
    <col min="14082" max="14082" width="30.8984375" style="1551" customWidth="1"/>
    <col min="14083" max="14083" width="6.3984375" style="1551" customWidth="1"/>
    <col min="14084" max="14084" width="6.5" style="1551" customWidth="1"/>
    <col min="14085" max="14085" width="6.09765625" style="1551" customWidth="1"/>
    <col min="14086" max="14086" width="6" style="1551" customWidth="1"/>
    <col min="14087" max="14088" width="7" style="1551" customWidth="1"/>
    <col min="14089" max="14089" width="8.69921875" style="1551" customWidth="1"/>
    <col min="14090" max="14090" width="6.5" style="1551" customWidth="1"/>
    <col min="14091" max="14091" width="6.8984375" style="1551" customWidth="1"/>
    <col min="14092" max="14092" width="6.3984375" style="1551" customWidth="1"/>
    <col min="14093" max="14093" width="18.3984375" style="1551" customWidth="1"/>
    <col min="14094" max="14094" width="48.09765625" style="1551" customWidth="1"/>
    <col min="14095" max="14336" width="9" style="1551"/>
    <col min="14337" max="14337" width="5.19921875" style="1551" customWidth="1"/>
    <col min="14338" max="14338" width="30.8984375" style="1551" customWidth="1"/>
    <col min="14339" max="14339" width="6.3984375" style="1551" customWidth="1"/>
    <col min="14340" max="14340" width="6.5" style="1551" customWidth="1"/>
    <col min="14341" max="14341" width="6.09765625" style="1551" customWidth="1"/>
    <col min="14342" max="14342" width="6" style="1551" customWidth="1"/>
    <col min="14343" max="14344" width="7" style="1551" customWidth="1"/>
    <col min="14345" max="14345" width="8.69921875" style="1551" customWidth="1"/>
    <col min="14346" max="14346" width="6.5" style="1551" customWidth="1"/>
    <col min="14347" max="14347" width="6.8984375" style="1551" customWidth="1"/>
    <col min="14348" max="14348" width="6.3984375" style="1551" customWidth="1"/>
    <col min="14349" max="14349" width="18.3984375" style="1551" customWidth="1"/>
    <col min="14350" max="14350" width="48.09765625" style="1551" customWidth="1"/>
    <col min="14351" max="14592" width="9" style="1551"/>
    <col min="14593" max="14593" width="5.19921875" style="1551" customWidth="1"/>
    <col min="14594" max="14594" width="30.8984375" style="1551" customWidth="1"/>
    <col min="14595" max="14595" width="6.3984375" style="1551" customWidth="1"/>
    <col min="14596" max="14596" width="6.5" style="1551" customWidth="1"/>
    <col min="14597" max="14597" width="6.09765625" style="1551" customWidth="1"/>
    <col min="14598" max="14598" width="6" style="1551" customWidth="1"/>
    <col min="14599" max="14600" width="7" style="1551" customWidth="1"/>
    <col min="14601" max="14601" width="8.69921875" style="1551" customWidth="1"/>
    <col min="14602" max="14602" width="6.5" style="1551" customWidth="1"/>
    <col min="14603" max="14603" width="6.8984375" style="1551" customWidth="1"/>
    <col min="14604" max="14604" width="6.3984375" style="1551" customWidth="1"/>
    <col min="14605" max="14605" width="18.3984375" style="1551" customWidth="1"/>
    <col min="14606" max="14606" width="48.09765625" style="1551" customWidth="1"/>
    <col min="14607" max="14848" width="9" style="1551"/>
    <col min="14849" max="14849" width="5.19921875" style="1551" customWidth="1"/>
    <col min="14850" max="14850" width="30.8984375" style="1551" customWidth="1"/>
    <col min="14851" max="14851" width="6.3984375" style="1551" customWidth="1"/>
    <col min="14852" max="14852" width="6.5" style="1551" customWidth="1"/>
    <col min="14853" max="14853" width="6.09765625" style="1551" customWidth="1"/>
    <col min="14854" max="14854" width="6" style="1551" customWidth="1"/>
    <col min="14855" max="14856" width="7" style="1551" customWidth="1"/>
    <col min="14857" max="14857" width="8.69921875" style="1551" customWidth="1"/>
    <col min="14858" max="14858" width="6.5" style="1551" customWidth="1"/>
    <col min="14859" max="14859" width="6.8984375" style="1551" customWidth="1"/>
    <col min="14860" max="14860" width="6.3984375" style="1551" customWidth="1"/>
    <col min="14861" max="14861" width="18.3984375" style="1551" customWidth="1"/>
    <col min="14862" max="14862" width="48.09765625" style="1551" customWidth="1"/>
    <col min="14863" max="15104" width="9" style="1551"/>
    <col min="15105" max="15105" width="5.19921875" style="1551" customWidth="1"/>
    <col min="15106" max="15106" width="30.8984375" style="1551" customWidth="1"/>
    <col min="15107" max="15107" width="6.3984375" style="1551" customWidth="1"/>
    <col min="15108" max="15108" width="6.5" style="1551" customWidth="1"/>
    <col min="15109" max="15109" width="6.09765625" style="1551" customWidth="1"/>
    <col min="15110" max="15110" width="6" style="1551" customWidth="1"/>
    <col min="15111" max="15112" width="7" style="1551" customWidth="1"/>
    <col min="15113" max="15113" width="8.69921875" style="1551" customWidth="1"/>
    <col min="15114" max="15114" width="6.5" style="1551" customWidth="1"/>
    <col min="15115" max="15115" width="6.8984375" style="1551" customWidth="1"/>
    <col min="15116" max="15116" width="6.3984375" style="1551" customWidth="1"/>
    <col min="15117" max="15117" width="18.3984375" style="1551" customWidth="1"/>
    <col min="15118" max="15118" width="48.09765625" style="1551" customWidth="1"/>
    <col min="15119" max="15360" width="9" style="1551"/>
    <col min="15361" max="15361" width="5.19921875" style="1551" customWidth="1"/>
    <col min="15362" max="15362" width="30.8984375" style="1551" customWidth="1"/>
    <col min="15363" max="15363" width="6.3984375" style="1551" customWidth="1"/>
    <col min="15364" max="15364" width="6.5" style="1551" customWidth="1"/>
    <col min="15365" max="15365" width="6.09765625" style="1551" customWidth="1"/>
    <col min="15366" max="15366" width="6" style="1551" customWidth="1"/>
    <col min="15367" max="15368" width="7" style="1551" customWidth="1"/>
    <col min="15369" max="15369" width="8.69921875" style="1551" customWidth="1"/>
    <col min="15370" max="15370" width="6.5" style="1551" customWidth="1"/>
    <col min="15371" max="15371" width="6.8984375" style="1551" customWidth="1"/>
    <col min="15372" max="15372" width="6.3984375" style="1551" customWidth="1"/>
    <col min="15373" max="15373" width="18.3984375" style="1551" customWidth="1"/>
    <col min="15374" max="15374" width="48.09765625" style="1551" customWidth="1"/>
    <col min="15375" max="15616" width="9" style="1551"/>
    <col min="15617" max="15617" width="5.19921875" style="1551" customWidth="1"/>
    <col min="15618" max="15618" width="30.8984375" style="1551" customWidth="1"/>
    <col min="15619" max="15619" width="6.3984375" style="1551" customWidth="1"/>
    <col min="15620" max="15620" width="6.5" style="1551" customWidth="1"/>
    <col min="15621" max="15621" width="6.09765625" style="1551" customWidth="1"/>
    <col min="15622" max="15622" width="6" style="1551" customWidth="1"/>
    <col min="15623" max="15624" width="7" style="1551" customWidth="1"/>
    <col min="15625" max="15625" width="8.69921875" style="1551" customWidth="1"/>
    <col min="15626" max="15626" width="6.5" style="1551" customWidth="1"/>
    <col min="15627" max="15627" width="6.8984375" style="1551" customWidth="1"/>
    <col min="15628" max="15628" width="6.3984375" style="1551" customWidth="1"/>
    <col min="15629" max="15629" width="18.3984375" style="1551" customWidth="1"/>
    <col min="15630" max="15630" width="48.09765625" style="1551" customWidth="1"/>
    <col min="15631" max="15872" width="9" style="1551"/>
    <col min="15873" max="15873" width="5.19921875" style="1551" customWidth="1"/>
    <col min="15874" max="15874" width="30.8984375" style="1551" customWidth="1"/>
    <col min="15875" max="15875" width="6.3984375" style="1551" customWidth="1"/>
    <col min="15876" max="15876" width="6.5" style="1551" customWidth="1"/>
    <col min="15877" max="15877" width="6.09765625" style="1551" customWidth="1"/>
    <col min="15878" max="15878" width="6" style="1551" customWidth="1"/>
    <col min="15879" max="15880" width="7" style="1551" customWidth="1"/>
    <col min="15881" max="15881" width="8.69921875" style="1551" customWidth="1"/>
    <col min="15882" max="15882" width="6.5" style="1551" customWidth="1"/>
    <col min="15883" max="15883" width="6.8984375" style="1551" customWidth="1"/>
    <col min="15884" max="15884" width="6.3984375" style="1551" customWidth="1"/>
    <col min="15885" max="15885" width="18.3984375" style="1551" customWidth="1"/>
    <col min="15886" max="15886" width="48.09765625" style="1551" customWidth="1"/>
    <col min="15887" max="16128" width="9" style="1551"/>
    <col min="16129" max="16129" width="5.19921875" style="1551" customWidth="1"/>
    <col min="16130" max="16130" width="30.8984375" style="1551" customWidth="1"/>
    <col min="16131" max="16131" width="6.3984375" style="1551" customWidth="1"/>
    <col min="16132" max="16132" width="6.5" style="1551" customWidth="1"/>
    <col min="16133" max="16133" width="6.09765625" style="1551" customWidth="1"/>
    <col min="16134" max="16134" width="6" style="1551" customWidth="1"/>
    <col min="16135" max="16136" width="7" style="1551" customWidth="1"/>
    <col min="16137" max="16137" width="8.69921875" style="1551" customWidth="1"/>
    <col min="16138" max="16138" width="6.5" style="1551" customWidth="1"/>
    <col min="16139" max="16139" width="6.8984375" style="1551" customWidth="1"/>
    <col min="16140" max="16140" width="6.3984375" style="1551" customWidth="1"/>
    <col min="16141" max="16141" width="18.3984375" style="1551" customWidth="1"/>
    <col min="16142" max="16142" width="48.09765625" style="1551" customWidth="1"/>
    <col min="16143" max="16384" width="9" style="1551"/>
  </cols>
  <sheetData>
    <row r="1" spans="1:14" ht="20.100000000000001" customHeight="1">
      <c r="A1" s="3440" t="s">
        <v>5309</v>
      </c>
      <c r="B1" s="3440"/>
      <c r="C1" s="3440"/>
      <c r="D1" s="3440"/>
      <c r="E1" s="3440"/>
      <c r="F1" s="3440"/>
      <c r="G1" s="3440"/>
      <c r="H1" s="3440"/>
      <c r="I1" s="3440"/>
      <c r="J1" s="3440"/>
      <c r="K1" s="3440"/>
      <c r="L1" s="3440"/>
      <c r="M1" s="1805"/>
    </row>
    <row r="2" spans="1:14" s="1563" customFormat="1" ht="25.5" customHeight="1">
      <c r="A2" s="3379" t="s">
        <v>5310</v>
      </c>
      <c r="B2" s="3379"/>
      <c r="C2" s="3379"/>
      <c r="D2" s="3379"/>
      <c r="E2" s="3379"/>
      <c r="F2" s="3379"/>
      <c r="G2" s="3379"/>
      <c r="H2" s="3379"/>
      <c r="I2" s="3379"/>
      <c r="J2" s="3379"/>
      <c r="K2" s="3379"/>
      <c r="L2" s="3379"/>
      <c r="M2" s="1847"/>
    </row>
    <row r="3" spans="1:14" s="1552" customFormat="1" ht="12.75" customHeight="1">
      <c r="A3" s="3380" t="s">
        <v>1854</v>
      </c>
      <c r="B3" s="3380" t="s">
        <v>5311</v>
      </c>
      <c r="C3" s="3377" t="s">
        <v>1851</v>
      </c>
      <c r="D3" s="3377"/>
      <c r="E3" s="3377"/>
      <c r="F3" s="3377" t="s">
        <v>1852</v>
      </c>
      <c r="G3" s="3377"/>
      <c r="H3" s="3377"/>
      <c r="I3" s="3377"/>
      <c r="J3" s="3377"/>
      <c r="K3" s="3385" t="s">
        <v>5312</v>
      </c>
      <c r="L3" s="3385"/>
      <c r="M3" s="3377" t="s">
        <v>1864</v>
      </c>
    </row>
    <row r="4" spans="1:14" s="1552" customFormat="1" ht="90.75" customHeight="1">
      <c r="A4" s="3381"/>
      <c r="B4" s="3381"/>
      <c r="C4" s="1845" t="s">
        <v>5313</v>
      </c>
      <c r="D4" s="1845" t="s">
        <v>5314</v>
      </c>
      <c r="E4" s="2189" t="s">
        <v>5315</v>
      </c>
      <c r="F4" s="1845" t="s">
        <v>5316</v>
      </c>
      <c r="G4" s="1845" t="s">
        <v>5317</v>
      </c>
      <c r="H4" s="1845" t="s">
        <v>5318</v>
      </c>
      <c r="I4" s="2284" t="s">
        <v>5319</v>
      </c>
      <c r="J4" s="1845" t="s">
        <v>5315</v>
      </c>
      <c r="K4" s="1845" t="s">
        <v>2354</v>
      </c>
      <c r="L4" s="1845" t="s">
        <v>1309</v>
      </c>
      <c r="M4" s="3921"/>
    </row>
    <row r="5" spans="1:14" s="1552" customFormat="1" ht="12.75" customHeight="1">
      <c r="A5" s="3382"/>
      <c r="B5" s="3382"/>
      <c r="C5" s="1842">
        <v>1</v>
      </c>
      <c r="D5" s="1842">
        <v>2</v>
      </c>
      <c r="E5" s="1842">
        <v>3</v>
      </c>
      <c r="F5" s="1842">
        <v>4</v>
      </c>
      <c r="G5" s="1842">
        <v>5</v>
      </c>
      <c r="H5" s="1842">
        <v>6</v>
      </c>
      <c r="I5" s="1842">
        <v>7</v>
      </c>
      <c r="J5" s="1842">
        <v>8</v>
      </c>
      <c r="K5" s="1842" t="s">
        <v>5320</v>
      </c>
      <c r="L5" s="1842">
        <v>10</v>
      </c>
      <c r="M5" s="3921"/>
    </row>
    <row r="6" spans="1:14" s="1552" customFormat="1" ht="48" customHeight="1">
      <c r="A6" s="1842">
        <v>1</v>
      </c>
      <c r="B6" s="1811" t="s">
        <v>5321</v>
      </c>
      <c r="C6" s="2077">
        <f>SUM(C7:C11)</f>
        <v>0</v>
      </c>
      <c r="D6" s="2077">
        <f t="shared" ref="D6:K6" si="0">SUM(D7:D11)</f>
        <v>0</v>
      </c>
      <c r="E6" s="2077">
        <f t="shared" si="0"/>
        <v>0</v>
      </c>
      <c r="F6" s="2077">
        <f t="shared" si="0"/>
        <v>0</v>
      </c>
      <c r="G6" s="2077">
        <f t="shared" ca="1" si="0"/>
        <v>0</v>
      </c>
      <c r="H6" s="2077">
        <f t="shared" si="0"/>
        <v>0</v>
      </c>
      <c r="I6" s="2467"/>
      <c r="J6" s="2077">
        <f t="shared" si="0"/>
        <v>0</v>
      </c>
      <c r="K6" s="2077">
        <f t="shared" ca="1" si="0"/>
        <v>0</v>
      </c>
      <c r="L6" s="2029"/>
      <c r="M6" s="1812" t="s">
        <v>5322</v>
      </c>
      <c r="N6" s="1556"/>
    </row>
    <row r="7" spans="1:14" s="1552" customFormat="1" ht="25.5" customHeight="1">
      <c r="A7" s="1842">
        <v>2</v>
      </c>
      <c r="B7" s="1811" t="s">
        <v>5323</v>
      </c>
      <c r="C7" s="2074">
        <f>固资折旧!F8</f>
        <v>0</v>
      </c>
      <c r="D7" s="2074">
        <f>固资折旧!D18</f>
        <v>0</v>
      </c>
      <c r="E7" s="2074">
        <f>固资折旧!F18</f>
        <v>0</v>
      </c>
      <c r="F7" s="2074">
        <f>固资折旧!G8</f>
        <v>0</v>
      </c>
      <c r="G7" s="2232">
        <f ca="1">固资折旧!G18-固资折旧!A18</f>
        <v>0</v>
      </c>
      <c r="H7" s="2074">
        <f>固资折旧!A18</f>
        <v>0</v>
      </c>
      <c r="I7" s="2467"/>
      <c r="J7" s="2074">
        <f>固资折旧!A8</f>
        <v>0</v>
      </c>
      <c r="K7" s="2077">
        <f ca="1">D7-G7-H7</f>
        <v>0</v>
      </c>
      <c r="L7" s="2029"/>
      <c r="M7" s="1812" t="s">
        <v>5324</v>
      </c>
    </row>
    <row r="8" spans="1:14" s="1552" customFormat="1" ht="25.5" customHeight="1">
      <c r="A8" s="1843">
        <v>3</v>
      </c>
      <c r="B8" s="1815" t="s">
        <v>5325</v>
      </c>
      <c r="C8" s="2191">
        <f>固资折旧!F9</f>
        <v>0</v>
      </c>
      <c r="D8" s="2075">
        <f>固资折旧!D19</f>
        <v>0</v>
      </c>
      <c r="E8" s="2075">
        <f>固资折旧!F19</f>
        <v>0</v>
      </c>
      <c r="F8" s="2074">
        <f>固资折旧!G9</f>
        <v>0</v>
      </c>
      <c r="G8" s="2232">
        <f ca="1">固资折旧!G19-固资折旧!A19</f>
        <v>0</v>
      </c>
      <c r="H8" s="2074">
        <f>固资折旧!A19</f>
        <v>0</v>
      </c>
      <c r="I8" s="2084"/>
      <c r="J8" s="2074">
        <f>固资折旧!A9</f>
        <v>0</v>
      </c>
      <c r="K8" s="2077">
        <f t="shared" ref="K8:K11" ca="1" si="1">D8-G8-H8</f>
        <v>0</v>
      </c>
      <c r="L8" s="2030"/>
      <c r="M8" s="1812" t="s">
        <v>5326</v>
      </c>
    </row>
    <row r="9" spans="1:14" s="1552" customFormat="1" ht="29.25" customHeight="1">
      <c r="A9" s="1842">
        <v>4</v>
      </c>
      <c r="B9" s="1812" t="s">
        <v>5327</v>
      </c>
      <c r="C9" s="2191">
        <f>固资折旧!F10</f>
        <v>0</v>
      </c>
      <c r="D9" s="2074">
        <f>固资折旧!D20</f>
        <v>0</v>
      </c>
      <c r="E9" s="2074">
        <f>固资折旧!F20</f>
        <v>0</v>
      </c>
      <c r="F9" s="2074">
        <f>固资折旧!G10</f>
        <v>0</v>
      </c>
      <c r="G9" s="2232">
        <f ca="1">固资折旧!G20-固资折旧!A20</f>
        <v>0</v>
      </c>
      <c r="H9" s="2074">
        <f>固资折旧!A20</f>
        <v>0</v>
      </c>
      <c r="I9" s="2467"/>
      <c r="J9" s="2074">
        <f>固资折旧!A10</f>
        <v>0</v>
      </c>
      <c r="K9" s="2077">
        <f t="shared" ca="1" si="1"/>
        <v>0</v>
      </c>
      <c r="L9" s="2029"/>
      <c r="M9" s="1812" t="s">
        <v>5328</v>
      </c>
    </row>
    <row r="10" spans="1:14" s="1552" customFormat="1" ht="24">
      <c r="A10" s="1842">
        <v>5</v>
      </c>
      <c r="B10" s="1812" t="s">
        <v>5329</v>
      </c>
      <c r="C10" s="2191">
        <f>固资折旧!F11</f>
        <v>0</v>
      </c>
      <c r="D10" s="2074">
        <f>固资折旧!D21</f>
        <v>0</v>
      </c>
      <c r="E10" s="2074">
        <f>固资折旧!F21</f>
        <v>0</v>
      </c>
      <c r="F10" s="2074">
        <f>固资折旧!G11</f>
        <v>0</v>
      </c>
      <c r="G10" s="2232">
        <f ca="1">固资折旧!G21-固资折旧!A21</f>
        <v>0</v>
      </c>
      <c r="H10" s="2074">
        <f>固资折旧!A21</f>
        <v>0</v>
      </c>
      <c r="I10" s="2467"/>
      <c r="J10" s="2074">
        <f>固资折旧!A11</f>
        <v>0</v>
      </c>
      <c r="K10" s="2077">
        <f t="shared" ca="1" si="1"/>
        <v>0</v>
      </c>
      <c r="L10" s="2029"/>
      <c r="M10" s="1812" t="s">
        <v>5330</v>
      </c>
    </row>
    <row r="11" spans="1:14" s="1552" customFormat="1" ht="16.5" customHeight="1">
      <c r="A11" s="1842">
        <v>6</v>
      </c>
      <c r="B11" s="1811" t="s">
        <v>5331</v>
      </c>
      <c r="C11" s="2191">
        <f>固资折旧!F12</f>
        <v>0</v>
      </c>
      <c r="D11" s="2074">
        <f>固资折旧!D22</f>
        <v>0</v>
      </c>
      <c r="E11" s="2074">
        <f>固资折旧!F22</f>
        <v>0</v>
      </c>
      <c r="F11" s="2074">
        <f>固资折旧!G12</f>
        <v>0</v>
      </c>
      <c r="G11" s="2190">
        <f ca="1">固资折旧!G22-固资折旧!A22</f>
        <v>0</v>
      </c>
      <c r="H11" s="2074">
        <f>固资折旧!A22</f>
        <v>0</v>
      </c>
      <c r="I11" s="2467"/>
      <c r="J11" s="2074">
        <f>固资折旧!A12</f>
        <v>0</v>
      </c>
      <c r="K11" s="2077">
        <f t="shared" ca="1" si="1"/>
        <v>0</v>
      </c>
      <c r="L11" s="2029"/>
      <c r="M11" s="1812" t="s">
        <v>5332</v>
      </c>
    </row>
    <row r="12" spans="1:14" s="1552" customFormat="1" ht="13.8">
      <c r="A12" s="1842">
        <v>7</v>
      </c>
      <c r="B12" s="1811" t="s">
        <v>267</v>
      </c>
      <c r="C12" s="2078"/>
      <c r="D12" s="2078"/>
      <c r="E12" s="2078"/>
      <c r="F12" s="2078"/>
      <c r="G12" s="2078"/>
      <c r="H12" s="2078"/>
      <c r="I12" s="2078"/>
      <c r="J12" s="2079"/>
      <c r="K12" s="2079"/>
      <c r="L12" s="2029"/>
      <c r="M12" s="1812"/>
    </row>
    <row r="13" spans="1:14" s="1552" customFormat="1" ht="12.75" customHeight="1">
      <c r="A13" s="1842">
        <v>8</v>
      </c>
      <c r="B13" s="1811" t="s">
        <v>5333</v>
      </c>
      <c r="C13" s="2077">
        <f>C14+C15</f>
        <v>0</v>
      </c>
      <c r="D13" s="2077">
        <f t="shared" ref="D13:K13" si="2">D14+D15</f>
        <v>0</v>
      </c>
      <c r="E13" s="2077">
        <f t="shared" si="2"/>
        <v>0</v>
      </c>
      <c r="F13" s="2077">
        <f t="shared" si="2"/>
        <v>0</v>
      </c>
      <c r="G13" s="2077">
        <f t="shared" si="2"/>
        <v>0</v>
      </c>
      <c r="H13" s="2077">
        <f t="shared" si="2"/>
        <v>0</v>
      </c>
      <c r="I13" s="1954" t="s">
        <v>510</v>
      </c>
      <c r="J13" s="2077">
        <f t="shared" si="2"/>
        <v>0</v>
      </c>
      <c r="K13" s="2077">
        <f t="shared" si="2"/>
        <v>0</v>
      </c>
      <c r="L13" s="2029"/>
      <c r="M13" s="1812"/>
      <c r="N13" s="1675" t="s">
        <v>562</v>
      </c>
    </row>
    <row r="14" spans="1:14" s="1552" customFormat="1" ht="12.75" customHeight="1">
      <c r="A14" s="1842">
        <v>9</v>
      </c>
      <c r="B14" s="1811" t="s">
        <v>5334</v>
      </c>
      <c r="C14" s="2074">
        <f>固资折旧!F14</f>
        <v>0</v>
      </c>
      <c r="D14" s="2074">
        <f>固资折旧!D24</f>
        <v>0</v>
      </c>
      <c r="E14" s="2074">
        <f>固资折旧!F24</f>
        <v>0</v>
      </c>
      <c r="F14" s="2074">
        <f>固资折旧!G14</f>
        <v>0</v>
      </c>
      <c r="G14" s="2074">
        <f>固资折旧!G24</f>
        <v>0</v>
      </c>
      <c r="H14" s="2074">
        <f>固资折旧!A24</f>
        <v>0</v>
      </c>
      <c r="I14" s="1954" t="s">
        <v>510</v>
      </c>
      <c r="J14" s="2074">
        <f>固资折旧!A14</f>
        <v>0</v>
      </c>
      <c r="K14" s="2077">
        <f t="shared" ref="K14:K15" si="3">D14-G14-H14</f>
        <v>0</v>
      </c>
      <c r="L14" s="2029"/>
      <c r="M14" s="1812"/>
    </row>
    <row r="15" spans="1:14" s="1552" customFormat="1" ht="12.75" customHeight="1">
      <c r="A15" s="1842">
        <v>10</v>
      </c>
      <c r="B15" s="1811" t="s">
        <v>5335</v>
      </c>
      <c r="C15" s="2074">
        <f>固资折旧!F15</f>
        <v>0</v>
      </c>
      <c r="D15" s="2074">
        <f>固资折旧!D25</f>
        <v>0</v>
      </c>
      <c r="E15" s="2074">
        <f>固资折旧!F25</f>
        <v>0</v>
      </c>
      <c r="F15" s="2074">
        <f>固资折旧!G15</f>
        <v>0</v>
      </c>
      <c r="G15" s="2074">
        <f>固资折旧!G25</f>
        <v>0</v>
      </c>
      <c r="H15" s="2074">
        <f>固资折旧!A25</f>
        <v>0</v>
      </c>
      <c r="I15" s="1954" t="s">
        <v>510</v>
      </c>
      <c r="J15" s="2074">
        <f>固资折旧!A15</f>
        <v>0</v>
      </c>
      <c r="K15" s="2077">
        <f t="shared" si="3"/>
        <v>0</v>
      </c>
      <c r="L15" s="2029"/>
      <c r="M15" s="1812"/>
      <c r="N15" s="1675" t="s">
        <v>6445</v>
      </c>
    </row>
    <row r="16" spans="1:14" s="1552" customFormat="1" ht="12.75" customHeight="1">
      <c r="A16" s="1842">
        <v>11</v>
      </c>
      <c r="B16" s="1811" t="s">
        <v>5336</v>
      </c>
      <c r="C16" s="2077">
        <f>SUM(C17:C23)</f>
        <v>0</v>
      </c>
      <c r="D16" s="2077">
        <f>SUM(D17:D23)</f>
        <v>0</v>
      </c>
      <c r="E16" s="2077">
        <f>SUM(E17:E23)</f>
        <v>0</v>
      </c>
      <c r="F16" s="2077">
        <f>SUM(F17:F23)</f>
        <v>0</v>
      </c>
      <c r="G16" s="2077">
        <f>SUM(G17:G23)</f>
        <v>0</v>
      </c>
      <c r="H16" s="1954" t="s">
        <v>510</v>
      </c>
      <c r="I16" s="1954" t="s">
        <v>510</v>
      </c>
      <c r="J16" s="2077">
        <f>SUM(J17:J23)</f>
        <v>0</v>
      </c>
      <c r="K16" s="2077">
        <f>SUM(K17:K23)</f>
        <v>0</v>
      </c>
      <c r="L16" s="2029"/>
      <c r="M16" s="1812"/>
    </row>
    <row r="17" spans="1:14" s="1552" customFormat="1" ht="12.75" customHeight="1">
      <c r="A17" s="1842">
        <v>12</v>
      </c>
      <c r="B17" s="1812" t="s">
        <v>5337</v>
      </c>
      <c r="C17" s="2074">
        <f>无形长摊!C18</f>
        <v>0</v>
      </c>
      <c r="D17" s="2074">
        <f>无形长摊!I18</f>
        <v>0</v>
      </c>
      <c r="E17" s="2074">
        <f>无形长摊!C18-无形长摊!K18</f>
        <v>0</v>
      </c>
      <c r="F17" s="2074">
        <f>无形长摊!E18</f>
        <v>0</v>
      </c>
      <c r="G17" s="2074">
        <f>无形长摊!M18</f>
        <v>0</v>
      </c>
      <c r="H17" s="1954" t="s">
        <v>510</v>
      </c>
      <c r="I17" s="1954" t="s">
        <v>510</v>
      </c>
      <c r="J17" s="2074">
        <f>无形长摊!N18</f>
        <v>0</v>
      </c>
      <c r="K17" s="2077">
        <f>D17-G17</f>
        <v>0</v>
      </c>
      <c r="L17" s="2029"/>
      <c r="M17" s="1812"/>
      <c r="N17" s="1675" t="s">
        <v>6444</v>
      </c>
    </row>
    <row r="18" spans="1:14" s="1552" customFormat="1" ht="12.75" customHeight="1">
      <c r="A18" s="1842">
        <v>13</v>
      </c>
      <c r="B18" s="1812" t="s">
        <v>5338</v>
      </c>
      <c r="C18" s="2074">
        <f>无形长摊!C19</f>
        <v>0</v>
      </c>
      <c r="D18" s="2074">
        <f>无形长摊!I19</f>
        <v>0</v>
      </c>
      <c r="E18" s="2074">
        <f>无形长摊!C19-无形长摊!K19</f>
        <v>0</v>
      </c>
      <c r="F18" s="2074">
        <f>无形长摊!E19</f>
        <v>0</v>
      </c>
      <c r="G18" s="2074">
        <f>无形长摊!M19</f>
        <v>0</v>
      </c>
      <c r="H18" s="1954" t="s">
        <v>510</v>
      </c>
      <c r="I18" s="1954" t="s">
        <v>510</v>
      </c>
      <c r="J18" s="2074">
        <f>无形长摊!N19</f>
        <v>0</v>
      </c>
      <c r="K18" s="2077">
        <f t="shared" ref="K18:K23" si="4">D18-G18</f>
        <v>0</v>
      </c>
      <c r="L18" s="2029"/>
      <c r="M18" s="1812"/>
    </row>
    <row r="19" spans="1:14" s="1552" customFormat="1" ht="12.75" customHeight="1">
      <c r="A19" s="1842">
        <v>14</v>
      </c>
      <c r="B19" s="1812" t="s">
        <v>5339</v>
      </c>
      <c r="C19" s="2074">
        <f>无形长摊!C20</f>
        <v>0</v>
      </c>
      <c r="D19" s="2074">
        <f>无形长摊!I20</f>
        <v>0</v>
      </c>
      <c r="E19" s="2074">
        <f>无形长摊!C20-无形长摊!K20</f>
        <v>0</v>
      </c>
      <c r="F19" s="2074">
        <f>无形长摊!E20</f>
        <v>0</v>
      </c>
      <c r="G19" s="2074">
        <f>无形长摊!M20</f>
        <v>0</v>
      </c>
      <c r="H19" s="1954" t="s">
        <v>510</v>
      </c>
      <c r="I19" s="1954" t="s">
        <v>510</v>
      </c>
      <c r="J19" s="2074">
        <f>无形长摊!N20</f>
        <v>0</v>
      </c>
      <c r="K19" s="2077">
        <f t="shared" si="4"/>
        <v>0</v>
      </c>
      <c r="L19" s="2029"/>
      <c r="M19" s="1812"/>
    </row>
    <row r="20" spans="1:14" s="1552" customFormat="1" ht="12.75" customHeight="1">
      <c r="A20" s="1842">
        <v>15</v>
      </c>
      <c r="B20" s="1812" t="s">
        <v>5340</v>
      </c>
      <c r="C20" s="2074">
        <f>无形长摊!C21</f>
        <v>0</v>
      </c>
      <c r="D20" s="2074">
        <f>无形长摊!I21</f>
        <v>0</v>
      </c>
      <c r="E20" s="2074">
        <f>无形长摊!C21-无形长摊!K21</f>
        <v>0</v>
      </c>
      <c r="F20" s="2074">
        <f>无形长摊!E21</f>
        <v>0</v>
      </c>
      <c r="G20" s="2074">
        <f>无形长摊!M21</f>
        <v>0</v>
      </c>
      <c r="H20" s="1954" t="s">
        <v>510</v>
      </c>
      <c r="I20" s="1954" t="s">
        <v>510</v>
      </c>
      <c r="J20" s="2074">
        <f>无形长摊!N21</f>
        <v>0</v>
      </c>
      <c r="K20" s="2077">
        <f t="shared" si="4"/>
        <v>0</v>
      </c>
      <c r="L20" s="2029"/>
      <c r="M20" s="1812"/>
    </row>
    <row r="21" spans="1:14" s="1552" customFormat="1" ht="12.75" customHeight="1">
      <c r="A21" s="1842">
        <v>16</v>
      </c>
      <c r="B21" s="1812" t="s">
        <v>5341</v>
      </c>
      <c r="C21" s="2074">
        <f>无形长摊!C22</f>
        <v>0</v>
      </c>
      <c r="D21" s="2074">
        <f>无形长摊!I22</f>
        <v>0</v>
      </c>
      <c r="E21" s="2074">
        <f>无形长摊!C22-无形长摊!K22</f>
        <v>0</v>
      </c>
      <c r="F21" s="2074">
        <f>无形长摊!E22</f>
        <v>0</v>
      </c>
      <c r="G21" s="2074">
        <f>无形长摊!M22</f>
        <v>0</v>
      </c>
      <c r="H21" s="1954" t="s">
        <v>510</v>
      </c>
      <c r="I21" s="1954" t="s">
        <v>510</v>
      </c>
      <c r="J21" s="2074">
        <f>无形长摊!N22</f>
        <v>0</v>
      </c>
      <c r="K21" s="2077">
        <f t="shared" si="4"/>
        <v>0</v>
      </c>
      <c r="L21" s="2029"/>
      <c r="M21" s="1812"/>
    </row>
    <row r="22" spans="1:14" s="1552" customFormat="1" ht="12.75" customHeight="1">
      <c r="A22" s="1842">
        <v>17</v>
      </c>
      <c r="B22" s="1812" t="s">
        <v>5342</v>
      </c>
      <c r="C22" s="2074">
        <f>无形长摊!C23</f>
        <v>0</v>
      </c>
      <c r="D22" s="2074">
        <f>无形长摊!I23</f>
        <v>0</v>
      </c>
      <c r="E22" s="2074">
        <f>无形长摊!C23-无形长摊!K23</f>
        <v>0</v>
      </c>
      <c r="F22" s="2074">
        <f>无形长摊!E23</f>
        <v>0</v>
      </c>
      <c r="G22" s="2074">
        <f>无形长摊!M23</f>
        <v>0</v>
      </c>
      <c r="H22" s="1954" t="s">
        <v>510</v>
      </c>
      <c r="I22" s="1954" t="s">
        <v>510</v>
      </c>
      <c r="J22" s="2074">
        <f>无形长摊!N23</f>
        <v>0</v>
      </c>
      <c r="K22" s="2077">
        <f t="shared" si="4"/>
        <v>0</v>
      </c>
      <c r="L22" s="2029"/>
      <c r="M22" s="1812"/>
    </row>
    <row r="23" spans="1:14" s="1552" customFormat="1" ht="12.75" customHeight="1">
      <c r="A23" s="1842">
        <v>18</v>
      </c>
      <c r="B23" s="1812" t="s">
        <v>5343</v>
      </c>
      <c r="C23" s="2074">
        <f>无形长摊!C24</f>
        <v>0</v>
      </c>
      <c r="D23" s="2074">
        <f>无形长摊!I24</f>
        <v>0</v>
      </c>
      <c r="E23" s="2074">
        <f>无形长摊!C24-无形长摊!K24</f>
        <v>0</v>
      </c>
      <c r="F23" s="2074">
        <f>无形长摊!E24</f>
        <v>0</v>
      </c>
      <c r="G23" s="2074">
        <f>无形长摊!M24</f>
        <v>0</v>
      </c>
      <c r="H23" s="1954" t="s">
        <v>510</v>
      </c>
      <c r="I23" s="1954" t="s">
        <v>510</v>
      </c>
      <c r="J23" s="2074">
        <f>无形长摊!N24</f>
        <v>0</v>
      </c>
      <c r="K23" s="2077">
        <f t="shared" si="4"/>
        <v>0</v>
      </c>
      <c r="L23" s="2029"/>
      <c r="M23" s="1812"/>
    </row>
    <row r="24" spans="1:14" s="1552" customFormat="1" ht="12.75" customHeight="1">
      <c r="A24" s="1842">
        <v>19</v>
      </c>
      <c r="B24" s="1811" t="s">
        <v>5344</v>
      </c>
      <c r="C24" s="2077">
        <f>SUM(C25:C29)</f>
        <v>0</v>
      </c>
      <c r="D24" s="2077">
        <f t="shared" ref="D24:G24" si="5">SUM(D25:D29)</f>
        <v>0</v>
      </c>
      <c r="E24" s="2077">
        <f t="shared" si="5"/>
        <v>0</v>
      </c>
      <c r="F24" s="2077">
        <f t="shared" si="5"/>
        <v>0</v>
      </c>
      <c r="G24" s="2077">
        <f t="shared" si="5"/>
        <v>0</v>
      </c>
      <c r="H24" s="1954" t="s">
        <v>510</v>
      </c>
      <c r="I24" s="1954" t="s">
        <v>510</v>
      </c>
      <c r="J24" s="2077">
        <f t="shared" ref="J24:K24" si="6">SUM(J25:J29)</f>
        <v>0</v>
      </c>
      <c r="K24" s="2077">
        <f t="shared" si="6"/>
        <v>0</v>
      </c>
      <c r="L24" s="2029"/>
      <c r="M24" s="1812"/>
    </row>
    <row r="25" spans="1:14" s="1552" customFormat="1" ht="25.5" customHeight="1">
      <c r="A25" s="1842">
        <v>20</v>
      </c>
      <c r="B25" s="1812" t="s">
        <v>5345</v>
      </c>
      <c r="C25" s="2074">
        <f>无形长摊!C8</f>
        <v>0</v>
      </c>
      <c r="D25" s="2074">
        <f>无形长摊!I8</f>
        <v>0</v>
      </c>
      <c r="E25" s="2190">
        <f>无形长摊!C8-无形长摊!K8</f>
        <v>0</v>
      </c>
      <c r="F25" s="2074">
        <f>无形长摊!E8</f>
        <v>0</v>
      </c>
      <c r="G25" s="2074">
        <f>无形长摊!M8</f>
        <v>0</v>
      </c>
      <c r="H25" s="1954" t="s">
        <v>510</v>
      </c>
      <c r="I25" s="1954" t="s">
        <v>510</v>
      </c>
      <c r="J25" s="2074">
        <f>无形长摊!N8</f>
        <v>0</v>
      </c>
      <c r="K25" s="2077">
        <f>D25-G25</f>
        <v>0</v>
      </c>
      <c r="L25" s="2029"/>
      <c r="M25" s="1812"/>
    </row>
    <row r="26" spans="1:14" s="1552" customFormat="1" ht="12.75" customHeight="1">
      <c r="A26" s="1842">
        <v>21</v>
      </c>
      <c r="B26" s="1812" t="s">
        <v>5346</v>
      </c>
      <c r="C26" s="2074">
        <f>无形长摊!C9</f>
        <v>0</v>
      </c>
      <c r="D26" s="2074">
        <f>无形长摊!I9</f>
        <v>0</v>
      </c>
      <c r="E26" s="2190">
        <f>无形长摊!C9-无形长摊!K9</f>
        <v>0</v>
      </c>
      <c r="F26" s="2074">
        <f>无形长摊!E9</f>
        <v>0</v>
      </c>
      <c r="G26" s="2074">
        <f>无形长摊!M9</f>
        <v>0</v>
      </c>
      <c r="H26" s="1954" t="s">
        <v>510</v>
      </c>
      <c r="I26" s="1954" t="s">
        <v>510</v>
      </c>
      <c r="J26" s="2074">
        <f>无形长摊!N9</f>
        <v>0</v>
      </c>
      <c r="K26" s="2077">
        <f t="shared" ref="K26:K31" si="7">D26-G26</f>
        <v>0</v>
      </c>
      <c r="L26" s="2029"/>
      <c r="M26" s="1812"/>
    </row>
    <row r="27" spans="1:14" s="1552" customFormat="1" ht="12.75" customHeight="1">
      <c r="A27" s="1842">
        <v>22</v>
      </c>
      <c r="B27" s="1812" t="s">
        <v>5347</v>
      </c>
      <c r="C27" s="2074">
        <f>无形长摊!C10</f>
        <v>0</v>
      </c>
      <c r="D27" s="2074">
        <f>无形长摊!I10</f>
        <v>0</v>
      </c>
      <c r="E27" s="2190">
        <f>无形长摊!C10-无形长摊!K10</f>
        <v>0</v>
      </c>
      <c r="F27" s="2074">
        <f>无形长摊!E10</f>
        <v>0</v>
      </c>
      <c r="G27" s="2074">
        <f>无形长摊!M10</f>
        <v>0</v>
      </c>
      <c r="H27" s="1954" t="s">
        <v>510</v>
      </c>
      <c r="I27" s="1954" t="s">
        <v>510</v>
      </c>
      <c r="J27" s="2074">
        <f>无形长摊!N10</f>
        <v>0</v>
      </c>
      <c r="K27" s="2077">
        <f t="shared" si="7"/>
        <v>0</v>
      </c>
      <c r="L27" s="2029"/>
      <c r="M27" s="1812"/>
    </row>
    <row r="28" spans="1:14" s="1552" customFormat="1" ht="12.75" customHeight="1">
      <c r="A28" s="1842">
        <v>23</v>
      </c>
      <c r="B28" s="1812" t="s">
        <v>5348</v>
      </c>
      <c r="C28" s="2074">
        <f>无形长摊!C11</f>
        <v>0</v>
      </c>
      <c r="D28" s="2074">
        <f>无形长摊!I11</f>
        <v>0</v>
      </c>
      <c r="E28" s="2190">
        <f>无形长摊!C11-无形长摊!K11</f>
        <v>0</v>
      </c>
      <c r="F28" s="2074">
        <f>无形长摊!E11</f>
        <v>0</v>
      </c>
      <c r="G28" s="2074">
        <f>无形长摊!M11</f>
        <v>0</v>
      </c>
      <c r="H28" s="1954" t="s">
        <v>510</v>
      </c>
      <c r="I28" s="1954" t="s">
        <v>510</v>
      </c>
      <c r="J28" s="2074">
        <f>无形长摊!N11</f>
        <v>0</v>
      </c>
      <c r="K28" s="2077">
        <f t="shared" si="7"/>
        <v>0</v>
      </c>
      <c r="L28" s="2029"/>
      <c r="M28" s="1812"/>
    </row>
    <row r="29" spans="1:14" s="1552" customFormat="1" ht="12.75" customHeight="1">
      <c r="A29" s="1842">
        <v>24</v>
      </c>
      <c r="B29" s="1812" t="s">
        <v>268</v>
      </c>
      <c r="C29" s="2074">
        <f>无形长摊!C12</f>
        <v>0</v>
      </c>
      <c r="D29" s="2074">
        <f>无形长摊!I12</f>
        <v>0</v>
      </c>
      <c r="E29" s="2190">
        <f>无形长摊!C12-无形长摊!K12</f>
        <v>0</v>
      </c>
      <c r="F29" s="2074">
        <f>无形长摊!E12</f>
        <v>0</v>
      </c>
      <c r="G29" s="2074">
        <f>无形长摊!M12</f>
        <v>0</v>
      </c>
      <c r="H29" s="1954" t="s">
        <v>510</v>
      </c>
      <c r="I29" s="1954" t="s">
        <v>510</v>
      </c>
      <c r="J29" s="2074">
        <f>无形长摊!N12</f>
        <v>0</v>
      </c>
      <c r="K29" s="2077">
        <f t="shared" si="7"/>
        <v>0</v>
      </c>
      <c r="L29" s="2029"/>
      <c r="M29" s="1812"/>
    </row>
    <row r="30" spans="1:14" s="1552" customFormat="1" ht="12.75" customHeight="1">
      <c r="A30" s="1842">
        <v>25</v>
      </c>
      <c r="B30" s="1811" t="s">
        <v>501</v>
      </c>
      <c r="C30" s="2074">
        <f>无形长摊!C26</f>
        <v>0</v>
      </c>
      <c r="D30" s="2074">
        <f>无形长摊!I26</f>
        <v>0</v>
      </c>
      <c r="E30" s="2190">
        <f>无形长摊!C26-无形长摊!K26</f>
        <v>0</v>
      </c>
      <c r="F30" s="2074">
        <f>无形长摊!E26</f>
        <v>0</v>
      </c>
      <c r="G30" s="2074">
        <f>无形长摊!M26</f>
        <v>0</v>
      </c>
      <c r="H30" s="1954" t="s">
        <v>510</v>
      </c>
      <c r="I30" s="1954" t="s">
        <v>510</v>
      </c>
      <c r="J30" s="2074">
        <f>无形长摊!N26</f>
        <v>0</v>
      </c>
      <c r="K30" s="2077">
        <f t="shared" si="7"/>
        <v>0</v>
      </c>
      <c r="L30" s="2029"/>
      <c r="M30" s="1812"/>
    </row>
    <row r="31" spans="1:14" s="1552" customFormat="1" ht="12.75" customHeight="1">
      <c r="A31" s="1842">
        <v>26</v>
      </c>
      <c r="B31" s="1811" t="s">
        <v>502</v>
      </c>
      <c r="C31" s="2074">
        <f>无形长摊!C27</f>
        <v>0</v>
      </c>
      <c r="D31" s="2074">
        <f>无形长摊!I27</f>
        <v>0</v>
      </c>
      <c r="E31" s="2190">
        <f>无形长摊!C27-无形长摊!K27</f>
        <v>0</v>
      </c>
      <c r="F31" s="2074">
        <f>无形长摊!E27</f>
        <v>0</v>
      </c>
      <c r="G31" s="2074">
        <f>无形长摊!M27</f>
        <v>0</v>
      </c>
      <c r="H31" s="1954" t="s">
        <v>510</v>
      </c>
      <c r="I31" s="1954" t="s">
        <v>510</v>
      </c>
      <c r="J31" s="2074">
        <f>无形长摊!N27</f>
        <v>0</v>
      </c>
      <c r="K31" s="2077">
        <f t="shared" si="7"/>
        <v>0</v>
      </c>
      <c r="L31" s="2029"/>
      <c r="M31" s="1812"/>
    </row>
    <row r="32" spans="1:14" s="1552" customFormat="1" ht="117.75" customHeight="1">
      <c r="A32" s="1842">
        <v>27</v>
      </c>
      <c r="B32" s="1811" t="s">
        <v>5349</v>
      </c>
      <c r="C32" s="2077">
        <f>C6+C13+C16+C24+C30+C31</f>
        <v>0</v>
      </c>
      <c r="D32" s="2077">
        <f>D6+D13+D16+D24+D30+D31</f>
        <v>0</v>
      </c>
      <c r="E32" s="2077">
        <f>E6+E13+E16+E24+E30+E31</f>
        <v>0</v>
      </c>
      <c r="F32" s="2077">
        <f>F6+F13+F16+F24+F30+F31</f>
        <v>0</v>
      </c>
      <c r="G32" s="2077">
        <f ca="1">G6+G13+G16+G24+G30+G31</f>
        <v>0</v>
      </c>
      <c r="H32" s="2077">
        <f>H6+H13</f>
        <v>0</v>
      </c>
      <c r="I32" s="2077">
        <f>I6+I1</f>
        <v>0</v>
      </c>
      <c r="J32" s="2077">
        <f>J6+J13+J16+J24+J30+J31</f>
        <v>0</v>
      </c>
      <c r="K32" s="2077">
        <f ca="1">K6+K13+K16+K24+K30+K31</f>
        <v>0</v>
      </c>
      <c r="L32" s="1954" t="s">
        <v>510</v>
      </c>
      <c r="M32" s="1812" t="s">
        <v>5350</v>
      </c>
    </row>
  </sheetData>
  <mergeCells count="8">
    <mergeCell ref="M3:M5"/>
    <mergeCell ref="A1:L1"/>
    <mergeCell ref="A2:L2"/>
    <mergeCell ref="A3:A5"/>
    <mergeCell ref="B3:B5"/>
    <mergeCell ref="C3:E3"/>
    <mergeCell ref="F3:J3"/>
    <mergeCell ref="K3:L3"/>
  </mergeCells>
  <phoneticPr fontId="51" type="noConversion"/>
  <hyperlinks>
    <hyperlink ref="N13" location="固资折旧!A1" display="固资折旧!A1"/>
    <hyperlink ref="N15" location="折旧测算!A1" display="折旧测算!A1"/>
    <hyperlink ref="N17" location="固定资产加速折旧审核表!A1" display="固定资产加速折旧审核表!A1"/>
  </hyperlinks>
  <printOptions horizontalCentered="1"/>
  <pageMargins left="0.78740157480314998" right="0.35433070866141703" top="0.511811023622047" bottom="0.11811023622047198" header="0.511811023622047" footer="0.511811023622047"/>
  <pageSetup paperSize="9" orientation="landscape" r:id="rId1"/>
  <headerFooter alignWithMargins="0"/>
</worksheet>
</file>

<file path=xl/worksheets/sheet13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32">
    <tabColor rgb="FFFFFF00"/>
  </sheetPr>
  <dimension ref="A1:V34"/>
  <sheetViews>
    <sheetView zoomScale="80" zoomScaleNormal="80" workbookViewId="0">
      <selection activeCell="D4" sqref="D4"/>
    </sheetView>
  </sheetViews>
  <sheetFormatPr defaultRowHeight="15.6"/>
  <cols>
    <col min="1" max="1" width="4.19921875" style="1532" customWidth="1"/>
    <col min="2" max="2" width="9.8984375" style="1532" customWidth="1"/>
    <col min="3" max="3" width="13.5" style="1532" customWidth="1"/>
    <col min="4" max="9" width="9.09765625" style="1532" customWidth="1"/>
    <col min="10" max="10" width="9.09765625" style="1537" customWidth="1"/>
    <col min="11" max="17" width="9.09765625" style="1532" customWidth="1"/>
    <col min="18" max="19" width="9.09765625" style="2002" customWidth="1"/>
    <col min="20" max="21" width="9.09765625" style="1532" customWidth="1"/>
    <col min="22" max="22" width="19.8984375" style="1532" customWidth="1"/>
    <col min="23" max="254" width="9" style="1532"/>
    <col min="255" max="255" width="4.19921875" style="1532" customWidth="1"/>
    <col min="256" max="256" width="29.5" style="1532" customWidth="1"/>
    <col min="257" max="271" width="4.5" style="1532" customWidth="1"/>
    <col min="272" max="272" width="3.8984375" style="1532" customWidth="1"/>
    <col min="273" max="273" width="4" style="1532" customWidth="1"/>
    <col min="274" max="274" width="4.3984375" style="1532" customWidth="1"/>
    <col min="275" max="275" width="4.5" style="1532" customWidth="1"/>
    <col min="276" max="276" width="3.8984375" style="1532" customWidth="1"/>
    <col min="277" max="277" width="16.09765625" style="1532" customWidth="1"/>
    <col min="278" max="278" width="19.8984375" style="1532" customWidth="1"/>
    <col min="279" max="510" width="9" style="1532"/>
    <col min="511" max="511" width="4.19921875" style="1532" customWidth="1"/>
    <col min="512" max="512" width="29.5" style="1532" customWidth="1"/>
    <col min="513" max="527" width="4.5" style="1532" customWidth="1"/>
    <col min="528" max="528" width="3.8984375" style="1532" customWidth="1"/>
    <col min="529" max="529" width="4" style="1532" customWidth="1"/>
    <col min="530" max="530" width="4.3984375" style="1532" customWidth="1"/>
    <col min="531" max="531" width="4.5" style="1532" customWidth="1"/>
    <col min="532" max="532" width="3.8984375" style="1532" customWidth="1"/>
    <col min="533" max="533" width="16.09765625" style="1532" customWidth="1"/>
    <col min="534" max="534" width="19.8984375" style="1532" customWidth="1"/>
    <col min="535" max="766" width="9" style="1532"/>
    <col min="767" max="767" width="4.19921875" style="1532" customWidth="1"/>
    <col min="768" max="768" width="29.5" style="1532" customWidth="1"/>
    <col min="769" max="783" width="4.5" style="1532" customWidth="1"/>
    <col min="784" max="784" width="3.8984375" style="1532" customWidth="1"/>
    <col min="785" max="785" width="4" style="1532" customWidth="1"/>
    <col min="786" max="786" width="4.3984375" style="1532" customWidth="1"/>
    <col min="787" max="787" width="4.5" style="1532" customWidth="1"/>
    <col min="788" max="788" width="3.8984375" style="1532" customWidth="1"/>
    <col min="789" max="789" width="16.09765625" style="1532" customWidth="1"/>
    <col min="790" max="790" width="19.8984375" style="1532" customWidth="1"/>
    <col min="791" max="1022" width="9" style="1532"/>
    <col min="1023" max="1023" width="4.19921875" style="1532" customWidth="1"/>
    <col min="1024" max="1024" width="29.5" style="1532" customWidth="1"/>
    <col min="1025" max="1039" width="4.5" style="1532" customWidth="1"/>
    <col min="1040" max="1040" width="3.8984375" style="1532" customWidth="1"/>
    <col min="1041" max="1041" width="4" style="1532" customWidth="1"/>
    <col min="1042" max="1042" width="4.3984375" style="1532" customWidth="1"/>
    <col min="1043" max="1043" width="4.5" style="1532" customWidth="1"/>
    <col min="1044" max="1044" width="3.8984375" style="1532" customWidth="1"/>
    <col min="1045" max="1045" width="16.09765625" style="1532" customWidth="1"/>
    <col min="1046" max="1046" width="19.8984375" style="1532" customWidth="1"/>
    <col min="1047" max="1278" width="9" style="1532"/>
    <col min="1279" max="1279" width="4.19921875" style="1532" customWidth="1"/>
    <col min="1280" max="1280" width="29.5" style="1532" customWidth="1"/>
    <col min="1281" max="1295" width="4.5" style="1532" customWidth="1"/>
    <col min="1296" max="1296" width="3.8984375" style="1532" customWidth="1"/>
    <col min="1297" max="1297" width="4" style="1532" customWidth="1"/>
    <col min="1298" max="1298" width="4.3984375" style="1532" customWidth="1"/>
    <col min="1299" max="1299" width="4.5" style="1532" customWidth="1"/>
    <col min="1300" max="1300" width="3.8984375" style="1532" customWidth="1"/>
    <col min="1301" max="1301" width="16.09765625" style="1532" customWidth="1"/>
    <col min="1302" max="1302" width="19.8984375" style="1532" customWidth="1"/>
    <col min="1303" max="1534" width="9" style="1532"/>
    <col min="1535" max="1535" width="4.19921875" style="1532" customWidth="1"/>
    <col min="1536" max="1536" width="29.5" style="1532" customWidth="1"/>
    <col min="1537" max="1551" width="4.5" style="1532" customWidth="1"/>
    <col min="1552" max="1552" width="3.8984375" style="1532" customWidth="1"/>
    <col min="1553" max="1553" width="4" style="1532" customWidth="1"/>
    <col min="1554" max="1554" width="4.3984375" style="1532" customWidth="1"/>
    <col min="1555" max="1555" width="4.5" style="1532" customWidth="1"/>
    <col min="1556" max="1556" width="3.8984375" style="1532" customWidth="1"/>
    <col min="1557" max="1557" width="16.09765625" style="1532" customWidth="1"/>
    <col min="1558" max="1558" width="19.8984375" style="1532" customWidth="1"/>
    <col min="1559" max="1790" width="9" style="1532"/>
    <col min="1791" max="1791" width="4.19921875" style="1532" customWidth="1"/>
    <col min="1792" max="1792" width="29.5" style="1532" customWidth="1"/>
    <col min="1793" max="1807" width="4.5" style="1532" customWidth="1"/>
    <col min="1808" max="1808" width="3.8984375" style="1532" customWidth="1"/>
    <col min="1809" max="1809" width="4" style="1532" customWidth="1"/>
    <col min="1810" max="1810" width="4.3984375" style="1532" customWidth="1"/>
    <col min="1811" max="1811" width="4.5" style="1532" customWidth="1"/>
    <col min="1812" max="1812" width="3.8984375" style="1532" customWidth="1"/>
    <col min="1813" max="1813" width="16.09765625" style="1532" customWidth="1"/>
    <col min="1814" max="1814" width="19.8984375" style="1532" customWidth="1"/>
    <col min="1815" max="2046" width="9" style="1532"/>
    <col min="2047" max="2047" width="4.19921875" style="1532" customWidth="1"/>
    <col min="2048" max="2048" width="29.5" style="1532" customWidth="1"/>
    <col min="2049" max="2063" width="4.5" style="1532" customWidth="1"/>
    <col min="2064" max="2064" width="3.8984375" style="1532" customWidth="1"/>
    <col min="2065" max="2065" width="4" style="1532" customWidth="1"/>
    <col min="2066" max="2066" width="4.3984375" style="1532" customWidth="1"/>
    <col min="2067" max="2067" width="4.5" style="1532" customWidth="1"/>
    <col min="2068" max="2068" width="3.8984375" style="1532" customWidth="1"/>
    <col min="2069" max="2069" width="16.09765625" style="1532" customWidth="1"/>
    <col min="2070" max="2070" width="19.8984375" style="1532" customWidth="1"/>
    <col min="2071" max="2302" width="9" style="1532"/>
    <col min="2303" max="2303" width="4.19921875" style="1532" customWidth="1"/>
    <col min="2304" max="2304" width="29.5" style="1532" customWidth="1"/>
    <col min="2305" max="2319" width="4.5" style="1532" customWidth="1"/>
    <col min="2320" max="2320" width="3.8984375" style="1532" customWidth="1"/>
    <col min="2321" max="2321" width="4" style="1532" customWidth="1"/>
    <col min="2322" max="2322" width="4.3984375" style="1532" customWidth="1"/>
    <col min="2323" max="2323" width="4.5" style="1532" customWidth="1"/>
    <col min="2324" max="2324" width="3.8984375" style="1532" customWidth="1"/>
    <col min="2325" max="2325" width="16.09765625" style="1532" customWidth="1"/>
    <col min="2326" max="2326" width="19.8984375" style="1532" customWidth="1"/>
    <col min="2327" max="2558" width="9" style="1532"/>
    <col min="2559" max="2559" width="4.19921875" style="1532" customWidth="1"/>
    <col min="2560" max="2560" width="29.5" style="1532" customWidth="1"/>
    <col min="2561" max="2575" width="4.5" style="1532" customWidth="1"/>
    <col min="2576" max="2576" width="3.8984375" style="1532" customWidth="1"/>
    <col min="2577" max="2577" width="4" style="1532" customWidth="1"/>
    <col min="2578" max="2578" width="4.3984375" style="1532" customWidth="1"/>
    <col min="2579" max="2579" width="4.5" style="1532" customWidth="1"/>
    <col min="2580" max="2580" width="3.8984375" style="1532" customWidth="1"/>
    <col min="2581" max="2581" width="16.09765625" style="1532" customWidth="1"/>
    <col min="2582" max="2582" width="19.8984375" style="1532" customWidth="1"/>
    <col min="2583" max="2814" width="9" style="1532"/>
    <col min="2815" max="2815" width="4.19921875" style="1532" customWidth="1"/>
    <col min="2816" max="2816" width="29.5" style="1532" customWidth="1"/>
    <col min="2817" max="2831" width="4.5" style="1532" customWidth="1"/>
    <col min="2832" max="2832" width="3.8984375" style="1532" customWidth="1"/>
    <col min="2833" max="2833" width="4" style="1532" customWidth="1"/>
    <col min="2834" max="2834" width="4.3984375" style="1532" customWidth="1"/>
    <col min="2835" max="2835" width="4.5" style="1532" customWidth="1"/>
    <col min="2836" max="2836" width="3.8984375" style="1532" customWidth="1"/>
    <col min="2837" max="2837" width="16.09765625" style="1532" customWidth="1"/>
    <col min="2838" max="2838" width="19.8984375" style="1532" customWidth="1"/>
    <col min="2839" max="3070" width="9" style="1532"/>
    <col min="3071" max="3071" width="4.19921875" style="1532" customWidth="1"/>
    <col min="3072" max="3072" width="29.5" style="1532" customWidth="1"/>
    <col min="3073" max="3087" width="4.5" style="1532" customWidth="1"/>
    <col min="3088" max="3088" width="3.8984375" style="1532" customWidth="1"/>
    <col min="3089" max="3089" width="4" style="1532" customWidth="1"/>
    <col min="3090" max="3090" width="4.3984375" style="1532" customWidth="1"/>
    <col min="3091" max="3091" width="4.5" style="1532" customWidth="1"/>
    <col min="3092" max="3092" width="3.8984375" style="1532" customWidth="1"/>
    <col min="3093" max="3093" width="16.09765625" style="1532" customWidth="1"/>
    <col min="3094" max="3094" width="19.8984375" style="1532" customWidth="1"/>
    <col min="3095" max="3326" width="9" style="1532"/>
    <col min="3327" max="3327" width="4.19921875" style="1532" customWidth="1"/>
    <col min="3328" max="3328" width="29.5" style="1532" customWidth="1"/>
    <col min="3329" max="3343" width="4.5" style="1532" customWidth="1"/>
    <col min="3344" max="3344" width="3.8984375" style="1532" customWidth="1"/>
    <col min="3345" max="3345" width="4" style="1532" customWidth="1"/>
    <col min="3346" max="3346" width="4.3984375" style="1532" customWidth="1"/>
    <col min="3347" max="3347" width="4.5" style="1532" customWidth="1"/>
    <col min="3348" max="3348" width="3.8984375" style="1532" customWidth="1"/>
    <col min="3349" max="3349" width="16.09765625" style="1532" customWidth="1"/>
    <col min="3350" max="3350" width="19.8984375" style="1532" customWidth="1"/>
    <col min="3351" max="3582" width="9" style="1532"/>
    <col min="3583" max="3583" width="4.19921875" style="1532" customWidth="1"/>
    <col min="3584" max="3584" width="29.5" style="1532" customWidth="1"/>
    <col min="3585" max="3599" width="4.5" style="1532" customWidth="1"/>
    <col min="3600" max="3600" width="3.8984375" style="1532" customWidth="1"/>
    <col min="3601" max="3601" width="4" style="1532" customWidth="1"/>
    <col min="3602" max="3602" width="4.3984375" style="1532" customWidth="1"/>
    <col min="3603" max="3603" width="4.5" style="1532" customWidth="1"/>
    <col min="3604" max="3604" width="3.8984375" style="1532" customWidth="1"/>
    <col min="3605" max="3605" width="16.09765625" style="1532" customWidth="1"/>
    <col min="3606" max="3606" width="19.8984375" style="1532" customWidth="1"/>
    <col min="3607" max="3838" width="9" style="1532"/>
    <col min="3839" max="3839" width="4.19921875" style="1532" customWidth="1"/>
    <col min="3840" max="3840" width="29.5" style="1532" customWidth="1"/>
    <col min="3841" max="3855" width="4.5" style="1532" customWidth="1"/>
    <col min="3856" max="3856" width="3.8984375" style="1532" customWidth="1"/>
    <col min="3857" max="3857" width="4" style="1532" customWidth="1"/>
    <col min="3858" max="3858" width="4.3984375" style="1532" customWidth="1"/>
    <col min="3859" max="3859" width="4.5" style="1532" customWidth="1"/>
    <col min="3860" max="3860" width="3.8984375" style="1532" customWidth="1"/>
    <col min="3861" max="3861" width="16.09765625" style="1532" customWidth="1"/>
    <col min="3862" max="3862" width="19.8984375" style="1532" customWidth="1"/>
    <col min="3863" max="4094" width="9" style="1532"/>
    <col min="4095" max="4095" width="4.19921875" style="1532" customWidth="1"/>
    <col min="4096" max="4096" width="29.5" style="1532" customWidth="1"/>
    <col min="4097" max="4111" width="4.5" style="1532" customWidth="1"/>
    <col min="4112" max="4112" width="3.8984375" style="1532" customWidth="1"/>
    <col min="4113" max="4113" width="4" style="1532" customWidth="1"/>
    <col min="4114" max="4114" width="4.3984375" style="1532" customWidth="1"/>
    <col min="4115" max="4115" width="4.5" style="1532" customWidth="1"/>
    <col min="4116" max="4116" width="3.8984375" style="1532" customWidth="1"/>
    <col min="4117" max="4117" width="16.09765625" style="1532" customWidth="1"/>
    <col min="4118" max="4118" width="19.8984375" style="1532" customWidth="1"/>
    <col min="4119" max="4350" width="9" style="1532"/>
    <col min="4351" max="4351" width="4.19921875" style="1532" customWidth="1"/>
    <col min="4352" max="4352" width="29.5" style="1532" customWidth="1"/>
    <col min="4353" max="4367" width="4.5" style="1532" customWidth="1"/>
    <col min="4368" max="4368" width="3.8984375" style="1532" customWidth="1"/>
    <col min="4369" max="4369" width="4" style="1532" customWidth="1"/>
    <col min="4370" max="4370" width="4.3984375" style="1532" customWidth="1"/>
    <col min="4371" max="4371" width="4.5" style="1532" customWidth="1"/>
    <col min="4372" max="4372" width="3.8984375" style="1532" customWidth="1"/>
    <col min="4373" max="4373" width="16.09765625" style="1532" customWidth="1"/>
    <col min="4374" max="4374" width="19.8984375" style="1532" customWidth="1"/>
    <col min="4375" max="4606" width="9" style="1532"/>
    <col min="4607" max="4607" width="4.19921875" style="1532" customWidth="1"/>
    <col min="4608" max="4608" width="29.5" style="1532" customWidth="1"/>
    <col min="4609" max="4623" width="4.5" style="1532" customWidth="1"/>
    <col min="4624" max="4624" width="3.8984375" style="1532" customWidth="1"/>
    <col min="4625" max="4625" width="4" style="1532" customWidth="1"/>
    <col min="4626" max="4626" width="4.3984375" style="1532" customWidth="1"/>
    <col min="4627" max="4627" width="4.5" style="1532" customWidth="1"/>
    <col min="4628" max="4628" width="3.8984375" style="1532" customWidth="1"/>
    <col min="4629" max="4629" width="16.09765625" style="1532" customWidth="1"/>
    <col min="4630" max="4630" width="19.8984375" style="1532" customWidth="1"/>
    <col min="4631" max="4862" width="9" style="1532"/>
    <col min="4863" max="4863" width="4.19921875" style="1532" customWidth="1"/>
    <col min="4864" max="4864" width="29.5" style="1532" customWidth="1"/>
    <col min="4865" max="4879" width="4.5" style="1532" customWidth="1"/>
    <col min="4880" max="4880" width="3.8984375" style="1532" customWidth="1"/>
    <col min="4881" max="4881" width="4" style="1532" customWidth="1"/>
    <col min="4882" max="4882" width="4.3984375" style="1532" customWidth="1"/>
    <col min="4883" max="4883" width="4.5" style="1532" customWidth="1"/>
    <col min="4884" max="4884" width="3.8984375" style="1532" customWidth="1"/>
    <col min="4885" max="4885" width="16.09765625" style="1532" customWidth="1"/>
    <col min="4886" max="4886" width="19.8984375" style="1532" customWidth="1"/>
    <col min="4887" max="5118" width="9" style="1532"/>
    <col min="5119" max="5119" width="4.19921875" style="1532" customWidth="1"/>
    <col min="5120" max="5120" width="29.5" style="1532" customWidth="1"/>
    <col min="5121" max="5135" width="4.5" style="1532" customWidth="1"/>
    <col min="5136" max="5136" width="3.8984375" style="1532" customWidth="1"/>
    <col min="5137" max="5137" width="4" style="1532" customWidth="1"/>
    <col min="5138" max="5138" width="4.3984375" style="1532" customWidth="1"/>
    <col min="5139" max="5139" width="4.5" style="1532" customWidth="1"/>
    <col min="5140" max="5140" width="3.8984375" style="1532" customWidth="1"/>
    <col min="5141" max="5141" width="16.09765625" style="1532" customWidth="1"/>
    <col min="5142" max="5142" width="19.8984375" style="1532" customWidth="1"/>
    <col min="5143" max="5374" width="9" style="1532"/>
    <col min="5375" max="5375" width="4.19921875" style="1532" customWidth="1"/>
    <col min="5376" max="5376" width="29.5" style="1532" customWidth="1"/>
    <col min="5377" max="5391" width="4.5" style="1532" customWidth="1"/>
    <col min="5392" max="5392" width="3.8984375" style="1532" customWidth="1"/>
    <col min="5393" max="5393" width="4" style="1532" customWidth="1"/>
    <col min="5394" max="5394" width="4.3984375" style="1532" customWidth="1"/>
    <col min="5395" max="5395" width="4.5" style="1532" customWidth="1"/>
    <col min="5396" max="5396" width="3.8984375" style="1532" customWidth="1"/>
    <col min="5397" max="5397" width="16.09765625" style="1532" customWidth="1"/>
    <col min="5398" max="5398" width="19.8984375" style="1532" customWidth="1"/>
    <col min="5399" max="5630" width="9" style="1532"/>
    <col min="5631" max="5631" width="4.19921875" style="1532" customWidth="1"/>
    <col min="5632" max="5632" width="29.5" style="1532" customWidth="1"/>
    <col min="5633" max="5647" width="4.5" style="1532" customWidth="1"/>
    <col min="5648" max="5648" width="3.8984375" style="1532" customWidth="1"/>
    <col min="5649" max="5649" width="4" style="1532" customWidth="1"/>
    <col min="5650" max="5650" width="4.3984375" style="1532" customWidth="1"/>
    <col min="5651" max="5651" width="4.5" style="1532" customWidth="1"/>
    <col min="5652" max="5652" width="3.8984375" style="1532" customWidth="1"/>
    <col min="5653" max="5653" width="16.09765625" style="1532" customWidth="1"/>
    <col min="5654" max="5654" width="19.8984375" style="1532" customWidth="1"/>
    <col min="5655" max="5886" width="9" style="1532"/>
    <col min="5887" max="5887" width="4.19921875" style="1532" customWidth="1"/>
    <col min="5888" max="5888" width="29.5" style="1532" customWidth="1"/>
    <col min="5889" max="5903" width="4.5" style="1532" customWidth="1"/>
    <col min="5904" max="5904" width="3.8984375" style="1532" customWidth="1"/>
    <col min="5905" max="5905" width="4" style="1532" customWidth="1"/>
    <col min="5906" max="5906" width="4.3984375" style="1532" customWidth="1"/>
    <col min="5907" max="5907" width="4.5" style="1532" customWidth="1"/>
    <col min="5908" max="5908" width="3.8984375" style="1532" customWidth="1"/>
    <col min="5909" max="5909" width="16.09765625" style="1532" customWidth="1"/>
    <col min="5910" max="5910" width="19.8984375" style="1532" customWidth="1"/>
    <col min="5911" max="6142" width="9" style="1532"/>
    <col min="6143" max="6143" width="4.19921875" style="1532" customWidth="1"/>
    <col min="6144" max="6144" width="29.5" style="1532" customWidth="1"/>
    <col min="6145" max="6159" width="4.5" style="1532" customWidth="1"/>
    <col min="6160" max="6160" width="3.8984375" style="1532" customWidth="1"/>
    <col min="6161" max="6161" width="4" style="1532" customWidth="1"/>
    <col min="6162" max="6162" width="4.3984375" style="1532" customWidth="1"/>
    <col min="6163" max="6163" width="4.5" style="1532" customWidth="1"/>
    <col min="6164" max="6164" width="3.8984375" style="1532" customWidth="1"/>
    <col min="6165" max="6165" width="16.09765625" style="1532" customWidth="1"/>
    <col min="6166" max="6166" width="19.8984375" style="1532" customWidth="1"/>
    <col min="6167" max="6398" width="9" style="1532"/>
    <col min="6399" max="6399" width="4.19921875" style="1532" customWidth="1"/>
    <col min="6400" max="6400" width="29.5" style="1532" customWidth="1"/>
    <col min="6401" max="6415" width="4.5" style="1532" customWidth="1"/>
    <col min="6416" max="6416" width="3.8984375" style="1532" customWidth="1"/>
    <col min="6417" max="6417" width="4" style="1532" customWidth="1"/>
    <col min="6418" max="6418" width="4.3984375" style="1532" customWidth="1"/>
    <col min="6419" max="6419" width="4.5" style="1532" customWidth="1"/>
    <col min="6420" max="6420" width="3.8984375" style="1532" customWidth="1"/>
    <col min="6421" max="6421" width="16.09765625" style="1532" customWidth="1"/>
    <col min="6422" max="6422" width="19.8984375" style="1532" customWidth="1"/>
    <col min="6423" max="6654" width="9" style="1532"/>
    <col min="6655" max="6655" width="4.19921875" style="1532" customWidth="1"/>
    <col min="6656" max="6656" width="29.5" style="1532" customWidth="1"/>
    <col min="6657" max="6671" width="4.5" style="1532" customWidth="1"/>
    <col min="6672" max="6672" width="3.8984375" style="1532" customWidth="1"/>
    <col min="6673" max="6673" width="4" style="1532" customWidth="1"/>
    <col min="6674" max="6674" width="4.3984375" style="1532" customWidth="1"/>
    <col min="6675" max="6675" width="4.5" style="1532" customWidth="1"/>
    <col min="6676" max="6676" width="3.8984375" style="1532" customWidth="1"/>
    <col min="6677" max="6677" width="16.09765625" style="1532" customWidth="1"/>
    <col min="6678" max="6678" width="19.8984375" style="1532" customWidth="1"/>
    <col min="6679" max="6910" width="9" style="1532"/>
    <col min="6911" max="6911" width="4.19921875" style="1532" customWidth="1"/>
    <col min="6912" max="6912" width="29.5" style="1532" customWidth="1"/>
    <col min="6913" max="6927" width="4.5" style="1532" customWidth="1"/>
    <col min="6928" max="6928" width="3.8984375" style="1532" customWidth="1"/>
    <col min="6929" max="6929" width="4" style="1532" customWidth="1"/>
    <col min="6930" max="6930" width="4.3984375" style="1532" customWidth="1"/>
    <col min="6931" max="6931" width="4.5" style="1532" customWidth="1"/>
    <col min="6932" max="6932" width="3.8984375" style="1532" customWidth="1"/>
    <col min="6933" max="6933" width="16.09765625" style="1532" customWidth="1"/>
    <col min="6934" max="6934" width="19.8984375" style="1532" customWidth="1"/>
    <col min="6935" max="7166" width="9" style="1532"/>
    <col min="7167" max="7167" width="4.19921875" style="1532" customWidth="1"/>
    <col min="7168" max="7168" width="29.5" style="1532" customWidth="1"/>
    <col min="7169" max="7183" width="4.5" style="1532" customWidth="1"/>
    <col min="7184" max="7184" width="3.8984375" style="1532" customWidth="1"/>
    <col min="7185" max="7185" width="4" style="1532" customWidth="1"/>
    <col min="7186" max="7186" width="4.3984375" style="1532" customWidth="1"/>
    <col min="7187" max="7187" width="4.5" style="1532" customWidth="1"/>
    <col min="7188" max="7188" width="3.8984375" style="1532" customWidth="1"/>
    <col min="7189" max="7189" width="16.09765625" style="1532" customWidth="1"/>
    <col min="7190" max="7190" width="19.8984375" style="1532" customWidth="1"/>
    <col min="7191" max="7422" width="9" style="1532"/>
    <col min="7423" max="7423" width="4.19921875" style="1532" customWidth="1"/>
    <col min="7424" max="7424" width="29.5" style="1532" customWidth="1"/>
    <col min="7425" max="7439" width="4.5" style="1532" customWidth="1"/>
    <col min="7440" max="7440" width="3.8984375" style="1532" customWidth="1"/>
    <col min="7441" max="7441" width="4" style="1532" customWidth="1"/>
    <col min="7442" max="7442" width="4.3984375" style="1532" customWidth="1"/>
    <col min="7443" max="7443" width="4.5" style="1532" customWidth="1"/>
    <col min="7444" max="7444" width="3.8984375" style="1532" customWidth="1"/>
    <col min="7445" max="7445" width="16.09765625" style="1532" customWidth="1"/>
    <col min="7446" max="7446" width="19.8984375" style="1532" customWidth="1"/>
    <col min="7447" max="7678" width="9" style="1532"/>
    <col min="7679" max="7679" width="4.19921875" style="1532" customWidth="1"/>
    <col min="7680" max="7680" width="29.5" style="1532" customWidth="1"/>
    <col min="7681" max="7695" width="4.5" style="1532" customWidth="1"/>
    <col min="7696" max="7696" width="3.8984375" style="1532" customWidth="1"/>
    <col min="7697" max="7697" width="4" style="1532" customWidth="1"/>
    <col min="7698" max="7698" width="4.3984375" style="1532" customWidth="1"/>
    <col min="7699" max="7699" width="4.5" style="1532" customWidth="1"/>
    <col min="7700" max="7700" width="3.8984375" style="1532" customWidth="1"/>
    <col min="7701" max="7701" width="16.09765625" style="1532" customWidth="1"/>
    <col min="7702" max="7702" width="19.8984375" style="1532" customWidth="1"/>
    <col min="7703" max="7934" width="9" style="1532"/>
    <col min="7935" max="7935" width="4.19921875" style="1532" customWidth="1"/>
    <col min="7936" max="7936" width="29.5" style="1532" customWidth="1"/>
    <col min="7937" max="7951" width="4.5" style="1532" customWidth="1"/>
    <col min="7952" max="7952" width="3.8984375" style="1532" customWidth="1"/>
    <col min="7953" max="7953" width="4" style="1532" customWidth="1"/>
    <col min="7954" max="7954" width="4.3984375" style="1532" customWidth="1"/>
    <col min="7955" max="7955" width="4.5" style="1532" customWidth="1"/>
    <col min="7956" max="7956" width="3.8984375" style="1532" customWidth="1"/>
    <col min="7957" max="7957" width="16.09765625" style="1532" customWidth="1"/>
    <col min="7958" max="7958" width="19.8984375" style="1532" customWidth="1"/>
    <col min="7959" max="8190" width="9" style="1532"/>
    <col min="8191" max="8191" width="4.19921875" style="1532" customWidth="1"/>
    <col min="8192" max="8192" width="29.5" style="1532" customWidth="1"/>
    <col min="8193" max="8207" width="4.5" style="1532" customWidth="1"/>
    <col min="8208" max="8208" width="3.8984375" style="1532" customWidth="1"/>
    <col min="8209" max="8209" width="4" style="1532" customWidth="1"/>
    <col min="8210" max="8210" width="4.3984375" style="1532" customWidth="1"/>
    <col min="8211" max="8211" width="4.5" style="1532" customWidth="1"/>
    <col min="8212" max="8212" width="3.8984375" style="1532" customWidth="1"/>
    <col min="8213" max="8213" width="16.09765625" style="1532" customWidth="1"/>
    <col min="8214" max="8214" width="19.8984375" style="1532" customWidth="1"/>
    <col min="8215" max="8446" width="9" style="1532"/>
    <col min="8447" max="8447" width="4.19921875" style="1532" customWidth="1"/>
    <col min="8448" max="8448" width="29.5" style="1532" customWidth="1"/>
    <col min="8449" max="8463" width="4.5" style="1532" customWidth="1"/>
    <col min="8464" max="8464" width="3.8984375" style="1532" customWidth="1"/>
    <col min="8465" max="8465" width="4" style="1532" customWidth="1"/>
    <col min="8466" max="8466" width="4.3984375" style="1532" customWidth="1"/>
    <col min="8467" max="8467" width="4.5" style="1532" customWidth="1"/>
    <col min="8468" max="8468" width="3.8984375" style="1532" customWidth="1"/>
    <col min="8469" max="8469" width="16.09765625" style="1532" customWidth="1"/>
    <col min="8470" max="8470" width="19.8984375" style="1532" customWidth="1"/>
    <col min="8471" max="8702" width="9" style="1532"/>
    <col min="8703" max="8703" width="4.19921875" style="1532" customWidth="1"/>
    <col min="8704" max="8704" width="29.5" style="1532" customWidth="1"/>
    <col min="8705" max="8719" width="4.5" style="1532" customWidth="1"/>
    <col min="8720" max="8720" width="3.8984375" style="1532" customWidth="1"/>
    <col min="8721" max="8721" width="4" style="1532" customWidth="1"/>
    <col min="8722" max="8722" width="4.3984375" style="1532" customWidth="1"/>
    <col min="8723" max="8723" width="4.5" style="1532" customWidth="1"/>
    <col min="8724" max="8724" width="3.8984375" style="1532" customWidth="1"/>
    <col min="8725" max="8725" width="16.09765625" style="1532" customWidth="1"/>
    <col min="8726" max="8726" width="19.8984375" style="1532" customWidth="1"/>
    <col min="8727" max="8958" width="9" style="1532"/>
    <col min="8959" max="8959" width="4.19921875" style="1532" customWidth="1"/>
    <col min="8960" max="8960" width="29.5" style="1532" customWidth="1"/>
    <col min="8961" max="8975" width="4.5" style="1532" customWidth="1"/>
    <col min="8976" max="8976" width="3.8984375" style="1532" customWidth="1"/>
    <col min="8977" max="8977" width="4" style="1532" customWidth="1"/>
    <col min="8978" max="8978" width="4.3984375" style="1532" customWidth="1"/>
    <col min="8979" max="8979" width="4.5" style="1532" customWidth="1"/>
    <col min="8980" max="8980" width="3.8984375" style="1532" customWidth="1"/>
    <col min="8981" max="8981" width="16.09765625" style="1532" customWidth="1"/>
    <col min="8982" max="8982" width="19.8984375" style="1532" customWidth="1"/>
    <col min="8983" max="9214" width="9" style="1532"/>
    <col min="9215" max="9215" width="4.19921875" style="1532" customWidth="1"/>
    <col min="9216" max="9216" width="29.5" style="1532" customWidth="1"/>
    <col min="9217" max="9231" width="4.5" style="1532" customWidth="1"/>
    <col min="9232" max="9232" width="3.8984375" style="1532" customWidth="1"/>
    <col min="9233" max="9233" width="4" style="1532" customWidth="1"/>
    <col min="9234" max="9234" width="4.3984375" style="1532" customWidth="1"/>
    <col min="9235" max="9235" width="4.5" style="1532" customWidth="1"/>
    <col min="9236" max="9236" width="3.8984375" style="1532" customWidth="1"/>
    <col min="9237" max="9237" width="16.09765625" style="1532" customWidth="1"/>
    <col min="9238" max="9238" width="19.8984375" style="1532" customWidth="1"/>
    <col min="9239" max="9470" width="9" style="1532"/>
    <col min="9471" max="9471" width="4.19921875" style="1532" customWidth="1"/>
    <col min="9472" max="9472" width="29.5" style="1532" customWidth="1"/>
    <col min="9473" max="9487" width="4.5" style="1532" customWidth="1"/>
    <col min="9488" max="9488" width="3.8984375" style="1532" customWidth="1"/>
    <col min="9489" max="9489" width="4" style="1532" customWidth="1"/>
    <col min="9490" max="9490" width="4.3984375" style="1532" customWidth="1"/>
    <col min="9491" max="9491" width="4.5" style="1532" customWidth="1"/>
    <col min="9492" max="9492" width="3.8984375" style="1532" customWidth="1"/>
    <col min="9493" max="9493" width="16.09765625" style="1532" customWidth="1"/>
    <col min="9494" max="9494" width="19.8984375" style="1532" customWidth="1"/>
    <col min="9495" max="9726" width="9" style="1532"/>
    <col min="9727" max="9727" width="4.19921875" style="1532" customWidth="1"/>
    <col min="9728" max="9728" width="29.5" style="1532" customWidth="1"/>
    <col min="9729" max="9743" width="4.5" style="1532" customWidth="1"/>
    <col min="9744" max="9744" width="3.8984375" style="1532" customWidth="1"/>
    <col min="9745" max="9745" width="4" style="1532" customWidth="1"/>
    <col min="9746" max="9746" width="4.3984375" style="1532" customWidth="1"/>
    <col min="9747" max="9747" width="4.5" style="1532" customWidth="1"/>
    <col min="9748" max="9748" width="3.8984375" style="1532" customWidth="1"/>
    <col min="9749" max="9749" width="16.09765625" style="1532" customWidth="1"/>
    <col min="9750" max="9750" width="19.8984375" style="1532" customWidth="1"/>
    <col min="9751" max="9982" width="9" style="1532"/>
    <col min="9983" max="9983" width="4.19921875" style="1532" customWidth="1"/>
    <col min="9984" max="9984" width="29.5" style="1532" customWidth="1"/>
    <col min="9985" max="9999" width="4.5" style="1532" customWidth="1"/>
    <col min="10000" max="10000" width="3.8984375" style="1532" customWidth="1"/>
    <col min="10001" max="10001" width="4" style="1532" customWidth="1"/>
    <col min="10002" max="10002" width="4.3984375" style="1532" customWidth="1"/>
    <col min="10003" max="10003" width="4.5" style="1532" customWidth="1"/>
    <col min="10004" max="10004" width="3.8984375" style="1532" customWidth="1"/>
    <col min="10005" max="10005" width="16.09765625" style="1532" customWidth="1"/>
    <col min="10006" max="10006" width="19.8984375" style="1532" customWidth="1"/>
    <col min="10007" max="10238" width="9" style="1532"/>
    <col min="10239" max="10239" width="4.19921875" style="1532" customWidth="1"/>
    <col min="10240" max="10240" width="29.5" style="1532" customWidth="1"/>
    <col min="10241" max="10255" width="4.5" style="1532" customWidth="1"/>
    <col min="10256" max="10256" width="3.8984375" style="1532" customWidth="1"/>
    <col min="10257" max="10257" width="4" style="1532" customWidth="1"/>
    <col min="10258" max="10258" width="4.3984375" style="1532" customWidth="1"/>
    <col min="10259" max="10259" width="4.5" style="1532" customWidth="1"/>
    <col min="10260" max="10260" width="3.8984375" style="1532" customWidth="1"/>
    <col min="10261" max="10261" width="16.09765625" style="1532" customWidth="1"/>
    <col min="10262" max="10262" width="19.8984375" style="1532" customWidth="1"/>
    <col min="10263" max="10494" width="9" style="1532"/>
    <col min="10495" max="10495" width="4.19921875" style="1532" customWidth="1"/>
    <col min="10496" max="10496" width="29.5" style="1532" customWidth="1"/>
    <col min="10497" max="10511" width="4.5" style="1532" customWidth="1"/>
    <col min="10512" max="10512" width="3.8984375" style="1532" customWidth="1"/>
    <col min="10513" max="10513" width="4" style="1532" customWidth="1"/>
    <col min="10514" max="10514" width="4.3984375" style="1532" customWidth="1"/>
    <col min="10515" max="10515" width="4.5" style="1532" customWidth="1"/>
    <col min="10516" max="10516" width="3.8984375" style="1532" customWidth="1"/>
    <col min="10517" max="10517" width="16.09765625" style="1532" customWidth="1"/>
    <col min="10518" max="10518" width="19.8984375" style="1532" customWidth="1"/>
    <col min="10519" max="10750" width="9" style="1532"/>
    <col min="10751" max="10751" width="4.19921875" style="1532" customWidth="1"/>
    <col min="10752" max="10752" width="29.5" style="1532" customWidth="1"/>
    <col min="10753" max="10767" width="4.5" style="1532" customWidth="1"/>
    <col min="10768" max="10768" width="3.8984375" style="1532" customWidth="1"/>
    <col min="10769" max="10769" width="4" style="1532" customWidth="1"/>
    <col min="10770" max="10770" width="4.3984375" style="1532" customWidth="1"/>
    <col min="10771" max="10771" width="4.5" style="1532" customWidth="1"/>
    <col min="10772" max="10772" width="3.8984375" style="1532" customWidth="1"/>
    <col min="10773" max="10773" width="16.09765625" style="1532" customWidth="1"/>
    <col min="10774" max="10774" width="19.8984375" style="1532" customWidth="1"/>
    <col min="10775" max="11006" width="9" style="1532"/>
    <col min="11007" max="11007" width="4.19921875" style="1532" customWidth="1"/>
    <col min="11008" max="11008" width="29.5" style="1532" customWidth="1"/>
    <col min="11009" max="11023" width="4.5" style="1532" customWidth="1"/>
    <col min="11024" max="11024" width="3.8984375" style="1532" customWidth="1"/>
    <col min="11025" max="11025" width="4" style="1532" customWidth="1"/>
    <col min="11026" max="11026" width="4.3984375" style="1532" customWidth="1"/>
    <col min="11027" max="11027" width="4.5" style="1532" customWidth="1"/>
    <col min="11028" max="11028" width="3.8984375" style="1532" customWidth="1"/>
    <col min="11029" max="11029" width="16.09765625" style="1532" customWidth="1"/>
    <col min="11030" max="11030" width="19.8984375" style="1532" customWidth="1"/>
    <col min="11031" max="11262" width="9" style="1532"/>
    <col min="11263" max="11263" width="4.19921875" style="1532" customWidth="1"/>
    <col min="11264" max="11264" width="29.5" style="1532" customWidth="1"/>
    <col min="11265" max="11279" width="4.5" style="1532" customWidth="1"/>
    <col min="11280" max="11280" width="3.8984375" style="1532" customWidth="1"/>
    <col min="11281" max="11281" width="4" style="1532" customWidth="1"/>
    <col min="11282" max="11282" width="4.3984375" style="1532" customWidth="1"/>
    <col min="11283" max="11283" width="4.5" style="1532" customWidth="1"/>
    <col min="11284" max="11284" width="3.8984375" style="1532" customWidth="1"/>
    <col min="11285" max="11285" width="16.09765625" style="1532" customWidth="1"/>
    <col min="11286" max="11286" width="19.8984375" style="1532" customWidth="1"/>
    <col min="11287" max="11518" width="9" style="1532"/>
    <col min="11519" max="11519" width="4.19921875" style="1532" customWidth="1"/>
    <col min="11520" max="11520" width="29.5" style="1532" customWidth="1"/>
    <col min="11521" max="11535" width="4.5" style="1532" customWidth="1"/>
    <col min="11536" max="11536" width="3.8984375" style="1532" customWidth="1"/>
    <col min="11537" max="11537" width="4" style="1532" customWidth="1"/>
    <col min="11538" max="11538" width="4.3984375" style="1532" customWidth="1"/>
    <col min="11539" max="11539" width="4.5" style="1532" customWidth="1"/>
    <col min="11540" max="11540" width="3.8984375" style="1532" customWidth="1"/>
    <col min="11541" max="11541" width="16.09765625" style="1532" customWidth="1"/>
    <col min="11542" max="11542" width="19.8984375" style="1532" customWidth="1"/>
    <col min="11543" max="11774" width="9" style="1532"/>
    <col min="11775" max="11775" width="4.19921875" style="1532" customWidth="1"/>
    <col min="11776" max="11776" width="29.5" style="1532" customWidth="1"/>
    <col min="11777" max="11791" width="4.5" style="1532" customWidth="1"/>
    <col min="11792" max="11792" width="3.8984375" style="1532" customWidth="1"/>
    <col min="11793" max="11793" width="4" style="1532" customWidth="1"/>
    <col min="11794" max="11794" width="4.3984375" style="1532" customWidth="1"/>
    <col min="11795" max="11795" width="4.5" style="1532" customWidth="1"/>
    <col min="11796" max="11796" width="3.8984375" style="1532" customWidth="1"/>
    <col min="11797" max="11797" width="16.09765625" style="1532" customWidth="1"/>
    <col min="11798" max="11798" width="19.8984375" style="1532" customWidth="1"/>
    <col min="11799" max="12030" width="9" style="1532"/>
    <col min="12031" max="12031" width="4.19921875" style="1532" customWidth="1"/>
    <col min="12032" max="12032" width="29.5" style="1532" customWidth="1"/>
    <col min="12033" max="12047" width="4.5" style="1532" customWidth="1"/>
    <col min="12048" max="12048" width="3.8984375" style="1532" customWidth="1"/>
    <col min="12049" max="12049" width="4" style="1532" customWidth="1"/>
    <col min="12050" max="12050" width="4.3984375" style="1532" customWidth="1"/>
    <col min="12051" max="12051" width="4.5" style="1532" customWidth="1"/>
    <col min="12052" max="12052" width="3.8984375" style="1532" customWidth="1"/>
    <col min="12053" max="12053" width="16.09765625" style="1532" customWidth="1"/>
    <col min="12054" max="12054" width="19.8984375" style="1532" customWidth="1"/>
    <col min="12055" max="12286" width="9" style="1532"/>
    <col min="12287" max="12287" width="4.19921875" style="1532" customWidth="1"/>
    <col min="12288" max="12288" width="29.5" style="1532" customWidth="1"/>
    <col min="12289" max="12303" width="4.5" style="1532" customWidth="1"/>
    <col min="12304" max="12304" width="3.8984375" style="1532" customWidth="1"/>
    <col min="12305" max="12305" width="4" style="1532" customWidth="1"/>
    <col min="12306" max="12306" width="4.3984375" style="1532" customWidth="1"/>
    <col min="12307" max="12307" width="4.5" style="1532" customWidth="1"/>
    <col min="12308" max="12308" width="3.8984375" style="1532" customWidth="1"/>
    <col min="12309" max="12309" width="16.09765625" style="1532" customWidth="1"/>
    <col min="12310" max="12310" width="19.8984375" style="1532" customWidth="1"/>
    <col min="12311" max="12542" width="9" style="1532"/>
    <col min="12543" max="12543" width="4.19921875" style="1532" customWidth="1"/>
    <col min="12544" max="12544" width="29.5" style="1532" customWidth="1"/>
    <col min="12545" max="12559" width="4.5" style="1532" customWidth="1"/>
    <col min="12560" max="12560" width="3.8984375" style="1532" customWidth="1"/>
    <col min="12561" max="12561" width="4" style="1532" customWidth="1"/>
    <col min="12562" max="12562" width="4.3984375" style="1532" customWidth="1"/>
    <col min="12563" max="12563" width="4.5" style="1532" customWidth="1"/>
    <col min="12564" max="12564" width="3.8984375" style="1532" customWidth="1"/>
    <col min="12565" max="12565" width="16.09765625" style="1532" customWidth="1"/>
    <col min="12566" max="12566" width="19.8984375" style="1532" customWidth="1"/>
    <col min="12567" max="12798" width="9" style="1532"/>
    <col min="12799" max="12799" width="4.19921875" style="1532" customWidth="1"/>
    <col min="12800" max="12800" width="29.5" style="1532" customWidth="1"/>
    <col min="12801" max="12815" width="4.5" style="1532" customWidth="1"/>
    <col min="12816" max="12816" width="3.8984375" style="1532" customWidth="1"/>
    <col min="12817" max="12817" width="4" style="1532" customWidth="1"/>
    <col min="12818" max="12818" width="4.3984375" style="1532" customWidth="1"/>
    <col min="12819" max="12819" width="4.5" style="1532" customWidth="1"/>
    <col min="12820" max="12820" width="3.8984375" style="1532" customWidth="1"/>
    <col min="12821" max="12821" width="16.09765625" style="1532" customWidth="1"/>
    <col min="12822" max="12822" width="19.8984375" style="1532" customWidth="1"/>
    <col min="12823" max="13054" width="9" style="1532"/>
    <col min="13055" max="13055" width="4.19921875" style="1532" customWidth="1"/>
    <col min="13056" max="13056" width="29.5" style="1532" customWidth="1"/>
    <col min="13057" max="13071" width="4.5" style="1532" customWidth="1"/>
    <col min="13072" max="13072" width="3.8984375" style="1532" customWidth="1"/>
    <col min="13073" max="13073" width="4" style="1532" customWidth="1"/>
    <col min="13074" max="13074" width="4.3984375" style="1532" customWidth="1"/>
    <col min="13075" max="13075" width="4.5" style="1532" customWidth="1"/>
    <col min="13076" max="13076" width="3.8984375" style="1532" customWidth="1"/>
    <col min="13077" max="13077" width="16.09765625" style="1532" customWidth="1"/>
    <col min="13078" max="13078" width="19.8984375" style="1532" customWidth="1"/>
    <col min="13079" max="13310" width="9" style="1532"/>
    <col min="13311" max="13311" width="4.19921875" style="1532" customWidth="1"/>
    <col min="13312" max="13312" width="29.5" style="1532" customWidth="1"/>
    <col min="13313" max="13327" width="4.5" style="1532" customWidth="1"/>
    <col min="13328" max="13328" width="3.8984375" style="1532" customWidth="1"/>
    <col min="13329" max="13329" width="4" style="1532" customWidth="1"/>
    <col min="13330" max="13330" width="4.3984375" style="1532" customWidth="1"/>
    <col min="13331" max="13331" width="4.5" style="1532" customWidth="1"/>
    <col min="13332" max="13332" width="3.8984375" style="1532" customWidth="1"/>
    <col min="13333" max="13333" width="16.09765625" style="1532" customWidth="1"/>
    <col min="13334" max="13334" width="19.8984375" style="1532" customWidth="1"/>
    <col min="13335" max="13566" width="9" style="1532"/>
    <col min="13567" max="13567" width="4.19921875" style="1532" customWidth="1"/>
    <col min="13568" max="13568" width="29.5" style="1532" customWidth="1"/>
    <col min="13569" max="13583" width="4.5" style="1532" customWidth="1"/>
    <col min="13584" max="13584" width="3.8984375" style="1532" customWidth="1"/>
    <col min="13585" max="13585" width="4" style="1532" customWidth="1"/>
    <col min="13586" max="13586" width="4.3984375" style="1532" customWidth="1"/>
    <col min="13587" max="13587" width="4.5" style="1532" customWidth="1"/>
    <col min="13588" max="13588" width="3.8984375" style="1532" customWidth="1"/>
    <col min="13589" max="13589" width="16.09765625" style="1532" customWidth="1"/>
    <col min="13590" max="13590" width="19.8984375" style="1532" customWidth="1"/>
    <col min="13591" max="13822" width="9" style="1532"/>
    <col min="13823" max="13823" width="4.19921875" style="1532" customWidth="1"/>
    <col min="13824" max="13824" width="29.5" style="1532" customWidth="1"/>
    <col min="13825" max="13839" width="4.5" style="1532" customWidth="1"/>
    <col min="13840" max="13840" width="3.8984375" style="1532" customWidth="1"/>
    <col min="13841" max="13841" width="4" style="1532" customWidth="1"/>
    <col min="13842" max="13842" width="4.3984375" style="1532" customWidth="1"/>
    <col min="13843" max="13843" width="4.5" style="1532" customWidth="1"/>
    <col min="13844" max="13844" width="3.8984375" style="1532" customWidth="1"/>
    <col min="13845" max="13845" width="16.09765625" style="1532" customWidth="1"/>
    <col min="13846" max="13846" width="19.8984375" style="1532" customWidth="1"/>
    <col min="13847" max="14078" width="9" style="1532"/>
    <col min="14079" max="14079" width="4.19921875" style="1532" customWidth="1"/>
    <col min="14080" max="14080" width="29.5" style="1532" customWidth="1"/>
    <col min="14081" max="14095" width="4.5" style="1532" customWidth="1"/>
    <col min="14096" max="14096" width="3.8984375" style="1532" customWidth="1"/>
    <col min="14097" max="14097" width="4" style="1532" customWidth="1"/>
    <col min="14098" max="14098" width="4.3984375" style="1532" customWidth="1"/>
    <col min="14099" max="14099" width="4.5" style="1532" customWidth="1"/>
    <col min="14100" max="14100" width="3.8984375" style="1532" customWidth="1"/>
    <col min="14101" max="14101" width="16.09765625" style="1532" customWidth="1"/>
    <col min="14102" max="14102" width="19.8984375" style="1532" customWidth="1"/>
    <col min="14103" max="14334" width="9" style="1532"/>
    <col min="14335" max="14335" width="4.19921875" style="1532" customWidth="1"/>
    <col min="14336" max="14336" width="29.5" style="1532" customWidth="1"/>
    <col min="14337" max="14351" width="4.5" style="1532" customWidth="1"/>
    <col min="14352" max="14352" width="3.8984375" style="1532" customWidth="1"/>
    <col min="14353" max="14353" width="4" style="1532" customWidth="1"/>
    <col min="14354" max="14354" width="4.3984375" style="1532" customWidth="1"/>
    <col min="14355" max="14355" width="4.5" style="1532" customWidth="1"/>
    <col min="14356" max="14356" width="3.8984375" style="1532" customWidth="1"/>
    <col min="14357" max="14357" width="16.09765625" style="1532" customWidth="1"/>
    <col min="14358" max="14358" width="19.8984375" style="1532" customWidth="1"/>
    <col min="14359" max="14590" width="9" style="1532"/>
    <col min="14591" max="14591" width="4.19921875" style="1532" customWidth="1"/>
    <col min="14592" max="14592" width="29.5" style="1532" customWidth="1"/>
    <col min="14593" max="14607" width="4.5" style="1532" customWidth="1"/>
    <col min="14608" max="14608" width="3.8984375" style="1532" customWidth="1"/>
    <col min="14609" max="14609" width="4" style="1532" customWidth="1"/>
    <col min="14610" max="14610" width="4.3984375" style="1532" customWidth="1"/>
    <col min="14611" max="14611" width="4.5" style="1532" customWidth="1"/>
    <col min="14612" max="14612" width="3.8984375" style="1532" customWidth="1"/>
    <col min="14613" max="14613" width="16.09765625" style="1532" customWidth="1"/>
    <col min="14614" max="14614" width="19.8984375" style="1532" customWidth="1"/>
    <col min="14615" max="14846" width="9" style="1532"/>
    <col min="14847" max="14847" width="4.19921875" style="1532" customWidth="1"/>
    <col min="14848" max="14848" width="29.5" style="1532" customWidth="1"/>
    <col min="14849" max="14863" width="4.5" style="1532" customWidth="1"/>
    <col min="14864" max="14864" width="3.8984375" style="1532" customWidth="1"/>
    <col min="14865" max="14865" width="4" style="1532" customWidth="1"/>
    <col min="14866" max="14866" width="4.3984375" style="1532" customWidth="1"/>
    <col min="14867" max="14867" width="4.5" style="1532" customWidth="1"/>
    <col min="14868" max="14868" width="3.8984375" style="1532" customWidth="1"/>
    <col min="14869" max="14869" width="16.09765625" style="1532" customWidth="1"/>
    <col min="14870" max="14870" width="19.8984375" style="1532" customWidth="1"/>
    <col min="14871" max="15102" width="9" style="1532"/>
    <col min="15103" max="15103" width="4.19921875" style="1532" customWidth="1"/>
    <col min="15104" max="15104" width="29.5" style="1532" customWidth="1"/>
    <col min="15105" max="15119" width="4.5" style="1532" customWidth="1"/>
    <col min="15120" max="15120" width="3.8984375" style="1532" customWidth="1"/>
    <col min="15121" max="15121" width="4" style="1532" customWidth="1"/>
    <col min="15122" max="15122" width="4.3984375" style="1532" customWidth="1"/>
    <col min="15123" max="15123" width="4.5" style="1532" customWidth="1"/>
    <col min="15124" max="15124" width="3.8984375" style="1532" customWidth="1"/>
    <col min="15125" max="15125" width="16.09765625" style="1532" customWidth="1"/>
    <col min="15126" max="15126" width="19.8984375" style="1532" customWidth="1"/>
    <col min="15127" max="15358" width="9" style="1532"/>
    <col min="15359" max="15359" width="4.19921875" style="1532" customWidth="1"/>
    <col min="15360" max="15360" width="29.5" style="1532" customWidth="1"/>
    <col min="15361" max="15375" width="4.5" style="1532" customWidth="1"/>
    <col min="15376" max="15376" width="3.8984375" style="1532" customWidth="1"/>
    <col min="15377" max="15377" width="4" style="1532" customWidth="1"/>
    <col min="15378" max="15378" width="4.3984375" style="1532" customWidth="1"/>
    <col min="15379" max="15379" width="4.5" style="1532" customWidth="1"/>
    <col min="15380" max="15380" width="3.8984375" style="1532" customWidth="1"/>
    <col min="15381" max="15381" width="16.09765625" style="1532" customWidth="1"/>
    <col min="15382" max="15382" width="19.8984375" style="1532" customWidth="1"/>
    <col min="15383" max="15614" width="9" style="1532"/>
    <col min="15615" max="15615" width="4.19921875" style="1532" customWidth="1"/>
    <col min="15616" max="15616" width="29.5" style="1532" customWidth="1"/>
    <col min="15617" max="15631" width="4.5" style="1532" customWidth="1"/>
    <col min="15632" max="15632" width="3.8984375" style="1532" customWidth="1"/>
    <col min="15633" max="15633" width="4" style="1532" customWidth="1"/>
    <col min="15634" max="15634" width="4.3984375" style="1532" customWidth="1"/>
    <col min="15635" max="15635" width="4.5" style="1532" customWidth="1"/>
    <col min="15636" max="15636" width="3.8984375" style="1532" customWidth="1"/>
    <col min="15637" max="15637" width="16.09765625" style="1532" customWidth="1"/>
    <col min="15638" max="15638" width="19.8984375" style="1532" customWidth="1"/>
    <col min="15639" max="15870" width="9" style="1532"/>
    <col min="15871" max="15871" width="4.19921875" style="1532" customWidth="1"/>
    <col min="15872" max="15872" width="29.5" style="1532" customWidth="1"/>
    <col min="15873" max="15887" width="4.5" style="1532" customWidth="1"/>
    <col min="15888" max="15888" width="3.8984375" style="1532" customWidth="1"/>
    <col min="15889" max="15889" width="4" style="1532" customWidth="1"/>
    <col min="15890" max="15890" width="4.3984375" style="1532" customWidth="1"/>
    <col min="15891" max="15891" width="4.5" style="1532" customWidth="1"/>
    <col min="15892" max="15892" width="3.8984375" style="1532" customWidth="1"/>
    <col min="15893" max="15893" width="16.09765625" style="1532" customWidth="1"/>
    <col min="15894" max="15894" width="19.8984375" style="1532" customWidth="1"/>
    <col min="15895" max="16126" width="9" style="1532"/>
    <col min="16127" max="16127" width="4.19921875" style="1532" customWidth="1"/>
    <col min="16128" max="16128" width="29.5" style="1532" customWidth="1"/>
    <col min="16129" max="16143" width="4.5" style="1532" customWidth="1"/>
    <col min="16144" max="16144" width="3.8984375" style="1532" customWidth="1"/>
    <col min="16145" max="16145" width="4" style="1532" customWidth="1"/>
    <col min="16146" max="16146" width="4.3984375" style="1532" customWidth="1"/>
    <col min="16147" max="16147" width="4.5" style="1532" customWidth="1"/>
    <col min="16148" max="16148" width="3.8984375" style="1532" customWidth="1"/>
    <col min="16149" max="16149" width="16.09765625" style="1532" customWidth="1"/>
    <col min="16150" max="16150" width="19.8984375" style="1532" customWidth="1"/>
    <col min="16151" max="16384" width="9" style="1532"/>
  </cols>
  <sheetData>
    <row r="1" spans="1:22" ht="20.100000000000001" customHeight="1">
      <c r="A1" s="2166" t="s">
        <v>7683</v>
      </c>
      <c r="B1" s="2166"/>
      <c r="C1" s="2166"/>
      <c r="D1" s="2166"/>
      <c r="E1" s="2166"/>
      <c r="F1" s="2166"/>
      <c r="G1" s="2166"/>
      <c r="H1" s="2166"/>
      <c r="I1" s="2166"/>
      <c r="J1" s="2166"/>
      <c r="K1" s="2166"/>
      <c r="L1" s="2166"/>
      <c r="M1" s="2166"/>
      <c r="N1" s="2166"/>
      <c r="O1" s="2166"/>
      <c r="P1" s="2166"/>
      <c r="Q1" s="2166"/>
      <c r="R1" s="2166"/>
      <c r="S1" s="2166"/>
      <c r="T1" s="2166"/>
      <c r="U1" s="2166"/>
    </row>
    <row r="2" spans="1:22" s="1564" customFormat="1" ht="16.5" customHeight="1">
      <c r="A2" s="3379" t="s">
        <v>6490</v>
      </c>
      <c r="B2" s="3379"/>
      <c r="C2" s="3379"/>
      <c r="D2" s="3379"/>
      <c r="E2" s="3379"/>
      <c r="F2" s="3379"/>
      <c r="G2" s="3379"/>
      <c r="H2" s="3379"/>
      <c r="I2" s="3379"/>
      <c r="J2" s="3379"/>
      <c r="K2" s="3379"/>
      <c r="L2" s="3379"/>
      <c r="M2" s="3379"/>
      <c r="N2" s="3379"/>
      <c r="O2" s="3379"/>
      <c r="P2" s="3379"/>
      <c r="Q2" s="3379"/>
      <c r="R2" s="3379"/>
      <c r="S2" s="3379"/>
      <c r="T2" s="3379"/>
      <c r="U2" s="3386"/>
    </row>
    <row r="3" spans="1:22" s="1537" customFormat="1" ht="33" customHeight="1">
      <c r="A3" s="3412" t="s">
        <v>1854</v>
      </c>
      <c r="B3" s="3930" t="s">
        <v>5351</v>
      </c>
      <c r="C3" s="3931"/>
      <c r="D3" s="3922" t="s">
        <v>5352</v>
      </c>
      <c r="E3" s="3924"/>
      <c r="F3" s="3925" t="s">
        <v>5353</v>
      </c>
      <c r="G3" s="3926"/>
      <c r="H3" s="3925" t="s">
        <v>5354</v>
      </c>
      <c r="I3" s="3926"/>
      <c r="J3" s="3925" t="s">
        <v>5355</v>
      </c>
      <c r="K3" s="3926"/>
      <c r="L3" s="3925" t="s">
        <v>1263</v>
      </c>
      <c r="M3" s="3926"/>
      <c r="N3" s="3925" t="s">
        <v>6804</v>
      </c>
      <c r="O3" s="3926"/>
      <c r="P3" s="3922" t="s">
        <v>6808</v>
      </c>
      <c r="Q3" s="3923"/>
      <c r="R3" s="3923"/>
      <c r="S3" s="3923"/>
      <c r="T3" s="3923"/>
      <c r="U3" s="3924"/>
    </row>
    <row r="4" spans="1:22" s="1537" customFormat="1" ht="16.5" customHeight="1">
      <c r="A4" s="3413"/>
      <c r="B4" s="3932"/>
      <c r="C4" s="3933"/>
      <c r="D4" s="2565" t="s">
        <v>5356</v>
      </c>
      <c r="E4" s="2563" t="s">
        <v>6806</v>
      </c>
      <c r="F4" s="2565" t="s">
        <v>5356</v>
      </c>
      <c r="G4" s="2563" t="s">
        <v>6807</v>
      </c>
      <c r="H4" s="2564" t="s">
        <v>5356</v>
      </c>
      <c r="I4" s="2563" t="s">
        <v>6807</v>
      </c>
      <c r="J4" s="2564" t="s">
        <v>5356</v>
      </c>
      <c r="K4" s="2563" t="s">
        <v>6807</v>
      </c>
      <c r="L4" s="2564" t="s">
        <v>5356</v>
      </c>
      <c r="M4" s="2563" t="s">
        <v>6807</v>
      </c>
      <c r="N4" s="2564" t="s">
        <v>6805</v>
      </c>
      <c r="O4" s="2563" t="s">
        <v>6807</v>
      </c>
      <c r="P4" s="2564" t="s">
        <v>5356</v>
      </c>
      <c r="Q4" s="2566" t="s">
        <v>6809</v>
      </c>
      <c r="R4" s="2566" t="s">
        <v>6810</v>
      </c>
      <c r="S4" s="2566" t="s">
        <v>6811</v>
      </c>
      <c r="T4" s="2566" t="s">
        <v>6812</v>
      </c>
      <c r="U4" s="2563" t="s">
        <v>6813</v>
      </c>
    </row>
    <row r="5" spans="1:22" s="1537" customFormat="1" ht="16.5" customHeight="1">
      <c r="A5" s="3414"/>
      <c r="B5" s="3934"/>
      <c r="C5" s="3935"/>
      <c r="D5" s="2248">
        <v>1</v>
      </c>
      <c r="E5" s="2249">
        <v>2</v>
      </c>
      <c r="F5" s="2248">
        <v>3</v>
      </c>
      <c r="G5" s="2249">
        <v>4</v>
      </c>
      <c r="H5" s="2257">
        <v>5</v>
      </c>
      <c r="I5" s="2249">
        <v>6</v>
      </c>
      <c r="J5" s="2257">
        <v>7</v>
      </c>
      <c r="K5" s="2249">
        <v>8</v>
      </c>
      <c r="L5" s="2257">
        <v>9</v>
      </c>
      <c r="M5" s="2249">
        <v>10</v>
      </c>
      <c r="N5" s="2257">
        <v>11</v>
      </c>
      <c r="O5" s="2249">
        <v>12</v>
      </c>
      <c r="P5" s="2257">
        <v>13</v>
      </c>
      <c r="Q5" s="2258">
        <v>14</v>
      </c>
      <c r="R5" s="2258">
        <v>15</v>
      </c>
      <c r="S5" s="2258">
        <v>16</v>
      </c>
      <c r="T5" s="2258">
        <v>17</v>
      </c>
      <c r="U5" s="2249">
        <v>18</v>
      </c>
    </row>
    <row r="6" spans="1:22" s="1537" customFormat="1" ht="16.5" customHeight="1">
      <c r="A6" s="2250">
        <v>1</v>
      </c>
      <c r="B6" s="3433" t="s">
        <v>6814</v>
      </c>
      <c r="C6" s="3434"/>
      <c r="D6" s="2264">
        <f>固定资产加速折旧审核表!D7</f>
        <v>0</v>
      </c>
      <c r="E6" s="2277">
        <f>固定资产加速折旧审核表!E7</f>
        <v>0</v>
      </c>
      <c r="F6" s="2264">
        <f>固定资产加速折旧审核表!F7</f>
        <v>0</v>
      </c>
      <c r="G6" s="2277">
        <f>固定资产加速折旧审核表!G7</f>
        <v>0</v>
      </c>
      <c r="H6" s="2264">
        <f>固定资产加速折旧审核表!H7</f>
        <v>0</v>
      </c>
      <c r="I6" s="2277">
        <f>固定资产加速折旧审核表!I7</f>
        <v>0</v>
      </c>
      <c r="J6" s="2264">
        <f>固定资产加速折旧审核表!J7</f>
        <v>0</v>
      </c>
      <c r="K6" s="2277">
        <f>固定资产加速折旧审核表!K7</f>
        <v>0</v>
      </c>
      <c r="L6" s="2264">
        <f>固定资产加速折旧审核表!L7</f>
        <v>0</v>
      </c>
      <c r="M6" s="2277">
        <f>固定资产加速折旧审核表!M7</f>
        <v>0</v>
      </c>
      <c r="N6" s="2264">
        <f>固定资产加速折旧审核表!N7</f>
        <v>0</v>
      </c>
      <c r="O6" s="2277">
        <f>固定资产加速折旧审核表!O7</f>
        <v>0</v>
      </c>
      <c r="P6" s="2264">
        <f>固定资产加速折旧审核表!P7</f>
        <v>0</v>
      </c>
      <c r="Q6" s="2281">
        <f>固定资产加速折旧审核表!Q7</f>
        <v>0</v>
      </c>
      <c r="R6" s="2281">
        <f>固定资产加速折旧审核表!R7</f>
        <v>0</v>
      </c>
      <c r="S6" s="2281">
        <f>固定资产加速折旧审核表!S7</f>
        <v>0</v>
      </c>
      <c r="T6" s="2281">
        <f>固定资产加速折旧审核表!T7</f>
        <v>0</v>
      </c>
      <c r="U6" s="2277">
        <f>固定资产加速折旧审核表!U7</f>
        <v>0</v>
      </c>
      <c r="V6" s="1565"/>
    </row>
    <row r="7" spans="1:22" s="1537" customFormat="1" ht="16.5" customHeight="1">
      <c r="A7" s="2251">
        <v>2</v>
      </c>
      <c r="B7" s="3927">
        <f>固定资产加速折旧审核表!B8</f>
        <v>0</v>
      </c>
      <c r="C7" s="2252" t="s">
        <v>6815</v>
      </c>
      <c r="D7" s="2272">
        <f>固定资产加速折旧审核表!D8</f>
        <v>0</v>
      </c>
      <c r="E7" s="2278">
        <f>固定资产加速折旧审核表!E8</f>
        <v>0</v>
      </c>
      <c r="F7" s="2272">
        <f>固定资产加速折旧审核表!F8</f>
        <v>0</v>
      </c>
      <c r="G7" s="2278">
        <f>固定资产加速折旧审核表!G8</f>
        <v>0</v>
      </c>
      <c r="H7" s="2272">
        <f>固定资产加速折旧审核表!H8</f>
        <v>0</v>
      </c>
      <c r="I7" s="2278">
        <f>固定资产加速折旧审核表!I8</f>
        <v>0</v>
      </c>
      <c r="J7" s="2272">
        <f>固定资产加速折旧审核表!J8</f>
        <v>0</v>
      </c>
      <c r="K7" s="2278">
        <f>固定资产加速折旧审核表!K8</f>
        <v>0</v>
      </c>
      <c r="L7" s="2272">
        <f>固定资产加速折旧审核表!L8</f>
        <v>0</v>
      </c>
      <c r="M7" s="2278">
        <f>固定资产加速折旧审核表!M8</f>
        <v>0</v>
      </c>
      <c r="N7" s="2272">
        <f>固定资产加速折旧审核表!N8</f>
        <v>0</v>
      </c>
      <c r="O7" s="2278">
        <f>固定资产加速折旧审核表!O8</f>
        <v>0</v>
      </c>
      <c r="P7" s="2272">
        <f>固定资产加速折旧审核表!P8</f>
        <v>0</v>
      </c>
      <c r="Q7" s="2282" t="str">
        <f>固定资产加速折旧审核表!Q8</f>
        <v>*</v>
      </c>
      <c r="R7" s="2282">
        <f>固定资产加速折旧审核表!R8</f>
        <v>0</v>
      </c>
      <c r="S7" s="2282">
        <f>固定资产加速折旧审核表!S8</f>
        <v>0</v>
      </c>
      <c r="T7" s="2282" t="str">
        <f>固定资产加速折旧审核表!T8</f>
        <v>*</v>
      </c>
      <c r="U7" s="2278">
        <f>固定资产加速折旧审核表!U8</f>
        <v>0</v>
      </c>
    </row>
    <row r="8" spans="1:22" s="1537" customFormat="1" ht="16.5" customHeight="1">
      <c r="A8" s="2251">
        <v>3</v>
      </c>
      <c r="B8" s="3927"/>
      <c r="C8" s="2252" t="s">
        <v>6816</v>
      </c>
      <c r="D8" s="2272">
        <f>固定资产加速折旧审核表!D9</f>
        <v>0</v>
      </c>
      <c r="E8" s="2278">
        <f>固定资产加速折旧审核表!E9</f>
        <v>0</v>
      </c>
      <c r="F8" s="2272">
        <f>固定资产加速折旧审核表!F9</f>
        <v>0</v>
      </c>
      <c r="G8" s="2278">
        <f>固定资产加速折旧审核表!G9</f>
        <v>0</v>
      </c>
      <c r="H8" s="2272">
        <f>固定资产加速折旧审核表!H9</f>
        <v>0</v>
      </c>
      <c r="I8" s="2278">
        <f>固定资产加速折旧审核表!I9</f>
        <v>0</v>
      </c>
      <c r="J8" s="2272">
        <f>固定资产加速折旧审核表!J9</f>
        <v>0</v>
      </c>
      <c r="K8" s="2278">
        <f>固定资产加速折旧审核表!K9</f>
        <v>0</v>
      </c>
      <c r="L8" s="2272">
        <f>固定资产加速折旧审核表!L9</f>
        <v>0</v>
      </c>
      <c r="M8" s="2278">
        <f>固定资产加速折旧审核表!M9</f>
        <v>0</v>
      </c>
      <c r="N8" s="2272">
        <f>固定资产加速折旧审核表!N9</f>
        <v>0</v>
      </c>
      <c r="O8" s="2278">
        <f>固定资产加速折旧审核表!O9</f>
        <v>0</v>
      </c>
      <c r="P8" s="2272">
        <f>固定资产加速折旧审核表!P9</f>
        <v>0</v>
      </c>
      <c r="Q8" s="2282">
        <f>固定资产加速折旧审核表!Q9</f>
        <v>0</v>
      </c>
      <c r="R8" s="2282" t="str">
        <f>固定资产加速折旧审核表!R9</f>
        <v>*</v>
      </c>
      <c r="S8" s="2282">
        <f>固定资产加速折旧审核表!S9</f>
        <v>0</v>
      </c>
      <c r="T8" s="2282">
        <f>固定资产加速折旧审核表!T9</f>
        <v>0</v>
      </c>
      <c r="U8" s="2278" t="str">
        <f>固定资产加速折旧审核表!U9</f>
        <v>*</v>
      </c>
    </row>
    <row r="9" spans="1:22" s="1537" customFormat="1" ht="16.5" customHeight="1">
      <c r="A9" s="2251">
        <v>4</v>
      </c>
      <c r="B9" s="3422" t="s">
        <v>6817</v>
      </c>
      <c r="C9" s="3421"/>
      <c r="D9" s="2272">
        <f>固定资产加速折旧审核表!D10</f>
        <v>0</v>
      </c>
      <c r="E9" s="2278">
        <f>固定资产加速折旧审核表!E10</f>
        <v>0</v>
      </c>
      <c r="F9" s="2272">
        <f>固定资产加速折旧审核表!F10</f>
        <v>0</v>
      </c>
      <c r="G9" s="2278">
        <f>固定资产加速折旧审核表!G10</f>
        <v>0</v>
      </c>
      <c r="H9" s="2272">
        <f>固定资产加速折旧审核表!H10</f>
        <v>0</v>
      </c>
      <c r="I9" s="2278">
        <f>固定资产加速折旧审核表!I10</f>
        <v>0</v>
      </c>
      <c r="J9" s="2272">
        <f>固定资产加速折旧审核表!J10</f>
        <v>0</v>
      </c>
      <c r="K9" s="2278">
        <f>固定资产加速折旧审核表!K10</f>
        <v>0</v>
      </c>
      <c r="L9" s="2272">
        <f>固定资产加速折旧审核表!L10</f>
        <v>0</v>
      </c>
      <c r="M9" s="2278">
        <f>固定资产加速折旧审核表!M10</f>
        <v>0</v>
      </c>
      <c r="N9" s="2272">
        <f>固定资产加速折旧审核表!N10</f>
        <v>0</v>
      </c>
      <c r="O9" s="2278">
        <f>固定资产加速折旧审核表!O10</f>
        <v>0</v>
      </c>
      <c r="P9" s="2272">
        <f>固定资产加速折旧审核表!P10</f>
        <v>0</v>
      </c>
      <c r="Q9" s="2282">
        <f>固定资产加速折旧审核表!Q10</f>
        <v>0</v>
      </c>
      <c r="R9" s="2282">
        <f>固定资产加速折旧审核表!R10</f>
        <v>0</v>
      </c>
      <c r="S9" s="2282">
        <f>固定资产加速折旧审核表!S10</f>
        <v>0</v>
      </c>
      <c r="T9" s="2282">
        <f>固定资产加速折旧审核表!T10</f>
        <v>0</v>
      </c>
      <c r="U9" s="2278">
        <f>固定资产加速折旧审核表!U10</f>
        <v>0</v>
      </c>
      <c r="V9" s="1675" t="s">
        <v>562</v>
      </c>
    </row>
    <row r="10" spans="1:22" s="1537" customFormat="1" ht="16.5" customHeight="1">
      <c r="A10" s="2251">
        <v>5</v>
      </c>
      <c r="B10" s="3422" t="s">
        <v>6818</v>
      </c>
      <c r="C10" s="2252" t="s">
        <v>6815</v>
      </c>
      <c r="D10" s="2272">
        <f>固定资产加速折旧审核表!D11</f>
        <v>0</v>
      </c>
      <c r="E10" s="2278">
        <f>固定资产加速折旧审核表!E11</f>
        <v>0</v>
      </c>
      <c r="F10" s="2272">
        <f>固定资产加速折旧审核表!F11</f>
        <v>0</v>
      </c>
      <c r="G10" s="2278">
        <f>固定资产加速折旧审核表!G11</f>
        <v>0</v>
      </c>
      <c r="H10" s="2272">
        <f>固定资产加速折旧审核表!H11</f>
        <v>0</v>
      </c>
      <c r="I10" s="2278">
        <f>固定资产加速折旧审核表!I11</f>
        <v>0</v>
      </c>
      <c r="J10" s="2272">
        <f>固定资产加速折旧审核表!J11</f>
        <v>0</v>
      </c>
      <c r="K10" s="2278">
        <f>固定资产加速折旧审核表!K11</f>
        <v>0</v>
      </c>
      <c r="L10" s="2272">
        <f>固定资产加速折旧审核表!L11</f>
        <v>0</v>
      </c>
      <c r="M10" s="2278">
        <f>固定资产加速折旧审核表!M11</f>
        <v>0</v>
      </c>
      <c r="N10" s="2272">
        <f>固定资产加速折旧审核表!N11</f>
        <v>0</v>
      </c>
      <c r="O10" s="2278">
        <f>固定资产加速折旧审核表!O11</f>
        <v>0</v>
      </c>
      <c r="P10" s="2272">
        <f>固定资产加速折旧审核表!P11</f>
        <v>0</v>
      </c>
      <c r="Q10" s="2282" t="str">
        <f>固定资产加速折旧审核表!Q11</f>
        <v>*</v>
      </c>
      <c r="R10" s="2282">
        <f>固定资产加速折旧审核表!R11</f>
        <v>0</v>
      </c>
      <c r="S10" s="2282">
        <f>固定资产加速折旧审核表!S11</f>
        <v>0</v>
      </c>
      <c r="T10" s="2282" t="str">
        <f>固定资产加速折旧审核表!T11</f>
        <v>*</v>
      </c>
      <c r="U10" s="2278">
        <f>固定资产加速折旧审核表!U11</f>
        <v>0</v>
      </c>
    </row>
    <row r="11" spans="1:22" s="1537" customFormat="1" ht="16.5" customHeight="1">
      <c r="A11" s="2251">
        <v>6</v>
      </c>
      <c r="B11" s="3422"/>
      <c r="C11" s="2252" t="s">
        <v>6816</v>
      </c>
      <c r="D11" s="2272">
        <f>固定资产加速折旧审核表!D12</f>
        <v>0</v>
      </c>
      <c r="E11" s="2278">
        <f>固定资产加速折旧审核表!E12</f>
        <v>0</v>
      </c>
      <c r="F11" s="2272">
        <f>固定资产加速折旧审核表!F12</f>
        <v>0</v>
      </c>
      <c r="G11" s="2278">
        <f>固定资产加速折旧审核表!G12</f>
        <v>0</v>
      </c>
      <c r="H11" s="2272">
        <f>固定资产加速折旧审核表!H12</f>
        <v>0</v>
      </c>
      <c r="I11" s="2278">
        <f>固定资产加速折旧审核表!I12</f>
        <v>0</v>
      </c>
      <c r="J11" s="2272">
        <f>固定资产加速折旧审核表!J12</f>
        <v>0</v>
      </c>
      <c r="K11" s="2278">
        <f>固定资产加速折旧审核表!K12</f>
        <v>0</v>
      </c>
      <c r="L11" s="2272">
        <f>固定资产加速折旧审核表!L12</f>
        <v>0</v>
      </c>
      <c r="M11" s="2278">
        <f>固定资产加速折旧审核表!M12</f>
        <v>0</v>
      </c>
      <c r="N11" s="2272">
        <f>固定资产加速折旧审核表!N12</f>
        <v>0</v>
      </c>
      <c r="O11" s="2278">
        <f>固定资产加速折旧审核表!O12</f>
        <v>0</v>
      </c>
      <c r="P11" s="2272">
        <f>固定资产加速折旧审核表!P12</f>
        <v>0</v>
      </c>
      <c r="Q11" s="2282">
        <f>固定资产加速折旧审核表!Q12</f>
        <v>0</v>
      </c>
      <c r="R11" s="2282" t="str">
        <f>固定资产加速折旧审核表!R12</f>
        <v>*</v>
      </c>
      <c r="S11" s="2282">
        <f>固定资产加速折旧审核表!S12</f>
        <v>0</v>
      </c>
      <c r="T11" s="2282">
        <f>固定资产加速折旧审核表!T12</f>
        <v>0</v>
      </c>
      <c r="U11" s="2278" t="str">
        <f>固定资产加速折旧审核表!U12</f>
        <v>*</v>
      </c>
      <c r="V11" s="1675" t="s">
        <v>6445</v>
      </c>
    </row>
    <row r="12" spans="1:22" s="1537" customFormat="1" ht="16.5" customHeight="1">
      <c r="A12" s="2251">
        <v>7</v>
      </c>
      <c r="B12" s="3422" t="s">
        <v>6819</v>
      </c>
      <c r="C12" s="3421"/>
      <c r="D12" s="2272">
        <f>固定资产加速折旧审核表!D13</f>
        <v>0</v>
      </c>
      <c r="E12" s="2278">
        <f>固定资产加速折旧审核表!E13</f>
        <v>0</v>
      </c>
      <c r="F12" s="2272">
        <f>固定资产加速折旧审核表!F13</f>
        <v>0</v>
      </c>
      <c r="G12" s="2278">
        <f>固定资产加速折旧审核表!G13</f>
        <v>0</v>
      </c>
      <c r="H12" s="2272">
        <f>固定资产加速折旧审核表!H13</f>
        <v>0</v>
      </c>
      <c r="I12" s="2278">
        <f>固定资产加速折旧审核表!I13</f>
        <v>0</v>
      </c>
      <c r="J12" s="2272">
        <f>固定资产加速折旧审核表!J13</f>
        <v>0</v>
      </c>
      <c r="K12" s="2278">
        <f>固定资产加速折旧审核表!K13</f>
        <v>0</v>
      </c>
      <c r="L12" s="2272">
        <f>固定资产加速折旧审核表!L13</f>
        <v>0</v>
      </c>
      <c r="M12" s="2278">
        <f>固定资产加速折旧审核表!M13</f>
        <v>0</v>
      </c>
      <c r="N12" s="2272">
        <f>固定资产加速折旧审核表!N13</f>
        <v>0</v>
      </c>
      <c r="O12" s="2278">
        <f>固定资产加速折旧审核表!O13</f>
        <v>0</v>
      </c>
      <c r="P12" s="2272">
        <f>固定资产加速折旧审核表!P13</f>
        <v>0</v>
      </c>
      <c r="Q12" s="2282">
        <f>固定资产加速折旧审核表!Q13</f>
        <v>0</v>
      </c>
      <c r="R12" s="2282">
        <f>固定资产加速折旧审核表!R13</f>
        <v>0</v>
      </c>
      <c r="S12" s="2282">
        <f>固定资产加速折旧审核表!S13</f>
        <v>0</v>
      </c>
      <c r="T12" s="2282">
        <f>固定资产加速折旧审核表!T13</f>
        <v>0</v>
      </c>
      <c r="U12" s="2278">
        <f>固定资产加速折旧审核表!U13</f>
        <v>0</v>
      </c>
    </row>
    <row r="13" spans="1:22" s="1537" customFormat="1" ht="16.5" customHeight="1">
      <c r="A13" s="2251">
        <v>8</v>
      </c>
      <c r="B13" s="3403" t="s">
        <v>6820</v>
      </c>
      <c r="C13" s="3436"/>
      <c r="D13" s="2272">
        <f>固定资产加速折旧审核表!D14</f>
        <v>0</v>
      </c>
      <c r="E13" s="2278">
        <f>固定资产加速折旧审核表!E14</f>
        <v>0</v>
      </c>
      <c r="F13" s="2272">
        <f>固定资产加速折旧审核表!F14</f>
        <v>0</v>
      </c>
      <c r="G13" s="2278">
        <f>固定资产加速折旧审核表!G14</f>
        <v>0</v>
      </c>
      <c r="H13" s="2272">
        <f>固定资产加速折旧审核表!H14</f>
        <v>0</v>
      </c>
      <c r="I13" s="2278">
        <f>固定资产加速折旧审核表!I14</f>
        <v>0</v>
      </c>
      <c r="J13" s="2272">
        <f>固定资产加速折旧审核表!J14</f>
        <v>0</v>
      </c>
      <c r="K13" s="2278">
        <f>固定资产加速折旧审核表!K14</f>
        <v>0</v>
      </c>
      <c r="L13" s="2272">
        <f>固定资产加速折旧审核表!L14</f>
        <v>0</v>
      </c>
      <c r="M13" s="2278">
        <f>固定资产加速折旧审核表!M14</f>
        <v>0</v>
      </c>
      <c r="N13" s="2272">
        <f>固定资产加速折旧审核表!N14</f>
        <v>0</v>
      </c>
      <c r="O13" s="2278">
        <f>固定资产加速折旧审核表!O14</f>
        <v>0</v>
      </c>
      <c r="P13" s="2272">
        <f>固定资产加速折旧审核表!P14</f>
        <v>0</v>
      </c>
      <c r="Q13" s="2282">
        <f>固定资产加速折旧审核表!Q14</f>
        <v>0</v>
      </c>
      <c r="R13" s="2282">
        <f>固定资产加速折旧审核表!R14</f>
        <v>0</v>
      </c>
      <c r="S13" s="2282">
        <f>固定资产加速折旧审核表!S14</f>
        <v>0</v>
      </c>
      <c r="T13" s="2282">
        <f>固定资产加速折旧审核表!T14</f>
        <v>0</v>
      </c>
      <c r="U13" s="2278">
        <f>固定资产加速折旧审核表!U14</f>
        <v>0</v>
      </c>
      <c r="V13" s="1675" t="s">
        <v>6444</v>
      </c>
    </row>
    <row r="14" spans="1:22" s="1537" customFormat="1" ht="16.5" customHeight="1">
      <c r="A14" s="2251">
        <v>9</v>
      </c>
      <c r="B14" s="3928">
        <f>固定资产加速折旧审核表!B15</f>
        <v>0</v>
      </c>
      <c r="C14" s="2252" t="s">
        <v>6815</v>
      </c>
      <c r="D14" s="2272">
        <f>固定资产加速折旧审核表!D15</f>
        <v>0</v>
      </c>
      <c r="E14" s="2278">
        <f>固定资产加速折旧审核表!E15</f>
        <v>0</v>
      </c>
      <c r="F14" s="2272">
        <f>固定资产加速折旧审核表!F15</f>
        <v>0</v>
      </c>
      <c r="G14" s="2278">
        <f>固定资产加速折旧审核表!G15</f>
        <v>0</v>
      </c>
      <c r="H14" s="2272">
        <f>固定资产加速折旧审核表!H15</f>
        <v>0</v>
      </c>
      <c r="I14" s="2278">
        <f>固定资产加速折旧审核表!I15</f>
        <v>0</v>
      </c>
      <c r="J14" s="2272">
        <f>固定资产加速折旧审核表!J15</f>
        <v>0</v>
      </c>
      <c r="K14" s="2278">
        <f>固定资产加速折旧审核表!K15</f>
        <v>0</v>
      </c>
      <c r="L14" s="2272">
        <f>固定资产加速折旧审核表!L15</f>
        <v>0</v>
      </c>
      <c r="M14" s="2278">
        <f>固定资产加速折旧审核表!M15</f>
        <v>0</v>
      </c>
      <c r="N14" s="2272">
        <f>固定资产加速折旧审核表!N15</f>
        <v>0</v>
      </c>
      <c r="O14" s="2278">
        <f>固定资产加速折旧审核表!O15</f>
        <v>0</v>
      </c>
      <c r="P14" s="2272">
        <f>固定资产加速折旧审核表!P15</f>
        <v>0</v>
      </c>
      <c r="Q14" s="2282" t="str">
        <f>固定资产加速折旧审核表!Q15</f>
        <v>*</v>
      </c>
      <c r="R14" s="2282">
        <f>固定资产加速折旧审核表!R15</f>
        <v>0</v>
      </c>
      <c r="S14" s="2282">
        <f>固定资产加速折旧审核表!S15</f>
        <v>0</v>
      </c>
      <c r="T14" s="2282" t="str">
        <f>固定资产加速折旧审核表!T15</f>
        <v>*</v>
      </c>
      <c r="U14" s="2278">
        <f>固定资产加速折旧审核表!U15</f>
        <v>0</v>
      </c>
    </row>
    <row r="15" spans="1:22" s="1537" customFormat="1" ht="16.5" customHeight="1">
      <c r="A15" s="2251">
        <v>10</v>
      </c>
      <c r="B15" s="3929"/>
      <c r="C15" s="2252" t="s">
        <v>6816</v>
      </c>
      <c r="D15" s="2272">
        <f>固定资产加速折旧审核表!D16</f>
        <v>0</v>
      </c>
      <c r="E15" s="2278">
        <f>固定资产加速折旧审核表!E16</f>
        <v>0</v>
      </c>
      <c r="F15" s="2272">
        <f>固定资产加速折旧审核表!F16</f>
        <v>0</v>
      </c>
      <c r="G15" s="2278">
        <f>固定资产加速折旧审核表!G16</f>
        <v>0</v>
      </c>
      <c r="H15" s="2272">
        <f>固定资产加速折旧审核表!H16</f>
        <v>0</v>
      </c>
      <c r="I15" s="2278">
        <f>固定资产加速折旧审核表!I16</f>
        <v>0</v>
      </c>
      <c r="J15" s="2272">
        <f>固定资产加速折旧审核表!J16</f>
        <v>0</v>
      </c>
      <c r="K15" s="2278">
        <f>固定资产加速折旧审核表!K16</f>
        <v>0</v>
      </c>
      <c r="L15" s="2272">
        <f>固定资产加速折旧审核表!L16</f>
        <v>0</v>
      </c>
      <c r="M15" s="2278">
        <f>固定资产加速折旧审核表!M16</f>
        <v>0</v>
      </c>
      <c r="N15" s="2272">
        <f>固定资产加速折旧审核表!N16</f>
        <v>0</v>
      </c>
      <c r="O15" s="2278">
        <f>固定资产加速折旧审核表!O16</f>
        <v>0</v>
      </c>
      <c r="P15" s="2272">
        <f>固定资产加速折旧审核表!P16</f>
        <v>0</v>
      </c>
      <c r="Q15" s="2282">
        <f>固定资产加速折旧审核表!Q16</f>
        <v>0</v>
      </c>
      <c r="R15" s="2282" t="str">
        <f>固定资产加速折旧审核表!R16</f>
        <v>*</v>
      </c>
      <c r="S15" s="2282">
        <f>固定资产加速折旧审核表!S16</f>
        <v>0</v>
      </c>
      <c r="T15" s="2282">
        <f>固定资产加速折旧审核表!T16</f>
        <v>0</v>
      </c>
      <c r="U15" s="2278" t="str">
        <f>固定资产加速折旧审核表!U16</f>
        <v>*</v>
      </c>
    </row>
    <row r="16" spans="1:22" s="1537" customFormat="1" ht="16.5" customHeight="1">
      <c r="A16" s="2251">
        <v>11</v>
      </c>
      <c r="B16" s="3401" t="s">
        <v>6821</v>
      </c>
      <c r="C16" s="3402"/>
      <c r="D16" s="2272">
        <f>固定资产加速折旧审核表!D17</f>
        <v>0</v>
      </c>
      <c r="E16" s="2278">
        <f>固定资产加速折旧审核表!E17</f>
        <v>0</v>
      </c>
      <c r="F16" s="2272">
        <f>固定资产加速折旧审核表!F17</f>
        <v>0</v>
      </c>
      <c r="G16" s="2278">
        <f>固定资产加速折旧审核表!G17</f>
        <v>0</v>
      </c>
      <c r="H16" s="2272">
        <f>固定资产加速折旧审核表!H17</f>
        <v>0</v>
      </c>
      <c r="I16" s="2278">
        <f>固定资产加速折旧审核表!I17</f>
        <v>0</v>
      </c>
      <c r="J16" s="2272">
        <f>固定资产加速折旧审核表!J17</f>
        <v>0</v>
      </c>
      <c r="K16" s="2278">
        <f>固定资产加速折旧审核表!K17</f>
        <v>0</v>
      </c>
      <c r="L16" s="2272">
        <f>固定资产加速折旧审核表!L17</f>
        <v>0</v>
      </c>
      <c r="M16" s="2278">
        <f>固定资产加速折旧审核表!M17</f>
        <v>0</v>
      </c>
      <c r="N16" s="2272">
        <f>固定资产加速折旧审核表!N17</f>
        <v>0</v>
      </c>
      <c r="O16" s="2278">
        <f>固定资产加速折旧审核表!O17</f>
        <v>0</v>
      </c>
      <c r="P16" s="2272">
        <f>固定资产加速折旧审核表!P17</f>
        <v>0</v>
      </c>
      <c r="Q16" s="2282">
        <f>固定资产加速折旧审核表!Q17</f>
        <v>0</v>
      </c>
      <c r="R16" s="2282">
        <f>固定资产加速折旧审核表!R17</f>
        <v>0</v>
      </c>
      <c r="S16" s="2282">
        <f>固定资产加速折旧审核表!S17</f>
        <v>0</v>
      </c>
      <c r="T16" s="2282">
        <f>固定资产加速折旧审核表!T17</f>
        <v>0</v>
      </c>
      <c r="U16" s="2278">
        <f>固定资产加速折旧审核表!U17</f>
        <v>0</v>
      </c>
    </row>
    <row r="17" spans="1:21" s="1537" customFormat="1" ht="16.5" customHeight="1">
      <c r="A17" s="2251">
        <v>12</v>
      </c>
      <c r="B17" s="3403" t="s">
        <v>6822</v>
      </c>
      <c r="C17" s="2252" t="s">
        <v>6815</v>
      </c>
      <c r="D17" s="2272">
        <f>固定资产加速折旧审核表!D18</f>
        <v>0</v>
      </c>
      <c r="E17" s="2278">
        <f>固定资产加速折旧审核表!E18</f>
        <v>0</v>
      </c>
      <c r="F17" s="2272">
        <f>固定资产加速折旧审核表!F18</f>
        <v>0</v>
      </c>
      <c r="G17" s="2278">
        <f>固定资产加速折旧审核表!G18</f>
        <v>0</v>
      </c>
      <c r="H17" s="2272">
        <f>固定资产加速折旧审核表!H18</f>
        <v>0</v>
      </c>
      <c r="I17" s="2278">
        <f>固定资产加速折旧审核表!I18</f>
        <v>0</v>
      </c>
      <c r="J17" s="2272">
        <f>固定资产加速折旧审核表!J18</f>
        <v>0</v>
      </c>
      <c r="K17" s="2278">
        <f>固定资产加速折旧审核表!K18</f>
        <v>0</v>
      </c>
      <c r="L17" s="2272">
        <f>固定资产加速折旧审核表!L18</f>
        <v>0</v>
      </c>
      <c r="M17" s="2278">
        <f>固定资产加速折旧审核表!M18</f>
        <v>0</v>
      </c>
      <c r="N17" s="2272">
        <f>固定资产加速折旧审核表!N18</f>
        <v>0</v>
      </c>
      <c r="O17" s="2278">
        <f>固定资产加速折旧审核表!O18</f>
        <v>0</v>
      </c>
      <c r="P17" s="2272">
        <f>固定资产加速折旧审核表!P18</f>
        <v>0</v>
      </c>
      <c r="Q17" s="2282" t="str">
        <f>固定资产加速折旧审核表!Q18</f>
        <v>*</v>
      </c>
      <c r="R17" s="2282">
        <f>固定资产加速折旧审核表!R18</f>
        <v>0</v>
      </c>
      <c r="S17" s="2282">
        <f>固定资产加速折旧审核表!S18</f>
        <v>0</v>
      </c>
      <c r="T17" s="2282" t="str">
        <f>固定资产加速折旧审核表!T18</f>
        <v>*</v>
      </c>
      <c r="U17" s="2278">
        <f>固定资产加速折旧审核表!U18</f>
        <v>0</v>
      </c>
    </row>
    <row r="18" spans="1:21" s="1537" customFormat="1" ht="16.5" customHeight="1">
      <c r="A18" s="2251">
        <v>13</v>
      </c>
      <c r="B18" s="3403"/>
      <c r="C18" s="2252" t="s">
        <v>6816</v>
      </c>
      <c r="D18" s="2272">
        <f>固定资产加速折旧审核表!D19</f>
        <v>0</v>
      </c>
      <c r="E18" s="2278">
        <f>固定资产加速折旧审核表!E19</f>
        <v>0</v>
      </c>
      <c r="F18" s="2272">
        <f>固定资产加速折旧审核表!F19</f>
        <v>0</v>
      </c>
      <c r="G18" s="2278">
        <f>固定资产加速折旧审核表!G19</f>
        <v>0</v>
      </c>
      <c r="H18" s="2272">
        <f>固定资产加速折旧审核表!H19</f>
        <v>0</v>
      </c>
      <c r="I18" s="2278">
        <f>固定资产加速折旧审核表!I19</f>
        <v>0</v>
      </c>
      <c r="J18" s="2272">
        <f>固定资产加速折旧审核表!J19</f>
        <v>0</v>
      </c>
      <c r="K18" s="2278">
        <f>固定资产加速折旧审核表!K19</f>
        <v>0</v>
      </c>
      <c r="L18" s="2272">
        <f>固定资产加速折旧审核表!L19</f>
        <v>0</v>
      </c>
      <c r="M18" s="2278">
        <f>固定资产加速折旧审核表!M19</f>
        <v>0</v>
      </c>
      <c r="N18" s="2272">
        <f>固定资产加速折旧审核表!N19</f>
        <v>0</v>
      </c>
      <c r="O18" s="2278">
        <f>固定资产加速折旧审核表!O19</f>
        <v>0</v>
      </c>
      <c r="P18" s="2272">
        <f>固定资产加速折旧审核表!P19</f>
        <v>0</v>
      </c>
      <c r="Q18" s="2282">
        <f>固定资产加速折旧审核表!Q19</f>
        <v>0</v>
      </c>
      <c r="R18" s="2282" t="str">
        <f>固定资产加速折旧审核表!R19</f>
        <v>*</v>
      </c>
      <c r="S18" s="2282">
        <f>固定资产加速折旧审核表!S19</f>
        <v>0</v>
      </c>
      <c r="T18" s="2282">
        <f>固定资产加速折旧审核表!T19</f>
        <v>0</v>
      </c>
      <c r="U18" s="2278" t="str">
        <f>固定资产加速折旧审核表!U19</f>
        <v>*</v>
      </c>
    </row>
    <row r="19" spans="1:21" ht="18" customHeight="1">
      <c r="A19" s="2248">
        <v>14</v>
      </c>
      <c r="B19" s="3404" t="s">
        <v>6823</v>
      </c>
      <c r="C19" s="3405"/>
      <c r="D19" s="2279">
        <f>固定资产加速折旧审核表!D20</f>
        <v>0</v>
      </c>
      <c r="E19" s="2280">
        <f>固定资产加速折旧审核表!E20</f>
        <v>0</v>
      </c>
      <c r="F19" s="2279">
        <f>固定资产加速折旧审核表!F20</f>
        <v>0</v>
      </c>
      <c r="G19" s="2280">
        <f>固定资产加速折旧审核表!G20</f>
        <v>0</v>
      </c>
      <c r="H19" s="2279">
        <f>固定资产加速折旧审核表!H20</f>
        <v>0</v>
      </c>
      <c r="I19" s="2280">
        <f>固定资产加速折旧审核表!I20</f>
        <v>0</v>
      </c>
      <c r="J19" s="2279">
        <f>固定资产加速折旧审核表!J20</f>
        <v>0</v>
      </c>
      <c r="K19" s="2280">
        <f>固定资产加速折旧审核表!K20</f>
        <v>0</v>
      </c>
      <c r="L19" s="2279">
        <f>固定资产加速折旧审核表!L20</f>
        <v>0</v>
      </c>
      <c r="M19" s="2280">
        <f>固定资产加速折旧审核表!M20</f>
        <v>0</v>
      </c>
      <c r="N19" s="2279">
        <f>固定资产加速折旧审核表!N20</f>
        <v>0</v>
      </c>
      <c r="O19" s="2280">
        <f>固定资产加速折旧审核表!O20</f>
        <v>0</v>
      </c>
      <c r="P19" s="2279">
        <f>固定资产加速折旧审核表!P20</f>
        <v>0</v>
      </c>
      <c r="Q19" s="2283">
        <f>固定资产加速折旧审核表!Q20</f>
        <v>0</v>
      </c>
      <c r="R19" s="2283">
        <f>固定资产加速折旧审核表!R20</f>
        <v>0</v>
      </c>
      <c r="S19" s="2283">
        <f>固定资产加速折旧审核表!S20</f>
        <v>0</v>
      </c>
      <c r="T19" s="2283">
        <f>固定资产加速折旧审核表!T20</f>
        <v>0</v>
      </c>
      <c r="U19" s="2280">
        <f>固定资产加速折旧审核表!U20</f>
        <v>0</v>
      </c>
    </row>
    <row r="20" spans="1:21">
      <c r="A20" s="2239">
        <v>15</v>
      </c>
      <c r="B20" s="3406" t="s">
        <v>6824</v>
      </c>
      <c r="C20" s="3407"/>
      <c r="D20" s="3407"/>
      <c r="E20" s="3407"/>
      <c r="F20" s="3407"/>
      <c r="G20" s="3407"/>
      <c r="H20" s="3407"/>
      <c r="I20" s="3407"/>
      <c r="J20" s="3407"/>
      <c r="K20" s="3407"/>
      <c r="L20" s="3407"/>
      <c r="M20" s="3407"/>
      <c r="N20" s="3407"/>
      <c r="O20" s="3407"/>
      <c r="P20" s="3408"/>
      <c r="Q20" s="3408"/>
      <c r="R20" s="3408"/>
      <c r="S20" s="3408"/>
      <c r="T20" s="3408"/>
      <c r="U20" s="3409"/>
    </row>
    <row r="21" spans="1:21" ht="16.5" customHeight="1">
      <c r="A21" s="2250">
        <v>16</v>
      </c>
      <c r="B21" s="3410" t="s">
        <v>6825</v>
      </c>
      <c r="C21" s="3411"/>
      <c r="D21" s="2264">
        <f>固定资产加速折旧审核表!D22</f>
        <v>0</v>
      </c>
      <c r="E21" s="2277">
        <f>固定资产加速折旧审核表!E22</f>
        <v>0</v>
      </c>
      <c r="F21" s="2264">
        <f>固定资产加速折旧审核表!F22</f>
        <v>0</v>
      </c>
      <c r="G21" s="2277">
        <f>固定资产加速折旧审核表!G22</f>
        <v>0</v>
      </c>
      <c r="H21" s="2264">
        <f>固定资产加速折旧审核表!H22</f>
        <v>0</v>
      </c>
      <c r="I21" s="2277">
        <f>固定资产加速折旧审核表!I22</f>
        <v>0</v>
      </c>
      <c r="J21" s="2264">
        <f>固定资产加速折旧审核表!J22</f>
        <v>0</v>
      </c>
      <c r="K21" s="2277">
        <f>固定资产加速折旧审核表!K22</f>
        <v>0</v>
      </c>
      <c r="L21" s="2264">
        <f>固定资产加速折旧审核表!L22</f>
        <v>0</v>
      </c>
      <c r="M21" s="2277">
        <f>固定资产加速折旧审核表!M22</f>
        <v>0</v>
      </c>
      <c r="N21" s="2264">
        <f>固定资产加速折旧审核表!N22</f>
        <v>0</v>
      </c>
      <c r="O21" s="2277">
        <f>固定资产加速折旧审核表!O22</f>
        <v>0</v>
      </c>
      <c r="P21" s="2264">
        <f>固定资产加速折旧审核表!P22</f>
        <v>0</v>
      </c>
      <c r="Q21" s="2281">
        <f>固定资产加速折旧审核表!Q22</f>
        <v>0</v>
      </c>
      <c r="R21" s="2281">
        <f>固定资产加速折旧审核表!R22</f>
        <v>0</v>
      </c>
      <c r="S21" s="2281">
        <f>固定资产加速折旧审核表!S22</f>
        <v>0</v>
      </c>
      <c r="T21" s="2281">
        <f>固定资产加速折旧审核表!T22</f>
        <v>0</v>
      </c>
      <c r="U21" s="2277">
        <f>固定资产加速折旧审核表!U22</f>
        <v>0</v>
      </c>
    </row>
    <row r="22" spans="1:21" ht="16.5" customHeight="1">
      <c r="A22" s="2251">
        <v>17</v>
      </c>
      <c r="B22" s="3403" t="s">
        <v>6826</v>
      </c>
      <c r="C22" s="2252" t="s">
        <v>6815</v>
      </c>
      <c r="D22" s="2272">
        <f>固定资产加速折旧审核表!D23</f>
        <v>0</v>
      </c>
      <c r="E22" s="2278">
        <f>固定资产加速折旧审核表!E23</f>
        <v>0</v>
      </c>
      <c r="F22" s="2272">
        <f>固定资产加速折旧审核表!F23</f>
        <v>0</v>
      </c>
      <c r="G22" s="2278">
        <f>固定资产加速折旧审核表!G23</f>
        <v>0</v>
      </c>
      <c r="H22" s="2272">
        <f>固定资产加速折旧审核表!H23</f>
        <v>0</v>
      </c>
      <c r="I22" s="2278">
        <f>固定资产加速折旧审核表!I23</f>
        <v>0</v>
      </c>
      <c r="J22" s="2272">
        <f>固定资产加速折旧审核表!J23</f>
        <v>0</v>
      </c>
      <c r="K22" s="2278">
        <f>固定资产加速折旧审核表!K23</f>
        <v>0</v>
      </c>
      <c r="L22" s="2272">
        <f>固定资产加速折旧审核表!L23</f>
        <v>0</v>
      </c>
      <c r="M22" s="2278">
        <f>固定资产加速折旧审核表!M23</f>
        <v>0</v>
      </c>
      <c r="N22" s="2272">
        <f>固定资产加速折旧审核表!N23</f>
        <v>0</v>
      </c>
      <c r="O22" s="2278">
        <f>固定资产加速折旧审核表!O23</f>
        <v>0</v>
      </c>
      <c r="P22" s="2272">
        <f>固定资产加速折旧审核表!P23</f>
        <v>0</v>
      </c>
      <c r="Q22" s="2282" t="str">
        <f>固定资产加速折旧审核表!Q23</f>
        <v>*</v>
      </c>
      <c r="R22" s="2282">
        <f>固定资产加速折旧审核表!R23</f>
        <v>0</v>
      </c>
      <c r="S22" s="2282">
        <f>固定资产加速折旧审核表!S23</f>
        <v>0</v>
      </c>
      <c r="T22" s="2282" t="str">
        <f>固定资产加速折旧审核表!T23</f>
        <v>*</v>
      </c>
      <c r="U22" s="2278">
        <f>固定资产加速折旧审核表!U23</f>
        <v>0</v>
      </c>
    </row>
    <row r="23" spans="1:21" ht="16.5" customHeight="1">
      <c r="A23" s="2251">
        <v>18</v>
      </c>
      <c r="B23" s="3403"/>
      <c r="C23" s="2252" t="s">
        <v>6816</v>
      </c>
      <c r="D23" s="2272">
        <f>固定资产加速折旧审核表!D24</f>
        <v>0</v>
      </c>
      <c r="E23" s="2278">
        <f>固定资产加速折旧审核表!E24</f>
        <v>0</v>
      </c>
      <c r="F23" s="2272">
        <f>固定资产加速折旧审核表!F24</f>
        <v>0</v>
      </c>
      <c r="G23" s="2278">
        <f>固定资产加速折旧审核表!G24</f>
        <v>0</v>
      </c>
      <c r="H23" s="2272">
        <f>固定资产加速折旧审核表!H24</f>
        <v>0</v>
      </c>
      <c r="I23" s="2278">
        <f>固定资产加速折旧审核表!I24</f>
        <v>0</v>
      </c>
      <c r="J23" s="2272">
        <f>固定资产加速折旧审核表!J24</f>
        <v>0</v>
      </c>
      <c r="K23" s="2278">
        <f>固定资产加速折旧审核表!K24</f>
        <v>0</v>
      </c>
      <c r="L23" s="2272">
        <f>固定资产加速折旧审核表!L24</f>
        <v>0</v>
      </c>
      <c r="M23" s="2278">
        <f>固定资产加速折旧审核表!M24</f>
        <v>0</v>
      </c>
      <c r="N23" s="2272">
        <f>固定资产加速折旧审核表!N24</f>
        <v>0</v>
      </c>
      <c r="O23" s="2278">
        <f>固定资产加速折旧审核表!O24</f>
        <v>0</v>
      </c>
      <c r="P23" s="2272">
        <f>固定资产加速折旧审核表!P24</f>
        <v>0</v>
      </c>
      <c r="Q23" s="2282">
        <f>固定资产加速折旧审核表!Q24</f>
        <v>0</v>
      </c>
      <c r="R23" s="2282" t="str">
        <f>固定资产加速折旧审核表!R24</f>
        <v>*</v>
      </c>
      <c r="S23" s="2282">
        <f>固定资产加速折旧审核表!S24</f>
        <v>0</v>
      </c>
      <c r="T23" s="2282">
        <f>固定资产加速折旧审核表!T24</f>
        <v>0</v>
      </c>
      <c r="U23" s="2278" t="str">
        <f>固定资产加速折旧审核表!U24</f>
        <v>*</v>
      </c>
    </row>
    <row r="24" spans="1:21" ht="16.5" customHeight="1">
      <c r="A24" s="2251">
        <v>19</v>
      </c>
      <c r="B24" s="3401" t="s">
        <v>6827</v>
      </c>
      <c r="C24" s="3402"/>
      <c r="D24" s="2272">
        <f>固定资产加速折旧审核表!D25</f>
        <v>0</v>
      </c>
      <c r="E24" s="2278">
        <f>固定资产加速折旧审核表!E25</f>
        <v>0</v>
      </c>
      <c r="F24" s="2272">
        <f>固定资产加速折旧审核表!F25</f>
        <v>0</v>
      </c>
      <c r="G24" s="2278">
        <f>固定资产加速折旧审核表!G25</f>
        <v>0</v>
      </c>
      <c r="H24" s="2272">
        <f>固定资产加速折旧审核表!H25</f>
        <v>0</v>
      </c>
      <c r="I24" s="2278">
        <f>固定资产加速折旧审核表!I25</f>
        <v>0</v>
      </c>
      <c r="J24" s="2272">
        <f>固定资产加速折旧审核表!J25</f>
        <v>0</v>
      </c>
      <c r="K24" s="2278">
        <f>固定资产加速折旧审核表!K25</f>
        <v>0</v>
      </c>
      <c r="L24" s="2272">
        <f>固定资产加速折旧审核表!L25</f>
        <v>0</v>
      </c>
      <c r="M24" s="2278">
        <f>固定资产加速折旧审核表!M25</f>
        <v>0</v>
      </c>
      <c r="N24" s="2272">
        <f>固定资产加速折旧审核表!N25</f>
        <v>0</v>
      </c>
      <c r="O24" s="2278">
        <f>固定资产加速折旧审核表!O25</f>
        <v>0</v>
      </c>
      <c r="P24" s="2272">
        <f>固定资产加速折旧审核表!P25</f>
        <v>0</v>
      </c>
      <c r="Q24" s="2282">
        <f>固定资产加速折旧审核表!Q25</f>
        <v>0</v>
      </c>
      <c r="R24" s="2282">
        <f>固定资产加速折旧审核表!R25</f>
        <v>0</v>
      </c>
      <c r="S24" s="2282">
        <f>固定资产加速折旧审核表!S25</f>
        <v>0</v>
      </c>
      <c r="T24" s="2282">
        <f>固定资产加速折旧审核表!T25</f>
        <v>0</v>
      </c>
      <c r="U24" s="2278">
        <f>固定资产加速折旧审核表!U25</f>
        <v>0</v>
      </c>
    </row>
    <row r="25" spans="1:21" ht="16.5" customHeight="1">
      <c r="A25" s="2251">
        <v>20</v>
      </c>
      <c r="B25" s="3403" t="s">
        <v>6826</v>
      </c>
      <c r="C25" s="2252" t="s">
        <v>6815</v>
      </c>
      <c r="D25" s="2272">
        <f>固定资产加速折旧审核表!D26</f>
        <v>0</v>
      </c>
      <c r="E25" s="2278">
        <f>固定资产加速折旧审核表!E26</f>
        <v>0</v>
      </c>
      <c r="F25" s="2272">
        <f>固定资产加速折旧审核表!F26</f>
        <v>0</v>
      </c>
      <c r="G25" s="2278">
        <f>固定资产加速折旧审核表!G26</f>
        <v>0</v>
      </c>
      <c r="H25" s="2272">
        <f>固定资产加速折旧审核表!H26</f>
        <v>0</v>
      </c>
      <c r="I25" s="2278">
        <f>固定资产加速折旧审核表!I26</f>
        <v>0</v>
      </c>
      <c r="J25" s="2272">
        <f>固定资产加速折旧审核表!J26</f>
        <v>0</v>
      </c>
      <c r="K25" s="2278">
        <f>固定资产加速折旧审核表!K26</f>
        <v>0</v>
      </c>
      <c r="L25" s="2272">
        <f>固定资产加速折旧审核表!L26</f>
        <v>0</v>
      </c>
      <c r="M25" s="2278">
        <f>固定资产加速折旧审核表!M26</f>
        <v>0</v>
      </c>
      <c r="N25" s="2272">
        <f>固定资产加速折旧审核表!N26</f>
        <v>0</v>
      </c>
      <c r="O25" s="2278">
        <f>固定资产加速折旧审核表!O26</f>
        <v>0</v>
      </c>
      <c r="P25" s="2272">
        <f>固定资产加速折旧审核表!P26</f>
        <v>0</v>
      </c>
      <c r="Q25" s="2282" t="str">
        <f>固定资产加速折旧审核表!Q26</f>
        <v>*</v>
      </c>
      <c r="R25" s="2282">
        <f>固定资产加速折旧审核表!R26</f>
        <v>0</v>
      </c>
      <c r="S25" s="2282">
        <f>固定资产加速折旧审核表!S26</f>
        <v>0</v>
      </c>
      <c r="T25" s="2282" t="str">
        <f>固定资产加速折旧审核表!T26</f>
        <v>*</v>
      </c>
      <c r="U25" s="2278">
        <f>固定资产加速折旧审核表!U26</f>
        <v>0</v>
      </c>
    </row>
    <row r="26" spans="1:21" ht="16.5" customHeight="1">
      <c r="A26" s="2251">
        <v>21</v>
      </c>
      <c r="B26" s="3403"/>
      <c r="C26" s="2252" t="s">
        <v>6816</v>
      </c>
      <c r="D26" s="2272">
        <f>固定资产加速折旧审核表!D27</f>
        <v>0</v>
      </c>
      <c r="E26" s="2278">
        <f>固定资产加速折旧审核表!E27</f>
        <v>0</v>
      </c>
      <c r="F26" s="2272">
        <f>固定资产加速折旧审核表!F27</f>
        <v>0</v>
      </c>
      <c r="G26" s="2278">
        <f>固定资产加速折旧审核表!G27</f>
        <v>0</v>
      </c>
      <c r="H26" s="2272">
        <f>固定资产加速折旧审核表!H27</f>
        <v>0</v>
      </c>
      <c r="I26" s="2278">
        <f>固定资产加速折旧审核表!I27</f>
        <v>0</v>
      </c>
      <c r="J26" s="2272">
        <f>固定资产加速折旧审核表!J27</f>
        <v>0</v>
      </c>
      <c r="K26" s="2278">
        <f>固定资产加速折旧审核表!K27</f>
        <v>0</v>
      </c>
      <c r="L26" s="2272">
        <f>固定资产加速折旧审核表!L27</f>
        <v>0</v>
      </c>
      <c r="M26" s="2278">
        <f>固定资产加速折旧审核表!M27</f>
        <v>0</v>
      </c>
      <c r="N26" s="2272">
        <f>固定资产加速折旧审核表!N27</f>
        <v>0</v>
      </c>
      <c r="O26" s="2278">
        <f>固定资产加速折旧审核表!O27</f>
        <v>0</v>
      </c>
      <c r="P26" s="2272">
        <f>固定资产加速折旧审核表!P27</f>
        <v>0</v>
      </c>
      <c r="Q26" s="2282">
        <f>固定资产加速折旧审核表!Q27</f>
        <v>0</v>
      </c>
      <c r="R26" s="2282" t="str">
        <f>固定资产加速折旧审核表!R27</f>
        <v>*</v>
      </c>
      <c r="S26" s="2282">
        <f>固定资产加速折旧审核表!S27</f>
        <v>0</v>
      </c>
      <c r="T26" s="2282">
        <f>固定资产加速折旧审核表!T27</f>
        <v>0</v>
      </c>
      <c r="U26" s="2278" t="str">
        <f>固定资产加速折旧审核表!U27</f>
        <v>*</v>
      </c>
    </row>
    <row r="27" spans="1:21" ht="16.5" customHeight="1">
      <c r="A27" s="2251">
        <v>22</v>
      </c>
      <c r="B27" s="3401" t="s">
        <v>6828</v>
      </c>
      <c r="C27" s="3402"/>
      <c r="D27" s="2272">
        <f>固定资产加速折旧审核表!D28</f>
        <v>0</v>
      </c>
      <c r="E27" s="2278">
        <f>固定资产加速折旧审核表!E28</f>
        <v>0</v>
      </c>
      <c r="F27" s="2272">
        <f>固定资产加速折旧审核表!F28</f>
        <v>0</v>
      </c>
      <c r="G27" s="2278">
        <f>固定资产加速折旧审核表!G28</f>
        <v>0</v>
      </c>
      <c r="H27" s="2272">
        <f>固定资产加速折旧审核表!H28</f>
        <v>0</v>
      </c>
      <c r="I27" s="2278">
        <f>固定资产加速折旧审核表!I28</f>
        <v>0</v>
      </c>
      <c r="J27" s="2272">
        <f>固定资产加速折旧审核表!J28</f>
        <v>0</v>
      </c>
      <c r="K27" s="2278">
        <f>固定资产加速折旧审核表!K28</f>
        <v>0</v>
      </c>
      <c r="L27" s="2272">
        <f>固定资产加速折旧审核表!L28</f>
        <v>0</v>
      </c>
      <c r="M27" s="2278">
        <f>固定资产加速折旧审核表!M28</f>
        <v>0</v>
      </c>
      <c r="N27" s="2272">
        <f>固定资产加速折旧审核表!N28</f>
        <v>0</v>
      </c>
      <c r="O27" s="2278">
        <f>固定资产加速折旧审核表!O28</f>
        <v>0</v>
      </c>
      <c r="P27" s="2272">
        <f>固定资产加速折旧审核表!P28</f>
        <v>0</v>
      </c>
      <c r="Q27" s="2282">
        <f>固定资产加速折旧审核表!Q28</f>
        <v>0</v>
      </c>
      <c r="R27" s="2282">
        <f>固定资产加速折旧审核表!R28</f>
        <v>0</v>
      </c>
      <c r="S27" s="2282">
        <f>固定资产加速折旧审核表!S28</f>
        <v>0</v>
      </c>
      <c r="T27" s="2282">
        <f>固定资产加速折旧审核表!T28</f>
        <v>0</v>
      </c>
      <c r="U27" s="2278">
        <f>固定资产加速折旧审核表!U28</f>
        <v>0</v>
      </c>
    </row>
    <row r="28" spans="1:21" ht="16.5" customHeight="1">
      <c r="A28" s="2251">
        <v>23</v>
      </c>
      <c r="B28" s="3403" t="s">
        <v>6826</v>
      </c>
      <c r="C28" s="2252" t="s">
        <v>6815</v>
      </c>
      <c r="D28" s="2272">
        <f>固定资产加速折旧审核表!D29</f>
        <v>0</v>
      </c>
      <c r="E28" s="2278">
        <f>固定资产加速折旧审核表!E29</f>
        <v>0</v>
      </c>
      <c r="F28" s="2272">
        <f>固定资产加速折旧审核表!F29</f>
        <v>0</v>
      </c>
      <c r="G28" s="2278">
        <f>固定资产加速折旧审核表!G29</f>
        <v>0</v>
      </c>
      <c r="H28" s="2272">
        <f>固定资产加速折旧审核表!H29</f>
        <v>0</v>
      </c>
      <c r="I28" s="2278">
        <f>固定资产加速折旧审核表!I29</f>
        <v>0</v>
      </c>
      <c r="J28" s="2272">
        <f>固定资产加速折旧审核表!J29</f>
        <v>0</v>
      </c>
      <c r="K28" s="2278">
        <f>固定资产加速折旧审核表!K29</f>
        <v>0</v>
      </c>
      <c r="L28" s="2272">
        <f>固定资产加速折旧审核表!L29</f>
        <v>0</v>
      </c>
      <c r="M28" s="2278">
        <f>固定资产加速折旧审核表!M29</f>
        <v>0</v>
      </c>
      <c r="N28" s="2272">
        <f>固定资产加速折旧审核表!N29</f>
        <v>0</v>
      </c>
      <c r="O28" s="2278">
        <f>固定资产加速折旧审核表!O29</f>
        <v>0</v>
      </c>
      <c r="P28" s="2272">
        <f>固定资产加速折旧审核表!P29</f>
        <v>0</v>
      </c>
      <c r="Q28" s="2282" t="str">
        <f>固定资产加速折旧审核表!Q29</f>
        <v>*</v>
      </c>
      <c r="R28" s="2282">
        <f>固定资产加速折旧审核表!R29</f>
        <v>0</v>
      </c>
      <c r="S28" s="2282">
        <f>固定资产加速折旧审核表!S29</f>
        <v>0</v>
      </c>
      <c r="T28" s="2282" t="str">
        <f>固定资产加速折旧审核表!T29</f>
        <v>*</v>
      </c>
      <c r="U28" s="2278">
        <f>固定资产加速折旧审核表!U29</f>
        <v>0</v>
      </c>
    </row>
    <row r="29" spans="1:21" ht="16.5" customHeight="1">
      <c r="A29" s="2251">
        <v>24</v>
      </c>
      <c r="B29" s="3403"/>
      <c r="C29" s="2252" t="s">
        <v>6816</v>
      </c>
      <c r="D29" s="2272">
        <f>固定资产加速折旧审核表!D30</f>
        <v>0</v>
      </c>
      <c r="E29" s="2278">
        <f>固定资产加速折旧审核表!E30</f>
        <v>0</v>
      </c>
      <c r="F29" s="2272">
        <f>固定资产加速折旧审核表!F30</f>
        <v>0</v>
      </c>
      <c r="G29" s="2278">
        <f>固定资产加速折旧审核表!G30</f>
        <v>0</v>
      </c>
      <c r="H29" s="2272">
        <f>固定资产加速折旧审核表!H30</f>
        <v>0</v>
      </c>
      <c r="I29" s="2278">
        <f>固定资产加速折旧审核表!I30</f>
        <v>0</v>
      </c>
      <c r="J29" s="2272">
        <f>固定资产加速折旧审核表!J30</f>
        <v>0</v>
      </c>
      <c r="K29" s="2278">
        <f>固定资产加速折旧审核表!K30</f>
        <v>0</v>
      </c>
      <c r="L29" s="2272">
        <f>固定资产加速折旧审核表!L30</f>
        <v>0</v>
      </c>
      <c r="M29" s="2278">
        <f>固定资产加速折旧审核表!M30</f>
        <v>0</v>
      </c>
      <c r="N29" s="2272">
        <f>固定资产加速折旧审核表!N30</f>
        <v>0</v>
      </c>
      <c r="O29" s="2278">
        <f>固定资产加速折旧审核表!O30</f>
        <v>0</v>
      </c>
      <c r="P29" s="2272">
        <f>固定资产加速折旧审核表!P30</f>
        <v>0</v>
      </c>
      <c r="Q29" s="2282">
        <f>固定资产加速折旧审核表!Q30</f>
        <v>0</v>
      </c>
      <c r="R29" s="2282" t="str">
        <f>固定资产加速折旧审核表!R30</f>
        <v>*</v>
      </c>
      <c r="S29" s="2282">
        <f>固定资产加速折旧审核表!S30</f>
        <v>0</v>
      </c>
      <c r="T29" s="2282">
        <f>固定资产加速折旧审核表!T30</f>
        <v>0</v>
      </c>
      <c r="U29" s="2278" t="str">
        <f>固定资产加速折旧审核表!U30</f>
        <v>*</v>
      </c>
    </row>
    <row r="30" spans="1:21" ht="16.5" customHeight="1">
      <c r="A30" s="2251">
        <v>25</v>
      </c>
      <c r="B30" s="3401" t="s">
        <v>6829</v>
      </c>
      <c r="C30" s="3402"/>
      <c r="D30" s="2272">
        <f>固定资产加速折旧审核表!D31</f>
        <v>0</v>
      </c>
      <c r="E30" s="2278">
        <f>固定资产加速折旧审核表!E31</f>
        <v>0</v>
      </c>
      <c r="F30" s="2272">
        <f>固定资产加速折旧审核表!F31</f>
        <v>0</v>
      </c>
      <c r="G30" s="2278">
        <f>固定资产加速折旧审核表!G31</f>
        <v>0</v>
      </c>
      <c r="H30" s="2272">
        <f>固定资产加速折旧审核表!H31</f>
        <v>0</v>
      </c>
      <c r="I30" s="2278">
        <f>固定资产加速折旧审核表!I31</f>
        <v>0</v>
      </c>
      <c r="J30" s="2272">
        <f>固定资产加速折旧审核表!J31</f>
        <v>0</v>
      </c>
      <c r="K30" s="2278">
        <f>固定资产加速折旧审核表!K31</f>
        <v>0</v>
      </c>
      <c r="L30" s="2272">
        <f>固定资产加速折旧审核表!L31</f>
        <v>0</v>
      </c>
      <c r="M30" s="2278">
        <f>固定资产加速折旧审核表!M31</f>
        <v>0</v>
      </c>
      <c r="N30" s="2272">
        <f>固定资产加速折旧审核表!N31</f>
        <v>0</v>
      </c>
      <c r="O30" s="2278">
        <f>固定资产加速折旧审核表!O31</f>
        <v>0</v>
      </c>
      <c r="P30" s="2272">
        <f>固定资产加速折旧审核表!P31</f>
        <v>0</v>
      </c>
      <c r="Q30" s="2282">
        <f>固定资产加速折旧审核表!Q31</f>
        <v>0</v>
      </c>
      <c r="R30" s="2282">
        <f>固定资产加速折旧审核表!R31</f>
        <v>0</v>
      </c>
      <c r="S30" s="2282">
        <f>固定资产加速折旧审核表!S31</f>
        <v>0</v>
      </c>
      <c r="T30" s="2282">
        <f>固定资产加速折旧审核表!T31</f>
        <v>0</v>
      </c>
      <c r="U30" s="2278">
        <f>固定资产加速折旧审核表!U31</f>
        <v>0</v>
      </c>
    </row>
    <row r="31" spans="1:21" ht="16.5" customHeight="1">
      <c r="A31" s="2251">
        <v>26</v>
      </c>
      <c r="B31" s="3403" t="s">
        <v>6826</v>
      </c>
      <c r="C31" s="2252" t="s">
        <v>6815</v>
      </c>
      <c r="D31" s="2272">
        <f>固定资产加速折旧审核表!D32</f>
        <v>0</v>
      </c>
      <c r="E31" s="2278">
        <f>固定资产加速折旧审核表!E32</f>
        <v>0</v>
      </c>
      <c r="F31" s="2272">
        <f>固定资产加速折旧审核表!F32</f>
        <v>0</v>
      </c>
      <c r="G31" s="2278">
        <f>固定资产加速折旧审核表!G32</f>
        <v>0</v>
      </c>
      <c r="H31" s="2272">
        <f>固定资产加速折旧审核表!H32</f>
        <v>0</v>
      </c>
      <c r="I31" s="2278">
        <f>固定资产加速折旧审核表!I32</f>
        <v>0</v>
      </c>
      <c r="J31" s="2272">
        <f>固定资产加速折旧审核表!J32</f>
        <v>0</v>
      </c>
      <c r="K31" s="2278">
        <f>固定资产加速折旧审核表!K32</f>
        <v>0</v>
      </c>
      <c r="L31" s="2272">
        <f>固定资产加速折旧审核表!L32</f>
        <v>0</v>
      </c>
      <c r="M31" s="2278">
        <f>固定资产加速折旧审核表!M32</f>
        <v>0</v>
      </c>
      <c r="N31" s="2272">
        <f>固定资产加速折旧审核表!N32</f>
        <v>0</v>
      </c>
      <c r="O31" s="2278">
        <f>固定资产加速折旧审核表!O32</f>
        <v>0</v>
      </c>
      <c r="P31" s="2272">
        <f>固定资产加速折旧审核表!P32</f>
        <v>0</v>
      </c>
      <c r="Q31" s="2282" t="str">
        <f>固定资产加速折旧审核表!Q32</f>
        <v>*</v>
      </c>
      <c r="R31" s="2282">
        <f>固定资产加速折旧审核表!R32</f>
        <v>0</v>
      </c>
      <c r="S31" s="2282">
        <f>固定资产加速折旧审核表!S32</f>
        <v>0</v>
      </c>
      <c r="T31" s="2282" t="str">
        <f>固定资产加速折旧审核表!T32</f>
        <v>*</v>
      </c>
      <c r="U31" s="2278">
        <f>固定资产加速折旧审核表!U32</f>
        <v>0</v>
      </c>
    </row>
    <row r="32" spans="1:21" ht="16.5" customHeight="1">
      <c r="A32" s="2251">
        <v>27</v>
      </c>
      <c r="B32" s="3403"/>
      <c r="C32" s="2252" t="s">
        <v>6816</v>
      </c>
      <c r="D32" s="2272">
        <f>固定资产加速折旧审核表!D33</f>
        <v>0</v>
      </c>
      <c r="E32" s="2278">
        <f>固定资产加速折旧审核表!E33</f>
        <v>0</v>
      </c>
      <c r="F32" s="2272">
        <f>固定资产加速折旧审核表!F33</f>
        <v>0</v>
      </c>
      <c r="G32" s="2278">
        <f>固定资产加速折旧审核表!G33</f>
        <v>0</v>
      </c>
      <c r="H32" s="2272">
        <f>固定资产加速折旧审核表!H33</f>
        <v>0</v>
      </c>
      <c r="I32" s="2278">
        <f>固定资产加速折旧审核表!I33</f>
        <v>0</v>
      </c>
      <c r="J32" s="2272">
        <f>固定资产加速折旧审核表!J33</f>
        <v>0</v>
      </c>
      <c r="K32" s="2278">
        <f>固定资产加速折旧审核表!K33</f>
        <v>0</v>
      </c>
      <c r="L32" s="2272">
        <f>固定资产加速折旧审核表!L33</f>
        <v>0</v>
      </c>
      <c r="M32" s="2278">
        <f>固定资产加速折旧审核表!M33</f>
        <v>0</v>
      </c>
      <c r="N32" s="2272">
        <f>固定资产加速折旧审核表!N33</f>
        <v>0</v>
      </c>
      <c r="O32" s="2278">
        <f>固定资产加速折旧审核表!O33</f>
        <v>0</v>
      </c>
      <c r="P32" s="2272">
        <f>固定资产加速折旧审核表!P33</f>
        <v>0</v>
      </c>
      <c r="Q32" s="2282">
        <f>固定资产加速折旧审核表!Q33</f>
        <v>0</v>
      </c>
      <c r="R32" s="2282" t="str">
        <f>固定资产加速折旧审核表!R33</f>
        <v>*</v>
      </c>
      <c r="S32" s="2282">
        <f>固定资产加速折旧审核表!S33</f>
        <v>0</v>
      </c>
      <c r="T32" s="2282">
        <f>固定资产加速折旧审核表!T33</f>
        <v>0</v>
      </c>
      <c r="U32" s="2278" t="str">
        <f>固定资产加速折旧审核表!U33</f>
        <v>*</v>
      </c>
    </row>
    <row r="33" spans="1:21" ht="18" customHeight="1">
      <c r="A33" s="2248">
        <v>35</v>
      </c>
      <c r="B33" s="3404" t="s">
        <v>6830</v>
      </c>
      <c r="C33" s="3405"/>
      <c r="D33" s="2279">
        <f>固定资产加速折旧审核表!D34</f>
        <v>0</v>
      </c>
      <c r="E33" s="2280">
        <f>固定资产加速折旧审核表!E34</f>
        <v>0</v>
      </c>
      <c r="F33" s="2279">
        <f>固定资产加速折旧审核表!F34</f>
        <v>0</v>
      </c>
      <c r="G33" s="2280">
        <f>固定资产加速折旧审核表!G34</f>
        <v>0</v>
      </c>
      <c r="H33" s="2279">
        <f>固定资产加速折旧审核表!H34</f>
        <v>0</v>
      </c>
      <c r="I33" s="2280">
        <f>固定资产加速折旧审核表!I34</f>
        <v>0</v>
      </c>
      <c r="J33" s="2279">
        <f>固定资产加速折旧审核表!J34</f>
        <v>0</v>
      </c>
      <c r="K33" s="2280">
        <f>固定资产加速折旧审核表!K34</f>
        <v>0</v>
      </c>
      <c r="L33" s="2279">
        <f>固定资产加速折旧审核表!L34</f>
        <v>0</v>
      </c>
      <c r="M33" s="2280">
        <f>固定资产加速折旧审核表!M34</f>
        <v>0</v>
      </c>
      <c r="N33" s="2279">
        <f>固定资产加速折旧审核表!N34</f>
        <v>0</v>
      </c>
      <c r="O33" s="2280">
        <f>固定资产加速折旧审核表!O34</f>
        <v>0</v>
      </c>
      <c r="P33" s="2279">
        <f>固定资产加速折旧审核表!P34</f>
        <v>0</v>
      </c>
      <c r="Q33" s="2283">
        <f>固定资产加速折旧审核表!Q34</f>
        <v>0</v>
      </c>
      <c r="R33" s="2283">
        <f>固定资产加速折旧审核表!R34</f>
        <v>0</v>
      </c>
      <c r="S33" s="2283">
        <f>固定资产加速折旧审核表!S34</f>
        <v>0</v>
      </c>
      <c r="T33" s="2283">
        <f>固定资产加速折旧审核表!T34</f>
        <v>0</v>
      </c>
      <c r="U33" s="2280">
        <f>固定资产加速折旧审核表!U34</f>
        <v>0</v>
      </c>
    </row>
    <row r="34" spans="1:21">
      <c r="A34" s="2002"/>
    </row>
  </sheetData>
  <mergeCells count="30">
    <mergeCell ref="B30:C30"/>
    <mergeCell ref="B31:B32"/>
    <mergeCell ref="B33:C33"/>
    <mergeCell ref="B22:B23"/>
    <mergeCell ref="B24:C24"/>
    <mergeCell ref="B25:B26"/>
    <mergeCell ref="B27:C27"/>
    <mergeCell ref="B28:B29"/>
    <mergeCell ref="A2:U2"/>
    <mergeCell ref="B20:U20"/>
    <mergeCell ref="B21:C21"/>
    <mergeCell ref="B6:C6"/>
    <mergeCell ref="B7:B8"/>
    <mergeCell ref="B17:B18"/>
    <mergeCell ref="B19:C19"/>
    <mergeCell ref="B9:C9"/>
    <mergeCell ref="B10:B11"/>
    <mergeCell ref="B12:C12"/>
    <mergeCell ref="B13:C13"/>
    <mergeCell ref="B14:B15"/>
    <mergeCell ref="F3:G3"/>
    <mergeCell ref="D3:E3"/>
    <mergeCell ref="A3:A5"/>
    <mergeCell ref="B3:C5"/>
    <mergeCell ref="B16:C16"/>
    <mergeCell ref="P3:U3"/>
    <mergeCell ref="N3:O3"/>
    <mergeCell ref="L3:M3"/>
    <mergeCell ref="J3:K3"/>
    <mergeCell ref="H3:I3"/>
  </mergeCells>
  <phoneticPr fontId="51" type="noConversion"/>
  <hyperlinks>
    <hyperlink ref="V9" location="固资折旧!A1" display="固资折旧!A1"/>
    <hyperlink ref="V11" location="折旧测算!A1" display="折旧测算!A1"/>
    <hyperlink ref="V13" location="固定资产加速折旧审核表!A1" display="固定资产加速折旧审核表!A1"/>
  </hyperlinks>
  <printOptions horizontalCentered="1"/>
  <pageMargins left="0.78740157480314998" right="0.35433070866141703" top="0.511811023622047" bottom="0.11811023622047198" header="0.511811023622047" footer="0.511811023622047"/>
  <pageSetup paperSize="9" scale="90" orientation="landscape" useFirstPageNumber="1" r:id="rId1"/>
  <headerFooter alignWithMargins="0"/>
</worksheet>
</file>

<file path=xl/worksheets/sheet13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33">
    <tabColor rgb="FFFFFF00"/>
  </sheetPr>
  <dimension ref="A1:I18"/>
  <sheetViews>
    <sheetView workbookViewId="0">
      <selection sqref="A1:E1"/>
    </sheetView>
  </sheetViews>
  <sheetFormatPr defaultRowHeight="15.6"/>
  <cols>
    <col min="1" max="1" width="5.19921875" style="1558" customWidth="1"/>
    <col min="2" max="2" width="46.5" style="1558" customWidth="1"/>
    <col min="3" max="5" width="12.19921875" style="1558" customWidth="1"/>
    <col min="6" max="6" width="17.19921875" style="1558" customWidth="1"/>
    <col min="7" max="8" width="9" style="1558"/>
    <col min="9" max="9" width="42" style="1558" customWidth="1"/>
    <col min="10" max="256" width="9" style="1558"/>
    <col min="257" max="257" width="5.19921875" style="1558" customWidth="1"/>
    <col min="258" max="258" width="46.5" style="1558" customWidth="1"/>
    <col min="259" max="260" width="9.3984375" style="1558" customWidth="1"/>
    <col min="261" max="261" width="10.19921875" style="1558" customWidth="1"/>
    <col min="262" max="262" width="23.5" style="1558" customWidth="1"/>
    <col min="263" max="264" width="9" style="1558"/>
    <col min="265" max="265" width="42" style="1558" customWidth="1"/>
    <col min="266" max="512" width="9" style="1558"/>
    <col min="513" max="513" width="5.19921875" style="1558" customWidth="1"/>
    <col min="514" max="514" width="46.5" style="1558" customWidth="1"/>
    <col min="515" max="516" width="9.3984375" style="1558" customWidth="1"/>
    <col min="517" max="517" width="10.19921875" style="1558" customWidth="1"/>
    <col min="518" max="518" width="23.5" style="1558" customWidth="1"/>
    <col min="519" max="520" width="9" style="1558"/>
    <col min="521" max="521" width="42" style="1558" customWidth="1"/>
    <col min="522" max="768" width="9" style="1558"/>
    <col min="769" max="769" width="5.19921875" style="1558" customWidth="1"/>
    <col min="770" max="770" width="46.5" style="1558" customWidth="1"/>
    <col min="771" max="772" width="9.3984375" style="1558" customWidth="1"/>
    <col min="773" max="773" width="10.19921875" style="1558" customWidth="1"/>
    <col min="774" max="774" width="23.5" style="1558" customWidth="1"/>
    <col min="775" max="776" width="9" style="1558"/>
    <col min="777" max="777" width="42" style="1558" customWidth="1"/>
    <col min="778" max="1024" width="9" style="1558"/>
    <col min="1025" max="1025" width="5.19921875" style="1558" customWidth="1"/>
    <col min="1026" max="1026" width="46.5" style="1558" customWidth="1"/>
    <col min="1027" max="1028" width="9.3984375" style="1558" customWidth="1"/>
    <col min="1029" max="1029" width="10.19921875" style="1558" customWidth="1"/>
    <col min="1030" max="1030" width="23.5" style="1558" customWidth="1"/>
    <col min="1031" max="1032" width="9" style="1558"/>
    <col min="1033" max="1033" width="42" style="1558" customWidth="1"/>
    <col min="1034" max="1280" width="9" style="1558"/>
    <col min="1281" max="1281" width="5.19921875" style="1558" customWidth="1"/>
    <col min="1282" max="1282" width="46.5" style="1558" customWidth="1"/>
    <col min="1283" max="1284" width="9.3984375" style="1558" customWidth="1"/>
    <col min="1285" max="1285" width="10.19921875" style="1558" customWidth="1"/>
    <col min="1286" max="1286" width="23.5" style="1558" customWidth="1"/>
    <col min="1287" max="1288" width="9" style="1558"/>
    <col min="1289" max="1289" width="42" style="1558" customWidth="1"/>
    <col min="1290" max="1536" width="9" style="1558"/>
    <col min="1537" max="1537" width="5.19921875" style="1558" customWidth="1"/>
    <col min="1538" max="1538" width="46.5" style="1558" customWidth="1"/>
    <col min="1539" max="1540" width="9.3984375" style="1558" customWidth="1"/>
    <col min="1541" max="1541" width="10.19921875" style="1558" customWidth="1"/>
    <col min="1542" max="1542" width="23.5" style="1558" customWidth="1"/>
    <col min="1543" max="1544" width="9" style="1558"/>
    <col min="1545" max="1545" width="42" style="1558" customWidth="1"/>
    <col min="1546" max="1792" width="9" style="1558"/>
    <col min="1793" max="1793" width="5.19921875" style="1558" customWidth="1"/>
    <col min="1794" max="1794" width="46.5" style="1558" customWidth="1"/>
    <col min="1795" max="1796" width="9.3984375" style="1558" customWidth="1"/>
    <col min="1797" max="1797" width="10.19921875" style="1558" customWidth="1"/>
    <col min="1798" max="1798" width="23.5" style="1558" customWidth="1"/>
    <col min="1799" max="1800" width="9" style="1558"/>
    <col min="1801" max="1801" width="42" style="1558" customWidth="1"/>
    <col min="1802" max="2048" width="9" style="1558"/>
    <col min="2049" max="2049" width="5.19921875" style="1558" customWidth="1"/>
    <col min="2050" max="2050" width="46.5" style="1558" customWidth="1"/>
    <col min="2051" max="2052" width="9.3984375" style="1558" customWidth="1"/>
    <col min="2053" max="2053" width="10.19921875" style="1558" customWidth="1"/>
    <col min="2054" max="2054" width="23.5" style="1558" customWidth="1"/>
    <col min="2055" max="2056" width="9" style="1558"/>
    <col min="2057" max="2057" width="42" style="1558" customWidth="1"/>
    <col min="2058" max="2304" width="9" style="1558"/>
    <col min="2305" max="2305" width="5.19921875" style="1558" customWidth="1"/>
    <col min="2306" max="2306" width="46.5" style="1558" customWidth="1"/>
    <col min="2307" max="2308" width="9.3984375" style="1558" customWidth="1"/>
    <col min="2309" max="2309" width="10.19921875" style="1558" customWidth="1"/>
    <col min="2310" max="2310" width="23.5" style="1558" customWidth="1"/>
    <col min="2311" max="2312" width="9" style="1558"/>
    <col min="2313" max="2313" width="42" style="1558" customWidth="1"/>
    <col min="2314" max="2560" width="9" style="1558"/>
    <col min="2561" max="2561" width="5.19921875" style="1558" customWidth="1"/>
    <col min="2562" max="2562" width="46.5" style="1558" customWidth="1"/>
    <col min="2563" max="2564" width="9.3984375" style="1558" customWidth="1"/>
    <col min="2565" max="2565" width="10.19921875" style="1558" customWidth="1"/>
    <col min="2566" max="2566" width="23.5" style="1558" customWidth="1"/>
    <col min="2567" max="2568" width="9" style="1558"/>
    <col min="2569" max="2569" width="42" style="1558" customWidth="1"/>
    <col min="2570" max="2816" width="9" style="1558"/>
    <col min="2817" max="2817" width="5.19921875" style="1558" customWidth="1"/>
    <col min="2818" max="2818" width="46.5" style="1558" customWidth="1"/>
    <col min="2819" max="2820" width="9.3984375" style="1558" customWidth="1"/>
    <col min="2821" max="2821" width="10.19921875" style="1558" customWidth="1"/>
    <col min="2822" max="2822" width="23.5" style="1558" customWidth="1"/>
    <col min="2823" max="2824" width="9" style="1558"/>
    <col min="2825" max="2825" width="42" style="1558" customWidth="1"/>
    <col min="2826" max="3072" width="9" style="1558"/>
    <col min="3073" max="3073" width="5.19921875" style="1558" customWidth="1"/>
    <col min="3074" max="3074" width="46.5" style="1558" customWidth="1"/>
    <col min="3075" max="3076" width="9.3984375" style="1558" customWidth="1"/>
    <col min="3077" max="3077" width="10.19921875" style="1558" customWidth="1"/>
    <col min="3078" max="3078" width="23.5" style="1558" customWidth="1"/>
    <col min="3079" max="3080" width="9" style="1558"/>
    <col min="3081" max="3081" width="42" style="1558" customWidth="1"/>
    <col min="3082" max="3328" width="9" style="1558"/>
    <col min="3329" max="3329" width="5.19921875" style="1558" customWidth="1"/>
    <col min="3330" max="3330" width="46.5" style="1558" customWidth="1"/>
    <col min="3331" max="3332" width="9.3984375" style="1558" customWidth="1"/>
    <col min="3333" max="3333" width="10.19921875" style="1558" customWidth="1"/>
    <col min="3334" max="3334" width="23.5" style="1558" customWidth="1"/>
    <col min="3335" max="3336" width="9" style="1558"/>
    <col min="3337" max="3337" width="42" style="1558" customWidth="1"/>
    <col min="3338" max="3584" width="9" style="1558"/>
    <col min="3585" max="3585" width="5.19921875" style="1558" customWidth="1"/>
    <col min="3586" max="3586" width="46.5" style="1558" customWidth="1"/>
    <col min="3587" max="3588" width="9.3984375" style="1558" customWidth="1"/>
    <col min="3589" max="3589" width="10.19921875" style="1558" customWidth="1"/>
    <col min="3590" max="3590" width="23.5" style="1558" customWidth="1"/>
    <col min="3591" max="3592" width="9" style="1558"/>
    <col min="3593" max="3593" width="42" style="1558" customWidth="1"/>
    <col min="3594" max="3840" width="9" style="1558"/>
    <col min="3841" max="3841" width="5.19921875" style="1558" customWidth="1"/>
    <col min="3842" max="3842" width="46.5" style="1558" customWidth="1"/>
    <col min="3843" max="3844" width="9.3984375" style="1558" customWidth="1"/>
    <col min="3845" max="3845" width="10.19921875" style="1558" customWidth="1"/>
    <col min="3846" max="3846" width="23.5" style="1558" customWidth="1"/>
    <col min="3847" max="3848" width="9" style="1558"/>
    <col min="3849" max="3849" width="42" style="1558" customWidth="1"/>
    <col min="3850" max="4096" width="9" style="1558"/>
    <col min="4097" max="4097" width="5.19921875" style="1558" customWidth="1"/>
    <col min="4098" max="4098" width="46.5" style="1558" customWidth="1"/>
    <col min="4099" max="4100" width="9.3984375" style="1558" customWidth="1"/>
    <col min="4101" max="4101" width="10.19921875" style="1558" customWidth="1"/>
    <col min="4102" max="4102" width="23.5" style="1558" customWidth="1"/>
    <col min="4103" max="4104" width="9" style="1558"/>
    <col min="4105" max="4105" width="42" style="1558" customWidth="1"/>
    <col min="4106" max="4352" width="9" style="1558"/>
    <col min="4353" max="4353" width="5.19921875" style="1558" customWidth="1"/>
    <col min="4354" max="4354" width="46.5" style="1558" customWidth="1"/>
    <col min="4355" max="4356" width="9.3984375" style="1558" customWidth="1"/>
    <col min="4357" max="4357" width="10.19921875" style="1558" customWidth="1"/>
    <col min="4358" max="4358" width="23.5" style="1558" customWidth="1"/>
    <col min="4359" max="4360" width="9" style="1558"/>
    <col min="4361" max="4361" width="42" style="1558" customWidth="1"/>
    <col min="4362" max="4608" width="9" style="1558"/>
    <col min="4609" max="4609" width="5.19921875" style="1558" customWidth="1"/>
    <col min="4610" max="4610" width="46.5" style="1558" customWidth="1"/>
    <col min="4611" max="4612" width="9.3984375" style="1558" customWidth="1"/>
    <col min="4613" max="4613" width="10.19921875" style="1558" customWidth="1"/>
    <col min="4614" max="4614" width="23.5" style="1558" customWidth="1"/>
    <col min="4615" max="4616" width="9" style="1558"/>
    <col min="4617" max="4617" width="42" style="1558" customWidth="1"/>
    <col min="4618" max="4864" width="9" style="1558"/>
    <col min="4865" max="4865" width="5.19921875" style="1558" customWidth="1"/>
    <col min="4866" max="4866" width="46.5" style="1558" customWidth="1"/>
    <col min="4867" max="4868" width="9.3984375" style="1558" customWidth="1"/>
    <col min="4869" max="4869" width="10.19921875" style="1558" customWidth="1"/>
    <col min="4870" max="4870" width="23.5" style="1558" customWidth="1"/>
    <col min="4871" max="4872" width="9" style="1558"/>
    <col min="4873" max="4873" width="42" style="1558" customWidth="1"/>
    <col min="4874" max="5120" width="9" style="1558"/>
    <col min="5121" max="5121" width="5.19921875" style="1558" customWidth="1"/>
    <col min="5122" max="5122" width="46.5" style="1558" customWidth="1"/>
    <col min="5123" max="5124" width="9.3984375" style="1558" customWidth="1"/>
    <col min="5125" max="5125" width="10.19921875" style="1558" customWidth="1"/>
    <col min="5126" max="5126" width="23.5" style="1558" customWidth="1"/>
    <col min="5127" max="5128" width="9" style="1558"/>
    <col min="5129" max="5129" width="42" style="1558" customWidth="1"/>
    <col min="5130" max="5376" width="9" style="1558"/>
    <col min="5377" max="5377" width="5.19921875" style="1558" customWidth="1"/>
    <col min="5378" max="5378" width="46.5" style="1558" customWidth="1"/>
    <col min="5379" max="5380" width="9.3984375" style="1558" customWidth="1"/>
    <col min="5381" max="5381" width="10.19921875" style="1558" customWidth="1"/>
    <col min="5382" max="5382" width="23.5" style="1558" customWidth="1"/>
    <col min="5383" max="5384" width="9" style="1558"/>
    <col min="5385" max="5385" width="42" style="1558" customWidth="1"/>
    <col min="5386" max="5632" width="9" style="1558"/>
    <col min="5633" max="5633" width="5.19921875" style="1558" customWidth="1"/>
    <col min="5634" max="5634" width="46.5" style="1558" customWidth="1"/>
    <col min="5635" max="5636" width="9.3984375" style="1558" customWidth="1"/>
    <col min="5637" max="5637" width="10.19921875" style="1558" customWidth="1"/>
    <col min="5638" max="5638" width="23.5" style="1558" customWidth="1"/>
    <col min="5639" max="5640" width="9" style="1558"/>
    <col min="5641" max="5641" width="42" style="1558" customWidth="1"/>
    <col min="5642" max="5888" width="9" style="1558"/>
    <col min="5889" max="5889" width="5.19921875" style="1558" customWidth="1"/>
    <col min="5890" max="5890" width="46.5" style="1558" customWidth="1"/>
    <col min="5891" max="5892" width="9.3984375" style="1558" customWidth="1"/>
    <col min="5893" max="5893" width="10.19921875" style="1558" customWidth="1"/>
    <col min="5894" max="5894" width="23.5" style="1558" customWidth="1"/>
    <col min="5895" max="5896" width="9" style="1558"/>
    <col min="5897" max="5897" width="42" style="1558" customWidth="1"/>
    <col min="5898" max="6144" width="9" style="1558"/>
    <col min="6145" max="6145" width="5.19921875" style="1558" customWidth="1"/>
    <col min="6146" max="6146" width="46.5" style="1558" customWidth="1"/>
    <col min="6147" max="6148" width="9.3984375" style="1558" customWidth="1"/>
    <col min="6149" max="6149" width="10.19921875" style="1558" customWidth="1"/>
    <col min="6150" max="6150" width="23.5" style="1558" customWidth="1"/>
    <col min="6151" max="6152" width="9" style="1558"/>
    <col min="6153" max="6153" width="42" style="1558" customWidth="1"/>
    <col min="6154" max="6400" width="9" style="1558"/>
    <col min="6401" max="6401" width="5.19921875" style="1558" customWidth="1"/>
    <col min="6402" max="6402" width="46.5" style="1558" customWidth="1"/>
    <col min="6403" max="6404" width="9.3984375" style="1558" customWidth="1"/>
    <col min="6405" max="6405" width="10.19921875" style="1558" customWidth="1"/>
    <col min="6406" max="6406" width="23.5" style="1558" customWidth="1"/>
    <col min="6407" max="6408" width="9" style="1558"/>
    <col min="6409" max="6409" width="42" style="1558" customWidth="1"/>
    <col min="6410" max="6656" width="9" style="1558"/>
    <col min="6657" max="6657" width="5.19921875" style="1558" customWidth="1"/>
    <col min="6658" max="6658" width="46.5" style="1558" customWidth="1"/>
    <col min="6659" max="6660" width="9.3984375" style="1558" customWidth="1"/>
    <col min="6661" max="6661" width="10.19921875" style="1558" customWidth="1"/>
    <col min="6662" max="6662" width="23.5" style="1558" customWidth="1"/>
    <col min="6663" max="6664" width="9" style="1558"/>
    <col min="6665" max="6665" width="42" style="1558" customWidth="1"/>
    <col min="6666" max="6912" width="9" style="1558"/>
    <col min="6913" max="6913" width="5.19921875" style="1558" customWidth="1"/>
    <col min="6914" max="6914" width="46.5" style="1558" customWidth="1"/>
    <col min="6915" max="6916" width="9.3984375" style="1558" customWidth="1"/>
    <col min="6917" max="6917" width="10.19921875" style="1558" customWidth="1"/>
    <col min="6918" max="6918" width="23.5" style="1558" customWidth="1"/>
    <col min="6919" max="6920" width="9" style="1558"/>
    <col min="6921" max="6921" width="42" style="1558" customWidth="1"/>
    <col min="6922" max="7168" width="9" style="1558"/>
    <col min="7169" max="7169" width="5.19921875" style="1558" customWidth="1"/>
    <col min="7170" max="7170" width="46.5" style="1558" customWidth="1"/>
    <col min="7171" max="7172" width="9.3984375" style="1558" customWidth="1"/>
    <col min="7173" max="7173" width="10.19921875" style="1558" customWidth="1"/>
    <col min="7174" max="7174" width="23.5" style="1558" customWidth="1"/>
    <col min="7175" max="7176" width="9" style="1558"/>
    <col min="7177" max="7177" width="42" style="1558" customWidth="1"/>
    <col min="7178" max="7424" width="9" style="1558"/>
    <col min="7425" max="7425" width="5.19921875" style="1558" customWidth="1"/>
    <col min="7426" max="7426" width="46.5" style="1558" customWidth="1"/>
    <col min="7427" max="7428" width="9.3984375" style="1558" customWidth="1"/>
    <col min="7429" max="7429" width="10.19921875" style="1558" customWidth="1"/>
    <col min="7430" max="7430" width="23.5" style="1558" customWidth="1"/>
    <col min="7431" max="7432" width="9" style="1558"/>
    <col min="7433" max="7433" width="42" style="1558" customWidth="1"/>
    <col min="7434" max="7680" width="9" style="1558"/>
    <col min="7681" max="7681" width="5.19921875" style="1558" customWidth="1"/>
    <col min="7682" max="7682" width="46.5" style="1558" customWidth="1"/>
    <col min="7683" max="7684" width="9.3984375" style="1558" customWidth="1"/>
    <col min="7685" max="7685" width="10.19921875" style="1558" customWidth="1"/>
    <col min="7686" max="7686" width="23.5" style="1558" customWidth="1"/>
    <col min="7687" max="7688" width="9" style="1558"/>
    <col min="7689" max="7689" width="42" style="1558" customWidth="1"/>
    <col min="7690" max="7936" width="9" style="1558"/>
    <col min="7937" max="7937" width="5.19921875" style="1558" customWidth="1"/>
    <col min="7938" max="7938" width="46.5" style="1558" customWidth="1"/>
    <col min="7939" max="7940" width="9.3984375" style="1558" customWidth="1"/>
    <col min="7941" max="7941" width="10.19921875" style="1558" customWidth="1"/>
    <col min="7942" max="7942" width="23.5" style="1558" customWidth="1"/>
    <col min="7943" max="7944" width="9" style="1558"/>
    <col min="7945" max="7945" width="42" style="1558" customWidth="1"/>
    <col min="7946" max="8192" width="9" style="1558"/>
    <col min="8193" max="8193" width="5.19921875" style="1558" customWidth="1"/>
    <col min="8194" max="8194" width="46.5" style="1558" customWidth="1"/>
    <col min="8195" max="8196" width="9.3984375" style="1558" customWidth="1"/>
    <col min="8197" max="8197" width="10.19921875" style="1558" customWidth="1"/>
    <col min="8198" max="8198" width="23.5" style="1558" customWidth="1"/>
    <col min="8199" max="8200" width="9" style="1558"/>
    <col min="8201" max="8201" width="42" style="1558" customWidth="1"/>
    <col min="8202" max="8448" width="9" style="1558"/>
    <col min="8449" max="8449" width="5.19921875" style="1558" customWidth="1"/>
    <col min="8450" max="8450" width="46.5" style="1558" customWidth="1"/>
    <col min="8451" max="8452" width="9.3984375" style="1558" customWidth="1"/>
    <col min="8453" max="8453" width="10.19921875" style="1558" customWidth="1"/>
    <col min="8454" max="8454" width="23.5" style="1558" customWidth="1"/>
    <col min="8455" max="8456" width="9" style="1558"/>
    <col min="8457" max="8457" width="42" style="1558" customWidth="1"/>
    <col min="8458" max="8704" width="9" style="1558"/>
    <col min="8705" max="8705" width="5.19921875" style="1558" customWidth="1"/>
    <col min="8706" max="8706" width="46.5" style="1558" customWidth="1"/>
    <col min="8707" max="8708" width="9.3984375" style="1558" customWidth="1"/>
    <col min="8709" max="8709" width="10.19921875" style="1558" customWidth="1"/>
    <col min="8710" max="8710" width="23.5" style="1558" customWidth="1"/>
    <col min="8711" max="8712" width="9" style="1558"/>
    <col min="8713" max="8713" width="42" style="1558" customWidth="1"/>
    <col min="8714" max="8960" width="9" style="1558"/>
    <col min="8961" max="8961" width="5.19921875" style="1558" customWidth="1"/>
    <col min="8962" max="8962" width="46.5" style="1558" customWidth="1"/>
    <col min="8963" max="8964" width="9.3984375" style="1558" customWidth="1"/>
    <col min="8965" max="8965" width="10.19921875" style="1558" customWidth="1"/>
    <col min="8966" max="8966" width="23.5" style="1558" customWidth="1"/>
    <col min="8967" max="8968" width="9" style="1558"/>
    <col min="8969" max="8969" width="42" style="1558" customWidth="1"/>
    <col min="8970" max="9216" width="9" style="1558"/>
    <col min="9217" max="9217" width="5.19921875" style="1558" customWidth="1"/>
    <col min="9218" max="9218" width="46.5" style="1558" customWidth="1"/>
    <col min="9219" max="9220" width="9.3984375" style="1558" customWidth="1"/>
    <col min="9221" max="9221" width="10.19921875" style="1558" customWidth="1"/>
    <col min="9222" max="9222" width="23.5" style="1558" customWidth="1"/>
    <col min="9223" max="9224" width="9" style="1558"/>
    <col min="9225" max="9225" width="42" style="1558" customWidth="1"/>
    <col min="9226" max="9472" width="9" style="1558"/>
    <col min="9473" max="9473" width="5.19921875" style="1558" customWidth="1"/>
    <col min="9474" max="9474" width="46.5" style="1558" customWidth="1"/>
    <col min="9475" max="9476" width="9.3984375" style="1558" customWidth="1"/>
    <col min="9477" max="9477" width="10.19921875" style="1558" customWidth="1"/>
    <col min="9478" max="9478" width="23.5" style="1558" customWidth="1"/>
    <col min="9479" max="9480" width="9" style="1558"/>
    <col min="9481" max="9481" width="42" style="1558" customWidth="1"/>
    <col min="9482" max="9728" width="9" style="1558"/>
    <col min="9729" max="9729" width="5.19921875" style="1558" customWidth="1"/>
    <col min="9730" max="9730" width="46.5" style="1558" customWidth="1"/>
    <col min="9731" max="9732" width="9.3984375" style="1558" customWidth="1"/>
    <col min="9733" max="9733" width="10.19921875" style="1558" customWidth="1"/>
    <col min="9734" max="9734" width="23.5" style="1558" customWidth="1"/>
    <col min="9735" max="9736" width="9" style="1558"/>
    <col min="9737" max="9737" width="42" style="1558" customWidth="1"/>
    <col min="9738" max="9984" width="9" style="1558"/>
    <col min="9985" max="9985" width="5.19921875" style="1558" customWidth="1"/>
    <col min="9986" max="9986" width="46.5" style="1558" customWidth="1"/>
    <col min="9987" max="9988" width="9.3984375" style="1558" customWidth="1"/>
    <col min="9989" max="9989" width="10.19921875" style="1558" customWidth="1"/>
    <col min="9990" max="9990" width="23.5" style="1558" customWidth="1"/>
    <col min="9991" max="9992" width="9" style="1558"/>
    <col min="9993" max="9993" width="42" style="1558" customWidth="1"/>
    <col min="9994" max="10240" width="9" style="1558"/>
    <col min="10241" max="10241" width="5.19921875" style="1558" customWidth="1"/>
    <col min="10242" max="10242" width="46.5" style="1558" customWidth="1"/>
    <col min="10243" max="10244" width="9.3984375" style="1558" customWidth="1"/>
    <col min="10245" max="10245" width="10.19921875" style="1558" customWidth="1"/>
    <col min="10246" max="10246" width="23.5" style="1558" customWidth="1"/>
    <col min="10247" max="10248" width="9" style="1558"/>
    <col min="10249" max="10249" width="42" style="1558" customWidth="1"/>
    <col min="10250" max="10496" width="9" style="1558"/>
    <col min="10497" max="10497" width="5.19921875" style="1558" customWidth="1"/>
    <col min="10498" max="10498" width="46.5" style="1558" customWidth="1"/>
    <col min="10499" max="10500" width="9.3984375" style="1558" customWidth="1"/>
    <col min="10501" max="10501" width="10.19921875" style="1558" customWidth="1"/>
    <col min="10502" max="10502" width="23.5" style="1558" customWidth="1"/>
    <col min="10503" max="10504" width="9" style="1558"/>
    <col min="10505" max="10505" width="42" style="1558" customWidth="1"/>
    <col min="10506" max="10752" width="9" style="1558"/>
    <col min="10753" max="10753" width="5.19921875" style="1558" customWidth="1"/>
    <col min="10754" max="10754" width="46.5" style="1558" customWidth="1"/>
    <col min="10755" max="10756" width="9.3984375" style="1558" customWidth="1"/>
    <col min="10757" max="10757" width="10.19921875" style="1558" customWidth="1"/>
    <col min="10758" max="10758" width="23.5" style="1558" customWidth="1"/>
    <col min="10759" max="10760" width="9" style="1558"/>
    <col min="10761" max="10761" width="42" style="1558" customWidth="1"/>
    <col min="10762" max="11008" width="9" style="1558"/>
    <col min="11009" max="11009" width="5.19921875" style="1558" customWidth="1"/>
    <col min="11010" max="11010" width="46.5" style="1558" customWidth="1"/>
    <col min="11011" max="11012" width="9.3984375" style="1558" customWidth="1"/>
    <col min="11013" max="11013" width="10.19921875" style="1558" customWidth="1"/>
    <col min="11014" max="11014" width="23.5" style="1558" customWidth="1"/>
    <col min="11015" max="11016" width="9" style="1558"/>
    <col min="11017" max="11017" width="42" style="1558" customWidth="1"/>
    <col min="11018" max="11264" width="9" style="1558"/>
    <col min="11265" max="11265" width="5.19921875" style="1558" customWidth="1"/>
    <col min="11266" max="11266" width="46.5" style="1558" customWidth="1"/>
    <col min="11267" max="11268" width="9.3984375" style="1558" customWidth="1"/>
    <col min="11269" max="11269" width="10.19921875" style="1558" customWidth="1"/>
    <col min="11270" max="11270" width="23.5" style="1558" customWidth="1"/>
    <col min="11271" max="11272" width="9" style="1558"/>
    <col min="11273" max="11273" width="42" style="1558" customWidth="1"/>
    <col min="11274" max="11520" width="9" style="1558"/>
    <col min="11521" max="11521" width="5.19921875" style="1558" customWidth="1"/>
    <col min="11522" max="11522" width="46.5" style="1558" customWidth="1"/>
    <col min="11523" max="11524" width="9.3984375" style="1558" customWidth="1"/>
    <col min="11525" max="11525" width="10.19921875" style="1558" customWidth="1"/>
    <col min="11526" max="11526" width="23.5" style="1558" customWidth="1"/>
    <col min="11527" max="11528" width="9" style="1558"/>
    <col min="11529" max="11529" width="42" style="1558" customWidth="1"/>
    <col min="11530" max="11776" width="9" style="1558"/>
    <col min="11777" max="11777" width="5.19921875" style="1558" customWidth="1"/>
    <col min="11778" max="11778" width="46.5" style="1558" customWidth="1"/>
    <col min="11779" max="11780" width="9.3984375" style="1558" customWidth="1"/>
    <col min="11781" max="11781" width="10.19921875" style="1558" customWidth="1"/>
    <col min="11782" max="11782" width="23.5" style="1558" customWidth="1"/>
    <col min="11783" max="11784" width="9" style="1558"/>
    <col min="11785" max="11785" width="42" style="1558" customWidth="1"/>
    <col min="11786" max="12032" width="9" style="1558"/>
    <col min="12033" max="12033" width="5.19921875" style="1558" customWidth="1"/>
    <col min="12034" max="12034" width="46.5" style="1558" customWidth="1"/>
    <col min="12035" max="12036" width="9.3984375" style="1558" customWidth="1"/>
    <col min="12037" max="12037" width="10.19921875" style="1558" customWidth="1"/>
    <col min="12038" max="12038" width="23.5" style="1558" customWidth="1"/>
    <col min="12039" max="12040" width="9" style="1558"/>
    <col min="12041" max="12041" width="42" style="1558" customWidth="1"/>
    <col min="12042" max="12288" width="9" style="1558"/>
    <col min="12289" max="12289" width="5.19921875" style="1558" customWidth="1"/>
    <col min="12290" max="12290" width="46.5" style="1558" customWidth="1"/>
    <col min="12291" max="12292" width="9.3984375" style="1558" customWidth="1"/>
    <col min="12293" max="12293" width="10.19921875" style="1558" customWidth="1"/>
    <col min="12294" max="12294" width="23.5" style="1558" customWidth="1"/>
    <col min="12295" max="12296" width="9" style="1558"/>
    <col min="12297" max="12297" width="42" style="1558" customWidth="1"/>
    <col min="12298" max="12544" width="9" style="1558"/>
    <col min="12545" max="12545" width="5.19921875" style="1558" customWidth="1"/>
    <col min="12546" max="12546" width="46.5" style="1558" customWidth="1"/>
    <col min="12547" max="12548" width="9.3984375" style="1558" customWidth="1"/>
    <col min="12549" max="12549" width="10.19921875" style="1558" customWidth="1"/>
    <col min="12550" max="12550" width="23.5" style="1558" customWidth="1"/>
    <col min="12551" max="12552" width="9" style="1558"/>
    <col min="12553" max="12553" width="42" style="1558" customWidth="1"/>
    <col min="12554" max="12800" width="9" style="1558"/>
    <col min="12801" max="12801" width="5.19921875" style="1558" customWidth="1"/>
    <col min="12802" max="12802" width="46.5" style="1558" customWidth="1"/>
    <col min="12803" max="12804" width="9.3984375" style="1558" customWidth="1"/>
    <col min="12805" max="12805" width="10.19921875" style="1558" customWidth="1"/>
    <col min="12806" max="12806" width="23.5" style="1558" customWidth="1"/>
    <col min="12807" max="12808" width="9" style="1558"/>
    <col min="12809" max="12809" width="42" style="1558" customWidth="1"/>
    <col min="12810" max="13056" width="9" style="1558"/>
    <col min="13057" max="13057" width="5.19921875" style="1558" customWidth="1"/>
    <col min="13058" max="13058" width="46.5" style="1558" customWidth="1"/>
    <col min="13059" max="13060" width="9.3984375" style="1558" customWidth="1"/>
    <col min="13061" max="13061" width="10.19921875" style="1558" customWidth="1"/>
    <col min="13062" max="13062" width="23.5" style="1558" customWidth="1"/>
    <col min="13063" max="13064" width="9" style="1558"/>
    <col min="13065" max="13065" width="42" style="1558" customWidth="1"/>
    <col min="13066" max="13312" width="9" style="1558"/>
    <col min="13313" max="13313" width="5.19921875" style="1558" customWidth="1"/>
    <col min="13314" max="13314" width="46.5" style="1558" customWidth="1"/>
    <col min="13315" max="13316" width="9.3984375" style="1558" customWidth="1"/>
    <col min="13317" max="13317" width="10.19921875" style="1558" customWidth="1"/>
    <col min="13318" max="13318" width="23.5" style="1558" customWidth="1"/>
    <col min="13319" max="13320" width="9" style="1558"/>
    <col min="13321" max="13321" width="42" style="1558" customWidth="1"/>
    <col min="13322" max="13568" width="9" style="1558"/>
    <col min="13569" max="13569" width="5.19921875" style="1558" customWidth="1"/>
    <col min="13570" max="13570" width="46.5" style="1558" customWidth="1"/>
    <col min="13571" max="13572" width="9.3984375" style="1558" customWidth="1"/>
    <col min="13573" max="13573" width="10.19921875" style="1558" customWidth="1"/>
    <col min="13574" max="13574" width="23.5" style="1558" customWidth="1"/>
    <col min="13575" max="13576" width="9" style="1558"/>
    <col min="13577" max="13577" width="42" style="1558" customWidth="1"/>
    <col min="13578" max="13824" width="9" style="1558"/>
    <col min="13825" max="13825" width="5.19921875" style="1558" customWidth="1"/>
    <col min="13826" max="13826" width="46.5" style="1558" customWidth="1"/>
    <col min="13827" max="13828" width="9.3984375" style="1558" customWidth="1"/>
    <col min="13829" max="13829" width="10.19921875" style="1558" customWidth="1"/>
    <col min="13830" max="13830" width="23.5" style="1558" customWidth="1"/>
    <col min="13831" max="13832" width="9" style="1558"/>
    <col min="13833" max="13833" width="42" style="1558" customWidth="1"/>
    <col min="13834" max="14080" width="9" style="1558"/>
    <col min="14081" max="14081" width="5.19921875" style="1558" customWidth="1"/>
    <col min="14082" max="14082" width="46.5" style="1558" customWidth="1"/>
    <col min="14083" max="14084" width="9.3984375" style="1558" customWidth="1"/>
    <col min="14085" max="14085" width="10.19921875" style="1558" customWidth="1"/>
    <col min="14086" max="14086" width="23.5" style="1558" customWidth="1"/>
    <col min="14087" max="14088" width="9" style="1558"/>
    <col min="14089" max="14089" width="42" style="1558" customWidth="1"/>
    <col min="14090" max="14336" width="9" style="1558"/>
    <col min="14337" max="14337" width="5.19921875" style="1558" customWidth="1"/>
    <col min="14338" max="14338" width="46.5" style="1558" customWidth="1"/>
    <col min="14339" max="14340" width="9.3984375" style="1558" customWidth="1"/>
    <col min="14341" max="14341" width="10.19921875" style="1558" customWidth="1"/>
    <col min="14342" max="14342" width="23.5" style="1558" customWidth="1"/>
    <col min="14343" max="14344" width="9" style="1558"/>
    <col min="14345" max="14345" width="42" style="1558" customWidth="1"/>
    <col min="14346" max="14592" width="9" style="1558"/>
    <col min="14593" max="14593" width="5.19921875" style="1558" customWidth="1"/>
    <col min="14594" max="14594" width="46.5" style="1558" customWidth="1"/>
    <col min="14595" max="14596" width="9.3984375" style="1558" customWidth="1"/>
    <col min="14597" max="14597" width="10.19921875" style="1558" customWidth="1"/>
    <col min="14598" max="14598" width="23.5" style="1558" customWidth="1"/>
    <col min="14599" max="14600" width="9" style="1558"/>
    <col min="14601" max="14601" width="42" style="1558" customWidth="1"/>
    <col min="14602" max="14848" width="9" style="1558"/>
    <col min="14849" max="14849" width="5.19921875" style="1558" customWidth="1"/>
    <col min="14850" max="14850" width="46.5" style="1558" customWidth="1"/>
    <col min="14851" max="14852" width="9.3984375" style="1558" customWidth="1"/>
    <col min="14853" max="14853" width="10.19921875" style="1558" customWidth="1"/>
    <col min="14854" max="14854" width="23.5" style="1558" customWidth="1"/>
    <col min="14855" max="14856" width="9" style="1558"/>
    <col min="14857" max="14857" width="42" style="1558" customWidth="1"/>
    <col min="14858" max="15104" width="9" style="1558"/>
    <col min="15105" max="15105" width="5.19921875" style="1558" customWidth="1"/>
    <col min="15106" max="15106" width="46.5" style="1558" customWidth="1"/>
    <col min="15107" max="15108" width="9.3984375" style="1558" customWidth="1"/>
    <col min="15109" max="15109" width="10.19921875" style="1558" customWidth="1"/>
    <col min="15110" max="15110" width="23.5" style="1558" customWidth="1"/>
    <col min="15111" max="15112" width="9" style="1558"/>
    <col min="15113" max="15113" width="42" style="1558" customWidth="1"/>
    <col min="15114" max="15360" width="9" style="1558"/>
    <col min="15361" max="15361" width="5.19921875" style="1558" customWidth="1"/>
    <col min="15362" max="15362" width="46.5" style="1558" customWidth="1"/>
    <col min="15363" max="15364" width="9.3984375" style="1558" customWidth="1"/>
    <col min="15365" max="15365" width="10.19921875" style="1558" customWidth="1"/>
    <col min="15366" max="15366" width="23.5" style="1558" customWidth="1"/>
    <col min="15367" max="15368" width="9" style="1558"/>
    <col min="15369" max="15369" width="42" style="1558" customWidth="1"/>
    <col min="15370" max="15616" width="9" style="1558"/>
    <col min="15617" max="15617" width="5.19921875" style="1558" customWidth="1"/>
    <col min="15618" max="15618" width="46.5" style="1558" customWidth="1"/>
    <col min="15619" max="15620" width="9.3984375" style="1558" customWidth="1"/>
    <col min="15621" max="15621" width="10.19921875" style="1558" customWidth="1"/>
    <col min="15622" max="15622" width="23.5" style="1558" customWidth="1"/>
    <col min="15623" max="15624" width="9" style="1558"/>
    <col min="15625" max="15625" width="42" style="1558" customWidth="1"/>
    <col min="15626" max="15872" width="9" style="1558"/>
    <col min="15873" max="15873" width="5.19921875" style="1558" customWidth="1"/>
    <col min="15874" max="15874" width="46.5" style="1558" customWidth="1"/>
    <col min="15875" max="15876" width="9.3984375" style="1558" customWidth="1"/>
    <col min="15877" max="15877" width="10.19921875" style="1558" customWidth="1"/>
    <col min="15878" max="15878" width="23.5" style="1558" customWidth="1"/>
    <col min="15879" max="15880" width="9" style="1558"/>
    <col min="15881" max="15881" width="42" style="1558" customWidth="1"/>
    <col min="15882" max="16128" width="9" style="1558"/>
    <col min="16129" max="16129" width="5.19921875" style="1558" customWidth="1"/>
    <col min="16130" max="16130" width="46.5" style="1558" customWidth="1"/>
    <col min="16131" max="16132" width="9.3984375" style="1558" customWidth="1"/>
    <col min="16133" max="16133" width="10.19921875" style="1558" customWidth="1"/>
    <col min="16134" max="16134" width="23.5" style="1558" customWidth="1"/>
    <col min="16135" max="16136" width="9" style="1558"/>
    <col min="16137" max="16137" width="42" style="1558" customWidth="1"/>
    <col min="16138" max="16384" width="9" style="1558"/>
  </cols>
  <sheetData>
    <row r="1" spans="1:9" s="1566" customFormat="1" ht="20.100000000000001" customHeight="1">
      <c r="A1" s="3438" t="s">
        <v>5358</v>
      </c>
      <c r="B1" s="3438"/>
      <c r="C1" s="3438"/>
      <c r="D1" s="3438"/>
      <c r="E1" s="3438"/>
      <c r="F1" s="2016"/>
    </row>
    <row r="2" spans="1:9" s="1567" customFormat="1" ht="25.5" customHeight="1">
      <c r="A2" s="3379" t="s">
        <v>5359</v>
      </c>
      <c r="B2" s="3379"/>
      <c r="C2" s="3379"/>
      <c r="D2" s="3379"/>
      <c r="E2" s="3439"/>
      <c r="F2" s="1935"/>
    </row>
    <row r="3" spans="1:9" s="1560" customFormat="1" ht="14.25" customHeight="1">
      <c r="A3" s="3377" t="s">
        <v>1854</v>
      </c>
      <c r="B3" s="3377" t="s">
        <v>5360</v>
      </c>
      <c r="C3" s="1846" t="s">
        <v>1851</v>
      </c>
      <c r="D3" s="1846" t="s">
        <v>1852</v>
      </c>
      <c r="E3" s="1842" t="s">
        <v>5152</v>
      </c>
      <c r="F3" s="3377" t="s">
        <v>5153</v>
      </c>
    </row>
    <row r="4" spans="1:9" s="1560" customFormat="1" ht="14.25" customHeight="1">
      <c r="A4" s="3377"/>
      <c r="B4" s="3377"/>
      <c r="C4" s="1842">
        <v>1</v>
      </c>
      <c r="D4" s="1842" t="s">
        <v>5361</v>
      </c>
      <c r="E4" s="1825" t="s">
        <v>5362</v>
      </c>
      <c r="F4" s="3377"/>
    </row>
    <row r="5" spans="1:9" s="1560" customFormat="1" ht="14.25" customHeight="1">
      <c r="A5" s="1826">
        <v>1</v>
      </c>
      <c r="B5" s="1821" t="s">
        <v>5363</v>
      </c>
      <c r="C5" s="2074">
        <f>资产损失税前扣除审核表!C5</f>
        <v>0</v>
      </c>
      <c r="D5" s="2074">
        <f>资产损失税前扣除审核表!D5</f>
        <v>0</v>
      </c>
      <c r="E5" s="2074">
        <f>资产损失税前扣除审核表!E5</f>
        <v>0</v>
      </c>
      <c r="F5" s="1973"/>
    </row>
    <row r="6" spans="1:9" s="1560" customFormat="1" ht="26.25" customHeight="1">
      <c r="A6" s="1827">
        <v>2</v>
      </c>
      <c r="B6" s="1815" t="s">
        <v>5364</v>
      </c>
      <c r="C6" s="2074">
        <f>资产损失税前扣除审核表!C6</f>
        <v>0</v>
      </c>
      <c r="D6" s="2074">
        <f>资产损失税前扣除审核表!D6</f>
        <v>0</v>
      </c>
      <c r="E6" s="2074">
        <f>资产损失税前扣除审核表!E6</f>
        <v>0</v>
      </c>
      <c r="F6" s="1973"/>
      <c r="I6" s="1568" t="s">
        <v>5365</v>
      </c>
    </row>
    <row r="7" spans="1:9" s="1560" customFormat="1" ht="14.25" customHeight="1">
      <c r="A7" s="1826">
        <v>3</v>
      </c>
      <c r="B7" s="1821" t="s">
        <v>5366</v>
      </c>
      <c r="C7" s="2074">
        <f>资产损失税前扣除审核表!C7</f>
        <v>0</v>
      </c>
      <c r="D7" s="2074">
        <f>资产损失税前扣除审核表!D7</f>
        <v>0</v>
      </c>
      <c r="E7" s="2074">
        <f>资产损失税前扣除审核表!E7</f>
        <v>0</v>
      </c>
      <c r="F7" s="1974"/>
    </row>
    <row r="8" spans="1:9" s="1560" customFormat="1" ht="14.25" customHeight="1">
      <c r="A8" s="1826">
        <v>4</v>
      </c>
      <c r="B8" s="1821" t="s">
        <v>5367</v>
      </c>
      <c r="C8" s="2074">
        <f>资产损失税前扣除审核表!C8</f>
        <v>0</v>
      </c>
      <c r="D8" s="2074">
        <f>资产损失税前扣除审核表!D8</f>
        <v>0</v>
      </c>
      <c r="E8" s="2074">
        <f>资产损失税前扣除审核表!E8</f>
        <v>0</v>
      </c>
      <c r="F8" s="1973"/>
    </row>
    <row r="9" spans="1:9" s="1560" customFormat="1" ht="27" customHeight="1">
      <c r="A9" s="1827">
        <v>5</v>
      </c>
      <c r="B9" s="1815" t="s">
        <v>5368</v>
      </c>
      <c r="C9" s="2074">
        <f>资产损失税前扣除审核表!C9</f>
        <v>0</v>
      </c>
      <c r="D9" s="2074">
        <f>资产损失税前扣除审核表!D9</f>
        <v>0</v>
      </c>
      <c r="E9" s="2074">
        <f>资产损失税前扣除审核表!E9</f>
        <v>0</v>
      </c>
      <c r="F9" s="1973"/>
    </row>
    <row r="10" spans="1:9" s="1560" customFormat="1" ht="27" customHeight="1">
      <c r="A10" s="1827">
        <v>6</v>
      </c>
      <c r="B10" s="1815" t="s">
        <v>5369</v>
      </c>
      <c r="C10" s="2074">
        <f>资产损失税前扣除审核表!C10</f>
        <v>0</v>
      </c>
      <c r="D10" s="2074">
        <f>资产损失税前扣除审核表!D10</f>
        <v>0</v>
      </c>
      <c r="E10" s="2074">
        <f>资产损失税前扣除审核表!E10</f>
        <v>0</v>
      </c>
      <c r="F10" s="1973"/>
      <c r="G10" s="1675" t="s">
        <v>6447</v>
      </c>
    </row>
    <row r="11" spans="1:9" s="1560" customFormat="1" ht="14.25" customHeight="1">
      <c r="A11" s="1826">
        <v>7</v>
      </c>
      <c r="B11" s="1821" t="s">
        <v>5370</v>
      </c>
      <c r="C11" s="2074">
        <f>资产损失税前扣除审核表!C11</f>
        <v>0</v>
      </c>
      <c r="D11" s="2074">
        <f>资产损失税前扣除审核表!D11</f>
        <v>0</v>
      </c>
      <c r="E11" s="2074">
        <f>资产损失税前扣除审核表!E11</f>
        <v>0</v>
      </c>
      <c r="F11" s="1973"/>
    </row>
    <row r="12" spans="1:9" s="1560" customFormat="1" ht="14.25" customHeight="1">
      <c r="A12" s="1826">
        <v>8</v>
      </c>
      <c r="B12" s="1821" t="s">
        <v>5371</v>
      </c>
      <c r="C12" s="2074">
        <f>资产损失税前扣除审核表!C12</f>
        <v>0</v>
      </c>
      <c r="D12" s="2074">
        <f>资产损失税前扣除审核表!D12</f>
        <v>0</v>
      </c>
      <c r="E12" s="2074">
        <f>资产损失税前扣除审核表!E12</f>
        <v>0</v>
      </c>
      <c r="F12" s="1973"/>
      <c r="G12" s="1771" t="s">
        <v>6449</v>
      </c>
    </row>
    <row r="13" spans="1:9" s="1560" customFormat="1" ht="89.25" customHeight="1">
      <c r="A13" s="1826">
        <v>9</v>
      </c>
      <c r="B13" s="1821" t="s">
        <v>5372</v>
      </c>
      <c r="C13" s="2074">
        <f>资产损失税前扣除审核表!C13</f>
        <v>0</v>
      </c>
      <c r="D13" s="2074">
        <f>资产损失税前扣除审核表!D13</f>
        <v>0</v>
      </c>
      <c r="E13" s="2074">
        <f>资产损失税前扣除审核表!E13</f>
        <v>0</v>
      </c>
      <c r="F13" s="1975" t="s">
        <v>5373</v>
      </c>
      <c r="I13" s="1568"/>
    </row>
    <row r="14" spans="1:9" s="1560" customFormat="1" ht="93" customHeight="1">
      <c r="A14" s="1846">
        <v>10</v>
      </c>
      <c r="B14" s="1820" t="s">
        <v>5374</v>
      </c>
      <c r="C14" s="2074">
        <f>资产损失税前扣除审核表!C14</f>
        <v>0</v>
      </c>
      <c r="D14" s="2074">
        <f>资产损失税前扣除审核表!D14</f>
        <v>0</v>
      </c>
      <c r="E14" s="2074">
        <f>资产损失税前扣除审核表!E14</f>
        <v>0</v>
      </c>
      <c r="F14" s="1975" t="s">
        <v>5375</v>
      </c>
      <c r="I14" s="1568"/>
    </row>
    <row r="15" spans="1:9" s="1560" customFormat="1" ht="82.5" customHeight="1">
      <c r="A15" s="1846">
        <v>11</v>
      </c>
      <c r="B15" s="1811" t="s">
        <v>5376</v>
      </c>
      <c r="C15" s="2074">
        <f>资产损失税前扣除审核表!C15</f>
        <v>0</v>
      </c>
      <c r="D15" s="2074">
        <f>资产损失税前扣除审核表!D15</f>
        <v>0</v>
      </c>
      <c r="E15" s="2074">
        <f>资产损失税前扣除审核表!E15</f>
        <v>0</v>
      </c>
      <c r="F15" s="1975" t="s">
        <v>5377</v>
      </c>
      <c r="I15" s="1568"/>
    </row>
    <row r="16" spans="1:9" s="1560" customFormat="1" ht="87.75" customHeight="1">
      <c r="A16" s="1846">
        <v>12</v>
      </c>
      <c r="B16" s="1820" t="s">
        <v>5378</v>
      </c>
      <c r="C16" s="2074">
        <f>资产损失税前扣除审核表!C16</f>
        <v>0</v>
      </c>
      <c r="D16" s="2074">
        <f>资产损失税前扣除审核表!D16</f>
        <v>0</v>
      </c>
      <c r="E16" s="2074">
        <f>资产损失税前扣除审核表!E16</f>
        <v>0</v>
      </c>
      <c r="F16" s="1975" t="s">
        <v>5379</v>
      </c>
      <c r="I16" s="1568"/>
    </row>
    <row r="17" spans="1:9" s="1560" customFormat="1" ht="87" customHeight="1">
      <c r="A17" s="1846">
        <v>13</v>
      </c>
      <c r="B17" s="1820" t="s">
        <v>5380</v>
      </c>
      <c r="C17" s="2074">
        <f>资产损失税前扣除审核表!C17</f>
        <v>0</v>
      </c>
      <c r="D17" s="2074">
        <f>资产损失税前扣除审核表!D17</f>
        <v>0</v>
      </c>
      <c r="E17" s="2074">
        <f>资产损失税前扣除审核表!E17</f>
        <v>0</v>
      </c>
      <c r="F17" s="1975" t="s">
        <v>5381</v>
      </c>
      <c r="I17" s="1568"/>
    </row>
    <row r="18" spans="1:9" s="1560" customFormat="1" ht="110.25" customHeight="1">
      <c r="A18" s="1826">
        <v>14</v>
      </c>
      <c r="B18" s="1820" t="s">
        <v>5382</v>
      </c>
      <c r="C18" s="2074">
        <f>资产损失税前扣除审核表!C18</f>
        <v>0</v>
      </c>
      <c r="D18" s="2074">
        <f>资产损失税前扣除审核表!D18</f>
        <v>0</v>
      </c>
      <c r="E18" s="2074">
        <f>资产损失税前扣除审核表!E18</f>
        <v>0</v>
      </c>
      <c r="F18" s="1975" t="s">
        <v>5383</v>
      </c>
      <c r="I18" s="1568"/>
    </row>
  </sheetData>
  <mergeCells count="5">
    <mergeCell ref="A1:E1"/>
    <mergeCell ref="A2:E2"/>
    <mergeCell ref="A3:A4"/>
    <mergeCell ref="B3:B4"/>
    <mergeCell ref="F3:F4"/>
  </mergeCells>
  <phoneticPr fontId="51" type="noConversion"/>
  <hyperlinks>
    <hyperlink ref="G10" location="资产损失税前扣除审核表!A1" display="资产损失税前扣除审核表!A1"/>
    <hyperlink ref="G12" location="'资产损失（专项申报）税前扣除审核表'!A1" display="'资产损失（专项申报）税前扣除审核表'!A1"/>
  </hyperlinks>
  <printOptions horizontalCentered="1"/>
  <pageMargins left="0.78740157480314998" right="0.35433070866141703" top="0.511811023622047" bottom="0.11811023622047198" header="0.511811023622047" footer="0.511811023622047"/>
  <pageSetup paperSize="9" orientation="landscape" r:id="rId1"/>
  <headerFooter alignWithMargins="0"/>
</worksheet>
</file>

<file path=xl/worksheets/sheet14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34">
    <tabColor rgb="FFFFFF00"/>
  </sheetPr>
  <dimension ref="A1:J25"/>
  <sheetViews>
    <sheetView workbookViewId="0">
      <selection activeCell="B3" sqref="B3:B4"/>
    </sheetView>
  </sheetViews>
  <sheetFormatPr defaultRowHeight="15.6"/>
  <cols>
    <col min="1" max="1" width="5.19921875" style="1570" customWidth="1"/>
    <col min="2" max="2" width="24.5" style="1576" customWidth="1"/>
    <col min="3" max="3" width="11.09765625" style="1570" customWidth="1"/>
    <col min="4" max="4" width="11" style="1570" customWidth="1"/>
    <col min="5" max="6" width="10.59765625" style="1570" customWidth="1"/>
    <col min="7" max="7" width="10.5" style="1570" customWidth="1"/>
    <col min="8" max="8" width="12.3984375" style="1570" customWidth="1"/>
    <col min="9" max="9" width="23.8984375" style="1570" customWidth="1"/>
    <col min="10" max="10" width="46.8984375" style="1570" customWidth="1"/>
    <col min="11" max="256" width="9" style="1570"/>
    <col min="257" max="257" width="5.19921875" style="1570" customWidth="1"/>
    <col min="258" max="258" width="24.5" style="1570" customWidth="1"/>
    <col min="259" max="259" width="11.09765625" style="1570" customWidth="1"/>
    <col min="260" max="260" width="11" style="1570" customWidth="1"/>
    <col min="261" max="262" width="10.59765625" style="1570" customWidth="1"/>
    <col min="263" max="263" width="10.5" style="1570" customWidth="1"/>
    <col min="264" max="264" width="12.3984375" style="1570" customWidth="1"/>
    <col min="265" max="265" width="23.8984375" style="1570" customWidth="1"/>
    <col min="266" max="266" width="46.8984375" style="1570" customWidth="1"/>
    <col min="267" max="512" width="9" style="1570"/>
    <col min="513" max="513" width="5.19921875" style="1570" customWidth="1"/>
    <col min="514" max="514" width="24.5" style="1570" customWidth="1"/>
    <col min="515" max="515" width="11.09765625" style="1570" customWidth="1"/>
    <col min="516" max="516" width="11" style="1570" customWidth="1"/>
    <col min="517" max="518" width="10.59765625" style="1570" customWidth="1"/>
    <col min="519" max="519" width="10.5" style="1570" customWidth="1"/>
    <col min="520" max="520" width="12.3984375" style="1570" customWidth="1"/>
    <col min="521" max="521" width="23.8984375" style="1570" customWidth="1"/>
    <col min="522" max="522" width="46.8984375" style="1570" customWidth="1"/>
    <col min="523" max="768" width="9" style="1570"/>
    <col min="769" max="769" width="5.19921875" style="1570" customWidth="1"/>
    <col min="770" max="770" width="24.5" style="1570" customWidth="1"/>
    <col min="771" max="771" width="11.09765625" style="1570" customWidth="1"/>
    <col min="772" max="772" width="11" style="1570" customWidth="1"/>
    <col min="773" max="774" width="10.59765625" style="1570" customWidth="1"/>
    <col min="775" max="775" width="10.5" style="1570" customWidth="1"/>
    <col min="776" max="776" width="12.3984375" style="1570" customWidth="1"/>
    <col min="777" max="777" width="23.8984375" style="1570" customWidth="1"/>
    <col min="778" max="778" width="46.8984375" style="1570" customWidth="1"/>
    <col min="779" max="1024" width="9" style="1570"/>
    <col min="1025" max="1025" width="5.19921875" style="1570" customWidth="1"/>
    <col min="1026" max="1026" width="24.5" style="1570" customWidth="1"/>
    <col min="1027" max="1027" width="11.09765625" style="1570" customWidth="1"/>
    <col min="1028" max="1028" width="11" style="1570" customWidth="1"/>
    <col min="1029" max="1030" width="10.59765625" style="1570" customWidth="1"/>
    <col min="1031" max="1031" width="10.5" style="1570" customWidth="1"/>
    <col min="1032" max="1032" width="12.3984375" style="1570" customWidth="1"/>
    <col min="1033" max="1033" width="23.8984375" style="1570" customWidth="1"/>
    <col min="1034" max="1034" width="46.8984375" style="1570" customWidth="1"/>
    <col min="1035" max="1280" width="9" style="1570"/>
    <col min="1281" max="1281" width="5.19921875" style="1570" customWidth="1"/>
    <col min="1282" max="1282" width="24.5" style="1570" customWidth="1"/>
    <col min="1283" max="1283" width="11.09765625" style="1570" customWidth="1"/>
    <col min="1284" max="1284" width="11" style="1570" customWidth="1"/>
    <col min="1285" max="1286" width="10.59765625" style="1570" customWidth="1"/>
    <col min="1287" max="1287" width="10.5" style="1570" customWidth="1"/>
    <col min="1288" max="1288" width="12.3984375" style="1570" customWidth="1"/>
    <col min="1289" max="1289" width="23.8984375" style="1570" customWidth="1"/>
    <col min="1290" max="1290" width="46.8984375" style="1570" customWidth="1"/>
    <col min="1291" max="1536" width="9" style="1570"/>
    <col min="1537" max="1537" width="5.19921875" style="1570" customWidth="1"/>
    <col min="1538" max="1538" width="24.5" style="1570" customWidth="1"/>
    <col min="1539" max="1539" width="11.09765625" style="1570" customWidth="1"/>
    <col min="1540" max="1540" width="11" style="1570" customWidth="1"/>
    <col min="1541" max="1542" width="10.59765625" style="1570" customWidth="1"/>
    <col min="1543" max="1543" width="10.5" style="1570" customWidth="1"/>
    <col min="1544" max="1544" width="12.3984375" style="1570" customWidth="1"/>
    <col min="1545" max="1545" width="23.8984375" style="1570" customWidth="1"/>
    <col min="1546" max="1546" width="46.8984375" style="1570" customWidth="1"/>
    <col min="1547" max="1792" width="9" style="1570"/>
    <col min="1793" max="1793" width="5.19921875" style="1570" customWidth="1"/>
    <col min="1794" max="1794" width="24.5" style="1570" customWidth="1"/>
    <col min="1795" max="1795" width="11.09765625" style="1570" customWidth="1"/>
    <col min="1796" max="1796" width="11" style="1570" customWidth="1"/>
    <col min="1797" max="1798" width="10.59765625" style="1570" customWidth="1"/>
    <col min="1799" max="1799" width="10.5" style="1570" customWidth="1"/>
    <col min="1800" max="1800" width="12.3984375" style="1570" customWidth="1"/>
    <col min="1801" max="1801" width="23.8984375" style="1570" customWidth="1"/>
    <col min="1802" max="1802" width="46.8984375" style="1570" customWidth="1"/>
    <col min="1803" max="2048" width="9" style="1570"/>
    <col min="2049" max="2049" width="5.19921875" style="1570" customWidth="1"/>
    <col min="2050" max="2050" width="24.5" style="1570" customWidth="1"/>
    <col min="2051" max="2051" width="11.09765625" style="1570" customWidth="1"/>
    <col min="2052" max="2052" width="11" style="1570" customWidth="1"/>
    <col min="2053" max="2054" width="10.59765625" style="1570" customWidth="1"/>
    <col min="2055" max="2055" width="10.5" style="1570" customWidth="1"/>
    <col min="2056" max="2056" width="12.3984375" style="1570" customWidth="1"/>
    <col min="2057" max="2057" width="23.8984375" style="1570" customWidth="1"/>
    <col min="2058" max="2058" width="46.8984375" style="1570" customWidth="1"/>
    <col min="2059" max="2304" width="9" style="1570"/>
    <col min="2305" max="2305" width="5.19921875" style="1570" customWidth="1"/>
    <col min="2306" max="2306" width="24.5" style="1570" customWidth="1"/>
    <col min="2307" max="2307" width="11.09765625" style="1570" customWidth="1"/>
    <col min="2308" max="2308" width="11" style="1570" customWidth="1"/>
    <col min="2309" max="2310" width="10.59765625" style="1570" customWidth="1"/>
    <col min="2311" max="2311" width="10.5" style="1570" customWidth="1"/>
    <col min="2312" max="2312" width="12.3984375" style="1570" customWidth="1"/>
    <col min="2313" max="2313" width="23.8984375" style="1570" customWidth="1"/>
    <col min="2314" max="2314" width="46.8984375" style="1570" customWidth="1"/>
    <col min="2315" max="2560" width="9" style="1570"/>
    <col min="2561" max="2561" width="5.19921875" style="1570" customWidth="1"/>
    <col min="2562" max="2562" width="24.5" style="1570" customWidth="1"/>
    <col min="2563" max="2563" width="11.09765625" style="1570" customWidth="1"/>
    <col min="2564" max="2564" width="11" style="1570" customWidth="1"/>
    <col min="2565" max="2566" width="10.59765625" style="1570" customWidth="1"/>
    <col min="2567" max="2567" width="10.5" style="1570" customWidth="1"/>
    <col min="2568" max="2568" width="12.3984375" style="1570" customWidth="1"/>
    <col min="2569" max="2569" width="23.8984375" style="1570" customWidth="1"/>
    <col min="2570" max="2570" width="46.8984375" style="1570" customWidth="1"/>
    <col min="2571" max="2816" width="9" style="1570"/>
    <col min="2817" max="2817" width="5.19921875" style="1570" customWidth="1"/>
    <col min="2818" max="2818" width="24.5" style="1570" customWidth="1"/>
    <col min="2819" max="2819" width="11.09765625" style="1570" customWidth="1"/>
    <col min="2820" max="2820" width="11" style="1570" customWidth="1"/>
    <col min="2821" max="2822" width="10.59765625" style="1570" customWidth="1"/>
    <col min="2823" max="2823" width="10.5" style="1570" customWidth="1"/>
    <col min="2824" max="2824" width="12.3984375" style="1570" customWidth="1"/>
    <col min="2825" max="2825" width="23.8984375" style="1570" customWidth="1"/>
    <col min="2826" max="2826" width="46.8984375" style="1570" customWidth="1"/>
    <col min="2827" max="3072" width="9" style="1570"/>
    <col min="3073" max="3073" width="5.19921875" style="1570" customWidth="1"/>
    <col min="3074" max="3074" width="24.5" style="1570" customWidth="1"/>
    <col min="3075" max="3075" width="11.09765625" style="1570" customWidth="1"/>
    <col min="3076" max="3076" width="11" style="1570" customWidth="1"/>
    <col min="3077" max="3078" width="10.59765625" style="1570" customWidth="1"/>
    <col min="3079" max="3079" width="10.5" style="1570" customWidth="1"/>
    <col min="3080" max="3080" width="12.3984375" style="1570" customWidth="1"/>
    <col min="3081" max="3081" width="23.8984375" style="1570" customWidth="1"/>
    <col min="3082" max="3082" width="46.8984375" style="1570" customWidth="1"/>
    <col min="3083" max="3328" width="9" style="1570"/>
    <col min="3329" max="3329" width="5.19921875" style="1570" customWidth="1"/>
    <col min="3330" max="3330" width="24.5" style="1570" customWidth="1"/>
    <col min="3331" max="3331" width="11.09765625" style="1570" customWidth="1"/>
    <col min="3332" max="3332" width="11" style="1570" customWidth="1"/>
    <col min="3333" max="3334" width="10.59765625" style="1570" customWidth="1"/>
    <col min="3335" max="3335" width="10.5" style="1570" customWidth="1"/>
    <col min="3336" max="3336" width="12.3984375" style="1570" customWidth="1"/>
    <col min="3337" max="3337" width="23.8984375" style="1570" customWidth="1"/>
    <col min="3338" max="3338" width="46.8984375" style="1570" customWidth="1"/>
    <col min="3339" max="3584" width="9" style="1570"/>
    <col min="3585" max="3585" width="5.19921875" style="1570" customWidth="1"/>
    <col min="3586" max="3586" width="24.5" style="1570" customWidth="1"/>
    <col min="3587" max="3587" width="11.09765625" style="1570" customWidth="1"/>
    <col min="3588" max="3588" width="11" style="1570" customWidth="1"/>
    <col min="3589" max="3590" width="10.59765625" style="1570" customWidth="1"/>
    <col min="3591" max="3591" width="10.5" style="1570" customWidth="1"/>
    <col min="3592" max="3592" width="12.3984375" style="1570" customWidth="1"/>
    <col min="3593" max="3593" width="23.8984375" style="1570" customWidth="1"/>
    <col min="3594" max="3594" width="46.8984375" style="1570" customWidth="1"/>
    <col min="3595" max="3840" width="9" style="1570"/>
    <col min="3841" max="3841" width="5.19921875" style="1570" customWidth="1"/>
    <col min="3842" max="3842" width="24.5" style="1570" customWidth="1"/>
    <col min="3843" max="3843" width="11.09765625" style="1570" customWidth="1"/>
    <col min="3844" max="3844" width="11" style="1570" customWidth="1"/>
    <col min="3845" max="3846" width="10.59765625" style="1570" customWidth="1"/>
    <col min="3847" max="3847" width="10.5" style="1570" customWidth="1"/>
    <col min="3848" max="3848" width="12.3984375" style="1570" customWidth="1"/>
    <col min="3849" max="3849" width="23.8984375" style="1570" customWidth="1"/>
    <col min="3850" max="3850" width="46.8984375" style="1570" customWidth="1"/>
    <col min="3851" max="4096" width="9" style="1570"/>
    <col min="4097" max="4097" width="5.19921875" style="1570" customWidth="1"/>
    <col min="4098" max="4098" width="24.5" style="1570" customWidth="1"/>
    <col min="4099" max="4099" width="11.09765625" style="1570" customWidth="1"/>
    <col min="4100" max="4100" width="11" style="1570" customWidth="1"/>
    <col min="4101" max="4102" width="10.59765625" style="1570" customWidth="1"/>
    <col min="4103" max="4103" width="10.5" style="1570" customWidth="1"/>
    <col min="4104" max="4104" width="12.3984375" style="1570" customWidth="1"/>
    <col min="4105" max="4105" width="23.8984375" style="1570" customWidth="1"/>
    <col min="4106" max="4106" width="46.8984375" style="1570" customWidth="1"/>
    <col min="4107" max="4352" width="9" style="1570"/>
    <col min="4353" max="4353" width="5.19921875" style="1570" customWidth="1"/>
    <col min="4354" max="4354" width="24.5" style="1570" customWidth="1"/>
    <col min="4355" max="4355" width="11.09765625" style="1570" customWidth="1"/>
    <col min="4356" max="4356" width="11" style="1570" customWidth="1"/>
    <col min="4357" max="4358" width="10.59765625" style="1570" customWidth="1"/>
    <col min="4359" max="4359" width="10.5" style="1570" customWidth="1"/>
    <col min="4360" max="4360" width="12.3984375" style="1570" customWidth="1"/>
    <col min="4361" max="4361" width="23.8984375" style="1570" customWidth="1"/>
    <col min="4362" max="4362" width="46.8984375" style="1570" customWidth="1"/>
    <col min="4363" max="4608" width="9" style="1570"/>
    <col min="4609" max="4609" width="5.19921875" style="1570" customWidth="1"/>
    <col min="4610" max="4610" width="24.5" style="1570" customWidth="1"/>
    <col min="4611" max="4611" width="11.09765625" style="1570" customWidth="1"/>
    <col min="4612" max="4612" width="11" style="1570" customWidth="1"/>
    <col min="4613" max="4614" width="10.59765625" style="1570" customWidth="1"/>
    <col min="4615" max="4615" width="10.5" style="1570" customWidth="1"/>
    <col min="4616" max="4616" width="12.3984375" style="1570" customWidth="1"/>
    <col min="4617" max="4617" width="23.8984375" style="1570" customWidth="1"/>
    <col min="4618" max="4618" width="46.8984375" style="1570" customWidth="1"/>
    <col min="4619" max="4864" width="9" style="1570"/>
    <col min="4865" max="4865" width="5.19921875" style="1570" customWidth="1"/>
    <col min="4866" max="4866" width="24.5" style="1570" customWidth="1"/>
    <col min="4867" max="4867" width="11.09765625" style="1570" customWidth="1"/>
    <col min="4868" max="4868" width="11" style="1570" customWidth="1"/>
    <col min="4869" max="4870" width="10.59765625" style="1570" customWidth="1"/>
    <col min="4871" max="4871" width="10.5" style="1570" customWidth="1"/>
    <col min="4872" max="4872" width="12.3984375" style="1570" customWidth="1"/>
    <col min="4873" max="4873" width="23.8984375" style="1570" customWidth="1"/>
    <col min="4874" max="4874" width="46.8984375" style="1570" customWidth="1"/>
    <col min="4875" max="5120" width="9" style="1570"/>
    <col min="5121" max="5121" width="5.19921875" style="1570" customWidth="1"/>
    <col min="5122" max="5122" width="24.5" style="1570" customWidth="1"/>
    <col min="5123" max="5123" width="11.09765625" style="1570" customWidth="1"/>
    <col min="5124" max="5124" width="11" style="1570" customWidth="1"/>
    <col min="5125" max="5126" width="10.59765625" style="1570" customWidth="1"/>
    <col min="5127" max="5127" width="10.5" style="1570" customWidth="1"/>
    <col min="5128" max="5128" width="12.3984375" style="1570" customWidth="1"/>
    <col min="5129" max="5129" width="23.8984375" style="1570" customWidth="1"/>
    <col min="5130" max="5130" width="46.8984375" style="1570" customWidth="1"/>
    <col min="5131" max="5376" width="9" style="1570"/>
    <col min="5377" max="5377" width="5.19921875" style="1570" customWidth="1"/>
    <col min="5378" max="5378" width="24.5" style="1570" customWidth="1"/>
    <col min="5379" max="5379" width="11.09765625" style="1570" customWidth="1"/>
    <col min="5380" max="5380" width="11" style="1570" customWidth="1"/>
    <col min="5381" max="5382" width="10.59765625" style="1570" customWidth="1"/>
    <col min="5383" max="5383" width="10.5" style="1570" customWidth="1"/>
    <col min="5384" max="5384" width="12.3984375" style="1570" customWidth="1"/>
    <col min="5385" max="5385" width="23.8984375" style="1570" customWidth="1"/>
    <col min="5386" max="5386" width="46.8984375" style="1570" customWidth="1"/>
    <col min="5387" max="5632" width="9" style="1570"/>
    <col min="5633" max="5633" width="5.19921875" style="1570" customWidth="1"/>
    <col min="5634" max="5634" width="24.5" style="1570" customWidth="1"/>
    <col min="5635" max="5635" width="11.09765625" style="1570" customWidth="1"/>
    <col min="5636" max="5636" width="11" style="1570" customWidth="1"/>
    <col min="5637" max="5638" width="10.59765625" style="1570" customWidth="1"/>
    <col min="5639" max="5639" width="10.5" style="1570" customWidth="1"/>
    <col min="5640" max="5640" width="12.3984375" style="1570" customWidth="1"/>
    <col min="5641" max="5641" width="23.8984375" style="1570" customWidth="1"/>
    <col min="5642" max="5642" width="46.8984375" style="1570" customWidth="1"/>
    <col min="5643" max="5888" width="9" style="1570"/>
    <col min="5889" max="5889" width="5.19921875" style="1570" customWidth="1"/>
    <col min="5890" max="5890" width="24.5" style="1570" customWidth="1"/>
    <col min="5891" max="5891" width="11.09765625" style="1570" customWidth="1"/>
    <col min="5892" max="5892" width="11" style="1570" customWidth="1"/>
    <col min="5893" max="5894" width="10.59765625" style="1570" customWidth="1"/>
    <col min="5895" max="5895" width="10.5" style="1570" customWidth="1"/>
    <col min="5896" max="5896" width="12.3984375" style="1570" customWidth="1"/>
    <col min="5897" max="5897" width="23.8984375" style="1570" customWidth="1"/>
    <col min="5898" max="5898" width="46.8984375" style="1570" customWidth="1"/>
    <col min="5899" max="6144" width="9" style="1570"/>
    <col min="6145" max="6145" width="5.19921875" style="1570" customWidth="1"/>
    <col min="6146" max="6146" width="24.5" style="1570" customWidth="1"/>
    <col min="6147" max="6147" width="11.09765625" style="1570" customWidth="1"/>
    <col min="6148" max="6148" width="11" style="1570" customWidth="1"/>
    <col min="6149" max="6150" width="10.59765625" style="1570" customWidth="1"/>
    <col min="6151" max="6151" width="10.5" style="1570" customWidth="1"/>
    <col min="6152" max="6152" width="12.3984375" style="1570" customWidth="1"/>
    <col min="6153" max="6153" width="23.8984375" style="1570" customWidth="1"/>
    <col min="6154" max="6154" width="46.8984375" style="1570" customWidth="1"/>
    <col min="6155" max="6400" width="9" style="1570"/>
    <col min="6401" max="6401" width="5.19921875" style="1570" customWidth="1"/>
    <col min="6402" max="6402" width="24.5" style="1570" customWidth="1"/>
    <col min="6403" max="6403" width="11.09765625" style="1570" customWidth="1"/>
    <col min="6404" max="6404" width="11" style="1570" customWidth="1"/>
    <col min="6405" max="6406" width="10.59765625" style="1570" customWidth="1"/>
    <col min="6407" max="6407" width="10.5" style="1570" customWidth="1"/>
    <col min="6408" max="6408" width="12.3984375" style="1570" customWidth="1"/>
    <col min="6409" max="6409" width="23.8984375" style="1570" customWidth="1"/>
    <col min="6410" max="6410" width="46.8984375" style="1570" customWidth="1"/>
    <col min="6411" max="6656" width="9" style="1570"/>
    <col min="6657" max="6657" width="5.19921875" style="1570" customWidth="1"/>
    <col min="6658" max="6658" width="24.5" style="1570" customWidth="1"/>
    <col min="6659" max="6659" width="11.09765625" style="1570" customWidth="1"/>
    <col min="6660" max="6660" width="11" style="1570" customWidth="1"/>
    <col min="6661" max="6662" width="10.59765625" style="1570" customWidth="1"/>
    <col min="6663" max="6663" width="10.5" style="1570" customWidth="1"/>
    <col min="6664" max="6664" width="12.3984375" style="1570" customWidth="1"/>
    <col min="6665" max="6665" width="23.8984375" style="1570" customWidth="1"/>
    <col min="6666" max="6666" width="46.8984375" style="1570" customWidth="1"/>
    <col min="6667" max="6912" width="9" style="1570"/>
    <col min="6913" max="6913" width="5.19921875" style="1570" customWidth="1"/>
    <col min="6914" max="6914" width="24.5" style="1570" customWidth="1"/>
    <col min="6915" max="6915" width="11.09765625" style="1570" customWidth="1"/>
    <col min="6916" max="6916" width="11" style="1570" customWidth="1"/>
    <col min="6917" max="6918" width="10.59765625" style="1570" customWidth="1"/>
    <col min="6919" max="6919" width="10.5" style="1570" customWidth="1"/>
    <col min="6920" max="6920" width="12.3984375" style="1570" customWidth="1"/>
    <col min="6921" max="6921" width="23.8984375" style="1570" customWidth="1"/>
    <col min="6922" max="6922" width="46.8984375" style="1570" customWidth="1"/>
    <col min="6923" max="7168" width="9" style="1570"/>
    <col min="7169" max="7169" width="5.19921875" style="1570" customWidth="1"/>
    <col min="7170" max="7170" width="24.5" style="1570" customWidth="1"/>
    <col min="7171" max="7171" width="11.09765625" style="1570" customWidth="1"/>
    <col min="7172" max="7172" width="11" style="1570" customWidth="1"/>
    <col min="7173" max="7174" width="10.59765625" style="1570" customWidth="1"/>
    <col min="7175" max="7175" width="10.5" style="1570" customWidth="1"/>
    <col min="7176" max="7176" width="12.3984375" style="1570" customWidth="1"/>
    <col min="7177" max="7177" width="23.8984375" style="1570" customWidth="1"/>
    <col min="7178" max="7178" width="46.8984375" style="1570" customWidth="1"/>
    <col min="7179" max="7424" width="9" style="1570"/>
    <col min="7425" max="7425" width="5.19921875" style="1570" customWidth="1"/>
    <col min="7426" max="7426" width="24.5" style="1570" customWidth="1"/>
    <col min="7427" max="7427" width="11.09765625" style="1570" customWidth="1"/>
    <col min="7428" max="7428" width="11" style="1570" customWidth="1"/>
    <col min="7429" max="7430" width="10.59765625" style="1570" customWidth="1"/>
    <col min="7431" max="7431" width="10.5" style="1570" customWidth="1"/>
    <col min="7432" max="7432" width="12.3984375" style="1570" customWidth="1"/>
    <col min="7433" max="7433" width="23.8984375" style="1570" customWidth="1"/>
    <col min="7434" max="7434" width="46.8984375" style="1570" customWidth="1"/>
    <col min="7435" max="7680" width="9" style="1570"/>
    <col min="7681" max="7681" width="5.19921875" style="1570" customWidth="1"/>
    <col min="7682" max="7682" width="24.5" style="1570" customWidth="1"/>
    <col min="7683" max="7683" width="11.09765625" style="1570" customWidth="1"/>
    <col min="7684" max="7684" width="11" style="1570" customWidth="1"/>
    <col min="7685" max="7686" width="10.59765625" style="1570" customWidth="1"/>
    <col min="7687" max="7687" width="10.5" style="1570" customWidth="1"/>
    <col min="7688" max="7688" width="12.3984375" style="1570" customWidth="1"/>
    <col min="7689" max="7689" width="23.8984375" style="1570" customWidth="1"/>
    <col min="7690" max="7690" width="46.8984375" style="1570" customWidth="1"/>
    <col min="7691" max="7936" width="9" style="1570"/>
    <col min="7937" max="7937" width="5.19921875" style="1570" customWidth="1"/>
    <col min="7938" max="7938" width="24.5" style="1570" customWidth="1"/>
    <col min="7939" max="7939" width="11.09765625" style="1570" customWidth="1"/>
    <col min="7940" max="7940" width="11" style="1570" customWidth="1"/>
    <col min="7941" max="7942" width="10.59765625" style="1570" customWidth="1"/>
    <col min="7943" max="7943" width="10.5" style="1570" customWidth="1"/>
    <col min="7944" max="7944" width="12.3984375" style="1570" customWidth="1"/>
    <col min="7945" max="7945" width="23.8984375" style="1570" customWidth="1"/>
    <col min="7946" max="7946" width="46.8984375" style="1570" customWidth="1"/>
    <col min="7947" max="8192" width="9" style="1570"/>
    <col min="8193" max="8193" width="5.19921875" style="1570" customWidth="1"/>
    <col min="8194" max="8194" width="24.5" style="1570" customWidth="1"/>
    <col min="8195" max="8195" width="11.09765625" style="1570" customWidth="1"/>
    <col min="8196" max="8196" width="11" style="1570" customWidth="1"/>
    <col min="8197" max="8198" width="10.59765625" style="1570" customWidth="1"/>
    <col min="8199" max="8199" width="10.5" style="1570" customWidth="1"/>
    <col min="8200" max="8200" width="12.3984375" style="1570" customWidth="1"/>
    <col min="8201" max="8201" width="23.8984375" style="1570" customWidth="1"/>
    <col min="8202" max="8202" width="46.8984375" style="1570" customWidth="1"/>
    <col min="8203" max="8448" width="9" style="1570"/>
    <col min="8449" max="8449" width="5.19921875" style="1570" customWidth="1"/>
    <col min="8450" max="8450" width="24.5" style="1570" customWidth="1"/>
    <col min="8451" max="8451" width="11.09765625" style="1570" customWidth="1"/>
    <col min="8452" max="8452" width="11" style="1570" customWidth="1"/>
    <col min="8453" max="8454" width="10.59765625" style="1570" customWidth="1"/>
    <col min="8455" max="8455" width="10.5" style="1570" customWidth="1"/>
    <col min="8456" max="8456" width="12.3984375" style="1570" customWidth="1"/>
    <col min="8457" max="8457" width="23.8984375" style="1570" customWidth="1"/>
    <col min="8458" max="8458" width="46.8984375" style="1570" customWidth="1"/>
    <col min="8459" max="8704" width="9" style="1570"/>
    <col min="8705" max="8705" width="5.19921875" style="1570" customWidth="1"/>
    <col min="8706" max="8706" width="24.5" style="1570" customWidth="1"/>
    <col min="8707" max="8707" width="11.09765625" style="1570" customWidth="1"/>
    <col min="8708" max="8708" width="11" style="1570" customWidth="1"/>
    <col min="8709" max="8710" width="10.59765625" style="1570" customWidth="1"/>
    <col min="8711" max="8711" width="10.5" style="1570" customWidth="1"/>
    <col min="8712" max="8712" width="12.3984375" style="1570" customWidth="1"/>
    <col min="8713" max="8713" width="23.8984375" style="1570" customWidth="1"/>
    <col min="8714" max="8714" width="46.8984375" style="1570" customWidth="1"/>
    <col min="8715" max="8960" width="9" style="1570"/>
    <col min="8961" max="8961" width="5.19921875" style="1570" customWidth="1"/>
    <col min="8962" max="8962" width="24.5" style="1570" customWidth="1"/>
    <col min="8963" max="8963" width="11.09765625" style="1570" customWidth="1"/>
    <col min="8964" max="8964" width="11" style="1570" customWidth="1"/>
    <col min="8965" max="8966" width="10.59765625" style="1570" customWidth="1"/>
    <col min="8967" max="8967" width="10.5" style="1570" customWidth="1"/>
    <col min="8968" max="8968" width="12.3984375" style="1570" customWidth="1"/>
    <col min="8969" max="8969" width="23.8984375" style="1570" customWidth="1"/>
    <col min="8970" max="8970" width="46.8984375" style="1570" customWidth="1"/>
    <col min="8971" max="9216" width="9" style="1570"/>
    <col min="9217" max="9217" width="5.19921875" style="1570" customWidth="1"/>
    <col min="9218" max="9218" width="24.5" style="1570" customWidth="1"/>
    <col min="9219" max="9219" width="11.09765625" style="1570" customWidth="1"/>
    <col min="9220" max="9220" width="11" style="1570" customWidth="1"/>
    <col min="9221" max="9222" width="10.59765625" style="1570" customWidth="1"/>
    <col min="9223" max="9223" width="10.5" style="1570" customWidth="1"/>
    <col min="9224" max="9224" width="12.3984375" style="1570" customWidth="1"/>
    <col min="9225" max="9225" width="23.8984375" style="1570" customWidth="1"/>
    <col min="9226" max="9226" width="46.8984375" style="1570" customWidth="1"/>
    <col min="9227" max="9472" width="9" style="1570"/>
    <col min="9473" max="9473" width="5.19921875" style="1570" customWidth="1"/>
    <col min="9474" max="9474" width="24.5" style="1570" customWidth="1"/>
    <col min="9475" max="9475" width="11.09765625" style="1570" customWidth="1"/>
    <col min="9476" max="9476" width="11" style="1570" customWidth="1"/>
    <col min="9477" max="9478" width="10.59765625" style="1570" customWidth="1"/>
    <col min="9479" max="9479" width="10.5" style="1570" customWidth="1"/>
    <col min="9480" max="9480" width="12.3984375" style="1570" customWidth="1"/>
    <col min="9481" max="9481" width="23.8984375" style="1570" customWidth="1"/>
    <col min="9482" max="9482" width="46.8984375" style="1570" customWidth="1"/>
    <col min="9483" max="9728" width="9" style="1570"/>
    <col min="9729" max="9729" width="5.19921875" style="1570" customWidth="1"/>
    <col min="9730" max="9730" width="24.5" style="1570" customWidth="1"/>
    <col min="9731" max="9731" width="11.09765625" style="1570" customWidth="1"/>
    <col min="9732" max="9732" width="11" style="1570" customWidth="1"/>
    <col min="9733" max="9734" width="10.59765625" style="1570" customWidth="1"/>
    <col min="9735" max="9735" width="10.5" style="1570" customWidth="1"/>
    <col min="9736" max="9736" width="12.3984375" style="1570" customWidth="1"/>
    <col min="9737" max="9737" width="23.8984375" style="1570" customWidth="1"/>
    <col min="9738" max="9738" width="46.8984375" style="1570" customWidth="1"/>
    <col min="9739" max="9984" width="9" style="1570"/>
    <col min="9985" max="9985" width="5.19921875" style="1570" customWidth="1"/>
    <col min="9986" max="9986" width="24.5" style="1570" customWidth="1"/>
    <col min="9987" max="9987" width="11.09765625" style="1570" customWidth="1"/>
    <col min="9988" max="9988" width="11" style="1570" customWidth="1"/>
    <col min="9989" max="9990" width="10.59765625" style="1570" customWidth="1"/>
    <col min="9991" max="9991" width="10.5" style="1570" customWidth="1"/>
    <col min="9992" max="9992" width="12.3984375" style="1570" customWidth="1"/>
    <col min="9993" max="9993" width="23.8984375" style="1570" customWidth="1"/>
    <col min="9994" max="9994" width="46.8984375" style="1570" customWidth="1"/>
    <col min="9995" max="10240" width="9" style="1570"/>
    <col min="10241" max="10241" width="5.19921875" style="1570" customWidth="1"/>
    <col min="10242" max="10242" width="24.5" style="1570" customWidth="1"/>
    <col min="10243" max="10243" width="11.09765625" style="1570" customWidth="1"/>
    <col min="10244" max="10244" width="11" style="1570" customWidth="1"/>
    <col min="10245" max="10246" width="10.59765625" style="1570" customWidth="1"/>
    <col min="10247" max="10247" width="10.5" style="1570" customWidth="1"/>
    <col min="10248" max="10248" width="12.3984375" style="1570" customWidth="1"/>
    <col min="10249" max="10249" width="23.8984375" style="1570" customWidth="1"/>
    <col min="10250" max="10250" width="46.8984375" style="1570" customWidth="1"/>
    <col min="10251" max="10496" width="9" style="1570"/>
    <col min="10497" max="10497" width="5.19921875" style="1570" customWidth="1"/>
    <col min="10498" max="10498" width="24.5" style="1570" customWidth="1"/>
    <col min="10499" max="10499" width="11.09765625" style="1570" customWidth="1"/>
    <col min="10500" max="10500" width="11" style="1570" customWidth="1"/>
    <col min="10501" max="10502" width="10.59765625" style="1570" customWidth="1"/>
    <col min="10503" max="10503" width="10.5" style="1570" customWidth="1"/>
    <col min="10504" max="10504" width="12.3984375" style="1570" customWidth="1"/>
    <col min="10505" max="10505" width="23.8984375" style="1570" customWidth="1"/>
    <col min="10506" max="10506" width="46.8984375" style="1570" customWidth="1"/>
    <col min="10507" max="10752" width="9" style="1570"/>
    <col min="10753" max="10753" width="5.19921875" style="1570" customWidth="1"/>
    <col min="10754" max="10754" width="24.5" style="1570" customWidth="1"/>
    <col min="10755" max="10755" width="11.09765625" style="1570" customWidth="1"/>
    <col min="10756" max="10756" width="11" style="1570" customWidth="1"/>
    <col min="10757" max="10758" width="10.59765625" style="1570" customWidth="1"/>
    <col min="10759" max="10759" width="10.5" style="1570" customWidth="1"/>
    <col min="10760" max="10760" width="12.3984375" style="1570" customWidth="1"/>
    <col min="10761" max="10761" width="23.8984375" style="1570" customWidth="1"/>
    <col min="10762" max="10762" width="46.8984375" style="1570" customWidth="1"/>
    <col min="10763" max="11008" width="9" style="1570"/>
    <col min="11009" max="11009" width="5.19921875" style="1570" customWidth="1"/>
    <col min="11010" max="11010" width="24.5" style="1570" customWidth="1"/>
    <col min="11011" max="11011" width="11.09765625" style="1570" customWidth="1"/>
    <col min="11012" max="11012" width="11" style="1570" customWidth="1"/>
    <col min="11013" max="11014" width="10.59765625" style="1570" customWidth="1"/>
    <col min="11015" max="11015" width="10.5" style="1570" customWidth="1"/>
    <col min="11016" max="11016" width="12.3984375" style="1570" customWidth="1"/>
    <col min="11017" max="11017" width="23.8984375" style="1570" customWidth="1"/>
    <col min="11018" max="11018" width="46.8984375" style="1570" customWidth="1"/>
    <col min="11019" max="11264" width="9" style="1570"/>
    <col min="11265" max="11265" width="5.19921875" style="1570" customWidth="1"/>
    <col min="11266" max="11266" width="24.5" style="1570" customWidth="1"/>
    <col min="11267" max="11267" width="11.09765625" style="1570" customWidth="1"/>
    <col min="11268" max="11268" width="11" style="1570" customWidth="1"/>
    <col min="11269" max="11270" width="10.59765625" style="1570" customWidth="1"/>
    <col min="11271" max="11271" width="10.5" style="1570" customWidth="1"/>
    <col min="11272" max="11272" width="12.3984375" style="1570" customWidth="1"/>
    <col min="11273" max="11273" width="23.8984375" style="1570" customWidth="1"/>
    <col min="11274" max="11274" width="46.8984375" style="1570" customWidth="1"/>
    <col min="11275" max="11520" width="9" style="1570"/>
    <col min="11521" max="11521" width="5.19921875" style="1570" customWidth="1"/>
    <col min="11522" max="11522" width="24.5" style="1570" customWidth="1"/>
    <col min="11523" max="11523" width="11.09765625" style="1570" customWidth="1"/>
    <col min="11524" max="11524" width="11" style="1570" customWidth="1"/>
    <col min="11525" max="11526" width="10.59765625" style="1570" customWidth="1"/>
    <col min="11527" max="11527" width="10.5" style="1570" customWidth="1"/>
    <col min="11528" max="11528" width="12.3984375" style="1570" customWidth="1"/>
    <col min="11529" max="11529" width="23.8984375" style="1570" customWidth="1"/>
    <col min="11530" max="11530" width="46.8984375" style="1570" customWidth="1"/>
    <col min="11531" max="11776" width="9" style="1570"/>
    <col min="11777" max="11777" width="5.19921875" style="1570" customWidth="1"/>
    <col min="11778" max="11778" width="24.5" style="1570" customWidth="1"/>
    <col min="11779" max="11779" width="11.09765625" style="1570" customWidth="1"/>
    <col min="11780" max="11780" width="11" style="1570" customWidth="1"/>
    <col min="11781" max="11782" width="10.59765625" style="1570" customWidth="1"/>
    <col min="11783" max="11783" width="10.5" style="1570" customWidth="1"/>
    <col min="11784" max="11784" width="12.3984375" style="1570" customWidth="1"/>
    <col min="11785" max="11785" width="23.8984375" style="1570" customWidth="1"/>
    <col min="11786" max="11786" width="46.8984375" style="1570" customWidth="1"/>
    <col min="11787" max="12032" width="9" style="1570"/>
    <col min="12033" max="12033" width="5.19921875" style="1570" customWidth="1"/>
    <col min="12034" max="12034" width="24.5" style="1570" customWidth="1"/>
    <col min="12035" max="12035" width="11.09765625" style="1570" customWidth="1"/>
    <col min="12036" max="12036" width="11" style="1570" customWidth="1"/>
    <col min="12037" max="12038" width="10.59765625" style="1570" customWidth="1"/>
    <col min="12039" max="12039" width="10.5" style="1570" customWidth="1"/>
    <col min="12040" max="12040" width="12.3984375" style="1570" customWidth="1"/>
    <col min="12041" max="12041" width="23.8984375" style="1570" customWidth="1"/>
    <col min="12042" max="12042" width="46.8984375" style="1570" customWidth="1"/>
    <col min="12043" max="12288" width="9" style="1570"/>
    <col min="12289" max="12289" width="5.19921875" style="1570" customWidth="1"/>
    <col min="12290" max="12290" width="24.5" style="1570" customWidth="1"/>
    <col min="12291" max="12291" width="11.09765625" style="1570" customWidth="1"/>
    <col min="12292" max="12292" width="11" style="1570" customWidth="1"/>
    <col min="12293" max="12294" width="10.59765625" style="1570" customWidth="1"/>
    <col min="12295" max="12295" width="10.5" style="1570" customWidth="1"/>
    <col min="12296" max="12296" width="12.3984375" style="1570" customWidth="1"/>
    <col min="12297" max="12297" width="23.8984375" style="1570" customWidth="1"/>
    <col min="12298" max="12298" width="46.8984375" style="1570" customWidth="1"/>
    <col min="12299" max="12544" width="9" style="1570"/>
    <col min="12545" max="12545" width="5.19921875" style="1570" customWidth="1"/>
    <col min="12546" max="12546" width="24.5" style="1570" customWidth="1"/>
    <col min="12547" max="12547" width="11.09765625" style="1570" customWidth="1"/>
    <col min="12548" max="12548" width="11" style="1570" customWidth="1"/>
    <col min="12549" max="12550" width="10.59765625" style="1570" customWidth="1"/>
    <col min="12551" max="12551" width="10.5" style="1570" customWidth="1"/>
    <col min="12552" max="12552" width="12.3984375" style="1570" customWidth="1"/>
    <col min="12553" max="12553" width="23.8984375" style="1570" customWidth="1"/>
    <col min="12554" max="12554" width="46.8984375" style="1570" customWidth="1"/>
    <col min="12555" max="12800" width="9" style="1570"/>
    <col min="12801" max="12801" width="5.19921875" style="1570" customWidth="1"/>
    <col min="12802" max="12802" width="24.5" style="1570" customWidth="1"/>
    <col min="12803" max="12803" width="11.09765625" style="1570" customWidth="1"/>
    <col min="12804" max="12804" width="11" style="1570" customWidth="1"/>
    <col min="12805" max="12806" width="10.59765625" style="1570" customWidth="1"/>
    <col min="12807" max="12807" width="10.5" style="1570" customWidth="1"/>
    <col min="12808" max="12808" width="12.3984375" style="1570" customWidth="1"/>
    <col min="12809" max="12809" width="23.8984375" style="1570" customWidth="1"/>
    <col min="12810" max="12810" width="46.8984375" style="1570" customWidth="1"/>
    <col min="12811" max="13056" width="9" style="1570"/>
    <col min="13057" max="13057" width="5.19921875" style="1570" customWidth="1"/>
    <col min="13058" max="13058" width="24.5" style="1570" customWidth="1"/>
    <col min="13059" max="13059" width="11.09765625" style="1570" customWidth="1"/>
    <col min="13060" max="13060" width="11" style="1570" customWidth="1"/>
    <col min="13061" max="13062" width="10.59765625" style="1570" customWidth="1"/>
    <col min="13063" max="13063" width="10.5" style="1570" customWidth="1"/>
    <col min="13064" max="13064" width="12.3984375" style="1570" customWidth="1"/>
    <col min="13065" max="13065" width="23.8984375" style="1570" customWidth="1"/>
    <col min="13066" max="13066" width="46.8984375" style="1570" customWidth="1"/>
    <col min="13067" max="13312" width="9" style="1570"/>
    <col min="13313" max="13313" width="5.19921875" style="1570" customWidth="1"/>
    <col min="13314" max="13314" width="24.5" style="1570" customWidth="1"/>
    <col min="13315" max="13315" width="11.09765625" style="1570" customWidth="1"/>
    <col min="13316" max="13316" width="11" style="1570" customWidth="1"/>
    <col min="13317" max="13318" width="10.59765625" style="1570" customWidth="1"/>
    <col min="13319" max="13319" width="10.5" style="1570" customWidth="1"/>
    <col min="13320" max="13320" width="12.3984375" style="1570" customWidth="1"/>
    <col min="13321" max="13321" width="23.8984375" style="1570" customWidth="1"/>
    <col min="13322" max="13322" width="46.8984375" style="1570" customWidth="1"/>
    <col min="13323" max="13568" width="9" style="1570"/>
    <col min="13569" max="13569" width="5.19921875" style="1570" customWidth="1"/>
    <col min="13570" max="13570" width="24.5" style="1570" customWidth="1"/>
    <col min="13571" max="13571" width="11.09765625" style="1570" customWidth="1"/>
    <col min="13572" max="13572" width="11" style="1570" customWidth="1"/>
    <col min="13573" max="13574" width="10.59765625" style="1570" customWidth="1"/>
    <col min="13575" max="13575" width="10.5" style="1570" customWidth="1"/>
    <col min="13576" max="13576" width="12.3984375" style="1570" customWidth="1"/>
    <col min="13577" max="13577" width="23.8984375" style="1570" customWidth="1"/>
    <col min="13578" max="13578" width="46.8984375" style="1570" customWidth="1"/>
    <col min="13579" max="13824" width="9" style="1570"/>
    <col min="13825" max="13825" width="5.19921875" style="1570" customWidth="1"/>
    <col min="13826" max="13826" width="24.5" style="1570" customWidth="1"/>
    <col min="13827" max="13827" width="11.09765625" style="1570" customWidth="1"/>
    <col min="13828" max="13828" width="11" style="1570" customWidth="1"/>
    <col min="13829" max="13830" width="10.59765625" style="1570" customWidth="1"/>
    <col min="13831" max="13831" width="10.5" style="1570" customWidth="1"/>
    <col min="13832" max="13832" width="12.3984375" style="1570" customWidth="1"/>
    <col min="13833" max="13833" width="23.8984375" style="1570" customWidth="1"/>
    <col min="13834" max="13834" width="46.8984375" style="1570" customWidth="1"/>
    <col min="13835" max="14080" width="9" style="1570"/>
    <col min="14081" max="14081" width="5.19921875" style="1570" customWidth="1"/>
    <col min="14082" max="14082" width="24.5" style="1570" customWidth="1"/>
    <col min="14083" max="14083" width="11.09765625" style="1570" customWidth="1"/>
    <col min="14084" max="14084" width="11" style="1570" customWidth="1"/>
    <col min="14085" max="14086" width="10.59765625" style="1570" customWidth="1"/>
    <col min="14087" max="14087" width="10.5" style="1570" customWidth="1"/>
    <col min="14088" max="14088" width="12.3984375" style="1570" customWidth="1"/>
    <col min="14089" max="14089" width="23.8984375" style="1570" customWidth="1"/>
    <col min="14090" max="14090" width="46.8984375" style="1570" customWidth="1"/>
    <col min="14091" max="14336" width="9" style="1570"/>
    <col min="14337" max="14337" width="5.19921875" style="1570" customWidth="1"/>
    <col min="14338" max="14338" width="24.5" style="1570" customWidth="1"/>
    <col min="14339" max="14339" width="11.09765625" style="1570" customWidth="1"/>
    <col min="14340" max="14340" width="11" style="1570" customWidth="1"/>
    <col min="14341" max="14342" width="10.59765625" style="1570" customWidth="1"/>
    <col min="14343" max="14343" width="10.5" style="1570" customWidth="1"/>
    <col min="14344" max="14344" width="12.3984375" style="1570" customWidth="1"/>
    <col min="14345" max="14345" width="23.8984375" style="1570" customWidth="1"/>
    <col min="14346" max="14346" width="46.8984375" style="1570" customWidth="1"/>
    <col min="14347" max="14592" width="9" style="1570"/>
    <col min="14593" max="14593" width="5.19921875" style="1570" customWidth="1"/>
    <col min="14594" max="14594" width="24.5" style="1570" customWidth="1"/>
    <col min="14595" max="14595" width="11.09765625" style="1570" customWidth="1"/>
    <col min="14596" max="14596" width="11" style="1570" customWidth="1"/>
    <col min="14597" max="14598" width="10.59765625" style="1570" customWidth="1"/>
    <col min="14599" max="14599" width="10.5" style="1570" customWidth="1"/>
    <col min="14600" max="14600" width="12.3984375" style="1570" customWidth="1"/>
    <col min="14601" max="14601" width="23.8984375" style="1570" customWidth="1"/>
    <col min="14602" max="14602" width="46.8984375" style="1570" customWidth="1"/>
    <col min="14603" max="14848" width="9" style="1570"/>
    <col min="14849" max="14849" width="5.19921875" style="1570" customWidth="1"/>
    <col min="14850" max="14850" width="24.5" style="1570" customWidth="1"/>
    <col min="14851" max="14851" width="11.09765625" style="1570" customWidth="1"/>
    <col min="14852" max="14852" width="11" style="1570" customWidth="1"/>
    <col min="14853" max="14854" width="10.59765625" style="1570" customWidth="1"/>
    <col min="14855" max="14855" width="10.5" style="1570" customWidth="1"/>
    <col min="14856" max="14856" width="12.3984375" style="1570" customWidth="1"/>
    <col min="14857" max="14857" width="23.8984375" style="1570" customWidth="1"/>
    <col min="14858" max="14858" width="46.8984375" style="1570" customWidth="1"/>
    <col min="14859" max="15104" width="9" style="1570"/>
    <col min="15105" max="15105" width="5.19921875" style="1570" customWidth="1"/>
    <col min="15106" max="15106" width="24.5" style="1570" customWidth="1"/>
    <col min="15107" max="15107" width="11.09765625" style="1570" customWidth="1"/>
    <col min="15108" max="15108" width="11" style="1570" customWidth="1"/>
    <col min="15109" max="15110" width="10.59765625" style="1570" customWidth="1"/>
    <col min="15111" max="15111" width="10.5" style="1570" customWidth="1"/>
    <col min="15112" max="15112" width="12.3984375" style="1570" customWidth="1"/>
    <col min="15113" max="15113" width="23.8984375" style="1570" customWidth="1"/>
    <col min="15114" max="15114" width="46.8984375" style="1570" customWidth="1"/>
    <col min="15115" max="15360" width="9" style="1570"/>
    <col min="15361" max="15361" width="5.19921875" style="1570" customWidth="1"/>
    <col min="15362" max="15362" width="24.5" style="1570" customWidth="1"/>
    <col min="15363" max="15363" width="11.09765625" style="1570" customWidth="1"/>
    <col min="15364" max="15364" width="11" style="1570" customWidth="1"/>
    <col min="15365" max="15366" width="10.59765625" style="1570" customWidth="1"/>
    <col min="15367" max="15367" width="10.5" style="1570" customWidth="1"/>
    <col min="15368" max="15368" width="12.3984375" style="1570" customWidth="1"/>
    <col min="15369" max="15369" width="23.8984375" style="1570" customWidth="1"/>
    <col min="15370" max="15370" width="46.8984375" style="1570" customWidth="1"/>
    <col min="15371" max="15616" width="9" style="1570"/>
    <col min="15617" max="15617" width="5.19921875" style="1570" customWidth="1"/>
    <col min="15618" max="15618" width="24.5" style="1570" customWidth="1"/>
    <col min="15619" max="15619" width="11.09765625" style="1570" customWidth="1"/>
    <col min="15620" max="15620" width="11" style="1570" customWidth="1"/>
    <col min="15621" max="15622" width="10.59765625" style="1570" customWidth="1"/>
    <col min="15623" max="15623" width="10.5" style="1570" customWidth="1"/>
    <col min="15624" max="15624" width="12.3984375" style="1570" customWidth="1"/>
    <col min="15625" max="15625" width="23.8984375" style="1570" customWidth="1"/>
    <col min="15626" max="15626" width="46.8984375" style="1570" customWidth="1"/>
    <col min="15627" max="15872" width="9" style="1570"/>
    <col min="15873" max="15873" width="5.19921875" style="1570" customWidth="1"/>
    <col min="15874" max="15874" width="24.5" style="1570" customWidth="1"/>
    <col min="15875" max="15875" width="11.09765625" style="1570" customWidth="1"/>
    <col min="15876" max="15876" width="11" style="1570" customWidth="1"/>
    <col min="15877" max="15878" width="10.59765625" style="1570" customWidth="1"/>
    <col min="15879" max="15879" width="10.5" style="1570" customWidth="1"/>
    <col min="15880" max="15880" width="12.3984375" style="1570" customWidth="1"/>
    <col min="15881" max="15881" width="23.8984375" style="1570" customWidth="1"/>
    <col min="15882" max="15882" width="46.8984375" style="1570" customWidth="1"/>
    <col min="15883" max="16128" width="9" style="1570"/>
    <col min="16129" max="16129" width="5.19921875" style="1570" customWidth="1"/>
    <col min="16130" max="16130" width="24.5" style="1570" customWidth="1"/>
    <col min="16131" max="16131" width="11.09765625" style="1570" customWidth="1"/>
    <col min="16132" max="16132" width="11" style="1570" customWidth="1"/>
    <col min="16133" max="16134" width="10.59765625" style="1570" customWidth="1"/>
    <col min="16135" max="16135" width="10.5" style="1570" customWidth="1"/>
    <col min="16136" max="16136" width="12.3984375" style="1570" customWidth="1"/>
    <col min="16137" max="16137" width="23.8984375" style="1570" customWidth="1"/>
    <col min="16138" max="16138" width="46.8984375" style="1570" customWidth="1"/>
    <col min="16139" max="16384" width="9" style="1570"/>
  </cols>
  <sheetData>
    <row r="1" spans="1:10" ht="20.100000000000001" customHeight="1">
      <c r="A1" s="3378" t="s">
        <v>5384</v>
      </c>
      <c r="B1" s="3378"/>
      <c r="C1" s="3378"/>
      <c r="D1" s="3378"/>
      <c r="E1" s="3378"/>
      <c r="F1" s="3378"/>
      <c r="G1" s="3378"/>
      <c r="H1" s="3378"/>
      <c r="I1" s="2017"/>
    </row>
    <row r="2" spans="1:10" ht="25.5" customHeight="1">
      <c r="A2" s="3379" t="s">
        <v>5385</v>
      </c>
      <c r="B2" s="3379"/>
      <c r="C2" s="3379"/>
      <c r="D2" s="3379"/>
      <c r="E2" s="3379"/>
      <c r="F2" s="3379"/>
      <c r="G2" s="3379"/>
      <c r="H2" s="3379"/>
      <c r="I2" s="1836"/>
    </row>
    <row r="3" spans="1:10" ht="14.25" customHeight="1">
      <c r="A3" s="3380" t="s">
        <v>646</v>
      </c>
      <c r="B3" s="3377" t="s">
        <v>5386</v>
      </c>
      <c r="C3" s="3385" t="s">
        <v>1629</v>
      </c>
      <c r="D3" s="3385" t="s">
        <v>5387</v>
      </c>
      <c r="E3" s="3385" t="s">
        <v>5388</v>
      </c>
      <c r="F3" s="3385" t="s">
        <v>1256</v>
      </c>
      <c r="G3" s="3385" t="s">
        <v>1301</v>
      </c>
      <c r="H3" s="3385" t="s">
        <v>5389</v>
      </c>
      <c r="I3" s="3385" t="s">
        <v>5390</v>
      </c>
    </row>
    <row r="4" spans="1:10" ht="14.25" customHeight="1">
      <c r="A4" s="3381"/>
      <c r="B4" s="3377"/>
      <c r="C4" s="3385"/>
      <c r="D4" s="3385"/>
      <c r="E4" s="3385"/>
      <c r="F4" s="3385"/>
      <c r="G4" s="3385"/>
      <c r="H4" s="3385"/>
      <c r="I4" s="3385"/>
    </row>
    <row r="5" spans="1:10" ht="14.25" customHeight="1">
      <c r="A5" s="3382"/>
      <c r="B5" s="1848">
        <v>1</v>
      </c>
      <c r="C5" s="1848">
        <v>2</v>
      </c>
      <c r="D5" s="1848">
        <v>3</v>
      </c>
      <c r="E5" s="1848">
        <v>4</v>
      </c>
      <c r="F5" s="1848">
        <v>5</v>
      </c>
      <c r="G5" s="1850" t="s">
        <v>5391</v>
      </c>
      <c r="H5" s="1850" t="s">
        <v>5392</v>
      </c>
      <c r="I5" s="1976"/>
    </row>
    <row r="6" spans="1:10" ht="84">
      <c r="A6" s="1848">
        <v>1</v>
      </c>
      <c r="B6" s="1831" t="s">
        <v>5393</v>
      </c>
      <c r="C6" s="2074">
        <f>'资产损失（专项申报）税前扣除审核表'!C6</f>
        <v>0</v>
      </c>
      <c r="D6" s="2074">
        <f>'资产损失（专项申报）税前扣除审核表'!D6</f>
        <v>0</v>
      </c>
      <c r="E6" s="2074">
        <f>'资产损失（专项申报）税前扣除审核表'!E6</f>
        <v>0</v>
      </c>
      <c r="F6" s="2074">
        <f>'资产损失（专项申报）税前扣除审核表'!F6</f>
        <v>0</v>
      </c>
      <c r="G6" s="2074">
        <f>'资产损失（专项申报）税前扣除审核表'!G6</f>
        <v>0</v>
      </c>
      <c r="H6" s="2074">
        <f>'资产损失（专项申报）税前扣除审核表'!H6</f>
        <v>0</v>
      </c>
      <c r="I6" s="1972" t="s">
        <v>5394</v>
      </c>
      <c r="J6" s="1572"/>
    </row>
    <row r="7" spans="1:10" ht="14.25" customHeight="1">
      <c r="A7" s="1848">
        <v>2</v>
      </c>
      <c r="B7" s="1936">
        <f>'资产损失（专项申报）税前扣除审核表'!B7</f>
        <v>0</v>
      </c>
      <c r="C7" s="2074">
        <f>'资产损失（专项申报）税前扣除审核表'!C7</f>
        <v>0</v>
      </c>
      <c r="D7" s="2074">
        <f>'资产损失（专项申报）税前扣除审核表'!D7</f>
        <v>0</v>
      </c>
      <c r="E7" s="2074">
        <f>'资产损失（专项申报）税前扣除审核表'!E7</f>
        <v>0</v>
      </c>
      <c r="F7" s="2074">
        <f>'资产损失（专项申报）税前扣除审核表'!F7</f>
        <v>0</v>
      </c>
      <c r="G7" s="2074">
        <f>'资产损失（专项申报）税前扣除审核表'!G7</f>
        <v>0</v>
      </c>
      <c r="H7" s="2074">
        <f>'资产损失（专项申报）税前扣除审核表'!H7</f>
        <v>0</v>
      </c>
      <c r="I7" s="1972"/>
      <c r="J7" s="1675" t="s">
        <v>6447</v>
      </c>
    </row>
    <row r="8" spans="1:10" ht="14.25" customHeight="1">
      <c r="A8" s="1848">
        <v>3</v>
      </c>
      <c r="B8" s="1936">
        <f>'资产损失（专项申报）税前扣除审核表'!B8</f>
        <v>0</v>
      </c>
      <c r="C8" s="2074">
        <f>'资产损失（专项申报）税前扣除审核表'!C8</f>
        <v>0</v>
      </c>
      <c r="D8" s="2074">
        <f>'资产损失（专项申报）税前扣除审核表'!D8</f>
        <v>0</v>
      </c>
      <c r="E8" s="2074">
        <f>'资产损失（专项申报）税前扣除审核表'!E8</f>
        <v>0</v>
      </c>
      <c r="F8" s="2074">
        <f>'资产损失（专项申报）税前扣除审核表'!F8</f>
        <v>0</v>
      </c>
      <c r="G8" s="2074">
        <f>'资产损失（专项申报）税前扣除审核表'!G8</f>
        <v>0</v>
      </c>
      <c r="H8" s="2074">
        <f>'资产损失（专项申报）税前扣除审核表'!H8</f>
        <v>0</v>
      </c>
      <c r="I8" s="1972"/>
    </row>
    <row r="9" spans="1:10" ht="14.25" customHeight="1">
      <c r="A9" s="1848">
        <v>4</v>
      </c>
      <c r="B9" s="1936">
        <f>'资产损失（专项申报）税前扣除审核表'!B9</f>
        <v>0</v>
      </c>
      <c r="C9" s="2074">
        <f>'资产损失（专项申报）税前扣除审核表'!C9</f>
        <v>0</v>
      </c>
      <c r="D9" s="2074">
        <f>'资产损失（专项申报）税前扣除审核表'!D9</f>
        <v>0</v>
      </c>
      <c r="E9" s="2074">
        <f>'资产损失（专项申报）税前扣除审核表'!E9</f>
        <v>0</v>
      </c>
      <c r="F9" s="2074">
        <f>'资产损失（专项申报）税前扣除审核表'!F9</f>
        <v>0</v>
      </c>
      <c r="G9" s="2074">
        <f>'资产损失（专项申报）税前扣除审核表'!G9</f>
        <v>0</v>
      </c>
      <c r="H9" s="2074">
        <f>'资产损失（专项申报）税前扣除审核表'!H9</f>
        <v>0</v>
      </c>
      <c r="I9" s="1972"/>
      <c r="J9" s="1771" t="s">
        <v>6449</v>
      </c>
    </row>
    <row r="10" spans="1:10" ht="14.25" customHeight="1">
      <c r="A10" s="1848">
        <v>5</v>
      </c>
      <c r="B10" s="1936">
        <f>'资产损失（专项申报）税前扣除审核表'!B10</f>
        <v>0</v>
      </c>
      <c r="C10" s="2074">
        <f>'资产损失（专项申报）税前扣除审核表'!C10</f>
        <v>0</v>
      </c>
      <c r="D10" s="2074">
        <f>'资产损失（专项申报）税前扣除审核表'!D10</f>
        <v>0</v>
      </c>
      <c r="E10" s="2074">
        <f>'资产损失（专项申报）税前扣除审核表'!E10</f>
        <v>0</v>
      </c>
      <c r="F10" s="2074">
        <f>'资产损失（专项申报）税前扣除审核表'!F10</f>
        <v>0</v>
      </c>
      <c r="G10" s="2074">
        <f>'资产损失（专项申报）税前扣除审核表'!G10</f>
        <v>0</v>
      </c>
      <c r="H10" s="2074">
        <f>'资产损失（专项申报）税前扣除审核表'!H10</f>
        <v>0</v>
      </c>
      <c r="I10" s="1972"/>
    </row>
    <row r="11" spans="1:10" ht="88.5" customHeight="1">
      <c r="A11" s="1848">
        <v>6</v>
      </c>
      <c r="B11" s="1997" t="s">
        <v>5395</v>
      </c>
      <c r="C11" s="2074">
        <f>'资产损失（专项申报）税前扣除审核表'!C11</f>
        <v>0</v>
      </c>
      <c r="D11" s="2074">
        <f>'资产损失（专项申报）税前扣除审核表'!D11</f>
        <v>0</v>
      </c>
      <c r="E11" s="2074">
        <f>'资产损失（专项申报）税前扣除审核表'!E11</f>
        <v>0</v>
      </c>
      <c r="F11" s="2074">
        <f>'资产损失（专项申报）税前扣除审核表'!F11</f>
        <v>0</v>
      </c>
      <c r="G11" s="2074">
        <f>'资产损失（专项申报）税前扣除审核表'!G11</f>
        <v>0</v>
      </c>
      <c r="H11" s="2074">
        <f>'资产损失（专项申报）税前扣除审核表'!H11</f>
        <v>0</v>
      </c>
      <c r="I11" s="1972" t="s">
        <v>5396</v>
      </c>
      <c r="J11" s="1575"/>
    </row>
    <row r="12" spans="1:10" ht="14.25" customHeight="1">
      <c r="A12" s="1848">
        <v>7</v>
      </c>
      <c r="B12" s="1936">
        <f>'资产损失（专项申报）税前扣除审核表'!B12</f>
        <v>0</v>
      </c>
      <c r="C12" s="2074">
        <f>'资产损失（专项申报）税前扣除审核表'!C12</f>
        <v>0</v>
      </c>
      <c r="D12" s="2074">
        <f>'资产损失（专项申报）税前扣除审核表'!D12</f>
        <v>0</v>
      </c>
      <c r="E12" s="2074">
        <f>'资产损失（专项申报）税前扣除审核表'!E12</f>
        <v>0</v>
      </c>
      <c r="F12" s="2074">
        <f>'资产损失（专项申报）税前扣除审核表'!F12</f>
        <v>0</v>
      </c>
      <c r="G12" s="2074">
        <f>'资产损失（专项申报）税前扣除审核表'!G12</f>
        <v>0</v>
      </c>
      <c r="H12" s="2074">
        <f>'资产损失（专项申报）税前扣除审核表'!H12</f>
        <v>0</v>
      </c>
      <c r="I12" s="1972"/>
    </row>
    <row r="13" spans="1:10" ht="14.25" customHeight="1">
      <c r="A13" s="1848">
        <v>8</v>
      </c>
      <c r="B13" s="1936">
        <f>'资产损失（专项申报）税前扣除审核表'!B13</f>
        <v>0</v>
      </c>
      <c r="C13" s="2074">
        <f>'资产损失（专项申报）税前扣除审核表'!C13</f>
        <v>0</v>
      </c>
      <c r="D13" s="2074">
        <f>'资产损失（专项申报）税前扣除审核表'!D13</f>
        <v>0</v>
      </c>
      <c r="E13" s="2074">
        <f>'资产损失（专项申报）税前扣除审核表'!E13</f>
        <v>0</v>
      </c>
      <c r="F13" s="2074">
        <f>'资产损失（专项申报）税前扣除审核表'!F13</f>
        <v>0</v>
      </c>
      <c r="G13" s="2074">
        <f>'资产损失（专项申报）税前扣除审核表'!G13</f>
        <v>0</v>
      </c>
      <c r="H13" s="2074">
        <f>'资产损失（专项申报）税前扣除审核表'!H13</f>
        <v>0</v>
      </c>
      <c r="I13" s="1972"/>
    </row>
    <row r="14" spans="1:10" ht="14.25" customHeight="1">
      <c r="A14" s="1848">
        <v>9</v>
      </c>
      <c r="B14" s="1936">
        <f>'资产损失（专项申报）税前扣除审核表'!B14</f>
        <v>0</v>
      </c>
      <c r="C14" s="2074">
        <f>'资产损失（专项申报）税前扣除审核表'!C14</f>
        <v>0</v>
      </c>
      <c r="D14" s="2074">
        <f>'资产损失（专项申报）税前扣除审核表'!D14</f>
        <v>0</v>
      </c>
      <c r="E14" s="2074">
        <f>'资产损失（专项申报）税前扣除审核表'!E14</f>
        <v>0</v>
      </c>
      <c r="F14" s="2074">
        <f>'资产损失（专项申报）税前扣除审核表'!F14</f>
        <v>0</v>
      </c>
      <c r="G14" s="2074">
        <f>'资产损失（专项申报）税前扣除审核表'!G14</f>
        <v>0</v>
      </c>
      <c r="H14" s="2074">
        <f>'资产损失（专项申报）税前扣除审核表'!H14</f>
        <v>0</v>
      </c>
      <c r="I14" s="1972"/>
    </row>
    <row r="15" spans="1:10" ht="14.25" customHeight="1">
      <c r="A15" s="1848">
        <v>10</v>
      </c>
      <c r="B15" s="1936">
        <f>'资产损失（专项申报）税前扣除审核表'!B15</f>
        <v>0</v>
      </c>
      <c r="C15" s="2074">
        <f>'资产损失（专项申报）税前扣除审核表'!C15</f>
        <v>0</v>
      </c>
      <c r="D15" s="2074">
        <f>'资产损失（专项申报）税前扣除审核表'!D15</f>
        <v>0</v>
      </c>
      <c r="E15" s="2074">
        <f>'资产损失（专项申报）税前扣除审核表'!E15</f>
        <v>0</v>
      </c>
      <c r="F15" s="2074">
        <f>'资产损失（专项申报）税前扣除审核表'!F15</f>
        <v>0</v>
      </c>
      <c r="G15" s="2074">
        <f>'资产损失（专项申报）税前扣除审核表'!G15</f>
        <v>0</v>
      </c>
      <c r="H15" s="2074">
        <f>'资产损失（专项申报）税前扣除审核表'!H15</f>
        <v>0</v>
      </c>
      <c r="I15" s="1972"/>
    </row>
    <row r="16" spans="1:10" ht="91.5" customHeight="1">
      <c r="A16" s="1848">
        <v>11</v>
      </c>
      <c r="B16" s="1997" t="s">
        <v>5397</v>
      </c>
      <c r="C16" s="2074">
        <f>'资产损失（专项申报）税前扣除审核表'!C16</f>
        <v>0</v>
      </c>
      <c r="D16" s="2074">
        <f>'资产损失（专项申报）税前扣除审核表'!D16</f>
        <v>0</v>
      </c>
      <c r="E16" s="2074">
        <f>'资产损失（专项申报）税前扣除审核表'!E16</f>
        <v>0</v>
      </c>
      <c r="F16" s="2074">
        <f>'资产损失（专项申报）税前扣除审核表'!F16</f>
        <v>0</v>
      </c>
      <c r="G16" s="2074">
        <f>'资产损失（专项申报）税前扣除审核表'!G16</f>
        <v>0</v>
      </c>
      <c r="H16" s="2074">
        <f>'资产损失（专项申报）税前扣除审核表'!H16</f>
        <v>0</v>
      </c>
      <c r="I16" s="1972" t="s">
        <v>5398</v>
      </c>
      <c r="J16" s="1575"/>
    </row>
    <row r="17" spans="1:10" ht="14.25" customHeight="1">
      <c r="A17" s="1848">
        <v>12</v>
      </c>
      <c r="B17" s="1936">
        <f>'资产损失（专项申报）税前扣除审核表'!B17</f>
        <v>0</v>
      </c>
      <c r="C17" s="2074">
        <f>'资产损失（专项申报）税前扣除审核表'!C17</f>
        <v>0</v>
      </c>
      <c r="D17" s="2074">
        <f>'资产损失（专项申报）税前扣除审核表'!D17</f>
        <v>0</v>
      </c>
      <c r="E17" s="2074">
        <f>'资产损失（专项申报）税前扣除审核表'!E17</f>
        <v>0</v>
      </c>
      <c r="F17" s="2074">
        <f>'资产损失（专项申报）税前扣除审核表'!F17</f>
        <v>0</v>
      </c>
      <c r="G17" s="2074">
        <f>'资产损失（专项申报）税前扣除审核表'!G17</f>
        <v>0</v>
      </c>
      <c r="H17" s="2074">
        <f>'资产损失（专项申报）税前扣除审核表'!H17</f>
        <v>0</v>
      </c>
      <c r="I17" s="1972"/>
    </row>
    <row r="18" spans="1:10" ht="14.25" customHeight="1">
      <c r="A18" s="1848">
        <v>13</v>
      </c>
      <c r="B18" s="1936">
        <f>'资产损失（专项申报）税前扣除审核表'!B18</f>
        <v>0</v>
      </c>
      <c r="C18" s="2074">
        <f>'资产损失（专项申报）税前扣除审核表'!C18</f>
        <v>0</v>
      </c>
      <c r="D18" s="2074">
        <f>'资产损失（专项申报）税前扣除审核表'!D18</f>
        <v>0</v>
      </c>
      <c r="E18" s="2074">
        <f>'资产损失（专项申报）税前扣除审核表'!E18</f>
        <v>0</v>
      </c>
      <c r="F18" s="2074">
        <f>'资产损失（专项申报）税前扣除审核表'!F18</f>
        <v>0</v>
      </c>
      <c r="G18" s="2074">
        <f>'资产损失（专项申报）税前扣除审核表'!G18</f>
        <v>0</v>
      </c>
      <c r="H18" s="2074">
        <f>'资产损失（专项申报）税前扣除审核表'!H18</f>
        <v>0</v>
      </c>
      <c r="I18" s="1972"/>
    </row>
    <row r="19" spans="1:10" ht="14.25" customHeight="1">
      <c r="A19" s="1848">
        <v>14</v>
      </c>
      <c r="B19" s="1936">
        <f>'资产损失（专项申报）税前扣除审核表'!B19</f>
        <v>0</v>
      </c>
      <c r="C19" s="2074">
        <f>'资产损失（专项申报）税前扣除审核表'!C19</f>
        <v>0</v>
      </c>
      <c r="D19" s="2074">
        <f>'资产损失（专项申报）税前扣除审核表'!D19</f>
        <v>0</v>
      </c>
      <c r="E19" s="2074">
        <f>'资产损失（专项申报）税前扣除审核表'!E19</f>
        <v>0</v>
      </c>
      <c r="F19" s="2074">
        <f>'资产损失（专项申报）税前扣除审核表'!F19</f>
        <v>0</v>
      </c>
      <c r="G19" s="2074">
        <f>'资产损失（专项申报）税前扣除审核表'!G19</f>
        <v>0</v>
      </c>
      <c r="H19" s="2074">
        <f>'资产损失（专项申报）税前扣除审核表'!H19</f>
        <v>0</v>
      </c>
      <c r="I19" s="1972"/>
    </row>
    <row r="20" spans="1:10" ht="14.25" customHeight="1">
      <c r="A20" s="1848">
        <v>15</v>
      </c>
      <c r="B20" s="1936">
        <f>'资产损失（专项申报）税前扣除审核表'!B20</f>
        <v>0</v>
      </c>
      <c r="C20" s="2074">
        <f>'资产损失（专项申报）税前扣除审核表'!C20</f>
        <v>0</v>
      </c>
      <c r="D20" s="2074">
        <f>'资产损失（专项申报）税前扣除审核表'!D20</f>
        <v>0</v>
      </c>
      <c r="E20" s="2074">
        <f>'资产损失（专项申报）税前扣除审核表'!E20</f>
        <v>0</v>
      </c>
      <c r="F20" s="2074">
        <f>'资产损失（专项申报）税前扣除审核表'!F20</f>
        <v>0</v>
      </c>
      <c r="G20" s="2074">
        <f>'资产损失（专项申报）税前扣除审核表'!G20</f>
        <v>0</v>
      </c>
      <c r="H20" s="2074">
        <f>'资产损失（专项申报）税前扣除审核表'!H20</f>
        <v>0</v>
      </c>
      <c r="I20" s="1972"/>
    </row>
    <row r="21" spans="1:10" ht="86.25" customHeight="1">
      <c r="A21" s="1848">
        <v>16</v>
      </c>
      <c r="B21" s="1997" t="s">
        <v>5399</v>
      </c>
      <c r="C21" s="2074">
        <f>'资产损失（专项申报）税前扣除审核表'!C21</f>
        <v>0</v>
      </c>
      <c r="D21" s="2074">
        <f>'资产损失（专项申报）税前扣除审核表'!D21</f>
        <v>0</v>
      </c>
      <c r="E21" s="2074">
        <f>'资产损失（专项申报）税前扣除审核表'!E21</f>
        <v>0</v>
      </c>
      <c r="F21" s="2074">
        <f>'资产损失（专项申报）税前扣除审核表'!F21</f>
        <v>0</v>
      </c>
      <c r="G21" s="2074">
        <f>'资产损失（专项申报）税前扣除审核表'!G21</f>
        <v>0</v>
      </c>
      <c r="H21" s="2074">
        <f>'资产损失（专项申报）税前扣除审核表'!H21</f>
        <v>0</v>
      </c>
      <c r="I21" s="1972" t="s">
        <v>5400</v>
      </c>
      <c r="J21" s="1575"/>
    </row>
    <row r="22" spans="1:10" ht="14.25" customHeight="1">
      <c r="A22" s="1848">
        <v>17</v>
      </c>
      <c r="B22" s="1936">
        <f>'资产损失（专项申报）税前扣除审核表'!B22</f>
        <v>0</v>
      </c>
      <c r="C22" s="2074">
        <f>'资产损失（专项申报）税前扣除审核表'!C22</f>
        <v>0</v>
      </c>
      <c r="D22" s="2074">
        <f>'资产损失（专项申报）税前扣除审核表'!D22</f>
        <v>0</v>
      </c>
      <c r="E22" s="2074">
        <f>'资产损失（专项申报）税前扣除审核表'!E22</f>
        <v>0</v>
      </c>
      <c r="F22" s="2074">
        <f>'资产损失（专项申报）税前扣除审核表'!F22</f>
        <v>0</v>
      </c>
      <c r="G22" s="2074">
        <f>'资产损失（专项申报）税前扣除审核表'!G22</f>
        <v>0</v>
      </c>
      <c r="H22" s="2074">
        <f>'资产损失（专项申报）税前扣除审核表'!H22</f>
        <v>0</v>
      </c>
      <c r="I22" s="1972"/>
    </row>
    <row r="23" spans="1:10" ht="14.25" customHeight="1">
      <c r="A23" s="1848">
        <v>18</v>
      </c>
      <c r="B23" s="1936">
        <f>'资产损失（专项申报）税前扣除审核表'!B23</f>
        <v>0</v>
      </c>
      <c r="C23" s="2074">
        <f>'资产损失（专项申报）税前扣除审核表'!C23</f>
        <v>0</v>
      </c>
      <c r="D23" s="2074">
        <f>'资产损失（专项申报）税前扣除审核表'!D23</f>
        <v>0</v>
      </c>
      <c r="E23" s="2074">
        <f>'资产损失（专项申报）税前扣除审核表'!E23</f>
        <v>0</v>
      </c>
      <c r="F23" s="2074">
        <f>'资产损失（专项申报）税前扣除审核表'!F23</f>
        <v>0</v>
      </c>
      <c r="G23" s="2074">
        <f>'资产损失（专项申报）税前扣除审核表'!G23</f>
        <v>0</v>
      </c>
      <c r="H23" s="2074">
        <f>'资产损失（专项申报）税前扣除审核表'!H23</f>
        <v>0</v>
      </c>
      <c r="I23" s="1972"/>
    </row>
    <row r="24" spans="1:10" ht="14.25" customHeight="1">
      <c r="A24" s="1848">
        <v>19</v>
      </c>
      <c r="B24" s="1936">
        <f>'资产损失（专项申报）税前扣除审核表'!B24</f>
        <v>0</v>
      </c>
      <c r="C24" s="2074">
        <f>'资产损失（专项申报）税前扣除审核表'!C24</f>
        <v>0</v>
      </c>
      <c r="D24" s="2074">
        <f>'资产损失（专项申报）税前扣除审核表'!D24</f>
        <v>0</v>
      </c>
      <c r="E24" s="2074">
        <f>'资产损失（专项申报）税前扣除审核表'!E24</f>
        <v>0</v>
      </c>
      <c r="F24" s="2074">
        <f>'资产损失（专项申报）税前扣除审核表'!F24</f>
        <v>0</v>
      </c>
      <c r="G24" s="2074">
        <f>'资产损失（专项申报）税前扣除审核表'!G24</f>
        <v>0</v>
      </c>
      <c r="H24" s="2074">
        <f>'资产损失（专项申报）税前扣除审核表'!H24</f>
        <v>0</v>
      </c>
      <c r="I24" s="1972"/>
    </row>
    <row r="25" spans="1:10" ht="87.75" customHeight="1">
      <c r="A25" s="1848">
        <v>20</v>
      </c>
      <c r="B25" s="1831" t="s">
        <v>5401</v>
      </c>
      <c r="C25" s="2074">
        <f>'资产损失（专项申报）税前扣除审核表'!C25</f>
        <v>0</v>
      </c>
      <c r="D25" s="2074">
        <f>'资产损失（专项申报）税前扣除审核表'!D25</f>
        <v>0</v>
      </c>
      <c r="E25" s="2074">
        <f>'资产损失（专项申报）税前扣除审核表'!E25</f>
        <v>0</v>
      </c>
      <c r="F25" s="2074">
        <f>'资产损失（专项申报）税前扣除审核表'!F25</f>
        <v>0</v>
      </c>
      <c r="G25" s="2074">
        <f>'资产损失（专项申报）税前扣除审核表'!G25</f>
        <v>0</v>
      </c>
      <c r="H25" s="2074">
        <f>'资产损失（专项申报）税前扣除审核表'!H25</f>
        <v>0</v>
      </c>
      <c r="I25" s="1972" t="s">
        <v>5402</v>
      </c>
      <c r="J25" s="1575"/>
    </row>
  </sheetData>
  <mergeCells count="11">
    <mergeCell ref="I3:I4"/>
    <mergeCell ref="A1:H1"/>
    <mergeCell ref="A2:H2"/>
    <mergeCell ref="A3:A5"/>
    <mergeCell ref="B3:B4"/>
    <mergeCell ref="C3:C4"/>
    <mergeCell ref="D3:D4"/>
    <mergeCell ref="E3:E4"/>
    <mergeCell ref="F3:F4"/>
    <mergeCell ref="G3:G4"/>
    <mergeCell ref="H3:H4"/>
  </mergeCells>
  <phoneticPr fontId="51" type="noConversion"/>
  <hyperlinks>
    <hyperlink ref="J7" location="资产损失税前扣除审核表!A1" display="资产损失税前扣除审核表!A1"/>
    <hyperlink ref="J9" location="'资产损失（专项申报）税前扣除审核表'!A1" display="'资产损失（专项申报）税前扣除审核表'!A1"/>
  </hyperlinks>
  <printOptions horizontalCentered="1"/>
  <pageMargins left="0.78740157480314998" right="0.35433070866141703" top="0.511811023622047" bottom="0.11811023622047198" header="0.511811023622047" footer="0.511811023622047"/>
  <pageSetup paperSize="9" orientation="landscape" r:id="rId1"/>
  <headerFooter alignWithMargins="0"/>
</worksheet>
</file>

<file path=xl/worksheets/sheet14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35">
    <tabColor rgb="FFFFFF00"/>
  </sheetPr>
  <dimension ref="A1:K19"/>
  <sheetViews>
    <sheetView workbookViewId="0">
      <selection activeCell="D20" sqref="D20"/>
    </sheetView>
  </sheetViews>
  <sheetFormatPr defaultRowHeight="15.6"/>
  <cols>
    <col min="1" max="1" width="5.19921875" style="1558" customWidth="1"/>
    <col min="2" max="2" width="27.19921875" style="1558" customWidth="1"/>
    <col min="3" max="9" width="12.3984375" style="1558" customWidth="1"/>
    <col min="10" max="10" width="9.69921875" style="1558" customWidth="1"/>
    <col min="11" max="11" width="15.19921875" style="1558" customWidth="1"/>
    <col min="12" max="256" width="9" style="1558"/>
    <col min="257" max="257" width="5.19921875" style="1558" customWidth="1"/>
    <col min="258" max="258" width="34.69921875" style="1558" customWidth="1"/>
    <col min="259" max="259" width="8.69921875" style="1558" customWidth="1"/>
    <col min="260" max="260" width="9" style="1558"/>
    <col min="261" max="261" width="9.8984375" style="1558" customWidth="1"/>
    <col min="262" max="263" width="8.19921875" style="1558" customWidth="1"/>
    <col min="264" max="264" width="9.8984375" style="1558" customWidth="1"/>
    <col min="265" max="265" width="7.5" style="1558" customWidth="1"/>
    <col min="266" max="266" width="14.5" style="1558" customWidth="1"/>
    <col min="267" max="267" width="15.19921875" style="1558" customWidth="1"/>
    <col min="268" max="512" width="9" style="1558"/>
    <col min="513" max="513" width="5.19921875" style="1558" customWidth="1"/>
    <col min="514" max="514" width="34.69921875" style="1558" customWidth="1"/>
    <col min="515" max="515" width="8.69921875" style="1558" customWidth="1"/>
    <col min="516" max="516" width="9" style="1558"/>
    <col min="517" max="517" width="9.8984375" style="1558" customWidth="1"/>
    <col min="518" max="519" width="8.19921875" style="1558" customWidth="1"/>
    <col min="520" max="520" width="9.8984375" style="1558" customWidth="1"/>
    <col min="521" max="521" width="7.5" style="1558" customWidth="1"/>
    <col min="522" max="522" width="14.5" style="1558" customWidth="1"/>
    <col min="523" max="523" width="15.19921875" style="1558" customWidth="1"/>
    <col min="524" max="768" width="9" style="1558"/>
    <col min="769" max="769" width="5.19921875" style="1558" customWidth="1"/>
    <col min="770" max="770" width="34.69921875" style="1558" customWidth="1"/>
    <col min="771" max="771" width="8.69921875" style="1558" customWidth="1"/>
    <col min="772" max="772" width="9" style="1558"/>
    <col min="773" max="773" width="9.8984375" style="1558" customWidth="1"/>
    <col min="774" max="775" width="8.19921875" style="1558" customWidth="1"/>
    <col min="776" max="776" width="9.8984375" style="1558" customWidth="1"/>
    <col min="777" max="777" width="7.5" style="1558" customWidth="1"/>
    <col min="778" max="778" width="14.5" style="1558" customWidth="1"/>
    <col min="779" max="779" width="15.19921875" style="1558" customWidth="1"/>
    <col min="780" max="1024" width="9" style="1558"/>
    <col min="1025" max="1025" width="5.19921875" style="1558" customWidth="1"/>
    <col min="1026" max="1026" width="34.69921875" style="1558" customWidth="1"/>
    <col min="1027" max="1027" width="8.69921875" style="1558" customWidth="1"/>
    <col min="1028" max="1028" width="9" style="1558"/>
    <col min="1029" max="1029" width="9.8984375" style="1558" customWidth="1"/>
    <col min="1030" max="1031" width="8.19921875" style="1558" customWidth="1"/>
    <col min="1032" max="1032" width="9.8984375" style="1558" customWidth="1"/>
    <col min="1033" max="1033" width="7.5" style="1558" customWidth="1"/>
    <col min="1034" max="1034" width="14.5" style="1558" customWidth="1"/>
    <col min="1035" max="1035" width="15.19921875" style="1558" customWidth="1"/>
    <col min="1036" max="1280" width="9" style="1558"/>
    <col min="1281" max="1281" width="5.19921875" style="1558" customWidth="1"/>
    <col min="1282" max="1282" width="34.69921875" style="1558" customWidth="1"/>
    <col min="1283" max="1283" width="8.69921875" style="1558" customWidth="1"/>
    <col min="1284" max="1284" width="9" style="1558"/>
    <col min="1285" max="1285" width="9.8984375" style="1558" customWidth="1"/>
    <col min="1286" max="1287" width="8.19921875" style="1558" customWidth="1"/>
    <col min="1288" max="1288" width="9.8984375" style="1558" customWidth="1"/>
    <col min="1289" max="1289" width="7.5" style="1558" customWidth="1"/>
    <col min="1290" max="1290" width="14.5" style="1558" customWidth="1"/>
    <col min="1291" max="1291" width="15.19921875" style="1558" customWidth="1"/>
    <col min="1292" max="1536" width="9" style="1558"/>
    <col min="1537" max="1537" width="5.19921875" style="1558" customWidth="1"/>
    <col min="1538" max="1538" width="34.69921875" style="1558" customWidth="1"/>
    <col min="1539" max="1539" width="8.69921875" style="1558" customWidth="1"/>
    <col min="1540" max="1540" width="9" style="1558"/>
    <col min="1541" max="1541" width="9.8984375" style="1558" customWidth="1"/>
    <col min="1542" max="1543" width="8.19921875" style="1558" customWidth="1"/>
    <col min="1544" max="1544" width="9.8984375" style="1558" customWidth="1"/>
    <col min="1545" max="1545" width="7.5" style="1558" customWidth="1"/>
    <col min="1546" max="1546" width="14.5" style="1558" customWidth="1"/>
    <col min="1547" max="1547" width="15.19921875" style="1558" customWidth="1"/>
    <col min="1548" max="1792" width="9" style="1558"/>
    <col min="1793" max="1793" width="5.19921875" style="1558" customWidth="1"/>
    <col min="1794" max="1794" width="34.69921875" style="1558" customWidth="1"/>
    <col min="1795" max="1795" width="8.69921875" style="1558" customWidth="1"/>
    <col min="1796" max="1796" width="9" style="1558"/>
    <col min="1797" max="1797" width="9.8984375" style="1558" customWidth="1"/>
    <col min="1798" max="1799" width="8.19921875" style="1558" customWidth="1"/>
    <col min="1800" max="1800" width="9.8984375" style="1558" customWidth="1"/>
    <col min="1801" max="1801" width="7.5" style="1558" customWidth="1"/>
    <col min="1802" max="1802" width="14.5" style="1558" customWidth="1"/>
    <col min="1803" max="1803" width="15.19921875" style="1558" customWidth="1"/>
    <col min="1804" max="2048" width="9" style="1558"/>
    <col min="2049" max="2049" width="5.19921875" style="1558" customWidth="1"/>
    <col min="2050" max="2050" width="34.69921875" style="1558" customWidth="1"/>
    <col min="2051" max="2051" width="8.69921875" style="1558" customWidth="1"/>
    <col min="2052" max="2052" width="9" style="1558"/>
    <col min="2053" max="2053" width="9.8984375" style="1558" customWidth="1"/>
    <col min="2054" max="2055" width="8.19921875" style="1558" customWidth="1"/>
    <col min="2056" max="2056" width="9.8984375" style="1558" customWidth="1"/>
    <col min="2057" max="2057" width="7.5" style="1558" customWidth="1"/>
    <col min="2058" max="2058" width="14.5" style="1558" customWidth="1"/>
    <col min="2059" max="2059" width="15.19921875" style="1558" customWidth="1"/>
    <col min="2060" max="2304" width="9" style="1558"/>
    <col min="2305" max="2305" width="5.19921875" style="1558" customWidth="1"/>
    <col min="2306" max="2306" width="34.69921875" style="1558" customWidth="1"/>
    <col min="2307" max="2307" width="8.69921875" style="1558" customWidth="1"/>
    <col min="2308" max="2308" width="9" style="1558"/>
    <col min="2309" max="2309" width="9.8984375" style="1558" customWidth="1"/>
    <col min="2310" max="2311" width="8.19921875" style="1558" customWidth="1"/>
    <col min="2312" max="2312" width="9.8984375" style="1558" customWidth="1"/>
    <col min="2313" max="2313" width="7.5" style="1558" customWidth="1"/>
    <col min="2314" max="2314" width="14.5" style="1558" customWidth="1"/>
    <col min="2315" max="2315" width="15.19921875" style="1558" customWidth="1"/>
    <col min="2316" max="2560" width="9" style="1558"/>
    <col min="2561" max="2561" width="5.19921875" style="1558" customWidth="1"/>
    <col min="2562" max="2562" width="34.69921875" style="1558" customWidth="1"/>
    <col min="2563" max="2563" width="8.69921875" style="1558" customWidth="1"/>
    <col min="2564" max="2564" width="9" style="1558"/>
    <col min="2565" max="2565" width="9.8984375" style="1558" customWidth="1"/>
    <col min="2566" max="2567" width="8.19921875" style="1558" customWidth="1"/>
    <col min="2568" max="2568" width="9.8984375" style="1558" customWidth="1"/>
    <col min="2569" max="2569" width="7.5" style="1558" customWidth="1"/>
    <col min="2570" max="2570" width="14.5" style="1558" customWidth="1"/>
    <col min="2571" max="2571" width="15.19921875" style="1558" customWidth="1"/>
    <col min="2572" max="2816" width="9" style="1558"/>
    <col min="2817" max="2817" width="5.19921875" style="1558" customWidth="1"/>
    <col min="2818" max="2818" width="34.69921875" style="1558" customWidth="1"/>
    <col min="2819" max="2819" width="8.69921875" style="1558" customWidth="1"/>
    <col min="2820" max="2820" width="9" style="1558"/>
    <col min="2821" max="2821" width="9.8984375" style="1558" customWidth="1"/>
    <col min="2822" max="2823" width="8.19921875" style="1558" customWidth="1"/>
    <col min="2824" max="2824" width="9.8984375" style="1558" customWidth="1"/>
    <col min="2825" max="2825" width="7.5" style="1558" customWidth="1"/>
    <col min="2826" max="2826" width="14.5" style="1558" customWidth="1"/>
    <col min="2827" max="2827" width="15.19921875" style="1558" customWidth="1"/>
    <col min="2828" max="3072" width="9" style="1558"/>
    <col min="3073" max="3073" width="5.19921875" style="1558" customWidth="1"/>
    <col min="3074" max="3074" width="34.69921875" style="1558" customWidth="1"/>
    <col min="3075" max="3075" width="8.69921875" style="1558" customWidth="1"/>
    <col min="3076" max="3076" width="9" style="1558"/>
    <col min="3077" max="3077" width="9.8984375" style="1558" customWidth="1"/>
    <col min="3078" max="3079" width="8.19921875" style="1558" customWidth="1"/>
    <col min="3080" max="3080" width="9.8984375" style="1558" customWidth="1"/>
    <col min="3081" max="3081" width="7.5" style="1558" customWidth="1"/>
    <col min="3082" max="3082" width="14.5" style="1558" customWidth="1"/>
    <col min="3083" max="3083" width="15.19921875" style="1558" customWidth="1"/>
    <col min="3084" max="3328" width="9" style="1558"/>
    <col min="3329" max="3329" width="5.19921875" style="1558" customWidth="1"/>
    <col min="3330" max="3330" width="34.69921875" style="1558" customWidth="1"/>
    <col min="3331" max="3331" width="8.69921875" style="1558" customWidth="1"/>
    <col min="3332" max="3332" width="9" style="1558"/>
    <col min="3333" max="3333" width="9.8984375" style="1558" customWidth="1"/>
    <col min="3334" max="3335" width="8.19921875" style="1558" customWidth="1"/>
    <col min="3336" max="3336" width="9.8984375" style="1558" customWidth="1"/>
    <col min="3337" max="3337" width="7.5" style="1558" customWidth="1"/>
    <col min="3338" max="3338" width="14.5" style="1558" customWidth="1"/>
    <col min="3339" max="3339" width="15.19921875" style="1558" customWidth="1"/>
    <col min="3340" max="3584" width="9" style="1558"/>
    <col min="3585" max="3585" width="5.19921875" style="1558" customWidth="1"/>
    <col min="3586" max="3586" width="34.69921875" style="1558" customWidth="1"/>
    <col min="3587" max="3587" width="8.69921875" style="1558" customWidth="1"/>
    <col min="3588" max="3588" width="9" style="1558"/>
    <col min="3589" max="3589" width="9.8984375" style="1558" customWidth="1"/>
    <col min="3590" max="3591" width="8.19921875" style="1558" customWidth="1"/>
    <col min="3592" max="3592" width="9.8984375" style="1558" customWidth="1"/>
    <col min="3593" max="3593" width="7.5" style="1558" customWidth="1"/>
    <col min="3594" max="3594" width="14.5" style="1558" customWidth="1"/>
    <col min="3595" max="3595" width="15.19921875" style="1558" customWidth="1"/>
    <col min="3596" max="3840" width="9" style="1558"/>
    <col min="3841" max="3841" width="5.19921875" style="1558" customWidth="1"/>
    <col min="3842" max="3842" width="34.69921875" style="1558" customWidth="1"/>
    <col min="3843" max="3843" width="8.69921875" style="1558" customWidth="1"/>
    <col min="3844" max="3844" width="9" style="1558"/>
    <col min="3845" max="3845" width="9.8984375" style="1558" customWidth="1"/>
    <col min="3846" max="3847" width="8.19921875" style="1558" customWidth="1"/>
    <col min="3848" max="3848" width="9.8984375" style="1558" customWidth="1"/>
    <col min="3849" max="3849" width="7.5" style="1558" customWidth="1"/>
    <col min="3850" max="3850" width="14.5" style="1558" customWidth="1"/>
    <col min="3851" max="3851" width="15.19921875" style="1558" customWidth="1"/>
    <col min="3852" max="4096" width="9" style="1558"/>
    <col min="4097" max="4097" width="5.19921875" style="1558" customWidth="1"/>
    <col min="4098" max="4098" width="34.69921875" style="1558" customWidth="1"/>
    <col min="4099" max="4099" width="8.69921875" style="1558" customWidth="1"/>
    <col min="4100" max="4100" width="9" style="1558"/>
    <col min="4101" max="4101" width="9.8984375" style="1558" customWidth="1"/>
    <col min="4102" max="4103" width="8.19921875" style="1558" customWidth="1"/>
    <col min="4104" max="4104" width="9.8984375" style="1558" customWidth="1"/>
    <col min="4105" max="4105" width="7.5" style="1558" customWidth="1"/>
    <col min="4106" max="4106" width="14.5" style="1558" customWidth="1"/>
    <col min="4107" max="4107" width="15.19921875" style="1558" customWidth="1"/>
    <col min="4108" max="4352" width="9" style="1558"/>
    <col min="4353" max="4353" width="5.19921875" style="1558" customWidth="1"/>
    <col min="4354" max="4354" width="34.69921875" style="1558" customWidth="1"/>
    <col min="4355" max="4355" width="8.69921875" style="1558" customWidth="1"/>
    <col min="4356" max="4356" width="9" style="1558"/>
    <col min="4357" max="4357" width="9.8984375" style="1558" customWidth="1"/>
    <col min="4358" max="4359" width="8.19921875" style="1558" customWidth="1"/>
    <col min="4360" max="4360" width="9.8984375" style="1558" customWidth="1"/>
    <col min="4361" max="4361" width="7.5" style="1558" customWidth="1"/>
    <col min="4362" max="4362" width="14.5" style="1558" customWidth="1"/>
    <col min="4363" max="4363" width="15.19921875" style="1558" customWidth="1"/>
    <col min="4364" max="4608" width="9" style="1558"/>
    <col min="4609" max="4609" width="5.19921875" style="1558" customWidth="1"/>
    <col min="4610" max="4610" width="34.69921875" style="1558" customWidth="1"/>
    <col min="4611" max="4611" width="8.69921875" style="1558" customWidth="1"/>
    <col min="4612" max="4612" width="9" style="1558"/>
    <col min="4613" max="4613" width="9.8984375" style="1558" customWidth="1"/>
    <col min="4614" max="4615" width="8.19921875" style="1558" customWidth="1"/>
    <col min="4616" max="4616" width="9.8984375" style="1558" customWidth="1"/>
    <col min="4617" max="4617" width="7.5" style="1558" customWidth="1"/>
    <col min="4618" max="4618" width="14.5" style="1558" customWidth="1"/>
    <col min="4619" max="4619" width="15.19921875" style="1558" customWidth="1"/>
    <col min="4620" max="4864" width="9" style="1558"/>
    <col min="4865" max="4865" width="5.19921875" style="1558" customWidth="1"/>
    <col min="4866" max="4866" width="34.69921875" style="1558" customWidth="1"/>
    <col min="4867" max="4867" width="8.69921875" style="1558" customWidth="1"/>
    <col min="4868" max="4868" width="9" style="1558"/>
    <col min="4869" max="4869" width="9.8984375" style="1558" customWidth="1"/>
    <col min="4870" max="4871" width="8.19921875" style="1558" customWidth="1"/>
    <col min="4872" max="4872" width="9.8984375" style="1558" customWidth="1"/>
    <col min="4873" max="4873" width="7.5" style="1558" customWidth="1"/>
    <col min="4874" max="4874" width="14.5" style="1558" customWidth="1"/>
    <col min="4875" max="4875" width="15.19921875" style="1558" customWidth="1"/>
    <col min="4876" max="5120" width="9" style="1558"/>
    <col min="5121" max="5121" width="5.19921875" style="1558" customWidth="1"/>
    <col min="5122" max="5122" width="34.69921875" style="1558" customWidth="1"/>
    <col min="5123" max="5123" width="8.69921875" style="1558" customWidth="1"/>
    <col min="5124" max="5124" width="9" style="1558"/>
    <col min="5125" max="5125" width="9.8984375" style="1558" customWidth="1"/>
    <col min="5126" max="5127" width="8.19921875" style="1558" customWidth="1"/>
    <col min="5128" max="5128" width="9.8984375" style="1558" customWidth="1"/>
    <col min="5129" max="5129" width="7.5" style="1558" customWidth="1"/>
    <col min="5130" max="5130" width="14.5" style="1558" customWidth="1"/>
    <col min="5131" max="5131" width="15.19921875" style="1558" customWidth="1"/>
    <col min="5132" max="5376" width="9" style="1558"/>
    <col min="5377" max="5377" width="5.19921875" style="1558" customWidth="1"/>
    <col min="5378" max="5378" width="34.69921875" style="1558" customWidth="1"/>
    <col min="5379" max="5379" width="8.69921875" style="1558" customWidth="1"/>
    <col min="5380" max="5380" width="9" style="1558"/>
    <col min="5381" max="5381" width="9.8984375" style="1558" customWidth="1"/>
    <col min="5382" max="5383" width="8.19921875" style="1558" customWidth="1"/>
    <col min="5384" max="5384" width="9.8984375" style="1558" customWidth="1"/>
    <col min="5385" max="5385" width="7.5" style="1558" customWidth="1"/>
    <col min="5386" max="5386" width="14.5" style="1558" customWidth="1"/>
    <col min="5387" max="5387" width="15.19921875" style="1558" customWidth="1"/>
    <col min="5388" max="5632" width="9" style="1558"/>
    <col min="5633" max="5633" width="5.19921875" style="1558" customWidth="1"/>
    <col min="5634" max="5634" width="34.69921875" style="1558" customWidth="1"/>
    <col min="5635" max="5635" width="8.69921875" style="1558" customWidth="1"/>
    <col min="5636" max="5636" width="9" style="1558"/>
    <col min="5637" max="5637" width="9.8984375" style="1558" customWidth="1"/>
    <col min="5638" max="5639" width="8.19921875" style="1558" customWidth="1"/>
    <col min="5640" max="5640" width="9.8984375" style="1558" customWidth="1"/>
    <col min="5641" max="5641" width="7.5" style="1558" customWidth="1"/>
    <col min="5642" max="5642" width="14.5" style="1558" customWidth="1"/>
    <col min="5643" max="5643" width="15.19921875" style="1558" customWidth="1"/>
    <col min="5644" max="5888" width="9" style="1558"/>
    <col min="5889" max="5889" width="5.19921875" style="1558" customWidth="1"/>
    <col min="5890" max="5890" width="34.69921875" style="1558" customWidth="1"/>
    <col min="5891" max="5891" width="8.69921875" style="1558" customWidth="1"/>
    <col min="5892" max="5892" width="9" style="1558"/>
    <col min="5893" max="5893" width="9.8984375" style="1558" customWidth="1"/>
    <col min="5894" max="5895" width="8.19921875" style="1558" customWidth="1"/>
    <col min="5896" max="5896" width="9.8984375" style="1558" customWidth="1"/>
    <col min="5897" max="5897" width="7.5" style="1558" customWidth="1"/>
    <col min="5898" max="5898" width="14.5" style="1558" customWidth="1"/>
    <col min="5899" max="5899" width="15.19921875" style="1558" customWidth="1"/>
    <col min="5900" max="6144" width="9" style="1558"/>
    <col min="6145" max="6145" width="5.19921875" style="1558" customWidth="1"/>
    <col min="6146" max="6146" width="34.69921875" style="1558" customWidth="1"/>
    <col min="6147" max="6147" width="8.69921875" style="1558" customWidth="1"/>
    <col min="6148" max="6148" width="9" style="1558"/>
    <col min="6149" max="6149" width="9.8984375" style="1558" customWidth="1"/>
    <col min="6150" max="6151" width="8.19921875" style="1558" customWidth="1"/>
    <col min="6152" max="6152" width="9.8984375" style="1558" customWidth="1"/>
    <col min="6153" max="6153" width="7.5" style="1558" customWidth="1"/>
    <col min="6154" max="6154" width="14.5" style="1558" customWidth="1"/>
    <col min="6155" max="6155" width="15.19921875" style="1558" customWidth="1"/>
    <col min="6156" max="6400" width="9" style="1558"/>
    <col min="6401" max="6401" width="5.19921875" style="1558" customWidth="1"/>
    <col min="6402" max="6402" width="34.69921875" style="1558" customWidth="1"/>
    <col min="6403" max="6403" width="8.69921875" style="1558" customWidth="1"/>
    <col min="6404" max="6404" width="9" style="1558"/>
    <col min="6405" max="6405" width="9.8984375" style="1558" customWidth="1"/>
    <col min="6406" max="6407" width="8.19921875" style="1558" customWidth="1"/>
    <col min="6408" max="6408" width="9.8984375" style="1558" customWidth="1"/>
    <col min="6409" max="6409" width="7.5" style="1558" customWidth="1"/>
    <col min="6410" max="6410" width="14.5" style="1558" customWidth="1"/>
    <col min="6411" max="6411" width="15.19921875" style="1558" customWidth="1"/>
    <col min="6412" max="6656" width="9" style="1558"/>
    <col min="6657" max="6657" width="5.19921875" style="1558" customWidth="1"/>
    <col min="6658" max="6658" width="34.69921875" style="1558" customWidth="1"/>
    <col min="6659" max="6659" width="8.69921875" style="1558" customWidth="1"/>
    <col min="6660" max="6660" width="9" style="1558"/>
    <col min="6661" max="6661" width="9.8984375" style="1558" customWidth="1"/>
    <col min="6662" max="6663" width="8.19921875" style="1558" customWidth="1"/>
    <col min="6664" max="6664" width="9.8984375" style="1558" customWidth="1"/>
    <col min="6665" max="6665" width="7.5" style="1558" customWidth="1"/>
    <col min="6666" max="6666" width="14.5" style="1558" customWidth="1"/>
    <col min="6667" max="6667" width="15.19921875" style="1558" customWidth="1"/>
    <col min="6668" max="6912" width="9" style="1558"/>
    <col min="6913" max="6913" width="5.19921875" style="1558" customWidth="1"/>
    <col min="6914" max="6914" width="34.69921875" style="1558" customWidth="1"/>
    <col min="6915" max="6915" width="8.69921875" style="1558" customWidth="1"/>
    <col min="6916" max="6916" width="9" style="1558"/>
    <col min="6917" max="6917" width="9.8984375" style="1558" customWidth="1"/>
    <col min="6918" max="6919" width="8.19921875" style="1558" customWidth="1"/>
    <col min="6920" max="6920" width="9.8984375" style="1558" customWidth="1"/>
    <col min="6921" max="6921" width="7.5" style="1558" customWidth="1"/>
    <col min="6922" max="6922" width="14.5" style="1558" customWidth="1"/>
    <col min="6923" max="6923" width="15.19921875" style="1558" customWidth="1"/>
    <col min="6924" max="7168" width="9" style="1558"/>
    <col min="7169" max="7169" width="5.19921875" style="1558" customWidth="1"/>
    <col min="7170" max="7170" width="34.69921875" style="1558" customWidth="1"/>
    <col min="7171" max="7171" width="8.69921875" style="1558" customWidth="1"/>
    <col min="7172" max="7172" width="9" style="1558"/>
    <col min="7173" max="7173" width="9.8984375" style="1558" customWidth="1"/>
    <col min="7174" max="7175" width="8.19921875" style="1558" customWidth="1"/>
    <col min="7176" max="7176" width="9.8984375" style="1558" customWidth="1"/>
    <col min="7177" max="7177" width="7.5" style="1558" customWidth="1"/>
    <col min="7178" max="7178" width="14.5" style="1558" customWidth="1"/>
    <col min="7179" max="7179" width="15.19921875" style="1558" customWidth="1"/>
    <col min="7180" max="7424" width="9" style="1558"/>
    <col min="7425" max="7425" width="5.19921875" style="1558" customWidth="1"/>
    <col min="7426" max="7426" width="34.69921875" style="1558" customWidth="1"/>
    <col min="7427" max="7427" width="8.69921875" style="1558" customWidth="1"/>
    <col min="7428" max="7428" width="9" style="1558"/>
    <col min="7429" max="7429" width="9.8984375" style="1558" customWidth="1"/>
    <col min="7430" max="7431" width="8.19921875" style="1558" customWidth="1"/>
    <col min="7432" max="7432" width="9.8984375" style="1558" customWidth="1"/>
    <col min="7433" max="7433" width="7.5" style="1558" customWidth="1"/>
    <col min="7434" max="7434" width="14.5" style="1558" customWidth="1"/>
    <col min="7435" max="7435" width="15.19921875" style="1558" customWidth="1"/>
    <col min="7436" max="7680" width="9" style="1558"/>
    <col min="7681" max="7681" width="5.19921875" style="1558" customWidth="1"/>
    <col min="7682" max="7682" width="34.69921875" style="1558" customWidth="1"/>
    <col min="7683" max="7683" width="8.69921875" style="1558" customWidth="1"/>
    <col min="7684" max="7684" width="9" style="1558"/>
    <col min="7685" max="7685" width="9.8984375" style="1558" customWidth="1"/>
    <col min="7686" max="7687" width="8.19921875" style="1558" customWidth="1"/>
    <col min="7688" max="7688" width="9.8984375" style="1558" customWidth="1"/>
    <col min="7689" max="7689" width="7.5" style="1558" customWidth="1"/>
    <col min="7690" max="7690" width="14.5" style="1558" customWidth="1"/>
    <col min="7691" max="7691" width="15.19921875" style="1558" customWidth="1"/>
    <col min="7692" max="7936" width="9" style="1558"/>
    <col min="7937" max="7937" width="5.19921875" style="1558" customWidth="1"/>
    <col min="7938" max="7938" width="34.69921875" style="1558" customWidth="1"/>
    <col min="7939" max="7939" width="8.69921875" style="1558" customWidth="1"/>
    <col min="7940" max="7940" width="9" style="1558"/>
    <col min="7941" max="7941" width="9.8984375" style="1558" customWidth="1"/>
    <col min="7942" max="7943" width="8.19921875" style="1558" customWidth="1"/>
    <col min="7944" max="7944" width="9.8984375" style="1558" customWidth="1"/>
    <col min="7945" max="7945" width="7.5" style="1558" customWidth="1"/>
    <col min="7946" max="7946" width="14.5" style="1558" customWidth="1"/>
    <col min="7947" max="7947" width="15.19921875" style="1558" customWidth="1"/>
    <col min="7948" max="8192" width="9" style="1558"/>
    <col min="8193" max="8193" width="5.19921875" style="1558" customWidth="1"/>
    <col min="8194" max="8194" width="34.69921875" style="1558" customWidth="1"/>
    <col min="8195" max="8195" width="8.69921875" style="1558" customWidth="1"/>
    <col min="8196" max="8196" width="9" style="1558"/>
    <col min="8197" max="8197" width="9.8984375" style="1558" customWidth="1"/>
    <col min="8198" max="8199" width="8.19921875" style="1558" customWidth="1"/>
    <col min="8200" max="8200" width="9.8984375" style="1558" customWidth="1"/>
    <col min="8201" max="8201" width="7.5" style="1558" customWidth="1"/>
    <col min="8202" max="8202" width="14.5" style="1558" customWidth="1"/>
    <col min="8203" max="8203" width="15.19921875" style="1558" customWidth="1"/>
    <col min="8204" max="8448" width="9" style="1558"/>
    <col min="8449" max="8449" width="5.19921875" style="1558" customWidth="1"/>
    <col min="8450" max="8450" width="34.69921875" style="1558" customWidth="1"/>
    <col min="8451" max="8451" width="8.69921875" style="1558" customWidth="1"/>
    <col min="8452" max="8452" width="9" style="1558"/>
    <col min="8453" max="8453" width="9.8984375" style="1558" customWidth="1"/>
    <col min="8454" max="8455" width="8.19921875" style="1558" customWidth="1"/>
    <col min="8456" max="8456" width="9.8984375" style="1558" customWidth="1"/>
    <col min="8457" max="8457" width="7.5" style="1558" customWidth="1"/>
    <col min="8458" max="8458" width="14.5" style="1558" customWidth="1"/>
    <col min="8459" max="8459" width="15.19921875" style="1558" customWidth="1"/>
    <col min="8460" max="8704" width="9" style="1558"/>
    <col min="8705" max="8705" width="5.19921875" style="1558" customWidth="1"/>
    <col min="8706" max="8706" width="34.69921875" style="1558" customWidth="1"/>
    <col min="8707" max="8707" width="8.69921875" style="1558" customWidth="1"/>
    <col min="8708" max="8708" width="9" style="1558"/>
    <col min="8709" max="8709" width="9.8984375" style="1558" customWidth="1"/>
    <col min="8710" max="8711" width="8.19921875" style="1558" customWidth="1"/>
    <col min="8712" max="8712" width="9.8984375" style="1558" customWidth="1"/>
    <col min="8713" max="8713" width="7.5" style="1558" customWidth="1"/>
    <col min="8714" max="8714" width="14.5" style="1558" customWidth="1"/>
    <col min="8715" max="8715" width="15.19921875" style="1558" customWidth="1"/>
    <col min="8716" max="8960" width="9" style="1558"/>
    <col min="8961" max="8961" width="5.19921875" style="1558" customWidth="1"/>
    <col min="8962" max="8962" width="34.69921875" style="1558" customWidth="1"/>
    <col min="8963" max="8963" width="8.69921875" style="1558" customWidth="1"/>
    <col min="8964" max="8964" width="9" style="1558"/>
    <col min="8965" max="8965" width="9.8984375" style="1558" customWidth="1"/>
    <col min="8966" max="8967" width="8.19921875" style="1558" customWidth="1"/>
    <col min="8968" max="8968" width="9.8984375" style="1558" customWidth="1"/>
    <col min="8969" max="8969" width="7.5" style="1558" customWidth="1"/>
    <col min="8970" max="8970" width="14.5" style="1558" customWidth="1"/>
    <col min="8971" max="8971" width="15.19921875" style="1558" customWidth="1"/>
    <col min="8972" max="9216" width="9" style="1558"/>
    <col min="9217" max="9217" width="5.19921875" style="1558" customWidth="1"/>
    <col min="9218" max="9218" width="34.69921875" style="1558" customWidth="1"/>
    <col min="9219" max="9219" width="8.69921875" style="1558" customWidth="1"/>
    <col min="9220" max="9220" width="9" style="1558"/>
    <col min="9221" max="9221" width="9.8984375" style="1558" customWidth="1"/>
    <col min="9222" max="9223" width="8.19921875" style="1558" customWidth="1"/>
    <col min="9224" max="9224" width="9.8984375" style="1558" customWidth="1"/>
    <col min="9225" max="9225" width="7.5" style="1558" customWidth="1"/>
    <col min="9226" max="9226" width="14.5" style="1558" customWidth="1"/>
    <col min="9227" max="9227" width="15.19921875" style="1558" customWidth="1"/>
    <col min="9228" max="9472" width="9" style="1558"/>
    <col min="9473" max="9473" width="5.19921875" style="1558" customWidth="1"/>
    <col min="9474" max="9474" width="34.69921875" style="1558" customWidth="1"/>
    <col min="9475" max="9475" width="8.69921875" style="1558" customWidth="1"/>
    <col min="9476" max="9476" width="9" style="1558"/>
    <col min="9477" max="9477" width="9.8984375" style="1558" customWidth="1"/>
    <col min="9478" max="9479" width="8.19921875" style="1558" customWidth="1"/>
    <col min="9480" max="9480" width="9.8984375" style="1558" customWidth="1"/>
    <col min="9481" max="9481" width="7.5" style="1558" customWidth="1"/>
    <col min="9482" max="9482" width="14.5" style="1558" customWidth="1"/>
    <col min="9483" max="9483" width="15.19921875" style="1558" customWidth="1"/>
    <col min="9484" max="9728" width="9" style="1558"/>
    <col min="9729" max="9729" width="5.19921875" style="1558" customWidth="1"/>
    <col min="9730" max="9730" width="34.69921875" style="1558" customWidth="1"/>
    <col min="9731" max="9731" width="8.69921875" style="1558" customWidth="1"/>
    <col min="9732" max="9732" width="9" style="1558"/>
    <col min="9733" max="9733" width="9.8984375" style="1558" customWidth="1"/>
    <col min="9734" max="9735" width="8.19921875" style="1558" customWidth="1"/>
    <col min="9736" max="9736" width="9.8984375" style="1558" customWidth="1"/>
    <col min="9737" max="9737" width="7.5" style="1558" customWidth="1"/>
    <col min="9738" max="9738" width="14.5" style="1558" customWidth="1"/>
    <col min="9739" max="9739" width="15.19921875" style="1558" customWidth="1"/>
    <col min="9740" max="9984" width="9" style="1558"/>
    <col min="9985" max="9985" width="5.19921875" style="1558" customWidth="1"/>
    <col min="9986" max="9986" width="34.69921875" style="1558" customWidth="1"/>
    <col min="9987" max="9987" width="8.69921875" style="1558" customWidth="1"/>
    <col min="9988" max="9988" width="9" style="1558"/>
    <col min="9989" max="9989" width="9.8984375" style="1558" customWidth="1"/>
    <col min="9990" max="9991" width="8.19921875" style="1558" customWidth="1"/>
    <col min="9992" max="9992" width="9.8984375" style="1558" customWidth="1"/>
    <col min="9993" max="9993" width="7.5" style="1558" customWidth="1"/>
    <col min="9994" max="9994" width="14.5" style="1558" customWidth="1"/>
    <col min="9995" max="9995" width="15.19921875" style="1558" customWidth="1"/>
    <col min="9996" max="10240" width="9" style="1558"/>
    <col min="10241" max="10241" width="5.19921875" style="1558" customWidth="1"/>
    <col min="10242" max="10242" width="34.69921875" style="1558" customWidth="1"/>
    <col min="10243" max="10243" width="8.69921875" style="1558" customWidth="1"/>
    <col min="10244" max="10244" width="9" style="1558"/>
    <col min="10245" max="10245" width="9.8984375" style="1558" customWidth="1"/>
    <col min="10246" max="10247" width="8.19921875" style="1558" customWidth="1"/>
    <col min="10248" max="10248" width="9.8984375" style="1558" customWidth="1"/>
    <col min="10249" max="10249" width="7.5" style="1558" customWidth="1"/>
    <col min="10250" max="10250" width="14.5" style="1558" customWidth="1"/>
    <col min="10251" max="10251" width="15.19921875" style="1558" customWidth="1"/>
    <col min="10252" max="10496" width="9" style="1558"/>
    <col min="10497" max="10497" width="5.19921875" style="1558" customWidth="1"/>
    <col min="10498" max="10498" width="34.69921875" style="1558" customWidth="1"/>
    <col min="10499" max="10499" width="8.69921875" style="1558" customWidth="1"/>
    <col min="10500" max="10500" width="9" style="1558"/>
    <col min="10501" max="10501" width="9.8984375" style="1558" customWidth="1"/>
    <col min="10502" max="10503" width="8.19921875" style="1558" customWidth="1"/>
    <col min="10504" max="10504" width="9.8984375" style="1558" customWidth="1"/>
    <col min="10505" max="10505" width="7.5" style="1558" customWidth="1"/>
    <col min="10506" max="10506" width="14.5" style="1558" customWidth="1"/>
    <col min="10507" max="10507" width="15.19921875" style="1558" customWidth="1"/>
    <col min="10508" max="10752" width="9" style="1558"/>
    <col min="10753" max="10753" width="5.19921875" style="1558" customWidth="1"/>
    <col min="10754" max="10754" width="34.69921875" style="1558" customWidth="1"/>
    <col min="10755" max="10755" width="8.69921875" style="1558" customWidth="1"/>
    <col min="10756" max="10756" width="9" style="1558"/>
    <col min="10757" max="10757" width="9.8984375" style="1558" customWidth="1"/>
    <col min="10758" max="10759" width="8.19921875" style="1558" customWidth="1"/>
    <col min="10760" max="10760" width="9.8984375" style="1558" customWidth="1"/>
    <col min="10761" max="10761" width="7.5" style="1558" customWidth="1"/>
    <col min="10762" max="10762" width="14.5" style="1558" customWidth="1"/>
    <col min="10763" max="10763" width="15.19921875" style="1558" customWidth="1"/>
    <col min="10764" max="11008" width="9" style="1558"/>
    <col min="11009" max="11009" width="5.19921875" style="1558" customWidth="1"/>
    <col min="11010" max="11010" width="34.69921875" style="1558" customWidth="1"/>
    <col min="11011" max="11011" width="8.69921875" style="1558" customWidth="1"/>
    <col min="11012" max="11012" width="9" style="1558"/>
    <col min="11013" max="11013" width="9.8984375" style="1558" customWidth="1"/>
    <col min="11014" max="11015" width="8.19921875" style="1558" customWidth="1"/>
    <col min="11016" max="11016" width="9.8984375" style="1558" customWidth="1"/>
    <col min="11017" max="11017" width="7.5" style="1558" customWidth="1"/>
    <col min="11018" max="11018" width="14.5" style="1558" customWidth="1"/>
    <col min="11019" max="11019" width="15.19921875" style="1558" customWidth="1"/>
    <col min="11020" max="11264" width="9" style="1558"/>
    <col min="11265" max="11265" width="5.19921875" style="1558" customWidth="1"/>
    <col min="11266" max="11266" width="34.69921875" style="1558" customWidth="1"/>
    <col min="11267" max="11267" width="8.69921875" style="1558" customWidth="1"/>
    <col min="11268" max="11268" width="9" style="1558"/>
    <col min="11269" max="11269" width="9.8984375" style="1558" customWidth="1"/>
    <col min="11270" max="11271" width="8.19921875" style="1558" customWidth="1"/>
    <col min="11272" max="11272" width="9.8984375" style="1558" customWidth="1"/>
    <col min="11273" max="11273" width="7.5" style="1558" customWidth="1"/>
    <col min="11274" max="11274" width="14.5" style="1558" customWidth="1"/>
    <col min="11275" max="11275" width="15.19921875" style="1558" customWidth="1"/>
    <col min="11276" max="11520" width="9" style="1558"/>
    <col min="11521" max="11521" width="5.19921875" style="1558" customWidth="1"/>
    <col min="11522" max="11522" width="34.69921875" style="1558" customWidth="1"/>
    <col min="11523" max="11523" width="8.69921875" style="1558" customWidth="1"/>
    <col min="11524" max="11524" width="9" style="1558"/>
    <col min="11525" max="11525" width="9.8984375" style="1558" customWidth="1"/>
    <col min="11526" max="11527" width="8.19921875" style="1558" customWidth="1"/>
    <col min="11528" max="11528" width="9.8984375" style="1558" customWidth="1"/>
    <col min="11529" max="11529" width="7.5" style="1558" customWidth="1"/>
    <col min="11530" max="11530" width="14.5" style="1558" customWidth="1"/>
    <col min="11531" max="11531" width="15.19921875" style="1558" customWidth="1"/>
    <col min="11532" max="11776" width="9" style="1558"/>
    <col min="11777" max="11777" width="5.19921875" style="1558" customWidth="1"/>
    <col min="11778" max="11778" width="34.69921875" style="1558" customWidth="1"/>
    <col min="11779" max="11779" width="8.69921875" style="1558" customWidth="1"/>
    <col min="11780" max="11780" width="9" style="1558"/>
    <col min="11781" max="11781" width="9.8984375" style="1558" customWidth="1"/>
    <col min="11782" max="11783" width="8.19921875" style="1558" customWidth="1"/>
    <col min="11784" max="11784" width="9.8984375" style="1558" customWidth="1"/>
    <col min="11785" max="11785" width="7.5" style="1558" customWidth="1"/>
    <col min="11786" max="11786" width="14.5" style="1558" customWidth="1"/>
    <col min="11787" max="11787" width="15.19921875" style="1558" customWidth="1"/>
    <col min="11788" max="12032" width="9" style="1558"/>
    <col min="12033" max="12033" width="5.19921875" style="1558" customWidth="1"/>
    <col min="12034" max="12034" width="34.69921875" style="1558" customWidth="1"/>
    <col min="12035" max="12035" width="8.69921875" style="1558" customWidth="1"/>
    <col min="12036" max="12036" width="9" style="1558"/>
    <col min="12037" max="12037" width="9.8984375" style="1558" customWidth="1"/>
    <col min="12038" max="12039" width="8.19921875" style="1558" customWidth="1"/>
    <col min="12040" max="12040" width="9.8984375" style="1558" customWidth="1"/>
    <col min="12041" max="12041" width="7.5" style="1558" customWidth="1"/>
    <col min="12042" max="12042" width="14.5" style="1558" customWidth="1"/>
    <col min="12043" max="12043" width="15.19921875" style="1558" customWidth="1"/>
    <col min="12044" max="12288" width="9" style="1558"/>
    <col min="12289" max="12289" width="5.19921875" style="1558" customWidth="1"/>
    <col min="12290" max="12290" width="34.69921875" style="1558" customWidth="1"/>
    <col min="12291" max="12291" width="8.69921875" style="1558" customWidth="1"/>
    <col min="12292" max="12292" width="9" style="1558"/>
    <col min="12293" max="12293" width="9.8984375" style="1558" customWidth="1"/>
    <col min="12294" max="12295" width="8.19921875" style="1558" customWidth="1"/>
    <col min="12296" max="12296" width="9.8984375" style="1558" customWidth="1"/>
    <col min="12297" max="12297" width="7.5" style="1558" customWidth="1"/>
    <col min="12298" max="12298" width="14.5" style="1558" customWidth="1"/>
    <col min="12299" max="12299" width="15.19921875" style="1558" customWidth="1"/>
    <col min="12300" max="12544" width="9" style="1558"/>
    <col min="12545" max="12545" width="5.19921875" style="1558" customWidth="1"/>
    <col min="12546" max="12546" width="34.69921875" style="1558" customWidth="1"/>
    <col min="12547" max="12547" width="8.69921875" style="1558" customWidth="1"/>
    <col min="12548" max="12548" width="9" style="1558"/>
    <col min="12549" max="12549" width="9.8984375" style="1558" customWidth="1"/>
    <col min="12550" max="12551" width="8.19921875" style="1558" customWidth="1"/>
    <col min="12552" max="12552" width="9.8984375" style="1558" customWidth="1"/>
    <col min="12553" max="12553" width="7.5" style="1558" customWidth="1"/>
    <col min="12554" max="12554" width="14.5" style="1558" customWidth="1"/>
    <col min="12555" max="12555" width="15.19921875" style="1558" customWidth="1"/>
    <col min="12556" max="12800" width="9" style="1558"/>
    <col min="12801" max="12801" width="5.19921875" style="1558" customWidth="1"/>
    <col min="12802" max="12802" width="34.69921875" style="1558" customWidth="1"/>
    <col min="12803" max="12803" width="8.69921875" style="1558" customWidth="1"/>
    <col min="12804" max="12804" width="9" style="1558"/>
    <col min="12805" max="12805" width="9.8984375" style="1558" customWidth="1"/>
    <col min="12806" max="12807" width="8.19921875" style="1558" customWidth="1"/>
    <col min="12808" max="12808" width="9.8984375" style="1558" customWidth="1"/>
    <col min="12809" max="12809" width="7.5" style="1558" customWidth="1"/>
    <col min="12810" max="12810" width="14.5" style="1558" customWidth="1"/>
    <col min="12811" max="12811" width="15.19921875" style="1558" customWidth="1"/>
    <col min="12812" max="13056" width="9" style="1558"/>
    <col min="13057" max="13057" width="5.19921875" style="1558" customWidth="1"/>
    <col min="13058" max="13058" width="34.69921875" style="1558" customWidth="1"/>
    <col min="13059" max="13059" width="8.69921875" style="1558" customWidth="1"/>
    <col min="13060" max="13060" width="9" style="1558"/>
    <col min="13061" max="13061" width="9.8984375" style="1558" customWidth="1"/>
    <col min="13062" max="13063" width="8.19921875" style="1558" customWidth="1"/>
    <col min="13064" max="13064" width="9.8984375" style="1558" customWidth="1"/>
    <col min="13065" max="13065" width="7.5" style="1558" customWidth="1"/>
    <col min="13066" max="13066" width="14.5" style="1558" customWidth="1"/>
    <col min="13067" max="13067" width="15.19921875" style="1558" customWidth="1"/>
    <col min="13068" max="13312" width="9" style="1558"/>
    <col min="13313" max="13313" width="5.19921875" style="1558" customWidth="1"/>
    <col min="13314" max="13314" width="34.69921875" style="1558" customWidth="1"/>
    <col min="13315" max="13315" width="8.69921875" style="1558" customWidth="1"/>
    <col min="13316" max="13316" width="9" style="1558"/>
    <col min="13317" max="13317" width="9.8984375" style="1558" customWidth="1"/>
    <col min="13318" max="13319" width="8.19921875" style="1558" customWidth="1"/>
    <col min="13320" max="13320" width="9.8984375" style="1558" customWidth="1"/>
    <col min="13321" max="13321" width="7.5" style="1558" customWidth="1"/>
    <col min="13322" max="13322" width="14.5" style="1558" customWidth="1"/>
    <col min="13323" max="13323" width="15.19921875" style="1558" customWidth="1"/>
    <col min="13324" max="13568" width="9" style="1558"/>
    <col min="13569" max="13569" width="5.19921875" style="1558" customWidth="1"/>
    <col min="13570" max="13570" width="34.69921875" style="1558" customWidth="1"/>
    <col min="13571" max="13571" width="8.69921875" style="1558" customWidth="1"/>
    <col min="13572" max="13572" width="9" style="1558"/>
    <col min="13573" max="13573" width="9.8984375" style="1558" customWidth="1"/>
    <col min="13574" max="13575" width="8.19921875" style="1558" customWidth="1"/>
    <col min="13576" max="13576" width="9.8984375" style="1558" customWidth="1"/>
    <col min="13577" max="13577" width="7.5" style="1558" customWidth="1"/>
    <col min="13578" max="13578" width="14.5" style="1558" customWidth="1"/>
    <col min="13579" max="13579" width="15.19921875" style="1558" customWidth="1"/>
    <col min="13580" max="13824" width="9" style="1558"/>
    <col min="13825" max="13825" width="5.19921875" style="1558" customWidth="1"/>
    <col min="13826" max="13826" width="34.69921875" style="1558" customWidth="1"/>
    <col min="13827" max="13827" width="8.69921875" style="1558" customWidth="1"/>
    <col min="13828" max="13828" width="9" style="1558"/>
    <col min="13829" max="13829" width="9.8984375" style="1558" customWidth="1"/>
    <col min="13830" max="13831" width="8.19921875" style="1558" customWidth="1"/>
    <col min="13832" max="13832" width="9.8984375" style="1558" customWidth="1"/>
    <col min="13833" max="13833" width="7.5" style="1558" customWidth="1"/>
    <col min="13834" max="13834" width="14.5" style="1558" customWidth="1"/>
    <col min="13835" max="13835" width="15.19921875" style="1558" customWidth="1"/>
    <col min="13836" max="14080" width="9" style="1558"/>
    <col min="14081" max="14081" width="5.19921875" style="1558" customWidth="1"/>
    <col min="14082" max="14082" width="34.69921875" style="1558" customWidth="1"/>
    <col min="14083" max="14083" width="8.69921875" style="1558" customWidth="1"/>
    <col min="14084" max="14084" width="9" style="1558"/>
    <col min="14085" max="14085" width="9.8984375" style="1558" customWidth="1"/>
    <col min="14086" max="14087" width="8.19921875" style="1558" customWidth="1"/>
    <col min="14088" max="14088" width="9.8984375" style="1558" customWidth="1"/>
    <col min="14089" max="14089" width="7.5" style="1558" customWidth="1"/>
    <col min="14090" max="14090" width="14.5" style="1558" customWidth="1"/>
    <col min="14091" max="14091" width="15.19921875" style="1558" customWidth="1"/>
    <col min="14092" max="14336" width="9" style="1558"/>
    <col min="14337" max="14337" width="5.19921875" style="1558" customWidth="1"/>
    <col min="14338" max="14338" width="34.69921875" style="1558" customWidth="1"/>
    <col min="14339" max="14339" width="8.69921875" style="1558" customWidth="1"/>
    <col min="14340" max="14340" width="9" style="1558"/>
    <col min="14341" max="14341" width="9.8984375" style="1558" customWidth="1"/>
    <col min="14342" max="14343" width="8.19921875" style="1558" customWidth="1"/>
    <col min="14344" max="14344" width="9.8984375" style="1558" customWidth="1"/>
    <col min="14345" max="14345" width="7.5" style="1558" customWidth="1"/>
    <col min="14346" max="14346" width="14.5" style="1558" customWidth="1"/>
    <col min="14347" max="14347" width="15.19921875" style="1558" customWidth="1"/>
    <col min="14348" max="14592" width="9" style="1558"/>
    <col min="14593" max="14593" width="5.19921875" style="1558" customWidth="1"/>
    <col min="14594" max="14594" width="34.69921875" style="1558" customWidth="1"/>
    <col min="14595" max="14595" width="8.69921875" style="1558" customWidth="1"/>
    <col min="14596" max="14596" width="9" style="1558"/>
    <col min="14597" max="14597" width="9.8984375" style="1558" customWidth="1"/>
    <col min="14598" max="14599" width="8.19921875" style="1558" customWidth="1"/>
    <col min="14600" max="14600" width="9.8984375" style="1558" customWidth="1"/>
    <col min="14601" max="14601" width="7.5" style="1558" customWidth="1"/>
    <col min="14602" max="14602" width="14.5" style="1558" customWidth="1"/>
    <col min="14603" max="14603" width="15.19921875" style="1558" customWidth="1"/>
    <col min="14604" max="14848" width="9" style="1558"/>
    <col min="14849" max="14849" width="5.19921875" style="1558" customWidth="1"/>
    <col min="14850" max="14850" width="34.69921875" style="1558" customWidth="1"/>
    <col min="14851" max="14851" width="8.69921875" style="1558" customWidth="1"/>
    <col min="14852" max="14852" width="9" style="1558"/>
    <col min="14853" max="14853" width="9.8984375" style="1558" customWidth="1"/>
    <col min="14854" max="14855" width="8.19921875" style="1558" customWidth="1"/>
    <col min="14856" max="14856" width="9.8984375" style="1558" customWidth="1"/>
    <col min="14857" max="14857" width="7.5" style="1558" customWidth="1"/>
    <col min="14858" max="14858" width="14.5" style="1558" customWidth="1"/>
    <col min="14859" max="14859" width="15.19921875" style="1558" customWidth="1"/>
    <col min="14860" max="15104" width="9" style="1558"/>
    <col min="15105" max="15105" width="5.19921875" style="1558" customWidth="1"/>
    <col min="15106" max="15106" width="34.69921875" style="1558" customWidth="1"/>
    <col min="15107" max="15107" width="8.69921875" style="1558" customWidth="1"/>
    <col min="15108" max="15108" width="9" style="1558"/>
    <col min="15109" max="15109" width="9.8984375" style="1558" customWidth="1"/>
    <col min="15110" max="15111" width="8.19921875" style="1558" customWidth="1"/>
    <col min="15112" max="15112" width="9.8984375" style="1558" customWidth="1"/>
    <col min="15113" max="15113" width="7.5" style="1558" customWidth="1"/>
    <col min="15114" max="15114" width="14.5" style="1558" customWidth="1"/>
    <col min="15115" max="15115" width="15.19921875" style="1558" customWidth="1"/>
    <col min="15116" max="15360" width="9" style="1558"/>
    <col min="15361" max="15361" width="5.19921875" style="1558" customWidth="1"/>
    <col min="15362" max="15362" width="34.69921875" style="1558" customWidth="1"/>
    <col min="15363" max="15363" width="8.69921875" style="1558" customWidth="1"/>
    <col min="15364" max="15364" width="9" style="1558"/>
    <col min="15365" max="15365" width="9.8984375" style="1558" customWidth="1"/>
    <col min="15366" max="15367" width="8.19921875" style="1558" customWidth="1"/>
    <col min="15368" max="15368" width="9.8984375" style="1558" customWidth="1"/>
    <col min="15369" max="15369" width="7.5" style="1558" customWidth="1"/>
    <col min="15370" max="15370" width="14.5" style="1558" customWidth="1"/>
    <col min="15371" max="15371" width="15.19921875" style="1558" customWidth="1"/>
    <col min="15372" max="15616" width="9" style="1558"/>
    <col min="15617" max="15617" width="5.19921875" style="1558" customWidth="1"/>
    <col min="15618" max="15618" width="34.69921875" style="1558" customWidth="1"/>
    <col min="15619" max="15619" width="8.69921875" style="1558" customWidth="1"/>
    <col min="15620" max="15620" width="9" style="1558"/>
    <col min="15621" max="15621" width="9.8984375" style="1558" customWidth="1"/>
    <col min="15622" max="15623" width="8.19921875" style="1558" customWidth="1"/>
    <col min="15624" max="15624" width="9.8984375" style="1558" customWidth="1"/>
    <col min="15625" max="15625" width="7.5" style="1558" customWidth="1"/>
    <col min="15626" max="15626" width="14.5" style="1558" customWidth="1"/>
    <col min="15627" max="15627" width="15.19921875" style="1558" customWidth="1"/>
    <col min="15628" max="15872" width="9" style="1558"/>
    <col min="15873" max="15873" width="5.19921875" style="1558" customWidth="1"/>
    <col min="15874" max="15874" width="34.69921875" style="1558" customWidth="1"/>
    <col min="15875" max="15875" width="8.69921875" style="1558" customWidth="1"/>
    <col min="15876" max="15876" width="9" style="1558"/>
    <col min="15877" max="15877" width="9.8984375" style="1558" customWidth="1"/>
    <col min="15878" max="15879" width="8.19921875" style="1558" customWidth="1"/>
    <col min="15880" max="15880" width="9.8984375" style="1558" customWidth="1"/>
    <col min="15881" max="15881" width="7.5" style="1558" customWidth="1"/>
    <col min="15882" max="15882" width="14.5" style="1558" customWidth="1"/>
    <col min="15883" max="15883" width="15.19921875" style="1558" customWidth="1"/>
    <col min="15884" max="16128" width="9" style="1558"/>
    <col min="16129" max="16129" width="5.19921875" style="1558" customWidth="1"/>
    <col min="16130" max="16130" width="34.69921875" style="1558" customWidth="1"/>
    <col min="16131" max="16131" width="8.69921875" style="1558" customWidth="1"/>
    <col min="16132" max="16132" width="9" style="1558"/>
    <col min="16133" max="16133" width="9.8984375" style="1558" customWidth="1"/>
    <col min="16134" max="16135" width="8.19921875" style="1558" customWidth="1"/>
    <col min="16136" max="16136" width="9.8984375" style="1558" customWidth="1"/>
    <col min="16137" max="16137" width="7.5" style="1558" customWidth="1"/>
    <col min="16138" max="16138" width="14.5" style="1558" customWidth="1"/>
    <col min="16139" max="16139" width="15.19921875" style="1558" customWidth="1"/>
    <col min="16140" max="16384" width="9" style="1558"/>
  </cols>
  <sheetData>
    <row r="1" spans="1:11" ht="20.100000000000001" customHeight="1">
      <c r="A1" s="3440" t="s">
        <v>5403</v>
      </c>
      <c r="B1" s="3440"/>
      <c r="C1" s="3440"/>
      <c r="D1" s="3440"/>
      <c r="E1" s="3440"/>
      <c r="F1" s="3440"/>
      <c r="G1" s="3440"/>
      <c r="H1" s="3440"/>
      <c r="I1" s="3440"/>
      <c r="J1" s="1994"/>
    </row>
    <row r="2" spans="1:11" ht="25.5" customHeight="1">
      <c r="A2" s="3379" t="s">
        <v>5404</v>
      </c>
      <c r="B2" s="3379"/>
      <c r="C2" s="3379"/>
      <c r="D2" s="3379"/>
      <c r="E2" s="3379"/>
      <c r="F2" s="3379"/>
      <c r="G2" s="3379"/>
      <c r="H2" s="3379"/>
      <c r="I2" s="3379"/>
      <c r="J2" s="1858"/>
    </row>
    <row r="3" spans="1:11" ht="14.25" customHeight="1">
      <c r="A3" s="3380" t="s">
        <v>1854</v>
      </c>
      <c r="B3" s="3380" t="s">
        <v>1075</v>
      </c>
      <c r="C3" s="3377" t="s">
        <v>5405</v>
      </c>
      <c r="D3" s="3377"/>
      <c r="E3" s="3377"/>
      <c r="F3" s="3377" t="s">
        <v>5406</v>
      </c>
      <c r="G3" s="3377"/>
      <c r="H3" s="3377"/>
      <c r="I3" s="3383" t="s">
        <v>5152</v>
      </c>
      <c r="J3" s="3383" t="s">
        <v>5153</v>
      </c>
    </row>
    <row r="4" spans="1:11" ht="14.25" customHeight="1">
      <c r="A4" s="3381"/>
      <c r="B4" s="3381"/>
      <c r="C4" s="1842" t="s">
        <v>2343</v>
      </c>
      <c r="D4" s="1842" t="s">
        <v>1852</v>
      </c>
      <c r="E4" s="1842" t="s">
        <v>5152</v>
      </c>
      <c r="F4" s="1842" t="s">
        <v>2343</v>
      </c>
      <c r="G4" s="1842" t="s">
        <v>1852</v>
      </c>
      <c r="H4" s="1842" t="s">
        <v>5152</v>
      </c>
      <c r="I4" s="3384"/>
      <c r="J4" s="3384"/>
    </row>
    <row r="5" spans="1:11" ht="14.25" customHeight="1">
      <c r="A5" s="3382"/>
      <c r="B5" s="3382"/>
      <c r="C5" s="1842">
        <v>1</v>
      </c>
      <c r="D5" s="1842">
        <v>2</v>
      </c>
      <c r="E5" s="1842" t="s">
        <v>5407</v>
      </c>
      <c r="F5" s="1842">
        <v>4</v>
      </c>
      <c r="G5" s="1842">
        <v>5</v>
      </c>
      <c r="H5" s="1842" t="s">
        <v>5408</v>
      </c>
      <c r="I5" s="1842" t="s">
        <v>5409</v>
      </c>
      <c r="J5" s="1971"/>
    </row>
    <row r="6" spans="1:11" ht="14.25" customHeight="1">
      <c r="A6" s="1842">
        <v>1</v>
      </c>
      <c r="B6" s="1821" t="s">
        <v>5410</v>
      </c>
      <c r="C6" s="2074">
        <f>企业重组审核表!C6</f>
        <v>0</v>
      </c>
      <c r="D6" s="2074">
        <f>企业重组审核表!D6</f>
        <v>0</v>
      </c>
      <c r="E6" s="2074">
        <f>企业重组审核表!E6</f>
        <v>0</v>
      </c>
      <c r="F6" s="2074">
        <f>企业重组审核表!F6</f>
        <v>0</v>
      </c>
      <c r="G6" s="2074">
        <f>企业重组审核表!G6</f>
        <v>0</v>
      </c>
      <c r="H6" s="2074">
        <f>企业重组审核表!H6</f>
        <v>0</v>
      </c>
      <c r="I6" s="2074">
        <f>企业重组审核表!I6</f>
        <v>0</v>
      </c>
      <c r="J6" s="1971"/>
    </row>
    <row r="7" spans="1:11" ht="14.25" customHeight="1">
      <c r="A7" s="1842">
        <v>2</v>
      </c>
      <c r="B7" s="1821" t="s">
        <v>5411</v>
      </c>
      <c r="C7" s="2074">
        <f>企业重组审核表!C7</f>
        <v>0</v>
      </c>
      <c r="D7" s="2074">
        <f>企业重组审核表!D7</f>
        <v>0</v>
      </c>
      <c r="E7" s="2074">
        <f>企业重组审核表!E7</f>
        <v>0</v>
      </c>
      <c r="F7" s="2074">
        <f>企业重组审核表!F7</f>
        <v>0</v>
      </c>
      <c r="G7" s="2074">
        <f>企业重组审核表!G7</f>
        <v>0</v>
      </c>
      <c r="H7" s="2074">
        <f>企业重组审核表!H7</f>
        <v>0</v>
      </c>
      <c r="I7" s="2074">
        <f>企业重组审核表!I7</f>
        <v>0</v>
      </c>
      <c r="J7" s="1971"/>
    </row>
    <row r="8" spans="1:11" ht="14.25" customHeight="1">
      <c r="A8" s="1842">
        <v>3</v>
      </c>
      <c r="B8" s="1821" t="s">
        <v>5412</v>
      </c>
      <c r="C8" s="2074">
        <f>企业重组审核表!C8</f>
        <v>0</v>
      </c>
      <c r="D8" s="2074">
        <f>企业重组审核表!D8</f>
        <v>0</v>
      </c>
      <c r="E8" s="2074">
        <f>企业重组审核表!E8</f>
        <v>0</v>
      </c>
      <c r="F8" s="2074">
        <f>企业重组审核表!F8</f>
        <v>0</v>
      </c>
      <c r="G8" s="2074">
        <f>企业重组审核表!G8</f>
        <v>0</v>
      </c>
      <c r="H8" s="2074">
        <f>企业重组审核表!H8</f>
        <v>0</v>
      </c>
      <c r="I8" s="2074">
        <f>企业重组审核表!I8</f>
        <v>0</v>
      </c>
      <c r="J8" s="1971"/>
    </row>
    <row r="9" spans="1:11" ht="14.25" customHeight="1">
      <c r="A9" s="1842">
        <v>4</v>
      </c>
      <c r="B9" s="1821" t="s">
        <v>5413</v>
      </c>
      <c r="C9" s="2074">
        <f>企业重组审核表!C9</f>
        <v>0</v>
      </c>
      <c r="D9" s="2074">
        <f>企业重组审核表!D9</f>
        <v>0</v>
      </c>
      <c r="E9" s="2074">
        <f>企业重组审核表!E9</f>
        <v>0</v>
      </c>
      <c r="F9" s="2074">
        <f>企业重组审核表!F9</f>
        <v>0</v>
      </c>
      <c r="G9" s="2074">
        <f>企业重组审核表!G9</f>
        <v>0</v>
      </c>
      <c r="H9" s="2074">
        <f>企业重组审核表!H9</f>
        <v>0</v>
      </c>
      <c r="I9" s="2074">
        <f>企业重组审核表!I9</f>
        <v>0</v>
      </c>
      <c r="J9" s="1971"/>
    </row>
    <row r="10" spans="1:11" ht="14.25" customHeight="1">
      <c r="A10" s="1842">
        <v>5</v>
      </c>
      <c r="B10" s="1821" t="s">
        <v>5414</v>
      </c>
      <c r="C10" s="2074">
        <f>企业重组审核表!C10</f>
        <v>0</v>
      </c>
      <c r="D10" s="2074">
        <f>企业重组审核表!D10</f>
        <v>0</v>
      </c>
      <c r="E10" s="2074">
        <f>企业重组审核表!E10</f>
        <v>0</v>
      </c>
      <c r="F10" s="2074">
        <f>企业重组审核表!F10</f>
        <v>0</v>
      </c>
      <c r="G10" s="2074">
        <f>企业重组审核表!G10</f>
        <v>0</v>
      </c>
      <c r="H10" s="2074">
        <f>企业重组审核表!H10</f>
        <v>0</v>
      </c>
      <c r="I10" s="2074">
        <f>企业重组审核表!I10</f>
        <v>0</v>
      </c>
      <c r="J10" s="1971"/>
    </row>
    <row r="11" spans="1:11" ht="14.25" customHeight="1">
      <c r="A11" s="1842">
        <v>6</v>
      </c>
      <c r="B11" s="1821" t="s">
        <v>5415</v>
      </c>
      <c r="C11" s="2074">
        <f>企业重组审核表!C11</f>
        <v>0</v>
      </c>
      <c r="D11" s="2074">
        <f>企业重组审核表!D11</f>
        <v>0</v>
      </c>
      <c r="E11" s="2074">
        <f>企业重组审核表!E11</f>
        <v>0</v>
      </c>
      <c r="F11" s="2074">
        <f>企业重组审核表!F11</f>
        <v>0</v>
      </c>
      <c r="G11" s="2074">
        <f>企业重组审核表!G11</f>
        <v>0</v>
      </c>
      <c r="H11" s="2074">
        <f>企业重组审核表!H11</f>
        <v>0</v>
      </c>
      <c r="I11" s="2074">
        <f>企业重组审核表!I11</f>
        <v>0</v>
      </c>
      <c r="J11" s="1971"/>
    </row>
    <row r="12" spans="1:11" ht="14.25" customHeight="1">
      <c r="A12" s="1842">
        <v>7</v>
      </c>
      <c r="B12" s="1821" t="s">
        <v>5416</v>
      </c>
      <c r="C12" s="2074">
        <f>企业重组审核表!C12</f>
        <v>0</v>
      </c>
      <c r="D12" s="2074">
        <f>企业重组审核表!D12</f>
        <v>0</v>
      </c>
      <c r="E12" s="2074">
        <f>企业重组审核表!E12</f>
        <v>0</v>
      </c>
      <c r="F12" s="2074">
        <f>企业重组审核表!F12</f>
        <v>0</v>
      </c>
      <c r="G12" s="2074">
        <f>企业重组审核表!G12</f>
        <v>0</v>
      </c>
      <c r="H12" s="2074">
        <f>企业重组审核表!H12</f>
        <v>0</v>
      </c>
      <c r="I12" s="2074">
        <f>企业重组审核表!I12</f>
        <v>0</v>
      </c>
      <c r="J12" s="1971"/>
    </row>
    <row r="13" spans="1:11" ht="14.25" customHeight="1">
      <c r="A13" s="1842">
        <v>8</v>
      </c>
      <c r="B13" s="1821" t="s">
        <v>5417</v>
      </c>
      <c r="C13" s="2074">
        <f>企业重组审核表!C13</f>
        <v>0</v>
      </c>
      <c r="D13" s="2074">
        <f>企业重组审核表!D13</f>
        <v>0</v>
      </c>
      <c r="E13" s="2074">
        <f>企业重组审核表!E13</f>
        <v>0</v>
      </c>
      <c r="F13" s="2074">
        <f>企业重组审核表!F13</f>
        <v>0</v>
      </c>
      <c r="G13" s="2074">
        <f>企业重组审核表!G13</f>
        <v>0</v>
      </c>
      <c r="H13" s="2074">
        <f>企业重组审核表!H13</f>
        <v>0</v>
      </c>
      <c r="I13" s="2074">
        <f>企业重组审核表!I13</f>
        <v>0</v>
      </c>
      <c r="J13" s="1971"/>
    </row>
    <row r="14" spans="1:11" ht="14.25" customHeight="1">
      <c r="A14" s="1842">
        <v>9</v>
      </c>
      <c r="B14" s="1821" t="s">
        <v>5418</v>
      </c>
      <c r="C14" s="2074">
        <f>企业重组审核表!C14</f>
        <v>0</v>
      </c>
      <c r="D14" s="2074">
        <f>企业重组审核表!D14</f>
        <v>0</v>
      </c>
      <c r="E14" s="2074">
        <f>企业重组审核表!E14</f>
        <v>0</v>
      </c>
      <c r="F14" s="2074">
        <f>企业重组审核表!F14</f>
        <v>0</v>
      </c>
      <c r="G14" s="2074">
        <f>企业重组审核表!G14</f>
        <v>0</v>
      </c>
      <c r="H14" s="2074">
        <f>企业重组审核表!H14</f>
        <v>0</v>
      </c>
      <c r="I14" s="2074">
        <f>企业重组审核表!I14</f>
        <v>0</v>
      </c>
      <c r="J14" s="1971"/>
    </row>
    <row r="15" spans="1:11" ht="14.25" customHeight="1">
      <c r="A15" s="1842">
        <v>10</v>
      </c>
      <c r="B15" s="1821" t="s">
        <v>5419</v>
      </c>
      <c r="C15" s="2074">
        <f>企业重组审核表!C15</f>
        <v>0</v>
      </c>
      <c r="D15" s="2074">
        <f>企业重组审核表!D15</f>
        <v>0</v>
      </c>
      <c r="E15" s="2074">
        <f>企业重组审核表!E15</f>
        <v>0</v>
      </c>
      <c r="F15" s="2074">
        <f>企业重组审核表!F15</f>
        <v>0</v>
      </c>
      <c r="G15" s="2074">
        <f>企业重组审核表!G15</f>
        <v>0</v>
      </c>
      <c r="H15" s="2074">
        <f>企业重组审核表!H15</f>
        <v>0</v>
      </c>
      <c r="I15" s="2074">
        <f>企业重组审核表!I15</f>
        <v>0</v>
      </c>
      <c r="J15" s="1971"/>
    </row>
    <row r="16" spans="1:11" ht="14.25" customHeight="1">
      <c r="A16" s="1842">
        <v>11</v>
      </c>
      <c r="B16" s="1821" t="s">
        <v>5420</v>
      </c>
      <c r="C16" s="2074">
        <f>企业重组审核表!C16</f>
        <v>0</v>
      </c>
      <c r="D16" s="2074">
        <f>企业重组审核表!D16</f>
        <v>0</v>
      </c>
      <c r="E16" s="2074">
        <f>企业重组审核表!E16</f>
        <v>0</v>
      </c>
      <c r="F16" s="2074">
        <f>企业重组审核表!F16</f>
        <v>0</v>
      </c>
      <c r="G16" s="2074">
        <f>企业重组审核表!G16</f>
        <v>0</v>
      </c>
      <c r="H16" s="2074">
        <f>企业重组审核表!H16</f>
        <v>0</v>
      </c>
      <c r="I16" s="2074">
        <f>企业重组审核表!I16</f>
        <v>0</v>
      </c>
      <c r="J16" s="1971"/>
      <c r="K16" s="1675" t="s">
        <v>6452</v>
      </c>
    </row>
    <row r="17" spans="1:11" ht="14.25" customHeight="1">
      <c r="A17" s="1842">
        <v>12</v>
      </c>
      <c r="B17" s="1821" t="s">
        <v>5421</v>
      </c>
      <c r="C17" s="2074">
        <f>企业重组审核表!C17</f>
        <v>0</v>
      </c>
      <c r="D17" s="2074">
        <f>企业重组审核表!D17</f>
        <v>0</v>
      </c>
      <c r="E17" s="2074">
        <f>企业重组审核表!E17</f>
        <v>0</v>
      </c>
      <c r="F17" s="2074">
        <f>企业重组审核表!F17</f>
        <v>0</v>
      </c>
      <c r="G17" s="2074">
        <f>企业重组审核表!G17</f>
        <v>0</v>
      </c>
      <c r="H17" s="2074">
        <f>企业重组审核表!H17</f>
        <v>0</v>
      </c>
      <c r="I17" s="2074">
        <f>企业重组审核表!I17</f>
        <v>0</v>
      </c>
      <c r="J17" s="1971"/>
    </row>
    <row r="18" spans="1:11" s="1569" customFormat="1" ht="14.25" customHeight="1">
      <c r="A18" s="1842">
        <v>13</v>
      </c>
      <c r="B18" s="1821" t="s">
        <v>5422</v>
      </c>
      <c r="C18" s="2074">
        <f>企业重组审核表!C18</f>
        <v>0</v>
      </c>
      <c r="D18" s="2074">
        <f>企业重组审核表!D18</f>
        <v>0</v>
      </c>
      <c r="E18" s="2074">
        <f>企业重组审核表!E18</f>
        <v>0</v>
      </c>
      <c r="F18" s="2074">
        <f>企业重组审核表!F18</f>
        <v>0</v>
      </c>
      <c r="G18" s="2074">
        <f>企业重组审核表!G18</f>
        <v>0</v>
      </c>
      <c r="H18" s="2074">
        <f>企业重组审核表!H18</f>
        <v>0</v>
      </c>
      <c r="I18" s="2074">
        <f>企业重组审核表!I18</f>
        <v>0</v>
      </c>
      <c r="J18" s="1977"/>
    </row>
    <row r="19" spans="1:11" ht="35.25" customHeight="1">
      <c r="A19" s="1842">
        <v>14</v>
      </c>
      <c r="B19" s="1821" t="s">
        <v>5423</v>
      </c>
      <c r="C19" s="2074">
        <f>企业重组审核表!C19</f>
        <v>0</v>
      </c>
      <c r="D19" s="2074">
        <f>企业重组审核表!D19</f>
        <v>0</v>
      </c>
      <c r="E19" s="2074">
        <f>企业重组审核表!E19</f>
        <v>0</v>
      </c>
      <c r="F19" s="2074">
        <f>企业重组审核表!F19</f>
        <v>0</v>
      </c>
      <c r="G19" s="2074">
        <f>企业重组审核表!G19</f>
        <v>0</v>
      </c>
      <c r="H19" s="2074">
        <f>企业重组审核表!H19</f>
        <v>0</v>
      </c>
      <c r="I19" s="2074">
        <f>企业重组审核表!I19</f>
        <v>0</v>
      </c>
      <c r="J19" s="1821" t="s">
        <v>5424</v>
      </c>
      <c r="K19" s="1568"/>
    </row>
  </sheetData>
  <mergeCells count="8">
    <mergeCell ref="J3:J4"/>
    <mergeCell ref="A1:I1"/>
    <mergeCell ref="A2:I2"/>
    <mergeCell ref="A3:A5"/>
    <mergeCell ref="B3:B5"/>
    <mergeCell ref="C3:E3"/>
    <mergeCell ref="F3:H3"/>
    <mergeCell ref="I3:I4"/>
  </mergeCells>
  <phoneticPr fontId="51" type="noConversion"/>
  <hyperlinks>
    <hyperlink ref="K16" location="企业重组审核表!A1" display="企业重组审核表!A1"/>
  </hyperlinks>
  <printOptions horizontalCentered="1"/>
  <pageMargins left="0.78740157480314998" right="0.35433070866141703" top="0.511811023622047" bottom="0.11811023622047198" header="0.511811023622047" footer="0.511811023622047"/>
  <pageSetup paperSize="9" orientation="landscape" r:id="rId1"/>
  <headerFooter alignWithMargins="0"/>
</worksheet>
</file>

<file path=xl/worksheets/sheet14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36">
    <tabColor rgb="FFFFFF00"/>
  </sheetPr>
  <dimension ref="A1:F27"/>
  <sheetViews>
    <sheetView workbookViewId="0">
      <selection sqref="A1:C1"/>
    </sheetView>
  </sheetViews>
  <sheetFormatPr defaultRowHeight="15.6"/>
  <cols>
    <col min="1" max="1" width="5.19921875" style="1555" customWidth="1"/>
    <col min="2" max="2" width="47.59765625" style="1577" customWidth="1"/>
    <col min="3" max="3" width="12.3984375" style="1555" customWidth="1"/>
    <col min="4" max="4" width="18" style="1555" customWidth="1"/>
    <col min="5" max="5" width="29.09765625" style="1555" customWidth="1"/>
    <col min="6" max="256" width="9" style="1555"/>
    <col min="257" max="257" width="5.19921875" style="1555" customWidth="1"/>
    <col min="258" max="258" width="47.59765625" style="1555" customWidth="1"/>
    <col min="259" max="259" width="8.09765625" style="1555" customWidth="1"/>
    <col min="260" max="260" width="18" style="1555" customWidth="1"/>
    <col min="261" max="261" width="29.09765625" style="1555" customWidth="1"/>
    <col min="262" max="512" width="9" style="1555"/>
    <col min="513" max="513" width="5.19921875" style="1555" customWidth="1"/>
    <col min="514" max="514" width="47.59765625" style="1555" customWidth="1"/>
    <col min="515" max="515" width="8.09765625" style="1555" customWidth="1"/>
    <col min="516" max="516" width="18" style="1555" customWidth="1"/>
    <col min="517" max="517" width="29.09765625" style="1555" customWidth="1"/>
    <col min="518" max="768" width="9" style="1555"/>
    <col min="769" max="769" width="5.19921875" style="1555" customWidth="1"/>
    <col min="770" max="770" width="47.59765625" style="1555" customWidth="1"/>
    <col min="771" max="771" width="8.09765625" style="1555" customWidth="1"/>
    <col min="772" max="772" width="18" style="1555" customWidth="1"/>
    <col min="773" max="773" width="29.09765625" style="1555" customWidth="1"/>
    <col min="774" max="1024" width="9" style="1555"/>
    <col min="1025" max="1025" width="5.19921875" style="1555" customWidth="1"/>
    <col min="1026" max="1026" width="47.59765625" style="1555" customWidth="1"/>
    <col min="1027" max="1027" width="8.09765625" style="1555" customWidth="1"/>
    <col min="1028" max="1028" width="18" style="1555" customWidth="1"/>
    <col min="1029" max="1029" width="29.09765625" style="1555" customWidth="1"/>
    <col min="1030" max="1280" width="9" style="1555"/>
    <col min="1281" max="1281" width="5.19921875" style="1555" customWidth="1"/>
    <col min="1282" max="1282" width="47.59765625" style="1555" customWidth="1"/>
    <col min="1283" max="1283" width="8.09765625" style="1555" customWidth="1"/>
    <col min="1284" max="1284" width="18" style="1555" customWidth="1"/>
    <col min="1285" max="1285" width="29.09765625" style="1555" customWidth="1"/>
    <col min="1286" max="1536" width="9" style="1555"/>
    <col min="1537" max="1537" width="5.19921875" style="1555" customWidth="1"/>
    <col min="1538" max="1538" width="47.59765625" style="1555" customWidth="1"/>
    <col min="1539" max="1539" width="8.09765625" style="1555" customWidth="1"/>
    <col min="1540" max="1540" width="18" style="1555" customWidth="1"/>
    <col min="1541" max="1541" width="29.09765625" style="1555" customWidth="1"/>
    <col min="1542" max="1792" width="9" style="1555"/>
    <col min="1793" max="1793" width="5.19921875" style="1555" customWidth="1"/>
    <col min="1794" max="1794" width="47.59765625" style="1555" customWidth="1"/>
    <col min="1795" max="1795" width="8.09765625" style="1555" customWidth="1"/>
    <col min="1796" max="1796" width="18" style="1555" customWidth="1"/>
    <col min="1797" max="1797" width="29.09765625" style="1555" customWidth="1"/>
    <col min="1798" max="2048" width="9" style="1555"/>
    <col min="2049" max="2049" width="5.19921875" style="1555" customWidth="1"/>
    <col min="2050" max="2050" width="47.59765625" style="1555" customWidth="1"/>
    <col min="2051" max="2051" width="8.09765625" style="1555" customWidth="1"/>
    <col min="2052" max="2052" width="18" style="1555" customWidth="1"/>
    <col min="2053" max="2053" width="29.09765625" style="1555" customWidth="1"/>
    <col min="2054" max="2304" width="9" style="1555"/>
    <col min="2305" max="2305" width="5.19921875" style="1555" customWidth="1"/>
    <col min="2306" max="2306" width="47.59765625" style="1555" customWidth="1"/>
    <col min="2307" max="2307" width="8.09765625" style="1555" customWidth="1"/>
    <col min="2308" max="2308" width="18" style="1555" customWidth="1"/>
    <col min="2309" max="2309" width="29.09765625" style="1555" customWidth="1"/>
    <col min="2310" max="2560" width="9" style="1555"/>
    <col min="2561" max="2561" width="5.19921875" style="1555" customWidth="1"/>
    <col min="2562" max="2562" width="47.59765625" style="1555" customWidth="1"/>
    <col min="2563" max="2563" width="8.09765625" style="1555" customWidth="1"/>
    <col min="2564" max="2564" width="18" style="1555" customWidth="1"/>
    <col min="2565" max="2565" width="29.09765625" style="1555" customWidth="1"/>
    <col min="2566" max="2816" width="9" style="1555"/>
    <col min="2817" max="2817" width="5.19921875" style="1555" customWidth="1"/>
    <col min="2818" max="2818" width="47.59765625" style="1555" customWidth="1"/>
    <col min="2819" max="2819" width="8.09765625" style="1555" customWidth="1"/>
    <col min="2820" max="2820" width="18" style="1555" customWidth="1"/>
    <col min="2821" max="2821" width="29.09765625" style="1555" customWidth="1"/>
    <col min="2822" max="3072" width="9" style="1555"/>
    <col min="3073" max="3073" width="5.19921875" style="1555" customWidth="1"/>
    <col min="3074" max="3074" width="47.59765625" style="1555" customWidth="1"/>
    <col min="3075" max="3075" width="8.09765625" style="1555" customWidth="1"/>
    <col min="3076" max="3076" width="18" style="1555" customWidth="1"/>
    <col min="3077" max="3077" width="29.09765625" style="1555" customWidth="1"/>
    <col min="3078" max="3328" width="9" style="1555"/>
    <col min="3329" max="3329" width="5.19921875" style="1555" customWidth="1"/>
    <col min="3330" max="3330" width="47.59765625" style="1555" customWidth="1"/>
    <col min="3331" max="3331" width="8.09765625" style="1555" customWidth="1"/>
    <col min="3332" max="3332" width="18" style="1555" customWidth="1"/>
    <col min="3333" max="3333" width="29.09765625" style="1555" customWidth="1"/>
    <col min="3334" max="3584" width="9" style="1555"/>
    <col min="3585" max="3585" width="5.19921875" style="1555" customWidth="1"/>
    <col min="3586" max="3586" width="47.59765625" style="1555" customWidth="1"/>
    <col min="3587" max="3587" width="8.09765625" style="1555" customWidth="1"/>
    <col min="3588" max="3588" width="18" style="1555" customWidth="1"/>
    <col min="3589" max="3589" width="29.09765625" style="1555" customWidth="1"/>
    <col min="3590" max="3840" width="9" style="1555"/>
    <col min="3841" max="3841" width="5.19921875" style="1555" customWidth="1"/>
    <col min="3842" max="3842" width="47.59765625" style="1555" customWidth="1"/>
    <col min="3843" max="3843" width="8.09765625" style="1555" customWidth="1"/>
    <col min="3844" max="3844" width="18" style="1555" customWidth="1"/>
    <col min="3845" max="3845" width="29.09765625" style="1555" customWidth="1"/>
    <col min="3846" max="4096" width="9" style="1555"/>
    <col min="4097" max="4097" width="5.19921875" style="1555" customWidth="1"/>
    <col min="4098" max="4098" width="47.59765625" style="1555" customWidth="1"/>
    <col min="4099" max="4099" width="8.09765625" style="1555" customWidth="1"/>
    <col min="4100" max="4100" width="18" style="1555" customWidth="1"/>
    <col min="4101" max="4101" width="29.09765625" style="1555" customWidth="1"/>
    <col min="4102" max="4352" width="9" style="1555"/>
    <col min="4353" max="4353" width="5.19921875" style="1555" customWidth="1"/>
    <col min="4354" max="4354" width="47.59765625" style="1555" customWidth="1"/>
    <col min="4355" max="4355" width="8.09765625" style="1555" customWidth="1"/>
    <col min="4356" max="4356" width="18" style="1555" customWidth="1"/>
    <col min="4357" max="4357" width="29.09765625" style="1555" customWidth="1"/>
    <col min="4358" max="4608" width="9" style="1555"/>
    <col min="4609" max="4609" width="5.19921875" style="1555" customWidth="1"/>
    <col min="4610" max="4610" width="47.59765625" style="1555" customWidth="1"/>
    <col min="4611" max="4611" width="8.09765625" style="1555" customWidth="1"/>
    <col min="4612" max="4612" width="18" style="1555" customWidth="1"/>
    <col min="4613" max="4613" width="29.09765625" style="1555" customWidth="1"/>
    <col min="4614" max="4864" width="9" style="1555"/>
    <col min="4865" max="4865" width="5.19921875" style="1555" customWidth="1"/>
    <col min="4866" max="4866" width="47.59765625" style="1555" customWidth="1"/>
    <col min="4867" max="4867" width="8.09765625" style="1555" customWidth="1"/>
    <col min="4868" max="4868" width="18" style="1555" customWidth="1"/>
    <col min="4869" max="4869" width="29.09765625" style="1555" customWidth="1"/>
    <col min="4870" max="5120" width="9" style="1555"/>
    <col min="5121" max="5121" width="5.19921875" style="1555" customWidth="1"/>
    <col min="5122" max="5122" width="47.59765625" style="1555" customWidth="1"/>
    <col min="5123" max="5123" width="8.09765625" style="1555" customWidth="1"/>
    <col min="5124" max="5124" width="18" style="1555" customWidth="1"/>
    <col min="5125" max="5125" width="29.09765625" style="1555" customWidth="1"/>
    <col min="5126" max="5376" width="9" style="1555"/>
    <col min="5377" max="5377" width="5.19921875" style="1555" customWidth="1"/>
    <col min="5378" max="5378" width="47.59765625" style="1555" customWidth="1"/>
    <col min="5379" max="5379" width="8.09765625" style="1555" customWidth="1"/>
    <col min="5380" max="5380" width="18" style="1555" customWidth="1"/>
    <col min="5381" max="5381" width="29.09765625" style="1555" customWidth="1"/>
    <col min="5382" max="5632" width="9" style="1555"/>
    <col min="5633" max="5633" width="5.19921875" style="1555" customWidth="1"/>
    <col min="5634" max="5634" width="47.59765625" style="1555" customWidth="1"/>
    <col min="5635" max="5635" width="8.09765625" style="1555" customWidth="1"/>
    <col min="5636" max="5636" width="18" style="1555" customWidth="1"/>
    <col min="5637" max="5637" width="29.09765625" style="1555" customWidth="1"/>
    <col min="5638" max="5888" width="9" style="1555"/>
    <col min="5889" max="5889" width="5.19921875" style="1555" customWidth="1"/>
    <col min="5890" max="5890" width="47.59765625" style="1555" customWidth="1"/>
    <col min="5891" max="5891" width="8.09765625" style="1555" customWidth="1"/>
    <col min="5892" max="5892" width="18" style="1555" customWidth="1"/>
    <col min="5893" max="5893" width="29.09765625" style="1555" customWidth="1"/>
    <col min="5894" max="6144" width="9" style="1555"/>
    <col min="6145" max="6145" width="5.19921875" style="1555" customWidth="1"/>
    <col min="6146" max="6146" width="47.59765625" style="1555" customWidth="1"/>
    <col min="6147" max="6147" width="8.09765625" style="1555" customWidth="1"/>
    <col min="6148" max="6148" width="18" style="1555" customWidth="1"/>
    <col min="6149" max="6149" width="29.09765625" style="1555" customWidth="1"/>
    <col min="6150" max="6400" width="9" style="1555"/>
    <col min="6401" max="6401" width="5.19921875" style="1555" customWidth="1"/>
    <col min="6402" max="6402" width="47.59765625" style="1555" customWidth="1"/>
    <col min="6403" max="6403" width="8.09765625" style="1555" customWidth="1"/>
    <col min="6404" max="6404" width="18" style="1555" customWidth="1"/>
    <col min="6405" max="6405" width="29.09765625" style="1555" customWidth="1"/>
    <col min="6406" max="6656" width="9" style="1555"/>
    <col min="6657" max="6657" width="5.19921875" style="1555" customWidth="1"/>
    <col min="6658" max="6658" width="47.59765625" style="1555" customWidth="1"/>
    <col min="6659" max="6659" width="8.09765625" style="1555" customWidth="1"/>
    <col min="6660" max="6660" width="18" style="1555" customWidth="1"/>
    <col min="6661" max="6661" width="29.09765625" style="1555" customWidth="1"/>
    <col min="6662" max="6912" width="9" style="1555"/>
    <col min="6913" max="6913" width="5.19921875" style="1555" customWidth="1"/>
    <col min="6914" max="6914" width="47.59765625" style="1555" customWidth="1"/>
    <col min="6915" max="6915" width="8.09765625" style="1555" customWidth="1"/>
    <col min="6916" max="6916" width="18" style="1555" customWidth="1"/>
    <col min="6917" max="6917" width="29.09765625" style="1555" customWidth="1"/>
    <col min="6918" max="7168" width="9" style="1555"/>
    <col min="7169" max="7169" width="5.19921875" style="1555" customWidth="1"/>
    <col min="7170" max="7170" width="47.59765625" style="1555" customWidth="1"/>
    <col min="7171" max="7171" width="8.09765625" style="1555" customWidth="1"/>
    <col min="7172" max="7172" width="18" style="1555" customWidth="1"/>
    <col min="7173" max="7173" width="29.09765625" style="1555" customWidth="1"/>
    <col min="7174" max="7424" width="9" style="1555"/>
    <col min="7425" max="7425" width="5.19921875" style="1555" customWidth="1"/>
    <col min="7426" max="7426" width="47.59765625" style="1555" customWidth="1"/>
    <col min="7427" max="7427" width="8.09765625" style="1555" customWidth="1"/>
    <col min="7428" max="7428" width="18" style="1555" customWidth="1"/>
    <col min="7429" max="7429" width="29.09765625" style="1555" customWidth="1"/>
    <col min="7430" max="7680" width="9" style="1555"/>
    <col min="7681" max="7681" width="5.19921875" style="1555" customWidth="1"/>
    <col min="7682" max="7682" width="47.59765625" style="1555" customWidth="1"/>
    <col min="7683" max="7683" width="8.09765625" style="1555" customWidth="1"/>
    <col min="7684" max="7684" width="18" style="1555" customWidth="1"/>
    <col min="7685" max="7685" width="29.09765625" style="1555" customWidth="1"/>
    <col min="7686" max="7936" width="9" style="1555"/>
    <col min="7937" max="7937" width="5.19921875" style="1555" customWidth="1"/>
    <col min="7938" max="7938" width="47.59765625" style="1555" customWidth="1"/>
    <col min="7939" max="7939" width="8.09765625" style="1555" customWidth="1"/>
    <col min="7940" max="7940" width="18" style="1555" customWidth="1"/>
    <col min="7941" max="7941" width="29.09765625" style="1555" customWidth="1"/>
    <col min="7942" max="8192" width="9" style="1555"/>
    <col min="8193" max="8193" width="5.19921875" style="1555" customWidth="1"/>
    <col min="8194" max="8194" width="47.59765625" style="1555" customWidth="1"/>
    <col min="8195" max="8195" width="8.09765625" style="1555" customWidth="1"/>
    <col min="8196" max="8196" width="18" style="1555" customWidth="1"/>
    <col min="8197" max="8197" width="29.09765625" style="1555" customWidth="1"/>
    <col min="8198" max="8448" width="9" style="1555"/>
    <col min="8449" max="8449" width="5.19921875" style="1555" customWidth="1"/>
    <col min="8450" max="8450" width="47.59765625" style="1555" customWidth="1"/>
    <col min="8451" max="8451" width="8.09765625" style="1555" customWidth="1"/>
    <col min="8452" max="8452" width="18" style="1555" customWidth="1"/>
    <col min="8453" max="8453" width="29.09765625" style="1555" customWidth="1"/>
    <col min="8454" max="8704" width="9" style="1555"/>
    <col min="8705" max="8705" width="5.19921875" style="1555" customWidth="1"/>
    <col min="8706" max="8706" width="47.59765625" style="1555" customWidth="1"/>
    <col min="8707" max="8707" width="8.09765625" style="1555" customWidth="1"/>
    <col min="8708" max="8708" width="18" style="1555" customWidth="1"/>
    <col min="8709" max="8709" width="29.09765625" style="1555" customWidth="1"/>
    <col min="8710" max="8960" width="9" style="1555"/>
    <col min="8961" max="8961" width="5.19921875" style="1555" customWidth="1"/>
    <col min="8962" max="8962" width="47.59765625" style="1555" customWidth="1"/>
    <col min="8963" max="8963" width="8.09765625" style="1555" customWidth="1"/>
    <col min="8964" max="8964" width="18" style="1555" customWidth="1"/>
    <col min="8965" max="8965" width="29.09765625" style="1555" customWidth="1"/>
    <col min="8966" max="9216" width="9" style="1555"/>
    <col min="9217" max="9217" width="5.19921875" style="1555" customWidth="1"/>
    <col min="9218" max="9218" width="47.59765625" style="1555" customWidth="1"/>
    <col min="9219" max="9219" width="8.09765625" style="1555" customWidth="1"/>
    <col min="9220" max="9220" width="18" style="1555" customWidth="1"/>
    <col min="9221" max="9221" width="29.09765625" style="1555" customWidth="1"/>
    <col min="9222" max="9472" width="9" style="1555"/>
    <col min="9473" max="9473" width="5.19921875" style="1555" customWidth="1"/>
    <col min="9474" max="9474" width="47.59765625" style="1555" customWidth="1"/>
    <col min="9475" max="9475" width="8.09765625" style="1555" customWidth="1"/>
    <col min="9476" max="9476" width="18" style="1555" customWidth="1"/>
    <col min="9477" max="9477" width="29.09765625" style="1555" customWidth="1"/>
    <col min="9478" max="9728" width="9" style="1555"/>
    <col min="9729" max="9729" width="5.19921875" style="1555" customWidth="1"/>
    <col min="9730" max="9730" width="47.59765625" style="1555" customWidth="1"/>
    <col min="9731" max="9731" width="8.09765625" style="1555" customWidth="1"/>
    <col min="9732" max="9732" width="18" style="1555" customWidth="1"/>
    <col min="9733" max="9733" width="29.09765625" style="1555" customWidth="1"/>
    <col min="9734" max="9984" width="9" style="1555"/>
    <col min="9985" max="9985" width="5.19921875" style="1555" customWidth="1"/>
    <col min="9986" max="9986" width="47.59765625" style="1555" customWidth="1"/>
    <col min="9987" max="9987" width="8.09765625" style="1555" customWidth="1"/>
    <col min="9988" max="9988" width="18" style="1555" customWidth="1"/>
    <col min="9989" max="9989" width="29.09765625" style="1555" customWidth="1"/>
    <col min="9990" max="10240" width="9" style="1555"/>
    <col min="10241" max="10241" width="5.19921875" style="1555" customWidth="1"/>
    <col min="10242" max="10242" width="47.59765625" style="1555" customWidth="1"/>
    <col min="10243" max="10243" width="8.09765625" style="1555" customWidth="1"/>
    <col min="10244" max="10244" width="18" style="1555" customWidth="1"/>
    <col min="10245" max="10245" width="29.09765625" style="1555" customWidth="1"/>
    <col min="10246" max="10496" width="9" style="1555"/>
    <col min="10497" max="10497" width="5.19921875" style="1555" customWidth="1"/>
    <col min="10498" max="10498" width="47.59765625" style="1555" customWidth="1"/>
    <col min="10499" max="10499" width="8.09765625" style="1555" customWidth="1"/>
    <col min="10500" max="10500" width="18" style="1555" customWidth="1"/>
    <col min="10501" max="10501" width="29.09765625" style="1555" customWidth="1"/>
    <col min="10502" max="10752" width="9" style="1555"/>
    <col min="10753" max="10753" width="5.19921875" style="1555" customWidth="1"/>
    <col min="10754" max="10754" width="47.59765625" style="1555" customWidth="1"/>
    <col min="10755" max="10755" width="8.09765625" style="1555" customWidth="1"/>
    <col min="10756" max="10756" width="18" style="1555" customWidth="1"/>
    <col min="10757" max="10757" width="29.09765625" style="1555" customWidth="1"/>
    <col min="10758" max="11008" width="9" style="1555"/>
    <col min="11009" max="11009" width="5.19921875" style="1555" customWidth="1"/>
    <col min="11010" max="11010" width="47.59765625" style="1555" customWidth="1"/>
    <col min="11011" max="11011" width="8.09765625" style="1555" customWidth="1"/>
    <col min="11012" max="11012" width="18" style="1555" customWidth="1"/>
    <col min="11013" max="11013" width="29.09765625" style="1555" customWidth="1"/>
    <col min="11014" max="11264" width="9" style="1555"/>
    <col min="11265" max="11265" width="5.19921875" style="1555" customWidth="1"/>
    <col min="11266" max="11266" width="47.59765625" style="1555" customWidth="1"/>
    <col min="11267" max="11267" width="8.09765625" style="1555" customWidth="1"/>
    <col min="11268" max="11268" width="18" style="1555" customWidth="1"/>
    <col min="11269" max="11269" width="29.09765625" style="1555" customWidth="1"/>
    <col min="11270" max="11520" width="9" style="1555"/>
    <col min="11521" max="11521" width="5.19921875" style="1555" customWidth="1"/>
    <col min="11522" max="11522" width="47.59765625" style="1555" customWidth="1"/>
    <col min="11523" max="11523" width="8.09765625" style="1555" customWidth="1"/>
    <col min="11524" max="11524" width="18" style="1555" customWidth="1"/>
    <col min="11525" max="11525" width="29.09765625" style="1555" customWidth="1"/>
    <col min="11526" max="11776" width="9" style="1555"/>
    <col min="11777" max="11777" width="5.19921875" style="1555" customWidth="1"/>
    <col min="11778" max="11778" width="47.59765625" style="1555" customWidth="1"/>
    <col min="11779" max="11779" width="8.09765625" style="1555" customWidth="1"/>
    <col min="11780" max="11780" width="18" style="1555" customWidth="1"/>
    <col min="11781" max="11781" width="29.09765625" style="1555" customWidth="1"/>
    <col min="11782" max="12032" width="9" style="1555"/>
    <col min="12033" max="12033" width="5.19921875" style="1555" customWidth="1"/>
    <col min="12034" max="12034" width="47.59765625" style="1555" customWidth="1"/>
    <col min="12035" max="12035" width="8.09765625" style="1555" customWidth="1"/>
    <col min="12036" max="12036" width="18" style="1555" customWidth="1"/>
    <col min="12037" max="12037" width="29.09765625" style="1555" customWidth="1"/>
    <col min="12038" max="12288" width="9" style="1555"/>
    <col min="12289" max="12289" width="5.19921875" style="1555" customWidth="1"/>
    <col min="12290" max="12290" width="47.59765625" style="1555" customWidth="1"/>
    <col min="12291" max="12291" width="8.09765625" style="1555" customWidth="1"/>
    <col min="12292" max="12292" width="18" style="1555" customWidth="1"/>
    <col min="12293" max="12293" width="29.09765625" style="1555" customWidth="1"/>
    <col min="12294" max="12544" width="9" style="1555"/>
    <col min="12545" max="12545" width="5.19921875" style="1555" customWidth="1"/>
    <col min="12546" max="12546" width="47.59765625" style="1555" customWidth="1"/>
    <col min="12547" max="12547" width="8.09765625" style="1555" customWidth="1"/>
    <col min="12548" max="12548" width="18" style="1555" customWidth="1"/>
    <col min="12549" max="12549" width="29.09765625" style="1555" customWidth="1"/>
    <col min="12550" max="12800" width="9" style="1555"/>
    <col min="12801" max="12801" width="5.19921875" style="1555" customWidth="1"/>
    <col min="12802" max="12802" width="47.59765625" style="1555" customWidth="1"/>
    <col min="12803" max="12803" width="8.09765625" style="1555" customWidth="1"/>
    <col min="12804" max="12804" width="18" style="1555" customWidth="1"/>
    <col min="12805" max="12805" width="29.09765625" style="1555" customWidth="1"/>
    <col min="12806" max="13056" width="9" style="1555"/>
    <col min="13057" max="13057" width="5.19921875" style="1555" customWidth="1"/>
    <col min="13058" max="13058" width="47.59765625" style="1555" customWidth="1"/>
    <col min="13059" max="13059" width="8.09765625" style="1555" customWidth="1"/>
    <col min="13060" max="13060" width="18" style="1555" customWidth="1"/>
    <col min="13061" max="13061" width="29.09765625" style="1555" customWidth="1"/>
    <col min="13062" max="13312" width="9" style="1555"/>
    <col min="13313" max="13313" width="5.19921875" style="1555" customWidth="1"/>
    <col min="13314" max="13314" width="47.59765625" style="1555" customWidth="1"/>
    <col min="13315" max="13315" width="8.09765625" style="1555" customWidth="1"/>
    <col min="13316" max="13316" width="18" style="1555" customWidth="1"/>
    <col min="13317" max="13317" width="29.09765625" style="1555" customWidth="1"/>
    <col min="13318" max="13568" width="9" style="1555"/>
    <col min="13569" max="13569" width="5.19921875" style="1555" customWidth="1"/>
    <col min="13570" max="13570" width="47.59765625" style="1555" customWidth="1"/>
    <col min="13571" max="13571" width="8.09765625" style="1555" customWidth="1"/>
    <col min="13572" max="13572" width="18" style="1555" customWidth="1"/>
    <col min="13573" max="13573" width="29.09765625" style="1555" customWidth="1"/>
    <col min="13574" max="13824" width="9" style="1555"/>
    <col min="13825" max="13825" width="5.19921875" style="1555" customWidth="1"/>
    <col min="13826" max="13826" width="47.59765625" style="1555" customWidth="1"/>
    <col min="13827" max="13827" width="8.09765625" style="1555" customWidth="1"/>
    <col min="13828" max="13828" width="18" style="1555" customWidth="1"/>
    <col min="13829" max="13829" width="29.09765625" style="1555" customWidth="1"/>
    <col min="13830" max="14080" width="9" style="1555"/>
    <col min="14081" max="14081" width="5.19921875" style="1555" customWidth="1"/>
    <col min="14082" max="14082" width="47.59765625" style="1555" customWidth="1"/>
    <col min="14083" max="14083" width="8.09765625" style="1555" customWidth="1"/>
    <col min="14084" max="14084" width="18" style="1555" customWidth="1"/>
    <col min="14085" max="14085" width="29.09765625" style="1555" customWidth="1"/>
    <col min="14086" max="14336" width="9" style="1555"/>
    <col min="14337" max="14337" width="5.19921875" style="1555" customWidth="1"/>
    <col min="14338" max="14338" width="47.59765625" style="1555" customWidth="1"/>
    <col min="14339" max="14339" width="8.09765625" style="1555" customWidth="1"/>
    <col min="14340" max="14340" width="18" style="1555" customWidth="1"/>
    <col min="14341" max="14341" width="29.09765625" style="1555" customWidth="1"/>
    <col min="14342" max="14592" width="9" style="1555"/>
    <col min="14593" max="14593" width="5.19921875" style="1555" customWidth="1"/>
    <col min="14594" max="14594" width="47.59765625" style="1555" customWidth="1"/>
    <col min="14595" max="14595" width="8.09765625" style="1555" customWidth="1"/>
    <col min="14596" max="14596" width="18" style="1555" customWidth="1"/>
    <col min="14597" max="14597" width="29.09765625" style="1555" customWidth="1"/>
    <col min="14598" max="14848" width="9" style="1555"/>
    <col min="14849" max="14849" width="5.19921875" style="1555" customWidth="1"/>
    <col min="14850" max="14850" width="47.59765625" style="1555" customWidth="1"/>
    <col min="14851" max="14851" width="8.09765625" style="1555" customWidth="1"/>
    <col min="14852" max="14852" width="18" style="1555" customWidth="1"/>
    <col min="14853" max="14853" width="29.09765625" style="1555" customWidth="1"/>
    <col min="14854" max="15104" width="9" style="1555"/>
    <col min="15105" max="15105" width="5.19921875" style="1555" customWidth="1"/>
    <col min="15106" max="15106" width="47.59765625" style="1555" customWidth="1"/>
    <col min="15107" max="15107" width="8.09765625" style="1555" customWidth="1"/>
    <col min="15108" max="15108" width="18" style="1555" customWidth="1"/>
    <col min="15109" max="15109" width="29.09765625" style="1555" customWidth="1"/>
    <col min="15110" max="15360" width="9" style="1555"/>
    <col min="15361" max="15361" width="5.19921875" style="1555" customWidth="1"/>
    <col min="15362" max="15362" width="47.59765625" style="1555" customWidth="1"/>
    <col min="15363" max="15363" width="8.09765625" style="1555" customWidth="1"/>
    <col min="15364" max="15364" width="18" style="1555" customWidth="1"/>
    <col min="15365" max="15365" width="29.09765625" style="1555" customWidth="1"/>
    <col min="15366" max="15616" width="9" style="1555"/>
    <col min="15617" max="15617" width="5.19921875" style="1555" customWidth="1"/>
    <col min="15618" max="15618" width="47.59765625" style="1555" customWidth="1"/>
    <col min="15619" max="15619" width="8.09765625" style="1555" customWidth="1"/>
    <col min="15620" max="15620" width="18" style="1555" customWidth="1"/>
    <col min="15621" max="15621" width="29.09765625" style="1555" customWidth="1"/>
    <col min="15622" max="15872" width="9" style="1555"/>
    <col min="15873" max="15873" width="5.19921875" style="1555" customWidth="1"/>
    <col min="15874" max="15874" width="47.59765625" style="1555" customWidth="1"/>
    <col min="15875" max="15875" width="8.09765625" style="1555" customWidth="1"/>
    <col min="15876" max="15876" width="18" style="1555" customWidth="1"/>
    <col min="15877" max="15877" width="29.09765625" style="1555" customWidth="1"/>
    <col min="15878" max="16128" width="9" style="1555"/>
    <col min="16129" max="16129" width="5.19921875" style="1555" customWidth="1"/>
    <col min="16130" max="16130" width="47.59765625" style="1555" customWidth="1"/>
    <col min="16131" max="16131" width="8.09765625" style="1555" customWidth="1"/>
    <col min="16132" max="16132" width="18" style="1555" customWidth="1"/>
    <col min="16133" max="16133" width="29.09765625" style="1555" customWidth="1"/>
    <col min="16134" max="16384" width="9" style="1555"/>
  </cols>
  <sheetData>
    <row r="1" spans="1:6" s="1577" customFormat="1" ht="20.100000000000001" customHeight="1">
      <c r="A1" s="3378" t="s">
        <v>5425</v>
      </c>
      <c r="B1" s="3378"/>
      <c r="C1" s="3378"/>
      <c r="D1" s="2019"/>
    </row>
    <row r="2" spans="1:6" ht="25.5" customHeight="1">
      <c r="A2" s="3442" t="s">
        <v>5426</v>
      </c>
      <c r="B2" s="3442"/>
      <c r="C2" s="3442"/>
      <c r="D2" s="1833"/>
    </row>
    <row r="3" spans="1:6" ht="14.25" customHeight="1">
      <c r="A3" s="1843" t="s">
        <v>1854</v>
      </c>
      <c r="B3" s="1843" t="s">
        <v>5427</v>
      </c>
      <c r="C3" s="1842" t="s">
        <v>558</v>
      </c>
      <c r="D3" s="1842" t="s">
        <v>5153</v>
      </c>
    </row>
    <row r="4" spans="1:6" ht="14.25" customHeight="1">
      <c r="A4" s="1842">
        <v>1</v>
      </c>
      <c r="B4" s="1820" t="s">
        <v>5428</v>
      </c>
      <c r="C4" s="2074">
        <f>政策性搬迁审核表!C4</f>
        <v>0</v>
      </c>
      <c r="D4" s="1968"/>
    </row>
    <row r="5" spans="1:6" ht="14.25" customHeight="1">
      <c r="A5" s="1842">
        <v>2</v>
      </c>
      <c r="B5" s="1820" t="s">
        <v>5429</v>
      </c>
      <c r="C5" s="2074">
        <f>政策性搬迁审核表!C5</f>
        <v>0</v>
      </c>
      <c r="D5" s="1968"/>
      <c r="F5" s="1578"/>
    </row>
    <row r="6" spans="1:6" ht="14.25" customHeight="1">
      <c r="A6" s="1842">
        <v>3</v>
      </c>
      <c r="B6" s="1820" t="s">
        <v>5430</v>
      </c>
      <c r="C6" s="2074">
        <f>政策性搬迁审核表!C6</f>
        <v>0</v>
      </c>
      <c r="D6" s="1968"/>
    </row>
    <row r="7" spans="1:6" ht="14.25" customHeight="1">
      <c r="A7" s="1842">
        <v>4</v>
      </c>
      <c r="B7" s="1820" t="s">
        <v>5431</v>
      </c>
      <c r="C7" s="2074">
        <f>政策性搬迁审核表!C7</f>
        <v>0</v>
      </c>
      <c r="D7" s="1968"/>
    </row>
    <row r="8" spans="1:6" ht="14.25" customHeight="1">
      <c r="A8" s="1842">
        <v>5</v>
      </c>
      <c r="B8" s="1820" t="s">
        <v>5432</v>
      </c>
      <c r="C8" s="2074">
        <f>政策性搬迁审核表!C8</f>
        <v>0</v>
      </c>
      <c r="D8" s="1968"/>
    </row>
    <row r="9" spans="1:6" ht="14.25" customHeight="1">
      <c r="A9" s="1842">
        <v>6</v>
      </c>
      <c r="B9" s="1820" t="s">
        <v>5433</v>
      </c>
      <c r="C9" s="2074">
        <f>政策性搬迁审核表!C9</f>
        <v>0</v>
      </c>
      <c r="D9" s="1968"/>
    </row>
    <row r="10" spans="1:6" ht="14.25" customHeight="1">
      <c r="A10" s="1842">
        <v>7</v>
      </c>
      <c r="B10" s="1820" t="s">
        <v>5434</v>
      </c>
      <c r="C10" s="2074">
        <f>政策性搬迁审核表!C10</f>
        <v>0</v>
      </c>
      <c r="D10" s="1968"/>
    </row>
    <row r="11" spans="1:6" ht="14.25" customHeight="1">
      <c r="A11" s="1842">
        <v>8</v>
      </c>
      <c r="B11" s="1820" t="s">
        <v>5435</v>
      </c>
      <c r="C11" s="2074">
        <f>政策性搬迁审核表!C11</f>
        <v>0</v>
      </c>
      <c r="D11" s="1968"/>
    </row>
    <row r="12" spans="1:6" ht="14.25" customHeight="1">
      <c r="A12" s="1842">
        <v>9</v>
      </c>
      <c r="B12" s="1820" t="s">
        <v>5436</v>
      </c>
      <c r="C12" s="2074">
        <f>政策性搬迁审核表!C12</f>
        <v>0</v>
      </c>
      <c r="D12" s="1968"/>
    </row>
    <row r="13" spans="1:6" ht="14.25" customHeight="1">
      <c r="A13" s="1842">
        <v>10</v>
      </c>
      <c r="B13" s="1820" t="s">
        <v>5437</v>
      </c>
      <c r="C13" s="2074">
        <f>政策性搬迁审核表!C13</f>
        <v>0</v>
      </c>
      <c r="D13" s="1968"/>
    </row>
    <row r="14" spans="1:6" ht="14.25" customHeight="1">
      <c r="A14" s="1842">
        <v>11</v>
      </c>
      <c r="B14" s="1820" t="s">
        <v>5438</v>
      </c>
      <c r="C14" s="2074">
        <f>政策性搬迁审核表!C14</f>
        <v>0</v>
      </c>
      <c r="D14" s="1968"/>
    </row>
    <row r="15" spans="1:6" ht="14.25" customHeight="1">
      <c r="A15" s="1842">
        <v>12</v>
      </c>
      <c r="B15" s="1820" t="s">
        <v>5439</v>
      </c>
      <c r="C15" s="2074">
        <f>政策性搬迁审核表!C15</f>
        <v>0</v>
      </c>
      <c r="D15" s="1968"/>
    </row>
    <row r="16" spans="1:6" ht="14.25" customHeight="1">
      <c r="A16" s="1842">
        <v>13</v>
      </c>
      <c r="B16" s="1820" t="s">
        <v>5440</v>
      </c>
      <c r="C16" s="2074">
        <f>政策性搬迁审核表!C16</f>
        <v>0</v>
      </c>
      <c r="D16" s="1968"/>
      <c r="E16" s="1675" t="s">
        <v>6454</v>
      </c>
    </row>
    <row r="17" spans="1:5" ht="14.25" customHeight="1">
      <c r="A17" s="1842">
        <v>14</v>
      </c>
      <c r="B17" s="1820" t="s">
        <v>5441</v>
      </c>
      <c r="C17" s="2074">
        <f>政策性搬迁审核表!C17</f>
        <v>0</v>
      </c>
      <c r="D17" s="1968"/>
    </row>
    <row r="18" spans="1:5" ht="14.25" customHeight="1">
      <c r="A18" s="1842">
        <v>15</v>
      </c>
      <c r="B18" s="1820" t="s">
        <v>5442</v>
      </c>
      <c r="C18" s="2074">
        <f>政策性搬迁审核表!C18</f>
        <v>0</v>
      </c>
      <c r="D18" s="1968"/>
    </row>
    <row r="19" spans="1:5" ht="14.25" customHeight="1">
      <c r="A19" s="1842">
        <v>16</v>
      </c>
      <c r="B19" s="1820" t="s">
        <v>5443</v>
      </c>
      <c r="C19" s="2074">
        <f>政策性搬迁审核表!C19</f>
        <v>0</v>
      </c>
      <c r="D19" s="1968"/>
    </row>
    <row r="20" spans="1:5" ht="14.25" customHeight="1">
      <c r="A20" s="1842">
        <v>17</v>
      </c>
      <c r="B20" s="1820" t="s">
        <v>5444</v>
      </c>
      <c r="C20" s="2074">
        <f>政策性搬迁审核表!C20</f>
        <v>0</v>
      </c>
      <c r="D20" s="1968"/>
    </row>
    <row r="21" spans="1:5" ht="14.25" customHeight="1">
      <c r="A21" s="1842">
        <v>18</v>
      </c>
      <c r="B21" s="1820" t="s">
        <v>5445</v>
      </c>
      <c r="C21" s="2074">
        <f>政策性搬迁审核表!C21</f>
        <v>0</v>
      </c>
      <c r="D21" s="1968"/>
    </row>
    <row r="22" spans="1:5" s="1579" customFormat="1" ht="14.25" customHeight="1">
      <c r="A22" s="1842">
        <v>19</v>
      </c>
      <c r="B22" s="1820" t="s">
        <v>5446</v>
      </c>
      <c r="C22" s="2074">
        <f>政策性搬迁审核表!C22</f>
        <v>0</v>
      </c>
      <c r="D22" s="1968"/>
    </row>
    <row r="23" spans="1:5" s="1579" customFormat="1" ht="14.25" customHeight="1">
      <c r="A23" s="1842">
        <v>20</v>
      </c>
      <c r="B23" s="1821" t="s">
        <v>5447</v>
      </c>
      <c r="C23" s="2074">
        <f>政策性搬迁审核表!C23</f>
        <v>0</v>
      </c>
      <c r="D23" s="1968"/>
    </row>
    <row r="24" spans="1:5" s="1579" customFormat="1" ht="14.25" customHeight="1">
      <c r="A24" s="1842">
        <v>21</v>
      </c>
      <c r="B24" s="1821" t="s">
        <v>5448</v>
      </c>
      <c r="C24" s="2074">
        <f>政策性搬迁审核表!C24</f>
        <v>0</v>
      </c>
      <c r="D24" s="1968"/>
    </row>
    <row r="25" spans="1:5" s="1579" customFormat="1" ht="14.25" customHeight="1">
      <c r="A25" s="1842">
        <v>22</v>
      </c>
      <c r="B25" s="1820" t="s">
        <v>5449</v>
      </c>
      <c r="C25" s="2074">
        <f>政策性搬迁审核表!C25</f>
        <v>0</v>
      </c>
      <c r="D25" s="1968"/>
    </row>
    <row r="26" spans="1:5" s="1579" customFormat="1" ht="14.25" customHeight="1">
      <c r="A26" s="1842">
        <v>23</v>
      </c>
      <c r="B26" s="1820" t="s">
        <v>5450</v>
      </c>
      <c r="C26" s="2074">
        <f>政策性搬迁审核表!C26</f>
        <v>0</v>
      </c>
      <c r="D26" s="1968"/>
    </row>
    <row r="27" spans="1:5" s="1579" customFormat="1" ht="55.5" customHeight="1">
      <c r="A27" s="1842">
        <v>24</v>
      </c>
      <c r="B27" s="1820" t="s">
        <v>5451</v>
      </c>
      <c r="C27" s="2074">
        <f>政策性搬迁审核表!C27</f>
        <v>0</v>
      </c>
      <c r="D27" s="1821" t="s">
        <v>5452</v>
      </c>
      <c r="E27" s="1580"/>
    </row>
  </sheetData>
  <mergeCells count="2">
    <mergeCell ref="A1:C1"/>
    <mergeCell ref="A2:C2"/>
  </mergeCells>
  <phoneticPr fontId="51" type="noConversion"/>
  <hyperlinks>
    <hyperlink ref="E16" location="政策性搬迁审核表!A1" display="政策性搬迁审核表!A1"/>
  </hyperlinks>
  <printOptions horizontalCentered="1"/>
  <pageMargins left="0.78740157480314998" right="0.35433070866141703" top="0.511811023622047" bottom="0.11811023622047198" header="0.511811023622047" footer="0.511811023622047"/>
  <pageSetup paperSize="9" orientation="portrait" r:id="rId1"/>
  <headerFooter alignWithMargins="0"/>
</worksheet>
</file>

<file path=xl/worksheets/sheet14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37">
    <tabColor rgb="FFFFFF00"/>
  </sheetPr>
  <dimension ref="A1:J34"/>
  <sheetViews>
    <sheetView workbookViewId="0">
      <selection sqref="A1:E1"/>
    </sheetView>
  </sheetViews>
  <sheetFormatPr defaultRowHeight="15.6"/>
  <cols>
    <col min="1" max="1" width="5.19921875" style="1551" customWidth="1"/>
    <col min="2" max="2" width="34.09765625" style="1551" customWidth="1"/>
    <col min="3" max="5" width="12.3984375" style="1551" customWidth="1"/>
    <col min="6" max="6" width="13.09765625" style="1551" customWidth="1"/>
    <col min="7" max="256" width="9" style="1551"/>
    <col min="257" max="257" width="5.19921875" style="1551" customWidth="1"/>
    <col min="258" max="258" width="34.09765625" style="1551" customWidth="1"/>
    <col min="259" max="259" width="8.59765625" style="1551" customWidth="1"/>
    <col min="260" max="260" width="8.5" style="1551" customWidth="1"/>
    <col min="261" max="261" width="8.69921875" style="1551" customWidth="1"/>
    <col min="262" max="262" width="13.09765625" style="1551" customWidth="1"/>
    <col min="263" max="512" width="9" style="1551"/>
    <col min="513" max="513" width="5.19921875" style="1551" customWidth="1"/>
    <col min="514" max="514" width="34.09765625" style="1551" customWidth="1"/>
    <col min="515" max="515" width="8.59765625" style="1551" customWidth="1"/>
    <col min="516" max="516" width="8.5" style="1551" customWidth="1"/>
    <col min="517" max="517" width="8.69921875" style="1551" customWidth="1"/>
    <col min="518" max="518" width="13.09765625" style="1551" customWidth="1"/>
    <col min="519" max="768" width="9" style="1551"/>
    <col min="769" max="769" width="5.19921875" style="1551" customWidth="1"/>
    <col min="770" max="770" width="34.09765625" style="1551" customWidth="1"/>
    <col min="771" max="771" width="8.59765625" style="1551" customWidth="1"/>
    <col min="772" max="772" width="8.5" style="1551" customWidth="1"/>
    <col min="773" max="773" width="8.69921875" style="1551" customWidth="1"/>
    <col min="774" max="774" width="13.09765625" style="1551" customWidth="1"/>
    <col min="775" max="1024" width="9" style="1551"/>
    <col min="1025" max="1025" width="5.19921875" style="1551" customWidth="1"/>
    <col min="1026" max="1026" width="34.09765625" style="1551" customWidth="1"/>
    <col min="1027" max="1027" width="8.59765625" style="1551" customWidth="1"/>
    <col min="1028" max="1028" width="8.5" style="1551" customWidth="1"/>
    <col min="1029" max="1029" width="8.69921875" style="1551" customWidth="1"/>
    <col min="1030" max="1030" width="13.09765625" style="1551" customWidth="1"/>
    <col min="1031" max="1280" width="9" style="1551"/>
    <col min="1281" max="1281" width="5.19921875" style="1551" customWidth="1"/>
    <col min="1282" max="1282" width="34.09765625" style="1551" customWidth="1"/>
    <col min="1283" max="1283" width="8.59765625" style="1551" customWidth="1"/>
    <col min="1284" max="1284" width="8.5" style="1551" customWidth="1"/>
    <col min="1285" max="1285" width="8.69921875" style="1551" customWidth="1"/>
    <col min="1286" max="1286" width="13.09765625" style="1551" customWidth="1"/>
    <col min="1287" max="1536" width="9" style="1551"/>
    <col min="1537" max="1537" width="5.19921875" style="1551" customWidth="1"/>
    <col min="1538" max="1538" width="34.09765625" style="1551" customWidth="1"/>
    <col min="1539" max="1539" width="8.59765625" style="1551" customWidth="1"/>
    <col min="1540" max="1540" width="8.5" style="1551" customWidth="1"/>
    <col min="1541" max="1541" width="8.69921875" style="1551" customWidth="1"/>
    <col min="1542" max="1542" width="13.09765625" style="1551" customWidth="1"/>
    <col min="1543" max="1792" width="9" style="1551"/>
    <col min="1793" max="1793" width="5.19921875" style="1551" customWidth="1"/>
    <col min="1794" max="1794" width="34.09765625" style="1551" customWidth="1"/>
    <col min="1795" max="1795" width="8.59765625" style="1551" customWidth="1"/>
    <col min="1796" max="1796" width="8.5" style="1551" customWidth="1"/>
    <col min="1797" max="1797" width="8.69921875" style="1551" customWidth="1"/>
    <col min="1798" max="1798" width="13.09765625" style="1551" customWidth="1"/>
    <col min="1799" max="2048" width="9" style="1551"/>
    <col min="2049" max="2049" width="5.19921875" style="1551" customWidth="1"/>
    <col min="2050" max="2050" width="34.09765625" style="1551" customWidth="1"/>
    <col min="2051" max="2051" width="8.59765625" style="1551" customWidth="1"/>
    <col min="2052" max="2052" width="8.5" style="1551" customWidth="1"/>
    <col min="2053" max="2053" width="8.69921875" style="1551" customWidth="1"/>
    <col min="2054" max="2054" width="13.09765625" style="1551" customWidth="1"/>
    <col min="2055" max="2304" width="9" style="1551"/>
    <col min="2305" max="2305" width="5.19921875" style="1551" customWidth="1"/>
    <col min="2306" max="2306" width="34.09765625" style="1551" customWidth="1"/>
    <col min="2307" max="2307" width="8.59765625" style="1551" customWidth="1"/>
    <col min="2308" max="2308" width="8.5" style="1551" customWidth="1"/>
    <col min="2309" max="2309" width="8.69921875" style="1551" customWidth="1"/>
    <col min="2310" max="2310" width="13.09765625" style="1551" customWidth="1"/>
    <col min="2311" max="2560" width="9" style="1551"/>
    <col min="2561" max="2561" width="5.19921875" style="1551" customWidth="1"/>
    <col min="2562" max="2562" width="34.09765625" style="1551" customWidth="1"/>
    <col min="2563" max="2563" width="8.59765625" style="1551" customWidth="1"/>
    <col min="2564" max="2564" width="8.5" style="1551" customWidth="1"/>
    <col min="2565" max="2565" width="8.69921875" style="1551" customWidth="1"/>
    <col min="2566" max="2566" width="13.09765625" style="1551" customWidth="1"/>
    <col min="2567" max="2816" width="9" style="1551"/>
    <col min="2817" max="2817" width="5.19921875" style="1551" customWidth="1"/>
    <col min="2818" max="2818" width="34.09765625" style="1551" customWidth="1"/>
    <col min="2819" max="2819" width="8.59765625" style="1551" customWidth="1"/>
    <col min="2820" max="2820" width="8.5" style="1551" customWidth="1"/>
    <col min="2821" max="2821" width="8.69921875" style="1551" customWidth="1"/>
    <col min="2822" max="2822" width="13.09765625" style="1551" customWidth="1"/>
    <col min="2823" max="3072" width="9" style="1551"/>
    <col min="3073" max="3073" width="5.19921875" style="1551" customWidth="1"/>
    <col min="3074" max="3074" width="34.09765625" style="1551" customWidth="1"/>
    <col min="3075" max="3075" width="8.59765625" style="1551" customWidth="1"/>
    <col min="3076" max="3076" width="8.5" style="1551" customWidth="1"/>
    <col min="3077" max="3077" width="8.69921875" style="1551" customWidth="1"/>
    <col min="3078" max="3078" width="13.09765625" style="1551" customWidth="1"/>
    <col min="3079" max="3328" width="9" style="1551"/>
    <col min="3329" max="3329" width="5.19921875" style="1551" customWidth="1"/>
    <col min="3330" max="3330" width="34.09765625" style="1551" customWidth="1"/>
    <col min="3331" max="3331" width="8.59765625" style="1551" customWidth="1"/>
    <col min="3332" max="3332" width="8.5" style="1551" customWidth="1"/>
    <col min="3333" max="3333" width="8.69921875" style="1551" customWidth="1"/>
    <col min="3334" max="3334" width="13.09765625" style="1551" customWidth="1"/>
    <col min="3335" max="3584" width="9" style="1551"/>
    <col min="3585" max="3585" width="5.19921875" style="1551" customWidth="1"/>
    <col min="3586" max="3586" width="34.09765625" style="1551" customWidth="1"/>
    <col min="3587" max="3587" width="8.59765625" style="1551" customWidth="1"/>
    <col min="3588" max="3588" width="8.5" style="1551" customWidth="1"/>
    <col min="3589" max="3589" width="8.69921875" style="1551" customWidth="1"/>
    <col min="3590" max="3590" width="13.09765625" style="1551" customWidth="1"/>
    <col min="3591" max="3840" width="9" style="1551"/>
    <col min="3841" max="3841" width="5.19921875" style="1551" customWidth="1"/>
    <col min="3842" max="3842" width="34.09765625" style="1551" customWidth="1"/>
    <col min="3843" max="3843" width="8.59765625" style="1551" customWidth="1"/>
    <col min="3844" max="3844" width="8.5" style="1551" customWidth="1"/>
    <col min="3845" max="3845" width="8.69921875" style="1551" customWidth="1"/>
    <col min="3846" max="3846" width="13.09765625" style="1551" customWidth="1"/>
    <col min="3847" max="4096" width="9" style="1551"/>
    <col min="4097" max="4097" width="5.19921875" style="1551" customWidth="1"/>
    <col min="4098" max="4098" width="34.09765625" style="1551" customWidth="1"/>
    <col min="4099" max="4099" width="8.59765625" style="1551" customWidth="1"/>
    <col min="4100" max="4100" width="8.5" style="1551" customWidth="1"/>
    <col min="4101" max="4101" width="8.69921875" style="1551" customWidth="1"/>
    <col min="4102" max="4102" width="13.09765625" style="1551" customWidth="1"/>
    <col min="4103" max="4352" width="9" style="1551"/>
    <col min="4353" max="4353" width="5.19921875" style="1551" customWidth="1"/>
    <col min="4354" max="4354" width="34.09765625" style="1551" customWidth="1"/>
    <col min="4355" max="4355" width="8.59765625" style="1551" customWidth="1"/>
    <col min="4356" max="4356" width="8.5" style="1551" customWidth="1"/>
    <col min="4357" max="4357" width="8.69921875" style="1551" customWidth="1"/>
    <col min="4358" max="4358" width="13.09765625" style="1551" customWidth="1"/>
    <col min="4359" max="4608" width="9" style="1551"/>
    <col min="4609" max="4609" width="5.19921875" style="1551" customWidth="1"/>
    <col min="4610" max="4610" width="34.09765625" style="1551" customWidth="1"/>
    <col min="4611" max="4611" width="8.59765625" style="1551" customWidth="1"/>
    <col min="4612" max="4612" width="8.5" style="1551" customWidth="1"/>
    <col min="4613" max="4613" width="8.69921875" style="1551" customWidth="1"/>
    <col min="4614" max="4614" width="13.09765625" style="1551" customWidth="1"/>
    <col min="4615" max="4864" width="9" style="1551"/>
    <col min="4865" max="4865" width="5.19921875" style="1551" customWidth="1"/>
    <col min="4866" max="4866" width="34.09765625" style="1551" customWidth="1"/>
    <col min="4867" max="4867" width="8.59765625" style="1551" customWidth="1"/>
    <col min="4868" max="4868" width="8.5" style="1551" customWidth="1"/>
    <col min="4869" max="4869" width="8.69921875" style="1551" customWidth="1"/>
    <col min="4870" max="4870" width="13.09765625" style="1551" customWidth="1"/>
    <col min="4871" max="5120" width="9" style="1551"/>
    <col min="5121" max="5121" width="5.19921875" style="1551" customWidth="1"/>
    <col min="5122" max="5122" width="34.09765625" style="1551" customWidth="1"/>
    <col min="5123" max="5123" width="8.59765625" style="1551" customWidth="1"/>
    <col min="5124" max="5124" width="8.5" style="1551" customWidth="1"/>
    <col min="5125" max="5125" width="8.69921875" style="1551" customWidth="1"/>
    <col min="5126" max="5126" width="13.09765625" style="1551" customWidth="1"/>
    <col min="5127" max="5376" width="9" style="1551"/>
    <col min="5377" max="5377" width="5.19921875" style="1551" customWidth="1"/>
    <col min="5378" max="5378" width="34.09765625" style="1551" customWidth="1"/>
    <col min="5379" max="5379" width="8.59765625" style="1551" customWidth="1"/>
    <col min="5380" max="5380" width="8.5" style="1551" customWidth="1"/>
    <col min="5381" max="5381" width="8.69921875" style="1551" customWidth="1"/>
    <col min="5382" max="5382" width="13.09765625" style="1551" customWidth="1"/>
    <col min="5383" max="5632" width="9" style="1551"/>
    <col min="5633" max="5633" width="5.19921875" style="1551" customWidth="1"/>
    <col min="5634" max="5634" width="34.09765625" style="1551" customWidth="1"/>
    <col min="5635" max="5635" width="8.59765625" style="1551" customWidth="1"/>
    <col min="5636" max="5636" width="8.5" style="1551" customWidth="1"/>
    <col min="5637" max="5637" width="8.69921875" style="1551" customWidth="1"/>
    <col min="5638" max="5638" width="13.09765625" style="1551" customWidth="1"/>
    <col min="5639" max="5888" width="9" style="1551"/>
    <col min="5889" max="5889" width="5.19921875" style="1551" customWidth="1"/>
    <col min="5890" max="5890" width="34.09765625" style="1551" customWidth="1"/>
    <col min="5891" max="5891" width="8.59765625" style="1551" customWidth="1"/>
    <col min="5892" max="5892" width="8.5" style="1551" customWidth="1"/>
    <col min="5893" max="5893" width="8.69921875" style="1551" customWidth="1"/>
    <col min="5894" max="5894" width="13.09765625" style="1551" customWidth="1"/>
    <col min="5895" max="6144" width="9" style="1551"/>
    <col min="6145" max="6145" width="5.19921875" style="1551" customWidth="1"/>
    <col min="6146" max="6146" width="34.09765625" style="1551" customWidth="1"/>
    <col min="6147" max="6147" width="8.59765625" style="1551" customWidth="1"/>
    <col min="6148" max="6148" width="8.5" style="1551" customWidth="1"/>
    <col min="6149" max="6149" width="8.69921875" style="1551" customWidth="1"/>
    <col min="6150" max="6150" width="13.09765625" style="1551" customWidth="1"/>
    <col min="6151" max="6400" width="9" style="1551"/>
    <col min="6401" max="6401" width="5.19921875" style="1551" customWidth="1"/>
    <col min="6402" max="6402" width="34.09765625" style="1551" customWidth="1"/>
    <col min="6403" max="6403" width="8.59765625" style="1551" customWidth="1"/>
    <col min="6404" max="6404" width="8.5" style="1551" customWidth="1"/>
    <col min="6405" max="6405" width="8.69921875" style="1551" customWidth="1"/>
    <col min="6406" max="6406" width="13.09765625" style="1551" customWidth="1"/>
    <col min="6407" max="6656" width="9" style="1551"/>
    <col min="6657" max="6657" width="5.19921875" style="1551" customWidth="1"/>
    <col min="6658" max="6658" width="34.09765625" style="1551" customWidth="1"/>
    <col min="6659" max="6659" width="8.59765625" style="1551" customWidth="1"/>
    <col min="6660" max="6660" width="8.5" style="1551" customWidth="1"/>
    <col min="6661" max="6661" width="8.69921875" style="1551" customWidth="1"/>
    <col min="6662" max="6662" width="13.09765625" style="1551" customWidth="1"/>
    <col min="6663" max="6912" width="9" style="1551"/>
    <col min="6913" max="6913" width="5.19921875" style="1551" customWidth="1"/>
    <col min="6914" max="6914" width="34.09765625" style="1551" customWidth="1"/>
    <col min="6915" max="6915" width="8.59765625" style="1551" customWidth="1"/>
    <col min="6916" max="6916" width="8.5" style="1551" customWidth="1"/>
    <col min="6917" max="6917" width="8.69921875" style="1551" customWidth="1"/>
    <col min="6918" max="6918" width="13.09765625" style="1551" customWidth="1"/>
    <col min="6919" max="7168" width="9" style="1551"/>
    <col min="7169" max="7169" width="5.19921875" style="1551" customWidth="1"/>
    <col min="7170" max="7170" width="34.09765625" style="1551" customWidth="1"/>
    <col min="7171" max="7171" width="8.59765625" style="1551" customWidth="1"/>
    <col min="7172" max="7172" width="8.5" style="1551" customWidth="1"/>
    <col min="7173" max="7173" width="8.69921875" style="1551" customWidth="1"/>
    <col min="7174" max="7174" width="13.09765625" style="1551" customWidth="1"/>
    <col min="7175" max="7424" width="9" style="1551"/>
    <col min="7425" max="7425" width="5.19921875" style="1551" customWidth="1"/>
    <col min="7426" max="7426" width="34.09765625" style="1551" customWidth="1"/>
    <col min="7427" max="7427" width="8.59765625" style="1551" customWidth="1"/>
    <col min="7428" max="7428" width="8.5" style="1551" customWidth="1"/>
    <col min="7429" max="7429" width="8.69921875" style="1551" customWidth="1"/>
    <col min="7430" max="7430" width="13.09765625" style="1551" customWidth="1"/>
    <col min="7431" max="7680" width="9" style="1551"/>
    <col min="7681" max="7681" width="5.19921875" style="1551" customWidth="1"/>
    <col min="7682" max="7682" width="34.09765625" style="1551" customWidth="1"/>
    <col min="7683" max="7683" width="8.59765625" style="1551" customWidth="1"/>
    <col min="7684" max="7684" width="8.5" style="1551" customWidth="1"/>
    <col min="7685" max="7685" width="8.69921875" style="1551" customWidth="1"/>
    <col min="7686" max="7686" width="13.09765625" style="1551" customWidth="1"/>
    <col min="7687" max="7936" width="9" style="1551"/>
    <col min="7937" max="7937" width="5.19921875" style="1551" customWidth="1"/>
    <col min="7938" max="7938" width="34.09765625" style="1551" customWidth="1"/>
    <col min="7939" max="7939" width="8.59765625" style="1551" customWidth="1"/>
    <col min="7940" max="7940" width="8.5" style="1551" customWidth="1"/>
    <col min="7941" max="7941" width="8.69921875" style="1551" customWidth="1"/>
    <col min="7942" max="7942" width="13.09765625" style="1551" customWidth="1"/>
    <col min="7943" max="8192" width="9" style="1551"/>
    <col min="8193" max="8193" width="5.19921875" style="1551" customWidth="1"/>
    <col min="8194" max="8194" width="34.09765625" style="1551" customWidth="1"/>
    <col min="8195" max="8195" width="8.59765625" style="1551" customWidth="1"/>
    <col min="8196" max="8196" width="8.5" style="1551" customWidth="1"/>
    <col min="8197" max="8197" width="8.69921875" style="1551" customWidth="1"/>
    <col min="8198" max="8198" width="13.09765625" style="1551" customWidth="1"/>
    <col min="8199" max="8448" width="9" style="1551"/>
    <col min="8449" max="8449" width="5.19921875" style="1551" customWidth="1"/>
    <col min="8450" max="8450" width="34.09765625" style="1551" customWidth="1"/>
    <col min="8451" max="8451" width="8.59765625" style="1551" customWidth="1"/>
    <col min="8452" max="8452" width="8.5" style="1551" customWidth="1"/>
    <col min="8453" max="8453" width="8.69921875" style="1551" customWidth="1"/>
    <col min="8454" max="8454" width="13.09765625" style="1551" customWidth="1"/>
    <col min="8455" max="8704" width="9" style="1551"/>
    <col min="8705" max="8705" width="5.19921875" style="1551" customWidth="1"/>
    <col min="8706" max="8706" width="34.09765625" style="1551" customWidth="1"/>
    <col min="8707" max="8707" width="8.59765625" style="1551" customWidth="1"/>
    <col min="8708" max="8708" width="8.5" style="1551" customWidth="1"/>
    <col min="8709" max="8709" width="8.69921875" style="1551" customWidth="1"/>
    <col min="8710" max="8710" width="13.09765625" style="1551" customWidth="1"/>
    <col min="8711" max="8960" width="9" style="1551"/>
    <col min="8961" max="8961" width="5.19921875" style="1551" customWidth="1"/>
    <col min="8962" max="8962" width="34.09765625" style="1551" customWidth="1"/>
    <col min="8963" max="8963" width="8.59765625" style="1551" customWidth="1"/>
    <col min="8964" max="8964" width="8.5" style="1551" customWidth="1"/>
    <col min="8965" max="8965" width="8.69921875" style="1551" customWidth="1"/>
    <col min="8966" max="8966" width="13.09765625" style="1551" customWidth="1"/>
    <col min="8967" max="9216" width="9" style="1551"/>
    <col min="9217" max="9217" width="5.19921875" style="1551" customWidth="1"/>
    <col min="9218" max="9218" width="34.09765625" style="1551" customWidth="1"/>
    <col min="9219" max="9219" width="8.59765625" style="1551" customWidth="1"/>
    <col min="9220" max="9220" width="8.5" style="1551" customWidth="1"/>
    <col min="9221" max="9221" width="8.69921875" style="1551" customWidth="1"/>
    <col min="9222" max="9222" width="13.09765625" style="1551" customWidth="1"/>
    <col min="9223" max="9472" width="9" style="1551"/>
    <col min="9473" max="9473" width="5.19921875" style="1551" customWidth="1"/>
    <col min="9474" max="9474" width="34.09765625" style="1551" customWidth="1"/>
    <col min="9475" max="9475" width="8.59765625" style="1551" customWidth="1"/>
    <col min="9476" max="9476" width="8.5" style="1551" customWidth="1"/>
    <col min="9477" max="9477" width="8.69921875" style="1551" customWidth="1"/>
    <col min="9478" max="9478" width="13.09765625" style="1551" customWidth="1"/>
    <col min="9479" max="9728" width="9" style="1551"/>
    <col min="9729" max="9729" width="5.19921875" style="1551" customWidth="1"/>
    <col min="9730" max="9730" width="34.09765625" style="1551" customWidth="1"/>
    <col min="9731" max="9731" width="8.59765625" style="1551" customWidth="1"/>
    <col min="9732" max="9732" width="8.5" style="1551" customWidth="1"/>
    <col min="9733" max="9733" width="8.69921875" style="1551" customWidth="1"/>
    <col min="9734" max="9734" width="13.09765625" style="1551" customWidth="1"/>
    <col min="9735" max="9984" width="9" style="1551"/>
    <col min="9985" max="9985" width="5.19921875" style="1551" customWidth="1"/>
    <col min="9986" max="9986" width="34.09765625" style="1551" customWidth="1"/>
    <col min="9987" max="9987" width="8.59765625" style="1551" customWidth="1"/>
    <col min="9988" max="9988" width="8.5" style="1551" customWidth="1"/>
    <col min="9989" max="9989" width="8.69921875" style="1551" customWidth="1"/>
    <col min="9990" max="9990" width="13.09765625" style="1551" customWidth="1"/>
    <col min="9991" max="10240" width="9" style="1551"/>
    <col min="10241" max="10241" width="5.19921875" style="1551" customWidth="1"/>
    <col min="10242" max="10242" width="34.09765625" style="1551" customWidth="1"/>
    <col min="10243" max="10243" width="8.59765625" style="1551" customWidth="1"/>
    <col min="10244" max="10244" width="8.5" style="1551" customWidth="1"/>
    <col min="10245" max="10245" width="8.69921875" style="1551" customWidth="1"/>
    <col min="10246" max="10246" width="13.09765625" style="1551" customWidth="1"/>
    <col min="10247" max="10496" width="9" style="1551"/>
    <col min="10497" max="10497" width="5.19921875" style="1551" customWidth="1"/>
    <col min="10498" max="10498" width="34.09765625" style="1551" customWidth="1"/>
    <col min="10499" max="10499" width="8.59765625" style="1551" customWidth="1"/>
    <col min="10500" max="10500" width="8.5" style="1551" customWidth="1"/>
    <col min="10501" max="10501" width="8.69921875" style="1551" customWidth="1"/>
    <col min="10502" max="10502" width="13.09765625" style="1551" customWidth="1"/>
    <col min="10503" max="10752" width="9" style="1551"/>
    <col min="10753" max="10753" width="5.19921875" style="1551" customWidth="1"/>
    <col min="10754" max="10754" width="34.09765625" style="1551" customWidth="1"/>
    <col min="10755" max="10755" width="8.59765625" style="1551" customWidth="1"/>
    <col min="10756" max="10756" width="8.5" style="1551" customWidth="1"/>
    <col min="10757" max="10757" width="8.69921875" style="1551" customWidth="1"/>
    <col min="10758" max="10758" width="13.09765625" style="1551" customWidth="1"/>
    <col min="10759" max="11008" width="9" style="1551"/>
    <col min="11009" max="11009" width="5.19921875" style="1551" customWidth="1"/>
    <col min="11010" max="11010" width="34.09765625" style="1551" customWidth="1"/>
    <col min="11011" max="11011" width="8.59765625" style="1551" customWidth="1"/>
    <col min="11012" max="11012" width="8.5" style="1551" customWidth="1"/>
    <col min="11013" max="11013" width="8.69921875" style="1551" customWidth="1"/>
    <col min="11014" max="11014" width="13.09765625" style="1551" customWidth="1"/>
    <col min="11015" max="11264" width="9" style="1551"/>
    <col min="11265" max="11265" width="5.19921875" style="1551" customWidth="1"/>
    <col min="11266" max="11266" width="34.09765625" style="1551" customWidth="1"/>
    <col min="11267" max="11267" width="8.59765625" style="1551" customWidth="1"/>
    <col min="11268" max="11268" width="8.5" style="1551" customWidth="1"/>
    <col min="11269" max="11269" width="8.69921875" style="1551" customWidth="1"/>
    <col min="11270" max="11270" width="13.09765625" style="1551" customWidth="1"/>
    <col min="11271" max="11520" width="9" style="1551"/>
    <col min="11521" max="11521" width="5.19921875" style="1551" customWidth="1"/>
    <col min="11522" max="11522" width="34.09765625" style="1551" customWidth="1"/>
    <col min="11523" max="11523" width="8.59765625" style="1551" customWidth="1"/>
    <col min="11524" max="11524" width="8.5" style="1551" customWidth="1"/>
    <col min="11525" max="11525" width="8.69921875" style="1551" customWidth="1"/>
    <col min="11526" max="11526" width="13.09765625" style="1551" customWidth="1"/>
    <col min="11527" max="11776" width="9" style="1551"/>
    <col min="11777" max="11777" width="5.19921875" style="1551" customWidth="1"/>
    <col min="11778" max="11778" width="34.09765625" style="1551" customWidth="1"/>
    <col min="11779" max="11779" width="8.59765625" style="1551" customWidth="1"/>
    <col min="11780" max="11780" width="8.5" style="1551" customWidth="1"/>
    <col min="11781" max="11781" width="8.69921875" style="1551" customWidth="1"/>
    <col min="11782" max="11782" width="13.09765625" style="1551" customWidth="1"/>
    <col min="11783" max="12032" width="9" style="1551"/>
    <col min="12033" max="12033" width="5.19921875" style="1551" customWidth="1"/>
    <col min="12034" max="12034" width="34.09765625" style="1551" customWidth="1"/>
    <col min="12035" max="12035" width="8.59765625" style="1551" customWidth="1"/>
    <col min="12036" max="12036" width="8.5" style="1551" customWidth="1"/>
    <col min="12037" max="12037" width="8.69921875" style="1551" customWidth="1"/>
    <col min="12038" max="12038" width="13.09765625" style="1551" customWidth="1"/>
    <col min="12039" max="12288" width="9" style="1551"/>
    <col min="12289" max="12289" width="5.19921875" style="1551" customWidth="1"/>
    <col min="12290" max="12290" width="34.09765625" style="1551" customWidth="1"/>
    <col min="12291" max="12291" width="8.59765625" style="1551" customWidth="1"/>
    <col min="12292" max="12292" width="8.5" style="1551" customWidth="1"/>
    <col min="12293" max="12293" width="8.69921875" style="1551" customWidth="1"/>
    <col min="12294" max="12294" width="13.09765625" style="1551" customWidth="1"/>
    <col min="12295" max="12544" width="9" style="1551"/>
    <col min="12545" max="12545" width="5.19921875" style="1551" customWidth="1"/>
    <col min="12546" max="12546" width="34.09765625" style="1551" customWidth="1"/>
    <col min="12547" max="12547" width="8.59765625" style="1551" customWidth="1"/>
    <col min="12548" max="12548" width="8.5" style="1551" customWidth="1"/>
    <col min="12549" max="12549" width="8.69921875" style="1551" customWidth="1"/>
    <col min="12550" max="12550" width="13.09765625" style="1551" customWidth="1"/>
    <col min="12551" max="12800" width="9" style="1551"/>
    <col min="12801" max="12801" width="5.19921875" style="1551" customWidth="1"/>
    <col min="12802" max="12802" width="34.09765625" style="1551" customWidth="1"/>
    <col min="12803" max="12803" width="8.59765625" style="1551" customWidth="1"/>
    <col min="12804" max="12804" width="8.5" style="1551" customWidth="1"/>
    <col min="12805" max="12805" width="8.69921875" style="1551" customWidth="1"/>
    <col min="12806" max="12806" width="13.09765625" style="1551" customWidth="1"/>
    <col min="12807" max="13056" width="9" style="1551"/>
    <col min="13057" max="13057" width="5.19921875" style="1551" customWidth="1"/>
    <col min="13058" max="13058" width="34.09765625" style="1551" customWidth="1"/>
    <col min="13059" max="13059" width="8.59765625" style="1551" customWidth="1"/>
    <col min="13060" max="13060" width="8.5" style="1551" customWidth="1"/>
    <col min="13061" max="13061" width="8.69921875" style="1551" customWidth="1"/>
    <col min="13062" max="13062" width="13.09765625" style="1551" customWidth="1"/>
    <col min="13063" max="13312" width="9" style="1551"/>
    <col min="13313" max="13313" width="5.19921875" style="1551" customWidth="1"/>
    <col min="13314" max="13314" width="34.09765625" style="1551" customWidth="1"/>
    <col min="13315" max="13315" width="8.59765625" style="1551" customWidth="1"/>
    <col min="13316" max="13316" width="8.5" style="1551" customWidth="1"/>
    <col min="13317" max="13317" width="8.69921875" style="1551" customWidth="1"/>
    <col min="13318" max="13318" width="13.09765625" style="1551" customWidth="1"/>
    <col min="13319" max="13568" width="9" style="1551"/>
    <col min="13569" max="13569" width="5.19921875" style="1551" customWidth="1"/>
    <col min="13570" max="13570" width="34.09765625" style="1551" customWidth="1"/>
    <col min="13571" max="13571" width="8.59765625" style="1551" customWidth="1"/>
    <col min="13572" max="13572" width="8.5" style="1551" customWidth="1"/>
    <col min="13573" max="13573" width="8.69921875" style="1551" customWidth="1"/>
    <col min="13574" max="13574" width="13.09765625" style="1551" customWidth="1"/>
    <col min="13575" max="13824" width="9" style="1551"/>
    <col min="13825" max="13825" width="5.19921875" style="1551" customWidth="1"/>
    <col min="13826" max="13826" width="34.09765625" style="1551" customWidth="1"/>
    <col min="13827" max="13827" width="8.59765625" style="1551" customWidth="1"/>
    <col min="13828" max="13828" width="8.5" style="1551" customWidth="1"/>
    <col min="13829" max="13829" width="8.69921875" style="1551" customWidth="1"/>
    <col min="13830" max="13830" width="13.09765625" style="1551" customWidth="1"/>
    <col min="13831" max="14080" width="9" style="1551"/>
    <col min="14081" max="14081" width="5.19921875" style="1551" customWidth="1"/>
    <col min="14082" max="14082" width="34.09765625" style="1551" customWidth="1"/>
    <col min="14083" max="14083" width="8.59765625" style="1551" customWidth="1"/>
    <col min="14084" max="14084" width="8.5" style="1551" customWidth="1"/>
    <col min="14085" max="14085" width="8.69921875" style="1551" customWidth="1"/>
    <col min="14086" max="14086" width="13.09765625" style="1551" customWidth="1"/>
    <col min="14087" max="14336" width="9" style="1551"/>
    <col min="14337" max="14337" width="5.19921875" style="1551" customWidth="1"/>
    <col min="14338" max="14338" width="34.09765625" style="1551" customWidth="1"/>
    <col min="14339" max="14339" width="8.59765625" style="1551" customWidth="1"/>
    <col min="14340" max="14340" width="8.5" style="1551" customWidth="1"/>
    <col min="14341" max="14341" width="8.69921875" style="1551" customWidth="1"/>
    <col min="14342" max="14342" width="13.09765625" style="1551" customWidth="1"/>
    <col min="14343" max="14592" width="9" style="1551"/>
    <col min="14593" max="14593" width="5.19921875" style="1551" customWidth="1"/>
    <col min="14594" max="14594" width="34.09765625" style="1551" customWidth="1"/>
    <col min="14595" max="14595" width="8.59765625" style="1551" customWidth="1"/>
    <col min="14596" max="14596" width="8.5" style="1551" customWidth="1"/>
    <col min="14597" max="14597" width="8.69921875" style="1551" customWidth="1"/>
    <col min="14598" max="14598" width="13.09765625" style="1551" customWidth="1"/>
    <col min="14599" max="14848" width="9" style="1551"/>
    <col min="14849" max="14849" width="5.19921875" style="1551" customWidth="1"/>
    <col min="14850" max="14850" width="34.09765625" style="1551" customWidth="1"/>
    <col min="14851" max="14851" width="8.59765625" style="1551" customWidth="1"/>
    <col min="14852" max="14852" width="8.5" style="1551" customWidth="1"/>
    <col min="14853" max="14853" width="8.69921875" style="1551" customWidth="1"/>
    <col min="14854" max="14854" width="13.09765625" style="1551" customWidth="1"/>
    <col min="14855" max="15104" width="9" style="1551"/>
    <col min="15105" max="15105" width="5.19921875" style="1551" customWidth="1"/>
    <col min="15106" max="15106" width="34.09765625" style="1551" customWidth="1"/>
    <col min="15107" max="15107" width="8.59765625" style="1551" customWidth="1"/>
    <col min="15108" max="15108" width="8.5" style="1551" customWidth="1"/>
    <col min="15109" max="15109" width="8.69921875" style="1551" customWidth="1"/>
    <col min="15110" max="15110" width="13.09765625" style="1551" customWidth="1"/>
    <col min="15111" max="15360" width="9" style="1551"/>
    <col min="15361" max="15361" width="5.19921875" style="1551" customWidth="1"/>
    <col min="15362" max="15362" width="34.09765625" style="1551" customWidth="1"/>
    <col min="15363" max="15363" width="8.59765625" style="1551" customWidth="1"/>
    <col min="15364" max="15364" width="8.5" style="1551" customWidth="1"/>
    <col min="15365" max="15365" width="8.69921875" style="1551" customWidth="1"/>
    <col min="15366" max="15366" width="13.09765625" style="1551" customWidth="1"/>
    <col min="15367" max="15616" width="9" style="1551"/>
    <col min="15617" max="15617" width="5.19921875" style="1551" customWidth="1"/>
    <col min="15618" max="15618" width="34.09765625" style="1551" customWidth="1"/>
    <col min="15619" max="15619" width="8.59765625" style="1551" customWidth="1"/>
    <col min="15620" max="15620" width="8.5" style="1551" customWidth="1"/>
    <col min="15621" max="15621" width="8.69921875" style="1551" customWidth="1"/>
    <col min="15622" max="15622" width="13.09765625" style="1551" customWidth="1"/>
    <col min="15623" max="15872" width="9" style="1551"/>
    <col min="15873" max="15873" width="5.19921875" style="1551" customWidth="1"/>
    <col min="15874" max="15874" width="34.09765625" style="1551" customWidth="1"/>
    <col min="15875" max="15875" width="8.59765625" style="1551" customWidth="1"/>
    <col min="15876" max="15876" width="8.5" style="1551" customWidth="1"/>
    <col min="15877" max="15877" width="8.69921875" style="1551" customWidth="1"/>
    <col min="15878" max="15878" width="13.09765625" style="1551" customWidth="1"/>
    <col min="15879" max="16128" width="9" style="1551"/>
    <col min="16129" max="16129" width="5.19921875" style="1551" customWidth="1"/>
    <col min="16130" max="16130" width="34.09765625" style="1551" customWidth="1"/>
    <col min="16131" max="16131" width="8.59765625" style="1551" customWidth="1"/>
    <col min="16132" max="16132" width="8.5" style="1551" customWidth="1"/>
    <col min="16133" max="16133" width="8.69921875" style="1551" customWidth="1"/>
    <col min="16134" max="16134" width="13.09765625" style="1551" customWidth="1"/>
    <col min="16135" max="16384" width="9" style="1551"/>
  </cols>
  <sheetData>
    <row r="1" spans="1:10" ht="20.100000000000001" customHeight="1">
      <c r="A1" s="3378" t="s">
        <v>5453</v>
      </c>
      <c r="B1" s="3378"/>
      <c r="C1" s="3378"/>
      <c r="D1" s="3378"/>
      <c r="E1" s="3378"/>
      <c r="F1" s="1804"/>
    </row>
    <row r="2" spans="1:10" ht="25.5" customHeight="1">
      <c r="A2" s="3379" t="s">
        <v>5454</v>
      </c>
      <c r="B2" s="3379"/>
      <c r="C2" s="3379"/>
      <c r="D2" s="3379"/>
      <c r="E2" s="3379"/>
      <c r="F2" s="1835"/>
    </row>
    <row r="3" spans="1:10" ht="14.25" customHeight="1">
      <c r="A3" s="3383" t="s">
        <v>2360</v>
      </c>
      <c r="B3" s="3380" t="s">
        <v>5081</v>
      </c>
      <c r="C3" s="1845" t="s">
        <v>1851</v>
      </c>
      <c r="D3" s="1845" t="s">
        <v>1852</v>
      </c>
      <c r="E3" s="1845" t="s">
        <v>5261</v>
      </c>
      <c r="F3" s="3377" t="s">
        <v>5153</v>
      </c>
    </row>
    <row r="4" spans="1:10" ht="14.25" customHeight="1">
      <c r="A4" s="3444"/>
      <c r="B4" s="3445"/>
      <c r="C4" s="1842">
        <v>1</v>
      </c>
      <c r="D4" s="1844">
        <v>2</v>
      </c>
      <c r="E4" s="1844" t="s">
        <v>5362</v>
      </c>
      <c r="F4" s="3377"/>
      <c r="J4" s="1581"/>
    </row>
    <row r="5" spans="1:10" ht="14.25" customHeight="1">
      <c r="A5" s="1842">
        <v>1</v>
      </c>
      <c r="B5" s="1805" t="s">
        <v>5455</v>
      </c>
      <c r="C5" s="2074">
        <f>特殊行业准备金审核表!C5</f>
        <v>0</v>
      </c>
      <c r="D5" s="2074">
        <f>特殊行业准备金审核表!D5</f>
        <v>0</v>
      </c>
      <c r="E5" s="2074">
        <f>特殊行业准备金审核表!E5</f>
        <v>0</v>
      </c>
      <c r="F5" s="1970"/>
    </row>
    <row r="6" spans="1:10" ht="14.25" customHeight="1">
      <c r="A6" s="1842">
        <v>2</v>
      </c>
      <c r="B6" s="1819" t="s">
        <v>5456</v>
      </c>
      <c r="C6" s="2074">
        <f>特殊行业准备金审核表!C6</f>
        <v>0</v>
      </c>
      <c r="D6" s="2074">
        <f>特殊行业准备金审核表!D6</f>
        <v>0</v>
      </c>
      <c r="E6" s="2074">
        <f>特殊行业准备金审核表!E6</f>
        <v>0</v>
      </c>
      <c r="F6" s="1970"/>
    </row>
    <row r="7" spans="1:10" ht="14.25" customHeight="1">
      <c r="A7" s="1842">
        <v>3</v>
      </c>
      <c r="B7" s="1811" t="s">
        <v>5457</v>
      </c>
      <c r="C7" s="2074">
        <f>特殊行业准备金审核表!C7</f>
        <v>0</v>
      </c>
      <c r="D7" s="2074">
        <f>特殊行业准备金审核表!D7</f>
        <v>0</v>
      </c>
      <c r="E7" s="2074">
        <f>特殊行业准备金审核表!E7</f>
        <v>0</v>
      </c>
      <c r="F7" s="1970"/>
    </row>
    <row r="8" spans="1:10" ht="14.25" customHeight="1">
      <c r="A8" s="1842">
        <v>4</v>
      </c>
      <c r="B8" s="1811" t="s">
        <v>5458</v>
      </c>
      <c r="C8" s="2074">
        <f>特殊行业准备金审核表!C8</f>
        <v>0</v>
      </c>
      <c r="D8" s="2074">
        <f>特殊行业准备金审核表!D8</f>
        <v>0</v>
      </c>
      <c r="E8" s="2074">
        <f>特殊行业准备金审核表!E8</f>
        <v>0</v>
      </c>
      <c r="F8" s="1970"/>
    </row>
    <row r="9" spans="1:10" ht="14.25" customHeight="1">
      <c r="A9" s="1842">
        <v>5</v>
      </c>
      <c r="B9" s="1811" t="s">
        <v>5459</v>
      </c>
      <c r="C9" s="2074">
        <f>特殊行业准备金审核表!C9</f>
        <v>0</v>
      </c>
      <c r="D9" s="2074">
        <f>特殊行业准备金审核表!D9</f>
        <v>0</v>
      </c>
      <c r="E9" s="2074">
        <f>特殊行业准备金审核表!E9</f>
        <v>0</v>
      </c>
      <c r="F9" s="1970"/>
    </row>
    <row r="10" spans="1:10" ht="14.25" customHeight="1">
      <c r="A10" s="1842">
        <v>6</v>
      </c>
      <c r="B10" s="1811" t="s">
        <v>5460</v>
      </c>
      <c r="C10" s="2074">
        <f>特殊行业准备金审核表!C10</f>
        <v>0</v>
      </c>
      <c r="D10" s="2074">
        <f>特殊行业准备金审核表!D10</f>
        <v>0</v>
      </c>
      <c r="E10" s="2074">
        <f>特殊行业准备金审核表!E10</f>
        <v>0</v>
      </c>
      <c r="F10" s="1970"/>
    </row>
    <row r="11" spans="1:10" ht="14.25" customHeight="1">
      <c r="A11" s="1842">
        <v>7</v>
      </c>
      <c r="B11" s="1811" t="s">
        <v>5461</v>
      </c>
      <c r="C11" s="2074">
        <f>特殊行业准备金审核表!C11</f>
        <v>0</v>
      </c>
      <c r="D11" s="2074">
        <f>特殊行业准备金审核表!D11</f>
        <v>0</v>
      </c>
      <c r="E11" s="2074">
        <f>特殊行业准备金审核表!E11</f>
        <v>0</v>
      </c>
      <c r="F11" s="1970"/>
    </row>
    <row r="12" spans="1:10" ht="14.25" customHeight="1">
      <c r="A12" s="1842">
        <v>8</v>
      </c>
      <c r="B12" s="1811" t="s">
        <v>5462</v>
      </c>
      <c r="C12" s="2074">
        <f>特殊行业准备金审核表!C12</f>
        <v>0</v>
      </c>
      <c r="D12" s="2074">
        <f>特殊行业准备金审核表!D12</f>
        <v>0</v>
      </c>
      <c r="E12" s="2074">
        <f>特殊行业准备金审核表!E12</f>
        <v>0</v>
      </c>
      <c r="F12" s="1970"/>
    </row>
    <row r="13" spans="1:10" ht="14.25" customHeight="1">
      <c r="A13" s="1842">
        <v>9</v>
      </c>
      <c r="B13" s="1811" t="s">
        <v>5463</v>
      </c>
      <c r="C13" s="2074">
        <f>特殊行业准备金审核表!C13</f>
        <v>0</v>
      </c>
      <c r="D13" s="2074">
        <f>特殊行业准备金审核表!D13</f>
        <v>0</v>
      </c>
      <c r="E13" s="2074">
        <f>特殊行业准备金审核表!E13</f>
        <v>0</v>
      </c>
      <c r="F13" s="1970"/>
      <c r="G13" s="1675" t="s">
        <v>6455</v>
      </c>
    </row>
    <row r="14" spans="1:10" ht="14.25" customHeight="1">
      <c r="A14" s="1842">
        <v>10</v>
      </c>
      <c r="B14" s="1811" t="s">
        <v>5371</v>
      </c>
      <c r="C14" s="2074">
        <f>特殊行业准备金审核表!C14</f>
        <v>0</v>
      </c>
      <c r="D14" s="2074">
        <f>特殊行业准备金审核表!D14</f>
        <v>0</v>
      </c>
      <c r="E14" s="2074">
        <f>特殊行业准备金审核表!E14</f>
        <v>0</v>
      </c>
      <c r="F14" s="1970"/>
    </row>
    <row r="15" spans="1:10" ht="14.25" customHeight="1">
      <c r="A15" s="1842">
        <v>11</v>
      </c>
      <c r="B15" s="1811" t="s">
        <v>5464</v>
      </c>
      <c r="C15" s="2074">
        <f>特殊行业准备金审核表!C15</f>
        <v>0</v>
      </c>
      <c r="D15" s="2074">
        <f>特殊行业准备金审核表!D15</f>
        <v>0</v>
      </c>
      <c r="E15" s="2074">
        <f>特殊行业准备金审核表!E15</f>
        <v>0</v>
      </c>
      <c r="F15" s="1970"/>
    </row>
    <row r="16" spans="1:10" ht="14.25" customHeight="1">
      <c r="A16" s="1842">
        <v>12</v>
      </c>
      <c r="B16" s="1811" t="s">
        <v>5465</v>
      </c>
      <c r="C16" s="2074">
        <f>特殊行业准备金审核表!C16</f>
        <v>0</v>
      </c>
      <c r="D16" s="2074">
        <f>特殊行业准备金审核表!D16</f>
        <v>0</v>
      </c>
      <c r="E16" s="2074">
        <f>特殊行业准备金审核表!E16</f>
        <v>0</v>
      </c>
      <c r="F16" s="1970"/>
    </row>
    <row r="17" spans="1:6" ht="14.25" customHeight="1">
      <c r="A17" s="1842">
        <v>13</v>
      </c>
      <c r="B17" s="1811" t="s">
        <v>5466</v>
      </c>
      <c r="C17" s="2074">
        <f>特殊行业准备金审核表!C17</f>
        <v>0</v>
      </c>
      <c r="D17" s="2074">
        <f>特殊行业准备金审核表!D17</f>
        <v>0</v>
      </c>
      <c r="E17" s="2074">
        <f>特殊行业准备金审核表!E17</f>
        <v>0</v>
      </c>
      <c r="F17" s="1970"/>
    </row>
    <row r="18" spans="1:6" ht="14.25" customHeight="1">
      <c r="A18" s="1842">
        <v>14</v>
      </c>
      <c r="B18" s="1811" t="s">
        <v>5467</v>
      </c>
      <c r="C18" s="2074">
        <f>特殊行业准备金审核表!C18</f>
        <v>0</v>
      </c>
      <c r="D18" s="2074">
        <f>特殊行业准备金审核表!D18</f>
        <v>0</v>
      </c>
      <c r="E18" s="2074">
        <f>特殊行业准备金审核表!E18</f>
        <v>0</v>
      </c>
      <c r="F18" s="1970"/>
    </row>
    <row r="19" spans="1:6" ht="14.25" customHeight="1">
      <c r="A19" s="1842">
        <v>15</v>
      </c>
      <c r="B19" s="1811" t="s">
        <v>269</v>
      </c>
      <c r="C19" s="2074">
        <f>特殊行业准备金审核表!C19</f>
        <v>0</v>
      </c>
      <c r="D19" s="2074">
        <f>特殊行业准备金审核表!D19</f>
        <v>0</v>
      </c>
      <c r="E19" s="2074">
        <f>特殊行业准备金审核表!E19</f>
        <v>0</v>
      </c>
      <c r="F19" s="1970"/>
    </row>
    <row r="20" spans="1:6" ht="14.25" customHeight="1">
      <c r="A20" s="1842">
        <v>16</v>
      </c>
      <c r="B20" s="1811" t="s">
        <v>5468</v>
      </c>
      <c r="C20" s="2074">
        <f>特殊行业准备金审核表!C20</f>
        <v>0</v>
      </c>
      <c r="D20" s="2074">
        <f>特殊行业准备金审核表!D20</f>
        <v>0</v>
      </c>
      <c r="E20" s="2074">
        <f>特殊行业准备金审核表!E20</f>
        <v>0</v>
      </c>
      <c r="F20" s="1970"/>
    </row>
    <row r="21" spans="1:6" ht="14.25" customHeight="1">
      <c r="A21" s="1842">
        <v>17</v>
      </c>
      <c r="B21" s="1811" t="s">
        <v>5469</v>
      </c>
      <c r="C21" s="2074">
        <f>特殊行业准备金审核表!C21</f>
        <v>0</v>
      </c>
      <c r="D21" s="2074">
        <f>特殊行业准备金审核表!D21</f>
        <v>0</v>
      </c>
      <c r="E21" s="2074">
        <f>特殊行业准备金审核表!E21</f>
        <v>0</v>
      </c>
      <c r="F21" s="1970"/>
    </row>
    <row r="22" spans="1:6" ht="14.25" customHeight="1">
      <c r="A22" s="1842">
        <v>18</v>
      </c>
      <c r="B22" s="1811" t="s">
        <v>5470</v>
      </c>
      <c r="C22" s="2074">
        <f>特殊行业准备金审核表!C22</f>
        <v>0</v>
      </c>
      <c r="D22" s="2074">
        <f>特殊行业准备金审核表!D22</f>
        <v>0</v>
      </c>
      <c r="E22" s="2074">
        <f>特殊行业准备金审核表!E22</f>
        <v>0</v>
      </c>
      <c r="F22" s="1970"/>
    </row>
    <row r="23" spans="1:6" ht="14.25" customHeight="1">
      <c r="A23" s="1842">
        <v>19</v>
      </c>
      <c r="B23" s="1811" t="s">
        <v>5471</v>
      </c>
      <c r="C23" s="2074">
        <f>特殊行业准备金审核表!C23</f>
        <v>0</v>
      </c>
      <c r="D23" s="2074">
        <f>特殊行业准备金审核表!D23</f>
        <v>0</v>
      </c>
      <c r="E23" s="2074">
        <f>特殊行业准备金审核表!E23</f>
        <v>0</v>
      </c>
      <c r="F23" s="1970"/>
    </row>
    <row r="24" spans="1:6" ht="14.25" customHeight="1">
      <c r="A24" s="1842">
        <v>20</v>
      </c>
      <c r="B24" s="1811" t="s">
        <v>269</v>
      </c>
      <c r="C24" s="2074">
        <f>特殊行业准备金审核表!C24</f>
        <v>0</v>
      </c>
      <c r="D24" s="2074">
        <f>特殊行业准备金审核表!D24</f>
        <v>0</v>
      </c>
      <c r="E24" s="2074">
        <f>特殊行业准备金审核表!E24</f>
        <v>0</v>
      </c>
      <c r="F24" s="1970"/>
    </row>
    <row r="25" spans="1:6" ht="14.25" customHeight="1">
      <c r="A25" s="1842">
        <v>21</v>
      </c>
      <c r="B25" s="1811" t="s">
        <v>5472</v>
      </c>
      <c r="C25" s="2074">
        <f>特殊行业准备金审核表!C25</f>
        <v>0</v>
      </c>
      <c r="D25" s="2074">
        <f>特殊行业准备金审核表!D25</f>
        <v>0</v>
      </c>
      <c r="E25" s="2074">
        <f>特殊行业准备金审核表!E25</f>
        <v>0</v>
      </c>
      <c r="F25" s="1970"/>
    </row>
    <row r="26" spans="1:6" ht="14.25" customHeight="1">
      <c r="A26" s="1842">
        <v>22</v>
      </c>
      <c r="B26" s="1811" t="s">
        <v>5473</v>
      </c>
      <c r="C26" s="2074">
        <f>特殊行业准备金审核表!C26</f>
        <v>0</v>
      </c>
      <c r="D26" s="2074">
        <f>特殊行业准备金审核表!D26</f>
        <v>0</v>
      </c>
      <c r="E26" s="2074">
        <f>特殊行业准备金审核表!E26</f>
        <v>0</v>
      </c>
      <c r="F26" s="1970"/>
    </row>
    <row r="27" spans="1:6" ht="14.25" customHeight="1">
      <c r="A27" s="1842">
        <v>23</v>
      </c>
      <c r="B27" s="1811" t="s">
        <v>5474</v>
      </c>
      <c r="C27" s="2074">
        <f>特殊行业准备金审核表!C27</f>
        <v>0</v>
      </c>
      <c r="D27" s="2074">
        <f>特殊行业准备金审核表!D27</f>
        <v>0</v>
      </c>
      <c r="E27" s="2074">
        <f>特殊行业准备金审核表!E27</f>
        <v>0</v>
      </c>
      <c r="F27" s="1970"/>
    </row>
    <row r="28" spans="1:6" ht="14.25" customHeight="1">
      <c r="A28" s="1842">
        <v>24</v>
      </c>
      <c r="B28" s="1811" t="s">
        <v>5204</v>
      </c>
      <c r="C28" s="2074">
        <f>特殊行业准备金审核表!C28</f>
        <v>0</v>
      </c>
      <c r="D28" s="2074">
        <f>特殊行业准备金审核表!D28</f>
        <v>0</v>
      </c>
      <c r="E28" s="2074">
        <f>特殊行业准备金审核表!E28</f>
        <v>0</v>
      </c>
      <c r="F28" s="1970"/>
    </row>
    <row r="29" spans="1:6" ht="14.25" customHeight="1">
      <c r="A29" s="1842">
        <v>25</v>
      </c>
      <c r="B29" s="1811" t="s">
        <v>5475</v>
      </c>
      <c r="C29" s="2074">
        <f>特殊行业准备金审核表!C29</f>
        <v>0</v>
      </c>
      <c r="D29" s="2074">
        <f>特殊行业准备金审核表!D29</f>
        <v>0</v>
      </c>
      <c r="E29" s="2074">
        <f>特殊行业准备金审核表!E29</f>
        <v>0</v>
      </c>
      <c r="F29" s="1970"/>
    </row>
    <row r="30" spans="1:6" ht="14.25" customHeight="1">
      <c r="A30" s="1842">
        <v>26</v>
      </c>
      <c r="B30" s="1813" t="s">
        <v>5476</v>
      </c>
      <c r="C30" s="2074">
        <f>特殊行业准备金审核表!C30</f>
        <v>0</v>
      </c>
      <c r="D30" s="2074">
        <f>特殊行业准备金审核表!D30</f>
        <v>0</v>
      </c>
      <c r="E30" s="2074">
        <f>特殊行业准备金审核表!E30</f>
        <v>0</v>
      </c>
      <c r="F30" s="1970"/>
    </row>
    <row r="31" spans="1:6" ht="14.25" customHeight="1">
      <c r="A31" s="1842">
        <v>27</v>
      </c>
      <c r="B31" s="1811" t="s">
        <v>5477</v>
      </c>
      <c r="C31" s="2074">
        <f>特殊行业准备金审核表!C31</f>
        <v>0</v>
      </c>
      <c r="D31" s="2074">
        <f>特殊行业准备金审核表!D31</f>
        <v>0</v>
      </c>
      <c r="E31" s="2074">
        <f>特殊行业准备金审核表!E31</f>
        <v>0</v>
      </c>
      <c r="F31" s="1970"/>
    </row>
    <row r="32" spans="1:6" ht="14.25" customHeight="1">
      <c r="A32" s="1842">
        <v>28</v>
      </c>
      <c r="B32" s="1813" t="s">
        <v>5204</v>
      </c>
      <c r="C32" s="2074">
        <f>特殊行业准备金审核表!C32</f>
        <v>0</v>
      </c>
      <c r="D32" s="2074">
        <f>特殊行业准备金审核表!D32</f>
        <v>0</v>
      </c>
      <c r="E32" s="2074">
        <f>特殊行业准备金审核表!E32</f>
        <v>0</v>
      </c>
      <c r="F32" s="1970"/>
    </row>
    <row r="33" spans="1:8" ht="14.25" customHeight="1">
      <c r="A33" s="1842">
        <v>29</v>
      </c>
      <c r="B33" s="1811" t="s">
        <v>5421</v>
      </c>
      <c r="C33" s="2074">
        <f>特殊行业准备金审核表!C33</f>
        <v>0</v>
      </c>
      <c r="D33" s="2074">
        <f>特殊行业准备金审核表!D33</f>
        <v>0</v>
      </c>
      <c r="E33" s="2074">
        <f>特殊行业准备金审核表!E33</f>
        <v>0</v>
      </c>
      <c r="F33" s="1970"/>
    </row>
    <row r="34" spans="1:8" ht="168.75" customHeight="1">
      <c r="A34" s="1842">
        <v>30</v>
      </c>
      <c r="B34" s="1820" t="s">
        <v>5478</v>
      </c>
      <c r="C34" s="2074">
        <f>特殊行业准备金审核表!C34</f>
        <v>0</v>
      </c>
      <c r="D34" s="2074">
        <f>特殊行业准备金审核表!D34</f>
        <v>0</v>
      </c>
      <c r="E34" s="2074">
        <f>特殊行业准备金审核表!E34</f>
        <v>0</v>
      </c>
      <c r="F34" s="1821" t="s">
        <v>5479</v>
      </c>
      <c r="H34" s="1581"/>
    </row>
  </sheetData>
  <mergeCells count="5">
    <mergeCell ref="F3:F4"/>
    <mergeCell ref="A1:E1"/>
    <mergeCell ref="A2:E2"/>
    <mergeCell ref="A3:A4"/>
    <mergeCell ref="B3:B4"/>
  </mergeCells>
  <phoneticPr fontId="51" type="noConversion"/>
  <hyperlinks>
    <hyperlink ref="G13" location="特殊行业准备金审核表!A1" display="特殊行业准备金审核表!A1"/>
  </hyperlinks>
  <printOptions horizontalCentered="1"/>
  <pageMargins left="0.78740157480314998" right="0.35433070866141703" top="0.511811023622047" bottom="0.11811023622047198" header="0.511811023622047" footer="0.511811023622047"/>
  <pageSetup paperSize="9" orientation="portrait" r:id="rId1"/>
  <headerFooter alignWithMargins="0"/>
</worksheet>
</file>

<file path=xl/worksheets/sheet14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38"/>
  <dimension ref="A1:O12"/>
  <sheetViews>
    <sheetView workbookViewId="0">
      <selection activeCell="D11" sqref="D11"/>
    </sheetView>
  </sheetViews>
  <sheetFormatPr defaultColWidth="12.3984375" defaultRowHeight="15.6"/>
  <cols>
    <col min="1" max="1" width="4" style="1532" customWidth="1"/>
    <col min="2" max="2" width="7.19921875" style="1532" customWidth="1"/>
    <col min="3" max="3" width="6.09765625" style="1532" customWidth="1"/>
    <col min="4" max="13" width="11.5" style="1532" customWidth="1"/>
    <col min="14" max="14" width="14.69921875" style="1532" customWidth="1"/>
    <col min="15" max="256" width="12.3984375" style="1532"/>
    <col min="257" max="257" width="5.09765625" style="1532" customWidth="1"/>
    <col min="258" max="258" width="8" style="1532" customWidth="1"/>
    <col min="259" max="259" width="6.19921875" style="1532" customWidth="1"/>
    <col min="260" max="260" width="8.8984375" style="1532" customWidth="1"/>
    <col min="261" max="261" width="9.8984375" style="1532" customWidth="1"/>
    <col min="262" max="262" width="8.69921875" style="1532" customWidth="1"/>
    <col min="263" max="263" width="8.59765625" style="1532" customWidth="1"/>
    <col min="264" max="264" width="8.5" style="1532" customWidth="1"/>
    <col min="265" max="265" width="8.09765625" style="1532" customWidth="1"/>
    <col min="266" max="266" width="8.3984375" style="1532" customWidth="1"/>
    <col min="267" max="267" width="7" style="1532" customWidth="1"/>
    <col min="268" max="269" width="9.8984375" style="1532" customWidth="1"/>
    <col min="270" max="270" width="14.69921875" style="1532" customWidth="1"/>
    <col min="271" max="512" width="12.3984375" style="1532"/>
    <col min="513" max="513" width="5.09765625" style="1532" customWidth="1"/>
    <col min="514" max="514" width="8" style="1532" customWidth="1"/>
    <col min="515" max="515" width="6.19921875" style="1532" customWidth="1"/>
    <col min="516" max="516" width="8.8984375" style="1532" customWidth="1"/>
    <col min="517" max="517" width="9.8984375" style="1532" customWidth="1"/>
    <col min="518" max="518" width="8.69921875" style="1532" customWidth="1"/>
    <col min="519" max="519" width="8.59765625" style="1532" customWidth="1"/>
    <col min="520" max="520" width="8.5" style="1532" customWidth="1"/>
    <col min="521" max="521" width="8.09765625" style="1532" customWidth="1"/>
    <col min="522" max="522" width="8.3984375" style="1532" customWidth="1"/>
    <col min="523" max="523" width="7" style="1532" customWidth="1"/>
    <col min="524" max="525" width="9.8984375" style="1532" customWidth="1"/>
    <col min="526" max="526" width="14.69921875" style="1532" customWidth="1"/>
    <col min="527" max="768" width="12.3984375" style="1532"/>
    <col min="769" max="769" width="5.09765625" style="1532" customWidth="1"/>
    <col min="770" max="770" width="8" style="1532" customWidth="1"/>
    <col min="771" max="771" width="6.19921875" style="1532" customWidth="1"/>
    <col min="772" max="772" width="8.8984375" style="1532" customWidth="1"/>
    <col min="773" max="773" width="9.8984375" style="1532" customWidth="1"/>
    <col min="774" max="774" width="8.69921875" style="1532" customWidth="1"/>
    <col min="775" max="775" width="8.59765625" style="1532" customWidth="1"/>
    <col min="776" max="776" width="8.5" style="1532" customWidth="1"/>
    <col min="777" max="777" width="8.09765625" style="1532" customWidth="1"/>
    <col min="778" max="778" width="8.3984375" style="1532" customWidth="1"/>
    <col min="779" max="779" width="7" style="1532" customWidth="1"/>
    <col min="780" max="781" width="9.8984375" style="1532" customWidth="1"/>
    <col min="782" max="782" width="14.69921875" style="1532" customWidth="1"/>
    <col min="783" max="1024" width="12.3984375" style="1532"/>
    <col min="1025" max="1025" width="5.09765625" style="1532" customWidth="1"/>
    <col min="1026" max="1026" width="8" style="1532" customWidth="1"/>
    <col min="1027" max="1027" width="6.19921875" style="1532" customWidth="1"/>
    <col min="1028" max="1028" width="8.8984375" style="1532" customWidth="1"/>
    <col min="1029" max="1029" width="9.8984375" style="1532" customWidth="1"/>
    <col min="1030" max="1030" width="8.69921875" style="1532" customWidth="1"/>
    <col min="1031" max="1031" width="8.59765625" style="1532" customWidth="1"/>
    <col min="1032" max="1032" width="8.5" style="1532" customWidth="1"/>
    <col min="1033" max="1033" width="8.09765625" style="1532" customWidth="1"/>
    <col min="1034" max="1034" width="8.3984375" style="1532" customWidth="1"/>
    <col min="1035" max="1035" width="7" style="1532" customWidth="1"/>
    <col min="1036" max="1037" width="9.8984375" style="1532" customWidth="1"/>
    <col min="1038" max="1038" width="14.69921875" style="1532" customWidth="1"/>
    <col min="1039" max="1280" width="12.3984375" style="1532"/>
    <col min="1281" max="1281" width="5.09765625" style="1532" customWidth="1"/>
    <col min="1282" max="1282" width="8" style="1532" customWidth="1"/>
    <col min="1283" max="1283" width="6.19921875" style="1532" customWidth="1"/>
    <col min="1284" max="1284" width="8.8984375" style="1532" customWidth="1"/>
    <col min="1285" max="1285" width="9.8984375" style="1532" customWidth="1"/>
    <col min="1286" max="1286" width="8.69921875" style="1532" customWidth="1"/>
    <col min="1287" max="1287" width="8.59765625" style="1532" customWidth="1"/>
    <col min="1288" max="1288" width="8.5" style="1532" customWidth="1"/>
    <col min="1289" max="1289" width="8.09765625" style="1532" customWidth="1"/>
    <col min="1290" max="1290" width="8.3984375" style="1532" customWidth="1"/>
    <col min="1291" max="1291" width="7" style="1532" customWidth="1"/>
    <col min="1292" max="1293" width="9.8984375" style="1532" customWidth="1"/>
    <col min="1294" max="1294" width="14.69921875" style="1532" customWidth="1"/>
    <col min="1295" max="1536" width="12.3984375" style="1532"/>
    <col min="1537" max="1537" width="5.09765625" style="1532" customWidth="1"/>
    <col min="1538" max="1538" width="8" style="1532" customWidth="1"/>
    <col min="1539" max="1539" width="6.19921875" style="1532" customWidth="1"/>
    <col min="1540" max="1540" width="8.8984375" style="1532" customWidth="1"/>
    <col min="1541" max="1541" width="9.8984375" style="1532" customWidth="1"/>
    <col min="1542" max="1542" width="8.69921875" style="1532" customWidth="1"/>
    <col min="1543" max="1543" width="8.59765625" style="1532" customWidth="1"/>
    <col min="1544" max="1544" width="8.5" style="1532" customWidth="1"/>
    <col min="1545" max="1545" width="8.09765625" style="1532" customWidth="1"/>
    <col min="1546" max="1546" width="8.3984375" style="1532" customWidth="1"/>
    <col min="1547" max="1547" width="7" style="1532" customWidth="1"/>
    <col min="1548" max="1549" width="9.8984375" style="1532" customWidth="1"/>
    <col min="1550" max="1550" width="14.69921875" style="1532" customWidth="1"/>
    <col min="1551" max="1792" width="12.3984375" style="1532"/>
    <col min="1793" max="1793" width="5.09765625" style="1532" customWidth="1"/>
    <col min="1794" max="1794" width="8" style="1532" customWidth="1"/>
    <col min="1795" max="1795" width="6.19921875" style="1532" customWidth="1"/>
    <col min="1796" max="1796" width="8.8984375" style="1532" customWidth="1"/>
    <col min="1797" max="1797" width="9.8984375" style="1532" customWidth="1"/>
    <col min="1798" max="1798" width="8.69921875" style="1532" customWidth="1"/>
    <col min="1799" max="1799" width="8.59765625" style="1532" customWidth="1"/>
    <col min="1800" max="1800" width="8.5" style="1532" customWidth="1"/>
    <col min="1801" max="1801" width="8.09765625" style="1532" customWidth="1"/>
    <col min="1802" max="1802" width="8.3984375" style="1532" customWidth="1"/>
    <col min="1803" max="1803" width="7" style="1532" customWidth="1"/>
    <col min="1804" max="1805" width="9.8984375" style="1532" customWidth="1"/>
    <col min="1806" max="1806" width="14.69921875" style="1532" customWidth="1"/>
    <col min="1807" max="2048" width="12.3984375" style="1532"/>
    <col min="2049" max="2049" width="5.09765625" style="1532" customWidth="1"/>
    <col min="2050" max="2050" width="8" style="1532" customWidth="1"/>
    <col min="2051" max="2051" width="6.19921875" style="1532" customWidth="1"/>
    <col min="2052" max="2052" width="8.8984375" style="1532" customWidth="1"/>
    <col min="2053" max="2053" width="9.8984375" style="1532" customWidth="1"/>
    <col min="2054" max="2054" width="8.69921875" style="1532" customWidth="1"/>
    <col min="2055" max="2055" width="8.59765625" style="1532" customWidth="1"/>
    <col min="2056" max="2056" width="8.5" style="1532" customWidth="1"/>
    <col min="2057" max="2057" width="8.09765625" style="1532" customWidth="1"/>
    <col min="2058" max="2058" width="8.3984375" style="1532" customWidth="1"/>
    <col min="2059" max="2059" width="7" style="1532" customWidth="1"/>
    <col min="2060" max="2061" width="9.8984375" style="1532" customWidth="1"/>
    <col min="2062" max="2062" width="14.69921875" style="1532" customWidth="1"/>
    <col min="2063" max="2304" width="12.3984375" style="1532"/>
    <col min="2305" max="2305" width="5.09765625" style="1532" customWidth="1"/>
    <col min="2306" max="2306" width="8" style="1532" customWidth="1"/>
    <col min="2307" max="2307" width="6.19921875" style="1532" customWidth="1"/>
    <col min="2308" max="2308" width="8.8984375" style="1532" customWidth="1"/>
    <col min="2309" max="2309" width="9.8984375" style="1532" customWidth="1"/>
    <col min="2310" max="2310" width="8.69921875" style="1532" customWidth="1"/>
    <col min="2311" max="2311" width="8.59765625" style="1532" customWidth="1"/>
    <col min="2312" max="2312" width="8.5" style="1532" customWidth="1"/>
    <col min="2313" max="2313" width="8.09765625" style="1532" customWidth="1"/>
    <col min="2314" max="2314" width="8.3984375" style="1532" customWidth="1"/>
    <col min="2315" max="2315" width="7" style="1532" customWidth="1"/>
    <col min="2316" max="2317" width="9.8984375" style="1532" customWidth="1"/>
    <col min="2318" max="2318" width="14.69921875" style="1532" customWidth="1"/>
    <col min="2319" max="2560" width="12.3984375" style="1532"/>
    <col min="2561" max="2561" width="5.09765625" style="1532" customWidth="1"/>
    <col min="2562" max="2562" width="8" style="1532" customWidth="1"/>
    <col min="2563" max="2563" width="6.19921875" style="1532" customWidth="1"/>
    <col min="2564" max="2564" width="8.8984375" style="1532" customWidth="1"/>
    <col min="2565" max="2565" width="9.8984375" style="1532" customWidth="1"/>
    <col min="2566" max="2566" width="8.69921875" style="1532" customWidth="1"/>
    <col min="2567" max="2567" width="8.59765625" style="1532" customWidth="1"/>
    <col min="2568" max="2568" width="8.5" style="1532" customWidth="1"/>
    <col min="2569" max="2569" width="8.09765625" style="1532" customWidth="1"/>
    <col min="2570" max="2570" width="8.3984375" style="1532" customWidth="1"/>
    <col min="2571" max="2571" width="7" style="1532" customWidth="1"/>
    <col min="2572" max="2573" width="9.8984375" style="1532" customWidth="1"/>
    <col min="2574" max="2574" width="14.69921875" style="1532" customWidth="1"/>
    <col min="2575" max="2816" width="12.3984375" style="1532"/>
    <col min="2817" max="2817" width="5.09765625" style="1532" customWidth="1"/>
    <col min="2818" max="2818" width="8" style="1532" customWidth="1"/>
    <col min="2819" max="2819" width="6.19921875" style="1532" customWidth="1"/>
    <col min="2820" max="2820" width="8.8984375" style="1532" customWidth="1"/>
    <col min="2821" max="2821" width="9.8984375" style="1532" customWidth="1"/>
    <col min="2822" max="2822" width="8.69921875" style="1532" customWidth="1"/>
    <col min="2823" max="2823" width="8.59765625" style="1532" customWidth="1"/>
    <col min="2824" max="2824" width="8.5" style="1532" customWidth="1"/>
    <col min="2825" max="2825" width="8.09765625" style="1532" customWidth="1"/>
    <col min="2826" max="2826" width="8.3984375" style="1532" customWidth="1"/>
    <col min="2827" max="2827" width="7" style="1532" customWidth="1"/>
    <col min="2828" max="2829" width="9.8984375" style="1532" customWidth="1"/>
    <col min="2830" max="2830" width="14.69921875" style="1532" customWidth="1"/>
    <col min="2831" max="3072" width="12.3984375" style="1532"/>
    <col min="3073" max="3073" width="5.09765625" style="1532" customWidth="1"/>
    <col min="3074" max="3074" width="8" style="1532" customWidth="1"/>
    <col min="3075" max="3075" width="6.19921875" style="1532" customWidth="1"/>
    <col min="3076" max="3076" width="8.8984375" style="1532" customWidth="1"/>
    <col min="3077" max="3077" width="9.8984375" style="1532" customWidth="1"/>
    <col min="3078" max="3078" width="8.69921875" style="1532" customWidth="1"/>
    <col min="3079" max="3079" width="8.59765625" style="1532" customWidth="1"/>
    <col min="3080" max="3080" width="8.5" style="1532" customWidth="1"/>
    <col min="3081" max="3081" width="8.09765625" style="1532" customWidth="1"/>
    <col min="3082" max="3082" width="8.3984375" style="1532" customWidth="1"/>
    <col min="3083" max="3083" width="7" style="1532" customWidth="1"/>
    <col min="3084" max="3085" width="9.8984375" style="1532" customWidth="1"/>
    <col min="3086" max="3086" width="14.69921875" style="1532" customWidth="1"/>
    <col min="3087" max="3328" width="12.3984375" style="1532"/>
    <col min="3329" max="3329" width="5.09765625" style="1532" customWidth="1"/>
    <col min="3330" max="3330" width="8" style="1532" customWidth="1"/>
    <col min="3331" max="3331" width="6.19921875" style="1532" customWidth="1"/>
    <col min="3332" max="3332" width="8.8984375" style="1532" customWidth="1"/>
    <col min="3333" max="3333" width="9.8984375" style="1532" customWidth="1"/>
    <col min="3334" max="3334" width="8.69921875" style="1532" customWidth="1"/>
    <col min="3335" max="3335" width="8.59765625" style="1532" customWidth="1"/>
    <col min="3336" max="3336" width="8.5" style="1532" customWidth="1"/>
    <col min="3337" max="3337" width="8.09765625" style="1532" customWidth="1"/>
    <col min="3338" max="3338" width="8.3984375" style="1532" customWidth="1"/>
    <col min="3339" max="3339" width="7" style="1532" customWidth="1"/>
    <col min="3340" max="3341" width="9.8984375" style="1532" customWidth="1"/>
    <col min="3342" max="3342" width="14.69921875" style="1532" customWidth="1"/>
    <col min="3343" max="3584" width="12.3984375" style="1532"/>
    <col min="3585" max="3585" width="5.09765625" style="1532" customWidth="1"/>
    <col min="3586" max="3586" width="8" style="1532" customWidth="1"/>
    <col min="3587" max="3587" width="6.19921875" style="1532" customWidth="1"/>
    <col min="3588" max="3588" width="8.8984375" style="1532" customWidth="1"/>
    <col min="3589" max="3589" width="9.8984375" style="1532" customWidth="1"/>
    <col min="3590" max="3590" width="8.69921875" style="1532" customWidth="1"/>
    <col min="3591" max="3591" width="8.59765625" style="1532" customWidth="1"/>
    <col min="3592" max="3592" width="8.5" style="1532" customWidth="1"/>
    <col min="3593" max="3593" width="8.09765625" style="1532" customWidth="1"/>
    <col min="3594" max="3594" width="8.3984375" style="1532" customWidth="1"/>
    <col min="3595" max="3595" width="7" style="1532" customWidth="1"/>
    <col min="3596" max="3597" width="9.8984375" style="1532" customWidth="1"/>
    <col min="3598" max="3598" width="14.69921875" style="1532" customWidth="1"/>
    <col min="3599" max="3840" width="12.3984375" style="1532"/>
    <col min="3841" max="3841" width="5.09765625" style="1532" customWidth="1"/>
    <col min="3842" max="3842" width="8" style="1532" customWidth="1"/>
    <col min="3843" max="3843" width="6.19921875" style="1532" customWidth="1"/>
    <col min="3844" max="3844" width="8.8984375" style="1532" customWidth="1"/>
    <col min="3845" max="3845" width="9.8984375" style="1532" customWidth="1"/>
    <col min="3846" max="3846" width="8.69921875" style="1532" customWidth="1"/>
    <col min="3847" max="3847" width="8.59765625" style="1532" customWidth="1"/>
    <col min="3848" max="3848" width="8.5" style="1532" customWidth="1"/>
    <col min="3849" max="3849" width="8.09765625" style="1532" customWidth="1"/>
    <col min="3850" max="3850" width="8.3984375" style="1532" customWidth="1"/>
    <col min="3851" max="3851" width="7" style="1532" customWidth="1"/>
    <col min="3852" max="3853" width="9.8984375" style="1532" customWidth="1"/>
    <col min="3854" max="3854" width="14.69921875" style="1532" customWidth="1"/>
    <col min="3855" max="4096" width="12.3984375" style="1532"/>
    <col min="4097" max="4097" width="5.09765625" style="1532" customWidth="1"/>
    <col min="4098" max="4098" width="8" style="1532" customWidth="1"/>
    <col min="4099" max="4099" width="6.19921875" style="1532" customWidth="1"/>
    <col min="4100" max="4100" width="8.8984375" style="1532" customWidth="1"/>
    <col min="4101" max="4101" width="9.8984375" style="1532" customWidth="1"/>
    <col min="4102" max="4102" width="8.69921875" style="1532" customWidth="1"/>
    <col min="4103" max="4103" width="8.59765625" style="1532" customWidth="1"/>
    <col min="4104" max="4104" width="8.5" style="1532" customWidth="1"/>
    <col min="4105" max="4105" width="8.09765625" style="1532" customWidth="1"/>
    <col min="4106" max="4106" width="8.3984375" style="1532" customWidth="1"/>
    <col min="4107" max="4107" width="7" style="1532" customWidth="1"/>
    <col min="4108" max="4109" width="9.8984375" style="1532" customWidth="1"/>
    <col min="4110" max="4110" width="14.69921875" style="1532" customWidth="1"/>
    <col min="4111" max="4352" width="12.3984375" style="1532"/>
    <col min="4353" max="4353" width="5.09765625" style="1532" customWidth="1"/>
    <col min="4354" max="4354" width="8" style="1532" customWidth="1"/>
    <col min="4355" max="4355" width="6.19921875" style="1532" customWidth="1"/>
    <col min="4356" max="4356" width="8.8984375" style="1532" customWidth="1"/>
    <col min="4357" max="4357" width="9.8984375" style="1532" customWidth="1"/>
    <col min="4358" max="4358" width="8.69921875" style="1532" customWidth="1"/>
    <col min="4359" max="4359" width="8.59765625" style="1532" customWidth="1"/>
    <col min="4360" max="4360" width="8.5" style="1532" customWidth="1"/>
    <col min="4361" max="4361" width="8.09765625" style="1532" customWidth="1"/>
    <col min="4362" max="4362" width="8.3984375" style="1532" customWidth="1"/>
    <col min="4363" max="4363" width="7" style="1532" customWidth="1"/>
    <col min="4364" max="4365" width="9.8984375" style="1532" customWidth="1"/>
    <col min="4366" max="4366" width="14.69921875" style="1532" customWidth="1"/>
    <col min="4367" max="4608" width="12.3984375" style="1532"/>
    <col min="4609" max="4609" width="5.09765625" style="1532" customWidth="1"/>
    <col min="4610" max="4610" width="8" style="1532" customWidth="1"/>
    <col min="4611" max="4611" width="6.19921875" style="1532" customWidth="1"/>
    <col min="4612" max="4612" width="8.8984375" style="1532" customWidth="1"/>
    <col min="4613" max="4613" width="9.8984375" style="1532" customWidth="1"/>
    <col min="4614" max="4614" width="8.69921875" style="1532" customWidth="1"/>
    <col min="4615" max="4615" width="8.59765625" style="1532" customWidth="1"/>
    <col min="4616" max="4616" width="8.5" style="1532" customWidth="1"/>
    <col min="4617" max="4617" width="8.09765625" style="1532" customWidth="1"/>
    <col min="4618" max="4618" width="8.3984375" style="1532" customWidth="1"/>
    <col min="4619" max="4619" width="7" style="1532" customWidth="1"/>
    <col min="4620" max="4621" width="9.8984375" style="1532" customWidth="1"/>
    <col min="4622" max="4622" width="14.69921875" style="1532" customWidth="1"/>
    <col min="4623" max="4864" width="12.3984375" style="1532"/>
    <col min="4865" max="4865" width="5.09765625" style="1532" customWidth="1"/>
    <col min="4866" max="4866" width="8" style="1532" customWidth="1"/>
    <col min="4867" max="4867" width="6.19921875" style="1532" customWidth="1"/>
    <col min="4868" max="4868" width="8.8984375" style="1532" customWidth="1"/>
    <col min="4869" max="4869" width="9.8984375" style="1532" customWidth="1"/>
    <col min="4870" max="4870" width="8.69921875" style="1532" customWidth="1"/>
    <col min="4871" max="4871" width="8.59765625" style="1532" customWidth="1"/>
    <col min="4872" max="4872" width="8.5" style="1532" customWidth="1"/>
    <col min="4873" max="4873" width="8.09765625" style="1532" customWidth="1"/>
    <col min="4874" max="4874" width="8.3984375" style="1532" customWidth="1"/>
    <col min="4875" max="4875" width="7" style="1532" customWidth="1"/>
    <col min="4876" max="4877" width="9.8984375" style="1532" customWidth="1"/>
    <col min="4878" max="4878" width="14.69921875" style="1532" customWidth="1"/>
    <col min="4879" max="5120" width="12.3984375" style="1532"/>
    <col min="5121" max="5121" width="5.09765625" style="1532" customWidth="1"/>
    <col min="5122" max="5122" width="8" style="1532" customWidth="1"/>
    <col min="5123" max="5123" width="6.19921875" style="1532" customWidth="1"/>
    <col min="5124" max="5124" width="8.8984375" style="1532" customWidth="1"/>
    <col min="5125" max="5125" width="9.8984375" style="1532" customWidth="1"/>
    <col min="5126" max="5126" width="8.69921875" style="1532" customWidth="1"/>
    <col min="5127" max="5127" width="8.59765625" style="1532" customWidth="1"/>
    <col min="5128" max="5128" width="8.5" style="1532" customWidth="1"/>
    <col min="5129" max="5129" width="8.09765625" style="1532" customWidth="1"/>
    <col min="5130" max="5130" width="8.3984375" style="1532" customWidth="1"/>
    <col min="5131" max="5131" width="7" style="1532" customWidth="1"/>
    <col min="5132" max="5133" width="9.8984375" style="1532" customWidth="1"/>
    <col min="5134" max="5134" width="14.69921875" style="1532" customWidth="1"/>
    <col min="5135" max="5376" width="12.3984375" style="1532"/>
    <col min="5377" max="5377" width="5.09765625" style="1532" customWidth="1"/>
    <col min="5378" max="5378" width="8" style="1532" customWidth="1"/>
    <col min="5379" max="5379" width="6.19921875" style="1532" customWidth="1"/>
    <col min="5380" max="5380" width="8.8984375" style="1532" customWidth="1"/>
    <col min="5381" max="5381" width="9.8984375" style="1532" customWidth="1"/>
    <col min="5382" max="5382" width="8.69921875" style="1532" customWidth="1"/>
    <col min="5383" max="5383" width="8.59765625" style="1532" customWidth="1"/>
    <col min="5384" max="5384" width="8.5" style="1532" customWidth="1"/>
    <col min="5385" max="5385" width="8.09765625" style="1532" customWidth="1"/>
    <col min="5386" max="5386" width="8.3984375" style="1532" customWidth="1"/>
    <col min="5387" max="5387" width="7" style="1532" customWidth="1"/>
    <col min="5388" max="5389" width="9.8984375" style="1532" customWidth="1"/>
    <col min="5390" max="5390" width="14.69921875" style="1532" customWidth="1"/>
    <col min="5391" max="5632" width="12.3984375" style="1532"/>
    <col min="5633" max="5633" width="5.09765625" style="1532" customWidth="1"/>
    <col min="5634" max="5634" width="8" style="1532" customWidth="1"/>
    <col min="5635" max="5635" width="6.19921875" style="1532" customWidth="1"/>
    <col min="5636" max="5636" width="8.8984375" style="1532" customWidth="1"/>
    <col min="5637" max="5637" width="9.8984375" style="1532" customWidth="1"/>
    <col min="5638" max="5638" width="8.69921875" style="1532" customWidth="1"/>
    <col min="5639" max="5639" width="8.59765625" style="1532" customWidth="1"/>
    <col min="5640" max="5640" width="8.5" style="1532" customWidth="1"/>
    <col min="5641" max="5641" width="8.09765625" style="1532" customWidth="1"/>
    <col min="5642" max="5642" width="8.3984375" style="1532" customWidth="1"/>
    <col min="5643" max="5643" width="7" style="1532" customWidth="1"/>
    <col min="5644" max="5645" width="9.8984375" style="1532" customWidth="1"/>
    <col min="5646" max="5646" width="14.69921875" style="1532" customWidth="1"/>
    <col min="5647" max="5888" width="12.3984375" style="1532"/>
    <col min="5889" max="5889" width="5.09765625" style="1532" customWidth="1"/>
    <col min="5890" max="5890" width="8" style="1532" customWidth="1"/>
    <col min="5891" max="5891" width="6.19921875" style="1532" customWidth="1"/>
    <col min="5892" max="5892" width="8.8984375" style="1532" customWidth="1"/>
    <col min="5893" max="5893" width="9.8984375" style="1532" customWidth="1"/>
    <col min="5894" max="5894" width="8.69921875" style="1532" customWidth="1"/>
    <col min="5895" max="5895" width="8.59765625" style="1532" customWidth="1"/>
    <col min="5896" max="5896" width="8.5" style="1532" customWidth="1"/>
    <col min="5897" max="5897" width="8.09765625" style="1532" customWidth="1"/>
    <col min="5898" max="5898" width="8.3984375" style="1532" customWidth="1"/>
    <col min="5899" max="5899" width="7" style="1532" customWidth="1"/>
    <col min="5900" max="5901" width="9.8984375" style="1532" customWidth="1"/>
    <col min="5902" max="5902" width="14.69921875" style="1532" customWidth="1"/>
    <col min="5903" max="6144" width="12.3984375" style="1532"/>
    <col min="6145" max="6145" width="5.09765625" style="1532" customWidth="1"/>
    <col min="6146" max="6146" width="8" style="1532" customWidth="1"/>
    <col min="6147" max="6147" width="6.19921875" style="1532" customWidth="1"/>
    <col min="6148" max="6148" width="8.8984375" style="1532" customWidth="1"/>
    <col min="6149" max="6149" width="9.8984375" style="1532" customWidth="1"/>
    <col min="6150" max="6150" width="8.69921875" style="1532" customWidth="1"/>
    <col min="6151" max="6151" width="8.59765625" style="1532" customWidth="1"/>
    <col min="6152" max="6152" width="8.5" style="1532" customWidth="1"/>
    <col min="6153" max="6153" width="8.09765625" style="1532" customWidth="1"/>
    <col min="6154" max="6154" width="8.3984375" style="1532" customWidth="1"/>
    <col min="6155" max="6155" width="7" style="1532" customWidth="1"/>
    <col min="6156" max="6157" width="9.8984375" style="1532" customWidth="1"/>
    <col min="6158" max="6158" width="14.69921875" style="1532" customWidth="1"/>
    <col min="6159" max="6400" width="12.3984375" style="1532"/>
    <col min="6401" max="6401" width="5.09765625" style="1532" customWidth="1"/>
    <col min="6402" max="6402" width="8" style="1532" customWidth="1"/>
    <col min="6403" max="6403" width="6.19921875" style="1532" customWidth="1"/>
    <col min="6404" max="6404" width="8.8984375" style="1532" customWidth="1"/>
    <col min="6405" max="6405" width="9.8984375" style="1532" customWidth="1"/>
    <col min="6406" max="6406" width="8.69921875" style="1532" customWidth="1"/>
    <col min="6407" max="6407" width="8.59765625" style="1532" customWidth="1"/>
    <col min="6408" max="6408" width="8.5" style="1532" customWidth="1"/>
    <col min="6409" max="6409" width="8.09765625" style="1532" customWidth="1"/>
    <col min="6410" max="6410" width="8.3984375" style="1532" customWidth="1"/>
    <col min="6411" max="6411" width="7" style="1532" customWidth="1"/>
    <col min="6412" max="6413" width="9.8984375" style="1532" customWidth="1"/>
    <col min="6414" max="6414" width="14.69921875" style="1532" customWidth="1"/>
    <col min="6415" max="6656" width="12.3984375" style="1532"/>
    <col min="6657" max="6657" width="5.09765625" style="1532" customWidth="1"/>
    <col min="6658" max="6658" width="8" style="1532" customWidth="1"/>
    <col min="6659" max="6659" width="6.19921875" style="1532" customWidth="1"/>
    <col min="6660" max="6660" width="8.8984375" style="1532" customWidth="1"/>
    <col min="6661" max="6661" width="9.8984375" style="1532" customWidth="1"/>
    <col min="6662" max="6662" width="8.69921875" style="1532" customWidth="1"/>
    <col min="6663" max="6663" width="8.59765625" style="1532" customWidth="1"/>
    <col min="6664" max="6664" width="8.5" style="1532" customWidth="1"/>
    <col min="6665" max="6665" width="8.09765625" style="1532" customWidth="1"/>
    <col min="6666" max="6666" width="8.3984375" style="1532" customWidth="1"/>
    <col min="6667" max="6667" width="7" style="1532" customWidth="1"/>
    <col min="6668" max="6669" width="9.8984375" style="1532" customWidth="1"/>
    <col min="6670" max="6670" width="14.69921875" style="1532" customWidth="1"/>
    <col min="6671" max="6912" width="12.3984375" style="1532"/>
    <col min="6913" max="6913" width="5.09765625" style="1532" customWidth="1"/>
    <col min="6914" max="6914" width="8" style="1532" customWidth="1"/>
    <col min="6915" max="6915" width="6.19921875" style="1532" customWidth="1"/>
    <col min="6916" max="6916" width="8.8984375" style="1532" customWidth="1"/>
    <col min="6917" max="6917" width="9.8984375" style="1532" customWidth="1"/>
    <col min="6918" max="6918" width="8.69921875" style="1532" customWidth="1"/>
    <col min="6919" max="6919" width="8.59765625" style="1532" customWidth="1"/>
    <col min="6920" max="6920" width="8.5" style="1532" customWidth="1"/>
    <col min="6921" max="6921" width="8.09765625" style="1532" customWidth="1"/>
    <col min="6922" max="6922" width="8.3984375" style="1532" customWidth="1"/>
    <col min="6923" max="6923" width="7" style="1532" customWidth="1"/>
    <col min="6924" max="6925" width="9.8984375" style="1532" customWidth="1"/>
    <col min="6926" max="6926" width="14.69921875" style="1532" customWidth="1"/>
    <col min="6927" max="7168" width="12.3984375" style="1532"/>
    <col min="7169" max="7169" width="5.09765625" style="1532" customWidth="1"/>
    <col min="7170" max="7170" width="8" style="1532" customWidth="1"/>
    <col min="7171" max="7171" width="6.19921875" style="1532" customWidth="1"/>
    <col min="7172" max="7172" width="8.8984375" style="1532" customWidth="1"/>
    <col min="7173" max="7173" width="9.8984375" style="1532" customWidth="1"/>
    <col min="7174" max="7174" width="8.69921875" style="1532" customWidth="1"/>
    <col min="7175" max="7175" width="8.59765625" style="1532" customWidth="1"/>
    <col min="7176" max="7176" width="8.5" style="1532" customWidth="1"/>
    <col min="7177" max="7177" width="8.09765625" style="1532" customWidth="1"/>
    <col min="7178" max="7178" width="8.3984375" style="1532" customWidth="1"/>
    <col min="7179" max="7179" width="7" style="1532" customWidth="1"/>
    <col min="7180" max="7181" width="9.8984375" style="1532" customWidth="1"/>
    <col min="7182" max="7182" width="14.69921875" style="1532" customWidth="1"/>
    <col min="7183" max="7424" width="12.3984375" style="1532"/>
    <col min="7425" max="7425" width="5.09765625" style="1532" customWidth="1"/>
    <col min="7426" max="7426" width="8" style="1532" customWidth="1"/>
    <col min="7427" max="7427" width="6.19921875" style="1532" customWidth="1"/>
    <col min="7428" max="7428" width="8.8984375" style="1532" customWidth="1"/>
    <col min="7429" max="7429" width="9.8984375" style="1532" customWidth="1"/>
    <col min="7430" max="7430" width="8.69921875" style="1532" customWidth="1"/>
    <col min="7431" max="7431" width="8.59765625" style="1532" customWidth="1"/>
    <col min="7432" max="7432" width="8.5" style="1532" customWidth="1"/>
    <col min="7433" max="7433" width="8.09765625" style="1532" customWidth="1"/>
    <col min="7434" max="7434" width="8.3984375" style="1532" customWidth="1"/>
    <col min="7435" max="7435" width="7" style="1532" customWidth="1"/>
    <col min="7436" max="7437" width="9.8984375" style="1532" customWidth="1"/>
    <col min="7438" max="7438" width="14.69921875" style="1532" customWidth="1"/>
    <col min="7439" max="7680" width="12.3984375" style="1532"/>
    <col min="7681" max="7681" width="5.09765625" style="1532" customWidth="1"/>
    <col min="7682" max="7682" width="8" style="1532" customWidth="1"/>
    <col min="7683" max="7683" width="6.19921875" style="1532" customWidth="1"/>
    <col min="7684" max="7684" width="8.8984375" style="1532" customWidth="1"/>
    <col min="7685" max="7685" width="9.8984375" style="1532" customWidth="1"/>
    <col min="7686" max="7686" width="8.69921875" style="1532" customWidth="1"/>
    <col min="7687" max="7687" width="8.59765625" style="1532" customWidth="1"/>
    <col min="7688" max="7688" width="8.5" style="1532" customWidth="1"/>
    <col min="7689" max="7689" width="8.09765625" style="1532" customWidth="1"/>
    <col min="7690" max="7690" width="8.3984375" style="1532" customWidth="1"/>
    <col min="7691" max="7691" width="7" style="1532" customWidth="1"/>
    <col min="7692" max="7693" width="9.8984375" style="1532" customWidth="1"/>
    <col min="7694" max="7694" width="14.69921875" style="1532" customWidth="1"/>
    <col min="7695" max="7936" width="12.3984375" style="1532"/>
    <col min="7937" max="7937" width="5.09765625" style="1532" customWidth="1"/>
    <col min="7938" max="7938" width="8" style="1532" customWidth="1"/>
    <col min="7939" max="7939" width="6.19921875" style="1532" customWidth="1"/>
    <col min="7940" max="7940" width="8.8984375" style="1532" customWidth="1"/>
    <col min="7941" max="7941" width="9.8984375" style="1532" customWidth="1"/>
    <col min="7942" max="7942" width="8.69921875" style="1532" customWidth="1"/>
    <col min="7943" max="7943" width="8.59765625" style="1532" customWidth="1"/>
    <col min="7944" max="7944" width="8.5" style="1532" customWidth="1"/>
    <col min="7945" max="7945" width="8.09765625" style="1532" customWidth="1"/>
    <col min="7946" max="7946" width="8.3984375" style="1532" customWidth="1"/>
    <col min="7947" max="7947" width="7" style="1532" customWidth="1"/>
    <col min="7948" max="7949" width="9.8984375" style="1532" customWidth="1"/>
    <col min="7950" max="7950" width="14.69921875" style="1532" customWidth="1"/>
    <col min="7951" max="8192" width="12.3984375" style="1532"/>
    <col min="8193" max="8193" width="5.09765625" style="1532" customWidth="1"/>
    <col min="8194" max="8194" width="8" style="1532" customWidth="1"/>
    <col min="8195" max="8195" width="6.19921875" style="1532" customWidth="1"/>
    <col min="8196" max="8196" width="8.8984375" style="1532" customWidth="1"/>
    <col min="8197" max="8197" width="9.8984375" style="1532" customWidth="1"/>
    <col min="8198" max="8198" width="8.69921875" style="1532" customWidth="1"/>
    <col min="8199" max="8199" width="8.59765625" style="1532" customWidth="1"/>
    <col min="8200" max="8200" width="8.5" style="1532" customWidth="1"/>
    <col min="8201" max="8201" width="8.09765625" style="1532" customWidth="1"/>
    <col min="8202" max="8202" width="8.3984375" style="1532" customWidth="1"/>
    <col min="8203" max="8203" width="7" style="1532" customWidth="1"/>
    <col min="8204" max="8205" width="9.8984375" style="1532" customWidth="1"/>
    <col min="8206" max="8206" width="14.69921875" style="1532" customWidth="1"/>
    <col min="8207" max="8448" width="12.3984375" style="1532"/>
    <col min="8449" max="8449" width="5.09765625" style="1532" customWidth="1"/>
    <col min="8450" max="8450" width="8" style="1532" customWidth="1"/>
    <col min="8451" max="8451" width="6.19921875" style="1532" customWidth="1"/>
    <col min="8452" max="8452" width="8.8984375" style="1532" customWidth="1"/>
    <col min="8453" max="8453" width="9.8984375" style="1532" customWidth="1"/>
    <col min="8454" max="8454" width="8.69921875" style="1532" customWidth="1"/>
    <col min="8455" max="8455" width="8.59765625" style="1532" customWidth="1"/>
    <col min="8456" max="8456" width="8.5" style="1532" customWidth="1"/>
    <col min="8457" max="8457" width="8.09765625" style="1532" customWidth="1"/>
    <col min="8458" max="8458" width="8.3984375" style="1532" customWidth="1"/>
    <col min="8459" max="8459" width="7" style="1532" customWidth="1"/>
    <col min="8460" max="8461" width="9.8984375" style="1532" customWidth="1"/>
    <col min="8462" max="8462" width="14.69921875" style="1532" customWidth="1"/>
    <col min="8463" max="8704" width="12.3984375" style="1532"/>
    <col min="8705" max="8705" width="5.09765625" style="1532" customWidth="1"/>
    <col min="8706" max="8706" width="8" style="1532" customWidth="1"/>
    <col min="8707" max="8707" width="6.19921875" style="1532" customWidth="1"/>
    <col min="8708" max="8708" width="8.8984375" style="1532" customWidth="1"/>
    <col min="8709" max="8709" width="9.8984375" style="1532" customWidth="1"/>
    <col min="8710" max="8710" width="8.69921875" style="1532" customWidth="1"/>
    <col min="8711" max="8711" width="8.59765625" style="1532" customWidth="1"/>
    <col min="8712" max="8712" width="8.5" style="1532" customWidth="1"/>
    <col min="8713" max="8713" width="8.09765625" style="1532" customWidth="1"/>
    <col min="8714" max="8714" width="8.3984375" style="1532" customWidth="1"/>
    <col min="8715" max="8715" width="7" style="1532" customWidth="1"/>
    <col min="8716" max="8717" width="9.8984375" style="1532" customWidth="1"/>
    <col min="8718" max="8718" width="14.69921875" style="1532" customWidth="1"/>
    <col min="8719" max="8960" width="12.3984375" style="1532"/>
    <col min="8961" max="8961" width="5.09765625" style="1532" customWidth="1"/>
    <col min="8962" max="8962" width="8" style="1532" customWidth="1"/>
    <col min="8963" max="8963" width="6.19921875" style="1532" customWidth="1"/>
    <col min="8964" max="8964" width="8.8984375" style="1532" customWidth="1"/>
    <col min="8965" max="8965" width="9.8984375" style="1532" customWidth="1"/>
    <col min="8966" max="8966" width="8.69921875" style="1532" customWidth="1"/>
    <col min="8967" max="8967" width="8.59765625" style="1532" customWidth="1"/>
    <col min="8968" max="8968" width="8.5" style="1532" customWidth="1"/>
    <col min="8969" max="8969" width="8.09765625" style="1532" customWidth="1"/>
    <col min="8970" max="8970" width="8.3984375" style="1532" customWidth="1"/>
    <col min="8971" max="8971" width="7" style="1532" customWidth="1"/>
    <col min="8972" max="8973" width="9.8984375" style="1532" customWidth="1"/>
    <col min="8974" max="8974" width="14.69921875" style="1532" customWidth="1"/>
    <col min="8975" max="9216" width="12.3984375" style="1532"/>
    <col min="9217" max="9217" width="5.09765625" style="1532" customWidth="1"/>
    <col min="9218" max="9218" width="8" style="1532" customWidth="1"/>
    <col min="9219" max="9219" width="6.19921875" style="1532" customWidth="1"/>
    <col min="9220" max="9220" width="8.8984375" style="1532" customWidth="1"/>
    <col min="9221" max="9221" width="9.8984375" style="1532" customWidth="1"/>
    <col min="9222" max="9222" width="8.69921875" style="1532" customWidth="1"/>
    <col min="9223" max="9223" width="8.59765625" style="1532" customWidth="1"/>
    <col min="9224" max="9224" width="8.5" style="1532" customWidth="1"/>
    <col min="9225" max="9225" width="8.09765625" style="1532" customWidth="1"/>
    <col min="9226" max="9226" width="8.3984375" style="1532" customWidth="1"/>
    <col min="9227" max="9227" width="7" style="1532" customWidth="1"/>
    <col min="9228" max="9229" width="9.8984375" style="1532" customWidth="1"/>
    <col min="9230" max="9230" width="14.69921875" style="1532" customWidth="1"/>
    <col min="9231" max="9472" width="12.3984375" style="1532"/>
    <col min="9473" max="9473" width="5.09765625" style="1532" customWidth="1"/>
    <col min="9474" max="9474" width="8" style="1532" customWidth="1"/>
    <col min="9475" max="9475" width="6.19921875" style="1532" customWidth="1"/>
    <col min="9476" max="9476" width="8.8984375" style="1532" customWidth="1"/>
    <col min="9477" max="9477" width="9.8984375" style="1532" customWidth="1"/>
    <col min="9478" max="9478" width="8.69921875" style="1532" customWidth="1"/>
    <col min="9479" max="9479" width="8.59765625" style="1532" customWidth="1"/>
    <col min="9480" max="9480" width="8.5" style="1532" customWidth="1"/>
    <col min="9481" max="9481" width="8.09765625" style="1532" customWidth="1"/>
    <col min="9482" max="9482" width="8.3984375" style="1532" customWidth="1"/>
    <col min="9483" max="9483" width="7" style="1532" customWidth="1"/>
    <col min="9484" max="9485" width="9.8984375" style="1532" customWidth="1"/>
    <col min="9486" max="9486" width="14.69921875" style="1532" customWidth="1"/>
    <col min="9487" max="9728" width="12.3984375" style="1532"/>
    <col min="9729" max="9729" width="5.09765625" style="1532" customWidth="1"/>
    <col min="9730" max="9730" width="8" style="1532" customWidth="1"/>
    <col min="9731" max="9731" width="6.19921875" style="1532" customWidth="1"/>
    <col min="9732" max="9732" width="8.8984375" style="1532" customWidth="1"/>
    <col min="9733" max="9733" width="9.8984375" style="1532" customWidth="1"/>
    <col min="9734" max="9734" width="8.69921875" style="1532" customWidth="1"/>
    <col min="9735" max="9735" width="8.59765625" style="1532" customWidth="1"/>
    <col min="9736" max="9736" width="8.5" style="1532" customWidth="1"/>
    <col min="9737" max="9737" width="8.09765625" style="1532" customWidth="1"/>
    <col min="9738" max="9738" width="8.3984375" style="1532" customWidth="1"/>
    <col min="9739" max="9739" width="7" style="1532" customWidth="1"/>
    <col min="9740" max="9741" width="9.8984375" style="1532" customWidth="1"/>
    <col min="9742" max="9742" width="14.69921875" style="1532" customWidth="1"/>
    <col min="9743" max="9984" width="12.3984375" style="1532"/>
    <col min="9985" max="9985" width="5.09765625" style="1532" customWidth="1"/>
    <col min="9986" max="9986" width="8" style="1532" customWidth="1"/>
    <col min="9987" max="9987" width="6.19921875" style="1532" customWidth="1"/>
    <col min="9988" max="9988" width="8.8984375" style="1532" customWidth="1"/>
    <col min="9989" max="9989" width="9.8984375" style="1532" customWidth="1"/>
    <col min="9990" max="9990" width="8.69921875" style="1532" customWidth="1"/>
    <col min="9991" max="9991" width="8.59765625" style="1532" customWidth="1"/>
    <col min="9992" max="9992" width="8.5" style="1532" customWidth="1"/>
    <col min="9993" max="9993" width="8.09765625" style="1532" customWidth="1"/>
    <col min="9994" max="9994" width="8.3984375" style="1532" customWidth="1"/>
    <col min="9995" max="9995" width="7" style="1532" customWidth="1"/>
    <col min="9996" max="9997" width="9.8984375" style="1532" customWidth="1"/>
    <col min="9998" max="9998" width="14.69921875" style="1532" customWidth="1"/>
    <col min="9999" max="10240" width="12.3984375" style="1532"/>
    <col min="10241" max="10241" width="5.09765625" style="1532" customWidth="1"/>
    <col min="10242" max="10242" width="8" style="1532" customWidth="1"/>
    <col min="10243" max="10243" width="6.19921875" style="1532" customWidth="1"/>
    <col min="10244" max="10244" width="8.8984375" style="1532" customWidth="1"/>
    <col min="10245" max="10245" width="9.8984375" style="1532" customWidth="1"/>
    <col min="10246" max="10246" width="8.69921875" style="1532" customWidth="1"/>
    <col min="10247" max="10247" width="8.59765625" style="1532" customWidth="1"/>
    <col min="10248" max="10248" width="8.5" style="1532" customWidth="1"/>
    <col min="10249" max="10249" width="8.09765625" style="1532" customWidth="1"/>
    <col min="10250" max="10250" width="8.3984375" style="1532" customWidth="1"/>
    <col min="10251" max="10251" width="7" style="1532" customWidth="1"/>
    <col min="10252" max="10253" width="9.8984375" style="1532" customWidth="1"/>
    <col min="10254" max="10254" width="14.69921875" style="1532" customWidth="1"/>
    <col min="10255" max="10496" width="12.3984375" style="1532"/>
    <col min="10497" max="10497" width="5.09765625" style="1532" customWidth="1"/>
    <col min="10498" max="10498" width="8" style="1532" customWidth="1"/>
    <col min="10499" max="10499" width="6.19921875" style="1532" customWidth="1"/>
    <col min="10500" max="10500" width="8.8984375" style="1532" customWidth="1"/>
    <col min="10501" max="10501" width="9.8984375" style="1532" customWidth="1"/>
    <col min="10502" max="10502" width="8.69921875" style="1532" customWidth="1"/>
    <col min="10503" max="10503" width="8.59765625" style="1532" customWidth="1"/>
    <col min="10504" max="10504" width="8.5" style="1532" customWidth="1"/>
    <col min="10505" max="10505" width="8.09765625" style="1532" customWidth="1"/>
    <col min="10506" max="10506" width="8.3984375" style="1532" customWidth="1"/>
    <col min="10507" max="10507" width="7" style="1532" customWidth="1"/>
    <col min="10508" max="10509" width="9.8984375" style="1532" customWidth="1"/>
    <col min="10510" max="10510" width="14.69921875" style="1532" customWidth="1"/>
    <col min="10511" max="10752" width="12.3984375" style="1532"/>
    <col min="10753" max="10753" width="5.09765625" style="1532" customWidth="1"/>
    <col min="10754" max="10754" width="8" style="1532" customWidth="1"/>
    <col min="10755" max="10755" width="6.19921875" style="1532" customWidth="1"/>
    <col min="10756" max="10756" width="8.8984375" style="1532" customWidth="1"/>
    <col min="10757" max="10757" width="9.8984375" style="1532" customWidth="1"/>
    <col min="10758" max="10758" width="8.69921875" style="1532" customWidth="1"/>
    <col min="10759" max="10759" width="8.59765625" style="1532" customWidth="1"/>
    <col min="10760" max="10760" width="8.5" style="1532" customWidth="1"/>
    <col min="10761" max="10761" width="8.09765625" style="1532" customWidth="1"/>
    <col min="10762" max="10762" width="8.3984375" style="1532" customWidth="1"/>
    <col min="10763" max="10763" width="7" style="1532" customWidth="1"/>
    <col min="10764" max="10765" width="9.8984375" style="1532" customWidth="1"/>
    <col min="10766" max="10766" width="14.69921875" style="1532" customWidth="1"/>
    <col min="10767" max="11008" width="12.3984375" style="1532"/>
    <col min="11009" max="11009" width="5.09765625" style="1532" customWidth="1"/>
    <col min="11010" max="11010" width="8" style="1532" customWidth="1"/>
    <col min="11011" max="11011" width="6.19921875" style="1532" customWidth="1"/>
    <col min="11012" max="11012" width="8.8984375" style="1532" customWidth="1"/>
    <col min="11013" max="11013" width="9.8984375" style="1532" customWidth="1"/>
    <col min="11014" max="11014" width="8.69921875" style="1532" customWidth="1"/>
    <col min="11015" max="11015" width="8.59765625" style="1532" customWidth="1"/>
    <col min="11016" max="11016" width="8.5" style="1532" customWidth="1"/>
    <col min="11017" max="11017" width="8.09765625" style="1532" customWidth="1"/>
    <col min="11018" max="11018" width="8.3984375" style="1532" customWidth="1"/>
    <col min="11019" max="11019" width="7" style="1532" customWidth="1"/>
    <col min="11020" max="11021" width="9.8984375" style="1532" customWidth="1"/>
    <col min="11022" max="11022" width="14.69921875" style="1532" customWidth="1"/>
    <col min="11023" max="11264" width="12.3984375" style="1532"/>
    <col min="11265" max="11265" width="5.09765625" style="1532" customWidth="1"/>
    <col min="11266" max="11266" width="8" style="1532" customWidth="1"/>
    <col min="11267" max="11267" width="6.19921875" style="1532" customWidth="1"/>
    <col min="11268" max="11268" width="8.8984375" style="1532" customWidth="1"/>
    <col min="11269" max="11269" width="9.8984375" style="1532" customWidth="1"/>
    <col min="11270" max="11270" width="8.69921875" style="1532" customWidth="1"/>
    <col min="11271" max="11271" width="8.59765625" style="1532" customWidth="1"/>
    <col min="11272" max="11272" width="8.5" style="1532" customWidth="1"/>
    <col min="11273" max="11273" width="8.09765625" style="1532" customWidth="1"/>
    <col min="11274" max="11274" width="8.3984375" style="1532" customWidth="1"/>
    <col min="11275" max="11275" width="7" style="1532" customWidth="1"/>
    <col min="11276" max="11277" width="9.8984375" style="1532" customWidth="1"/>
    <col min="11278" max="11278" width="14.69921875" style="1532" customWidth="1"/>
    <col min="11279" max="11520" width="12.3984375" style="1532"/>
    <col min="11521" max="11521" width="5.09765625" style="1532" customWidth="1"/>
    <col min="11522" max="11522" width="8" style="1532" customWidth="1"/>
    <col min="11523" max="11523" width="6.19921875" style="1532" customWidth="1"/>
    <col min="11524" max="11524" width="8.8984375" style="1532" customWidth="1"/>
    <col min="11525" max="11525" width="9.8984375" style="1532" customWidth="1"/>
    <col min="11526" max="11526" width="8.69921875" style="1532" customWidth="1"/>
    <col min="11527" max="11527" width="8.59765625" style="1532" customWidth="1"/>
    <col min="11528" max="11528" width="8.5" style="1532" customWidth="1"/>
    <col min="11529" max="11529" width="8.09765625" style="1532" customWidth="1"/>
    <col min="11530" max="11530" width="8.3984375" style="1532" customWidth="1"/>
    <col min="11531" max="11531" width="7" style="1532" customWidth="1"/>
    <col min="11532" max="11533" width="9.8984375" style="1532" customWidth="1"/>
    <col min="11534" max="11534" width="14.69921875" style="1532" customWidth="1"/>
    <col min="11535" max="11776" width="12.3984375" style="1532"/>
    <col min="11777" max="11777" width="5.09765625" style="1532" customWidth="1"/>
    <col min="11778" max="11778" width="8" style="1532" customWidth="1"/>
    <col min="11779" max="11779" width="6.19921875" style="1532" customWidth="1"/>
    <col min="11780" max="11780" width="8.8984375" style="1532" customWidth="1"/>
    <col min="11781" max="11781" width="9.8984375" style="1532" customWidth="1"/>
    <col min="11782" max="11782" width="8.69921875" style="1532" customWidth="1"/>
    <col min="11783" max="11783" width="8.59765625" style="1532" customWidth="1"/>
    <col min="11784" max="11784" width="8.5" style="1532" customWidth="1"/>
    <col min="11785" max="11785" width="8.09765625" style="1532" customWidth="1"/>
    <col min="11786" max="11786" width="8.3984375" style="1532" customWidth="1"/>
    <col min="11787" max="11787" width="7" style="1532" customWidth="1"/>
    <col min="11788" max="11789" width="9.8984375" style="1532" customWidth="1"/>
    <col min="11790" max="11790" width="14.69921875" style="1532" customWidth="1"/>
    <col min="11791" max="12032" width="12.3984375" style="1532"/>
    <col min="12033" max="12033" width="5.09765625" style="1532" customWidth="1"/>
    <col min="12034" max="12034" width="8" style="1532" customWidth="1"/>
    <col min="12035" max="12035" width="6.19921875" style="1532" customWidth="1"/>
    <col min="12036" max="12036" width="8.8984375" style="1532" customWidth="1"/>
    <col min="12037" max="12037" width="9.8984375" style="1532" customWidth="1"/>
    <col min="12038" max="12038" width="8.69921875" style="1532" customWidth="1"/>
    <col min="12039" max="12039" width="8.59765625" style="1532" customWidth="1"/>
    <col min="12040" max="12040" width="8.5" style="1532" customWidth="1"/>
    <col min="12041" max="12041" width="8.09765625" style="1532" customWidth="1"/>
    <col min="12042" max="12042" width="8.3984375" style="1532" customWidth="1"/>
    <col min="12043" max="12043" width="7" style="1532" customWidth="1"/>
    <col min="12044" max="12045" width="9.8984375" style="1532" customWidth="1"/>
    <col min="12046" max="12046" width="14.69921875" style="1532" customWidth="1"/>
    <col min="12047" max="12288" width="12.3984375" style="1532"/>
    <col min="12289" max="12289" width="5.09765625" style="1532" customWidth="1"/>
    <col min="12290" max="12290" width="8" style="1532" customWidth="1"/>
    <col min="12291" max="12291" width="6.19921875" style="1532" customWidth="1"/>
    <col min="12292" max="12292" width="8.8984375" style="1532" customWidth="1"/>
    <col min="12293" max="12293" width="9.8984375" style="1532" customWidth="1"/>
    <col min="12294" max="12294" width="8.69921875" style="1532" customWidth="1"/>
    <col min="12295" max="12295" width="8.59765625" style="1532" customWidth="1"/>
    <col min="12296" max="12296" width="8.5" style="1532" customWidth="1"/>
    <col min="12297" max="12297" width="8.09765625" style="1532" customWidth="1"/>
    <col min="12298" max="12298" width="8.3984375" style="1532" customWidth="1"/>
    <col min="12299" max="12299" width="7" style="1532" customWidth="1"/>
    <col min="12300" max="12301" width="9.8984375" style="1532" customWidth="1"/>
    <col min="12302" max="12302" width="14.69921875" style="1532" customWidth="1"/>
    <col min="12303" max="12544" width="12.3984375" style="1532"/>
    <col min="12545" max="12545" width="5.09765625" style="1532" customWidth="1"/>
    <col min="12546" max="12546" width="8" style="1532" customWidth="1"/>
    <col min="12547" max="12547" width="6.19921875" style="1532" customWidth="1"/>
    <col min="12548" max="12548" width="8.8984375" style="1532" customWidth="1"/>
    <col min="12549" max="12549" width="9.8984375" style="1532" customWidth="1"/>
    <col min="12550" max="12550" width="8.69921875" style="1532" customWidth="1"/>
    <col min="12551" max="12551" width="8.59765625" style="1532" customWidth="1"/>
    <col min="12552" max="12552" width="8.5" style="1532" customWidth="1"/>
    <col min="12553" max="12553" width="8.09765625" style="1532" customWidth="1"/>
    <col min="12554" max="12554" width="8.3984375" style="1532" customWidth="1"/>
    <col min="12555" max="12555" width="7" style="1532" customWidth="1"/>
    <col min="12556" max="12557" width="9.8984375" style="1532" customWidth="1"/>
    <col min="12558" max="12558" width="14.69921875" style="1532" customWidth="1"/>
    <col min="12559" max="12800" width="12.3984375" style="1532"/>
    <col min="12801" max="12801" width="5.09765625" style="1532" customWidth="1"/>
    <col min="12802" max="12802" width="8" style="1532" customWidth="1"/>
    <col min="12803" max="12803" width="6.19921875" style="1532" customWidth="1"/>
    <col min="12804" max="12804" width="8.8984375" style="1532" customWidth="1"/>
    <col min="12805" max="12805" width="9.8984375" style="1532" customWidth="1"/>
    <col min="12806" max="12806" width="8.69921875" style="1532" customWidth="1"/>
    <col min="12807" max="12807" width="8.59765625" style="1532" customWidth="1"/>
    <col min="12808" max="12808" width="8.5" style="1532" customWidth="1"/>
    <col min="12809" max="12809" width="8.09765625" style="1532" customWidth="1"/>
    <col min="12810" max="12810" width="8.3984375" style="1532" customWidth="1"/>
    <col min="12811" max="12811" width="7" style="1532" customWidth="1"/>
    <col min="12812" max="12813" width="9.8984375" style="1532" customWidth="1"/>
    <col min="12814" max="12814" width="14.69921875" style="1532" customWidth="1"/>
    <col min="12815" max="13056" width="12.3984375" style="1532"/>
    <col min="13057" max="13057" width="5.09765625" style="1532" customWidth="1"/>
    <col min="13058" max="13058" width="8" style="1532" customWidth="1"/>
    <col min="13059" max="13059" width="6.19921875" style="1532" customWidth="1"/>
    <col min="13060" max="13060" width="8.8984375" style="1532" customWidth="1"/>
    <col min="13061" max="13061" width="9.8984375" style="1532" customWidth="1"/>
    <col min="13062" max="13062" width="8.69921875" style="1532" customWidth="1"/>
    <col min="13063" max="13063" width="8.59765625" style="1532" customWidth="1"/>
    <col min="13064" max="13064" width="8.5" style="1532" customWidth="1"/>
    <col min="13065" max="13065" width="8.09765625" style="1532" customWidth="1"/>
    <col min="13066" max="13066" width="8.3984375" style="1532" customWidth="1"/>
    <col min="13067" max="13067" width="7" style="1532" customWidth="1"/>
    <col min="13068" max="13069" width="9.8984375" style="1532" customWidth="1"/>
    <col min="13070" max="13070" width="14.69921875" style="1532" customWidth="1"/>
    <col min="13071" max="13312" width="12.3984375" style="1532"/>
    <col min="13313" max="13313" width="5.09765625" style="1532" customWidth="1"/>
    <col min="13314" max="13314" width="8" style="1532" customWidth="1"/>
    <col min="13315" max="13315" width="6.19921875" style="1532" customWidth="1"/>
    <col min="13316" max="13316" width="8.8984375" style="1532" customWidth="1"/>
    <col min="13317" max="13317" width="9.8984375" style="1532" customWidth="1"/>
    <col min="13318" max="13318" width="8.69921875" style="1532" customWidth="1"/>
    <col min="13319" max="13319" width="8.59765625" style="1532" customWidth="1"/>
    <col min="13320" max="13320" width="8.5" style="1532" customWidth="1"/>
    <col min="13321" max="13321" width="8.09765625" style="1532" customWidth="1"/>
    <col min="13322" max="13322" width="8.3984375" style="1532" customWidth="1"/>
    <col min="13323" max="13323" width="7" style="1532" customWidth="1"/>
    <col min="13324" max="13325" width="9.8984375" style="1532" customWidth="1"/>
    <col min="13326" max="13326" width="14.69921875" style="1532" customWidth="1"/>
    <col min="13327" max="13568" width="12.3984375" style="1532"/>
    <col min="13569" max="13569" width="5.09765625" style="1532" customWidth="1"/>
    <col min="13570" max="13570" width="8" style="1532" customWidth="1"/>
    <col min="13571" max="13571" width="6.19921875" style="1532" customWidth="1"/>
    <col min="13572" max="13572" width="8.8984375" style="1532" customWidth="1"/>
    <col min="13573" max="13573" width="9.8984375" style="1532" customWidth="1"/>
    <col min="13574" max="13574" width="8.69921875" style="1532" customWidth="1"/>
    <col min="13575" max="13575" width="8.59765625" style="1532" customWidth="1"/>
    <col min="13576" max="13576" width="8.5" style="1532" customWidth="1"/>
    <col min="13577" max="13577" width="8.09765625" style="1532" customWidth="1"/>
    <col min="13578" max="13578" width="8.3984375" style="1532" customWidth="1"/>
    <col min="13579" max="13579" width="7" style="1532" customWidth="1"/>
    <col min="13580" max="13581" width="9.8984375" style="1532" customWidth="1"/>
    <col min="13582" max="13582" width="14.69921875" style="1532" customWidth="1"/>
    <col min="13583" max="13824" width="12.3984375" style="1532"/>
    <col min="13825" max="13825" width="5.09765625" style="1532" customWidth="1"/>
    <col min="13826" max="13826" width="8" style="1532" customWidth="1"/>
    <col min="13827" max="13827" width="6.19921875" style="1532" customWidth="1"/>
    <col min="13828" max="13828" width="8.8984375" style="1532" customWidth="1"/>
    <col min="13829" max="13829" width="9.8984375" style="1532" customWidth="1"/>
    <col min="13830" max="13830" width="8.69921875" style="1532" customWidth="1"/>
    <col min="13831" max="13831" width="8.59765625" style="1532" customWidth="1"/>
    <col min="13832" max="13832" width="8.5" style="1532" customWidth="1"/>
    <col min="13833" max="13833" width="8.09765625" style="1532" customWidth="1"/>
    <col min="13834" max="13834" width="8.3984375" style="1532" customWidth="1"/>
    <col min="13835" max="13835" width="7" style="1532" customWidth="1"/>
    <col min="13836" max="13837" width="9.8984375" style="1532" customWidth="1"/>
    <col min="13838" max="13838" width="14.69921875" style="1532" customWidth="1"/>
    <col min="13839" max="14080" width="12.3984375" style="1532"/>
    <col min="14081" max="14081" width="5.09765625" style="1532" customWidth="1"/>
    <col min="14082" max="14082" width="8" style="1532" customWidth="1"/>
    <col min="14083" max="14083" width="6.19921875" style="1532" customWidth="1"/>
    <col min="14084" max="14084" width="8.8984375" style="1532" customWidth="1"/>
    <col min="14085" max="14085" width="9.8984375" style="1532" customWidth="1"/>
    <col min="14086" max="14086" width="8.69921875" style="1532" customWidth="1"/>
    <col min="14087" max="14087" width="8.59765625" style="1532" customWidth="1"/>
    <col min="14088" max="14088" width="8.5" style="1532" customWidth="1"/>
    <col min="14089" max="14089" width="8.09765625" style="1532" customWidth="1"/>
    <col min="14090" max="14090" width="8.3984375" style="1532" customWidth="1"/>
    <col min="14091" max="14091" width="7" style="1532" customWidth="1"/>
    <col min="14092" max="14093" width="9.8984375" style="1532" customWidth="1"/>
    <col min="14094" max="14094" width="14.69921875" style="1532" customWidth="1"/>
    <col min="14095" max="14336" width="12.3984375" style="1532"/>
    <col min="14337" max="14337" width="5.09765625" style="1532" customWidth="1"/>
    <col min="14338" max="14338" width="8" style="1532" customWidth="1"/>
    <col min="14339" max="14339" width="6.19921875" style="1532" customWidth="1"/>
    <col min="14340" max="14340" width="8.8984375" style="1532" customWidth="1"/>
    <col min="14341" max="14341" width="9.8984375" style="1532" customWidth="1"/>
    <col min="14342" max="14342" width="8.69921875" style="1532" customWidth="1"/>
    <col min="14343" max="14343" width="8.59765625" style="1532" customWidth="1"/>
    <col min="14344" max="14344" width="8.5" style="1532" customWidth="1"/>
    <col min="14345" max="14345" width="8.09765625" style="1532" customWidth="1"/>
    <col min="14346" max="14346" width="8.3984375" style="1532" customWidth="1"/>
    <col min="14347" max="14347" width="7" style="1532" customWidth="1"/>
    <col min="14348" max="14349" width="9.8984375" style="1532" customWidth="1"/>
    <col min="14350" max="14350" width="14.69921875" style="1532" customWidth="1"/>
    <col min="14351" max="14592" width="12.3984375" style="1532"/>
    <col min="14593" max="14593" width="5.09765625" style="1532" customWidth="1"/>
    <col min="14594" max="14594" width="8" style="1532" customWidth="1"/>
    <col min="14595" max="14595" width="6.19921875" style="1532" customWidth="1"/>
    <col min="14596" max="14596" width="8.8984375" style="1532" customWidth="1"/>
    <col min="14597" max="14597" width="9.8984375" style="1532" customWidth="1"/>
    <col min="14598" max="14598" width="8.69921875" style="1532" customWidth="1"/>
    <col min="14599" max="14599" width="8.59765625" style="1532" customWidth="1"/>
    <col min="14600" max="14600" width="8.5" style="1532" customWidth="1"/>
    <col min="14601" max="14601" width="8.09765625" style="1532" customWidth="1"/>
    <col min="14602" max="14602" width="8.3984375" style="1532" customWidth="1"/>
    <col min="14603" max="14603" width="7" style="1532" customWidth="1"/>
    <col min="14604" max="14605" width="9.8984375" style="1532" customWidth="1"/>
    <col min="14606" max="14606" width="14.69921875" style="1532" customWidth="1"/>
    <col min="14607" max="14848" width="12.3984375" style="1532"/>
    <col min="14849" max="14849" width="5.09765625" style="1532" customWidth="1"/>
    <col min="14850" max="14850" width="8" style="1532" customWidth="1"/>
    <col min="14851" max="14851" width="6.19921875" style="1532" customWidth="1"/>
    <col min="14852" max="14852" width="8.8984375" style="1532" customWidth="1"/>
    <col min="14853" max="14853" width="9.8984375" style="1532" customWidth="1"/>
    <col min="14854" max="14854" width="8.69921875" style="1532" customWidth="1"/>
    <col min="14855" max="14855" width="8.59765625" style="1532" customWidth="1"/>
    <col min="14856" max="14856" width="8.5" style="1532" customWidth="1"/>
    <col min="14857" max="14857" width="8.09765625" style="1532" customWidth="1"/>
    <col min="14858" max="14858" width="8.3984375" style="1532" customWidth="1"/>
    <col min="14859" max="14859" width="7" style="1532" customWidth="1"/>
    <col min="14860" max="14861" width="9.8984375" style="1532" customWidth="1"/>
    <col min="14862" max="14862" width="14.69921875" style="1532" customWidth="1"/>
    <col min="14863" max="15104" width="12.3984375" style="1532"/>
    <col min="15105" max="15105" width="5.09765625" style="1532" customWidth="1"/>
    <col min="15106" max="15106" width="8" style="1532" customWidth="1"/>
    <col min="15107" max="15107" width="6.19921875" style="1532" customWidth="1"/>
    <col min="15108" max="15108" width="8.8984375" style="1532" customWidth="1"/>
    <col min="15109" max="15109" width="9.8984375" style="1532" customWidth="1"/>
    <col min="15110" max="15110" width="8.69921875" style="1532" customWidth="1"/>
    <col min="15111" max="15111" width="8.59765625" style="1532" customWidth="1"/>
    <col min="15112" max="15112" width="8.5" style="1532" customWidth="1"/>
    <col min="15113" max="15113" width="8.09765625" style="1532" customWidth="1"/>
    <col min="15114" max="15114" width="8.3984375" style="1532" customWidth="1"/>
    <col min="15115" max="15115" width="7" style="1532" customWidth="1"/>
    <col min="15116" max="15117" width="9.8984375" style="1532" customWidth="1"/>
    <col min="15118" max="15118" width="14.69921875" style="1532" customWidth="1"/>
    <col min="15119" max="15360" width="12.3984375" style="1532"/>
    <col min="15361" max="15361" width="5.09765625" style="1532" customWidth="1"/>
    <col min="15362" max="15362" width="8" style="1532" customWidth="1"/>
    <col min="15363" max="15363" width="6.19921875" style="1532" customWidth="1"/>
    <col min="15364" max="15364" width="8.8984375" style="1532" customWidth="1"/>
    <col min="15365" max="15365" width="9.8984375" style="1532" customWidth="1"/>
    <col min="15366" max="15366" width="8.69921875" style="1532" customWidth="1"/>
    <col min="15367" max="15367" width="8.59765625" style="1532" customWidth="1"/>
    <col min="15368" max="15368" width="8.5" style="1532" customWidth="1"/>
    <col min="15369" max="15369" width="8.09765625" style="1532" customWidth="1"/>
    <col min="15370" max="15370" width="8.3984375" style="1532" customWidth="1"/>
    <col min="15371" max="15371" width="7" style="1532" customWidth="1"/>
    <col min="15372" max="15373" width="9.8984375" style="1532" customWidth="1"/>
    <col min="15374" max="15374" width="14.69921875" style="1532" customWidth="1"/>
    <col min="15375" max="15616" width="12.3984375" style="1532"/>
    <col min="15617" max="15617" width="5.09765625" style="1532" customWidth="1"/>
    <col min="15618" max="15618" width="8" style="1532" customWidth="1"/>
    <col min="15619" max="15619" width="6.19921875" style="1532" customWidth="1"/>
    <col min="15620" max="15620" width="8.8984375" style="1532" customWidth="1"/>
    <col min="15621" max="15621" width="9.8984375" style="1532" customWidth="1"/>
    <col min="15622" max="15622" width="8.69921875" style="1532" customWidth="1"/>
    <col min="15623" max="15623" width="8.59765625" style="1532" customWidth="1"/>
    <col min="15624" max="15624" width="8.5" style="1532" customWidth="1"/>
    <col min="15625" max="15625" width="8.09765625" style="1532" customWidth="1"/>
    <col min="15626" max="15626" width="8.3984375" style="1532" customWidth="1"/>
    <col min="15627" max="15627" width="7" style="1532" customWidth="1"/>
    <col min="15628" max="15629" width="9.8984375" style="1532" customWidth="1"/>
    <col min="15630" max="15630" width="14.69921875" style="1532" customWidth="1"/>
    <col min="15631" max="15872" width="12.3984375" style="1532"/>
    <col min="15873" max="15873" width="5.09765625" style="1532" customWidth="1"/>
    <col min="15874" max="15874" width="8" style="1532" customWidth="1"/>
    <col min="15875" max="15875" width="6.19921875" style="1532" customWidth="1"/>
    <col min="15876" max="15876" width="8.8984375" style="1532" customWidth="1"/>
    <col min="15877" max="15877" width="9.8984375" style="1532" customWidth="1"/>
    <col min="15878" max="15878" width="8.69921875" style="1532" customWidth="1"/>
    <col min="15879" max="15879" width="8.59765625" style="1532" customWidth="1"/>
    <col min="15880" max="15880" width="8.5" style="1532" customWidth="1"/>
    <col min="15881" max="15881" width="8.09765625" style="1532" customWidth="1"/>
    <col min="15882" max="15882" width="8.3984375" style="1532" customWidth="1"/>
    <col min="15883" max="15883" width="7" style="1532" customWidth="1"/>
    <col min="15884" max="15885" width="9.8984375" style="1532" customWidth="1"/>
    <col min="15886" max="15886" width="14.69921875" style="1532" customWidth="1"/>
    <col min="15887" max="16128" width="12.3984375" style="1532"/>
    <col min="16129" max="16129" width="5.09765625" style="1532" customWidth="1"/>
    <col min="16130" max="16130" width="8" style="1532" customWidth="1"/>
    <col min="16131" max="16131" width="6.19921875" style="1532" customWidth="1"/>
    <col min="16132" max="16132" width="8.8984375" style="1532" customWidth="1"/>
    <col min="16133" max="16133" width="9.8984375" style="1532" customWidth="1"/>
    <col min="16134" max="16134" width="8.69921875" style="1532" customWidth="1"/>
    <col min="16135" max="16135" width="8.59765625" style="1532" customWidth="1"/>
    <col min="16136" max="16136" width="8.5" style="1532" customWidth="1"/>
    <col min="16137" max="16137" width="8.09765625" style="1532" customWidth="1"/>
    <col min="16138" max="16138" width="8.3984375" style="1532" customWidth="1"/>
    <col min="16139" max="16139" width="7" style="1532" customWidth="1"/>
    <col min="16140" max="16141" width="9.8984375" style="1532" customWidth="1"/>
    <col min="16142" max="16142" width="14.69921875" style="1532" customWidth="1"/>
    <col min="16143" max="16384" width="12.3984375" style="1532"/>
  </cols>
  <sheetData>
    <row r="1" spans="1:15" s="1533" customFormat="1" ht="20.100000000000001" customHeight="1">
      <c r="A1" s="3378" t="s">
        <v>5480</v>
      </c>
      <c r="B1" s="3378"/>
      <c r="C1" s="3378"/>
      <c r="D1" s="3378"/>
      <c r="E1" s="3378"/>
      <c r="F1" s="3378"/>
      <c r="G1" s="3378"/>
      <c r="H1" s="3378"/>
      <c r="I1" s="3378"/>
      <c r="J1" s="3378"/>
      <c r="K1" s="3378"/>
      <c r="L1" s="3378"/>
      <c r="M1" s="3378"/>
      <c r="N1" s="2020"/>
    </row>
    <row r="2" spans="1:15" s="1536" customFormat="1" ht="25.5" customHeight="1">
      <c r="A2" s="3379" t="s">
        <v>1348</v>
      </c>
      <c r="B2" s="3379"/>
      <c r="C2" s="3379"/>
      <c r="D2" s="3379"/>
      <c r="E2" s="3379"/>
      <c r="F2" s="3379"/>
      <c r="G2" s="3379"/>
      <c r="H2" s="3379"/>
      <c r="I2" s="3379"/>
      <c r="J2" s="3379"/>
      <c r="K2" s="3379"/>
      <c r="L2" s="3379"/>
      <c r="M2" s="3379"/>
      <c r="N2" s="1937"/>
    </row>
    <row r="3" spans="1:15" s="1537" customFormat="1" ht="14.25" customHeight="1">
      <c r="A3" s="3380" t="s">
        <v>1854</v>
      </c>
      <c r="B3" s="3380" t="s">
        <v>666</v>
      </c>
      <c r="C3" s="3380" t="s">
        <v>16</v>
      </c>
      <c r="D3" s="3383" t="s">
        <v>1622</v>
      </c>
      <c r="E3" s="3383" t="s">
        <v>5481</v>
      </c>
      <c r="F3" s="3383" t="s">
        <v>5482</v>
      </c>
      <c r="G3" s="3377" t="s">
        <v>5483</v>
      </c>
      <c r="H3" s="3377"/>
      <c r="I3" s="3377"/>
      <c r="J3" s="3377"/>
      <c r="K3" s="3377"/>
      <c r="L3" s="3383" t="s">
        <v>1862</v>
      </c>
      <c r="M3" s="3383" t="s">
        <v>1863</v>
      </c>
      <c r="N3" s="3383" t="s">
        <v>4901</v>
      </c>
    </row>
    <row r="4" spans="1:15" s="1537" customFormat="1" ht="41.25" customHeight="1">
      <c r="A4" s="3381"/>
      <c r="B4" s="3381"/>
      <c r="C4" s="3381"/>
      <c r="D4" s="3387"/>
      <c r="E4" s="3387"/>
      <c r="F4" s="3387"/>
      <c r="G4" s="1848" t="s">
        <v>1349</v>
      </c>
      <c r="H4" s="1848" t="s">
        <v>1350</v>
      </c>
      <c r="I4" s="1848" t="s">
        <v>1351</v>
      </c>
      <c r="J4" s="1848" t="s">
        <v>1352</v>
      </c>
      <c r="K4" s="1848" t="s">
        <v>5484</v>
      </c>
      <c r="L4" s="3387"/>
      <c r="M4" s="3387"/>
      <c r="N4" s="3387"/>
    </row>
    <row r="5" spans="1:15" s="1537" customFormat="1" ht="33.75" customHeight="1">
      <c r="A5" s="3382"/>
      <c r="B5" s="3382"/>
      <c r="C5" s="1848">
        <v>1</v>
      </c>
      <c r="D5" s="1848">
        <v>2</v>
      </c>
      <c r="E5" s="1848">
        <v>3</v>
      </c>
      <c r="F5" s="2187">
        <v>4</v>
      </c>
      <c r="G5" s="1848">
        <v>5</v>
      </c>
      <c r="H5" s="1848">
        <v>6</v>
      </c>
      <c r="I5" s="1848">
        <v>7</v>
      </c>
      <c r="J5" s="1848">
        <v>8</v>
      </c>
      <c r="K5" s="1848">
        <v>9</v>
      </c>
      <c r="L5" s="1848">
        <v>10</v>
      </c>
      <c r="M5" s="1848">
        <v>11</v>
      </c>
      <c r="N5" s="1831"/>
    </row>
    <row r="6" spans="1:15" s="1537" customFormat="1" ht="14.25" customHeight="1">
      <c r="A6" s="1848">
        <v>1</v>
      </c>
      <c r="B6" s="1848" t="s">
        <v>6631</v>
      </c>
      <c r="C6" s="1857">
        <f>C7-1</f>
        <v>2011</v>
      </c>
      <c r="D6" s="2074">
        <f>补亏!C12-补亏!D12</f>
        <v>0</v>
      </c>
      <c r="E6" s="2074">
        <f>补亏!E12</f>
        <v>0</v>
      </c>
      <c r="F6" s="2074">
        <f>IF(D6&gt;0,E6,补亏!F12)</f>
        <v>0</v>
      </c>
      <c r="G6" s="2077">
        <f>IF(补亏!F12&gt;=0,0,IF(补亏!F13&lt;=0,0,IF((补亏!F13+补亏!F12)&gt;=0,-补亏!F12,补亏!F13)))</f>
        <v>0</v>
      </c>
      <c r="H6" s="2077">
        <f>IF(补亏!F14&lt;=0,0,IF(补亏!F12&gt;=0,0,IF(-补亏!F12-G6-补亏!F14&gt;=0,补亏!F14,-补亏!F12-G6)))</f>
        <v>0</v>
      </c>
      <c r="I6" s="2077">
        <f>IF(补亏!F15&lt;=0,0,IF(补亏!F12&gt;=0,0,IF(补亏!F15-(-补亏!F12-G6-H6)&gt;0,(-补亏!F12-G6-H6),补亏!F15)))</f>
        <v>0</v>
      </c>
      <c r="J6" s="2077">
        <f>IF(补亏!F16&lt;=0,0,IF(补亏!F12&gt;=0,0,IF(补亏!F16&gt;-补亏!F12-G6-H6-I6,-补亏!F12-G6-H6-I6,补亏!F16)))</f>
        <v>0</v>
      </c>
      <c r="K6" s="2077">
        <f>SUM(G6:J6)</f>
        <v>0</v>
      </c>
      <c r="L6" s="2077">
        <f ca="1">IF(补亏!F17&lt;0,0,IF(补亏!F12&gt;0,0,IF((ABS(补亏!F12)-K6)&gt;'A100000中华人民共和国企业所得税年度纳税申报表（A类）'!D22,'A100000中华人民共和国企业所得税年度纳税申报表（A类）'!D22,ABS(补亏!F12)-K6)))</f>
        <v>0</v>
      </c>
      <c r="M6" s="1956" t="s">
        <v>1860</v>
      </c>
      <c r="N6" s="1831"/>
    </row>
    <row r="7" spans="1:15" s="1537" customFormat="1" ht="14.25" customHeight="1">
      <c r="A7" s="1848">
        <v>2</v>
      </c>
      <c r="B7" s="1848" t="s">
        <v>1349</v>
      </c>
      <c r="C7" s="1857">
        <f>C8-1</f>
        <v>2012</v>
      </c>
      <c r="D7" s="2074">
        <f>补亏!C13-补亏!D13</f>
        <v>0</v>
      </c>
      <c r="E7" s="2074">
        <f>补亏!E13</f>
        <v>0</v>
      </c>
      <c r="F7" s="2188">
        <f>IF(D7&gt;0,E7,补亏!F13)</f>
        <v>0</v>
      </c>
      <c r="G7" s="1956" t="s">
        <v>1860</v>
      </c>
      <c r="H7" s="2077">
        <f>IF(补亏!F14&lt;=0,0,IF(补亏!F13&gt;=0,0,IF(补亏!F14-H6+补亏!F13&gt;0,-补亏!F13,补亏!F14-H6)))</f>
        <v>0</v>
      </c>
      <c r="I7" s="2077">
        <f>IF(补亏!F15&lt;=0,0,IF(补亏!F13&gt;=0,0,IF(-SUMIF(一至三年,"&lt;0")-G6-H6-I6-H7&gt;=0,IF(补亏!F15-I6-(-补亏!F13-H7)&gt;=0,-补亏!F13-H7,补亏!F15-I6),0)))</f>
        <v>0</v>
      </c>
      <c r="J7" s="2077">
        <f>IF(补亏!F16&lt;=0,0,IF(补亏!F13&gt;=0,0,IF(-SUMIF(补亏!F13:F16,"&lt;0")-K6-I7-I8-H7&gt;0,IF(补亏!F16-J6&gt;-补亏!F13-H7-I7,-补亏!F13-H7-I7,补亏!F16-J6),0)))</f>
        <v>0</v>
      </c>
      <c r="K7" s="2077">
        <f>SUM(G7:J7)</f>
        <v>0</v>
      </c>
      <c r="L7" s="2077">
        <f ca="1">IF(补亏!F17-L6&lt;0,0,IF(补亏!F13&gt;0,0,IF((补亏!F17-L6)&gt;(-补亏!F13-K7),-补亏!F13-K7,补亏!F17-L6)))</f>
        <v>0</v>
      </c>
      <c r="M7" s="2077">
        <f ca="1">IF(补亏!F13&gt;0,0,ABS(补亏!F13)-K7-L7)</f>
        <v>0</v>
      </c>
      <c r="N7" s="1831"/>
    </row>
    <row r="8" spans="1:15" s="1537" customFormat="1" ht="14.25" customHeight="1">
      <c r="A8" s="1848">
        <v>3</v>
      </c>
      <c r="B8" s="1848" t="s">
        <v>1350</v>
      </c>
      <c r="C8" s="1857">
        <f>C9-1</f>
        <v>2013</v>
      </c>
      <c r="D8" s="2074">
        <f>补亏!C14-补亏!D14</f>
        <v>0</v>
      </c>
      <c r="E8" s="2074">
        <f>补亏!E14</f>
        <v>0</v>
      </c>
      <c r="F8" s="2188">
        <f>IF(D8&gt;0,E8,补亏!F14)</f>
        <v>0</v>
      </c>
      <c r="G8" s="1956" t="s">
        <v>1860</v>
      </c>
      <c r="H8" s="1956" t="s">
        <v>1860</v>
      </c>
      <c r="I8" s="2077">
        <f>IF(补亏!F15&lt;=0,0,IF(补亏!F14&gt;=0,0,IF(-SUMIF(一至三年,"&lt;0")-G6-H6-I6-H7-I7&gt;0,IF(补亏!F15-I6-I7+补亏!F14&gt;0,-补亏!F14,补亏!F15-I6-I7),0)))</f>
        <v>0</v>
      </c>
      <c r="J8" s="2077">
        <f>IF(补亏!F16&lt;=0,0,IF(补亏!F14&gt;=0,0,IF(-SUMIF(补亏!F13:F16,"&lt;0")&gt;K6+K7+I8,IF(补亏!F16-J6-J7&gt;-补亏!F14-I8,-补亏!F14-I8,补亏!F16-J6-J7),0)))</f>
        <v>0</v>
      </c>
      <c r="K8" s="2077">
        <f>SUM(G8:J8)</f>
        <v>0</v>
      </c>
      <c r="L8" s="2077">
        <f ca="1">IF(补亏!F17-L6-L7&lt;0,0,IF(补亏!F14&gt;0,0,IF(-补亏!F14-K8&gt;补亏!F17-L6-L7,补亏!F17-L6-L7,-补亏!F14-K8)))</f>
        <v>0</v>
      </c>
      <c r="M8" s="2077">
        <f ca="1">IF(补亏!F14&gt;0,0,ABS(补亏!F14)-K8-L8)</f>
        <v>0</v>
      </c>
      <c r="N8" s="1831"/>
    </row>
    <row r="9" spans="1:15" s="1537" customFormat="1" ht="14.25" customHeight="1">
      <c r="A9" s="1848">
        <v>4</v>
      </c>
      <c r="B9" s="1848" t="s">
        <v>1351</v>
      </c>
      <c r="C9" s="1857">
        <f>C10-1</f>
        <v>2014</v>
      </c>
      <c r="D9" s="2074">
        <f>补亏!C15-补亏!D15</f>
        <v>0</v>
      </c>
      <c r="E9" s="2074">
        <f>补亏!E15</f>
        <v>0</v>
      </c>
      <c r="F9" s="2188">
        <f>IF(D9&gt;0,E9,补亏!F15)</f>
        <v>0</v>
      </c>
      <c r="G9" s="1956" t="s">
        <v>1860</v>
      </c>
      <c r="H9" s="1956" t="s">
        <v>1860</v>
      </c>
      <c r="I9" s="1956" t="s">
        <v>1860</v>
      </c>
      <c r="J9" s="2077">
        <f>IF(补亏!F16&lt;=0,0,IF(补亏!F15&gt;=0,0,IF(-SUMIF(补亏!F13:F16,"&lt;0")-K6-K7-K8&gt;0,IF(补亏!F16-J6-J7-J8&gt;-补亏!F15,-补亏!F15,补亏!F16-J6-J7-J8),0)))</f>
        <v>0</v>
      </c>
      <c r="K9" s="2077">
        <f>SUM(G9:J9)</f>
        <v>0</v>
      </c>
      <c r="L9" s="2077">
        <f ca="1">IF(补亏!F17-L6-L7-L8&lt;0,0,IF(补亏!F15&gt;0,0,IF((补亏!F17-L6-L7-L8)&gt;-补亏!F15-K9,-补亏!F15-K9,补亏!F17-L6-L7-L8)))</f>
        <v>0</v>
      </c>
      <c r="M9" s="2077">
        <f ca="1">IF(补亏!F15&gt;0,0,ABS(补亏!F15)-K9-L9)</f>
        <v>0</v>
      </c>
      <c r="N9" s="1831"/>
    </row>
    <row r="10" spans="1:15" s="1537" customFormat="1" ht="14.25" customHeight="1">
      <c r="A10" s="1848">
        <v>5</v>
      </c>
      <c r="B10" s="1848" t="s">
        <v>1352</v>
      </c>
      <c r="C10" s="1857">
        <f>C11-1</f>
        <v>2015</v>
      </c>
      <c r="D10" s="2074">
        <f>补亏!C16-补亏!D16</f>
        <v>0</v>
      </c>
      <c r="E10" s="2074">
        <f>补亏!E16</f>
        <v>0</v>
      </c>
      <c r="F10" s="2188">
        <f>IF(D10&gt;0,E10,补亏!F16)</f>
        <v>0</v>
      </c>
      <c r="G10" s="1956" t="s">
        <v>1860</v>
      </c>
      <c r="H10" s="1956" t="s">
        <v>1860</v>
      </c>
      <c r="I10" s="1956" t="s">
        <v>1860</v>
      </c>
      <c r="J10" s="1956" t="s">
        <v>1860</v>
      </c>
      <c r="K10" s="2077">
        <f>SUM(G10:J10)</f>
        <v>0</v>
      </c>
      <c r="L10" s="2077">
        <f ca="1">IF(补亏!F17-L6-L7-L8-L9&lt;0,0,IF(补亏!F16&gt;0,0,IF((-补亏!F16-K10)&gt;(补亏!F17-L6-L7-L8-L9),(补亏!F17-L6-L7-L8-L9),-补亏!F16-K10)))</f>
        <v>0</v>
      </c>
      <c r="M10" s="2077">
        <f ca="1">IF(补亏!F16&gt;0,0,ABS(补亏!F16)-K10-L10)</f>
        <v>0</v>
      </c>
      <c r="N10" s="1831"/>
    </row>
    <row r="11" spans="1:15" s="1537" customFormat="1" ht="14.25" customHeight="1">
      <c r="A11" s="1848">
        <v>6</v>
      </c>
      <c r="B11" s="1848" t="s">
        <v>5485</v>
      </c>
      <c r="C11" s="1857">
        <f>基本情况!B4</f>
        <v>2016</v>
      </c>
      <c r="D11" s="2074">
        <f ca="1">'A100000中华人民共和国企业所得税年度纳税申报表（A类）'!D22</f>
        <v>0</v>
      </c>
      <c r="E11" s="2074">
        <f>补亏!E17</f>
        <v>0</v>
      </c>
      <c r="F11" s="2077">
        <f ca="1">IF(D11&lt;0,D11+E11,E11)</f>
        <v>0</v>
      </c>
      <c r="G11" s="1956" t="s">
        <v>1860</v>
      </c>
      <c r="H11" s="1956" t="s">
        <v>1860</v>
      </c>
      <c r="I11" s="1956" t="s">
        <v>1860</v>
      </c>
      <c r="J11" s="1956" t="s">
        <v>1860</v>
      </c>
      <c r="K11" s="1956" t="s">
        <v>1860</v>
      </c>
      <c r="L11" s="2077">
        <f ca="1">SUM(L6:L10)</f>
        <v>0</v>
      </c>
      <c r="M11" s="2077">
        <f ca="1">IF(补亏!F17&gt;0,0,ABS(补亏!F17)-L11)</f>
        <v>0</v>
      </c>
      <c r="N11" s="1831"/>
    </row>
    <row r="12" spans="1:15" s="1537" customFormat="1" ht="225" customHeight="1">
      <c r="A12" s="1956">
        <v>7</v>
      </c>
      <c r="B12" s="3936" t="s">
        <v>5486</v>
      </c>
      <c r="C12" s="3464"/>
      <c r="D12" s="3464"/>
      <c r="E12" s="3464"/>
      <c r="F12" s="3464"/>
      <c r="G12" s="3464"/>
      <c r="H12" s="3464"/>
      <c r="I12" s="3464"/>
      <c r="J12" s="3464"/>
      <c r="K12" s="3464"/>
      <c r="L12" s="3895"/>
      <c r="M12" s="2077">
        <f ca="1">SUM(M7:M11)</f>
        <v>0</v>
      </c>
      <c r="N12" s="1998" t="s">
        <v>5487</v>
      </c>
      <c r="O12" s="1565"/>
    </row>
  </sheetData>
  <mergeCells count="13">
    <mergeCell ref="N3:N4"/>
    <mergeCell ref="B12:L12"/>
    <mergeCell ref="M3:M4"/>
    <mergeCell ref="A1:M1"/>
    <mergeCell ref="A2:M2"/>
    <mergeCell ref="A3:A5"/>
    <mergeCell ref="B3:B5"/>
    <mergeCell ref="C3:C4"/>
    <mergeCell ref="D3:D4"/>
    <mergeCell ref="E3:E4"/>
    <mergeCell ref="F3:F4"/>
    <mergeCell ref="G3:K3"/>
    <mergeCell ref="L3:L4"/>
  </mergeCells>
  <phoneticPr fontId="51" type="noConversion"/>
  <printOptions horizontalCentered="1"/>
  <pageMargins left="0.78740157480314998" right="0.35433070866141703" top="0.511811023622047" bottom="0.11811023622047198" header="0.511811023622047" footer="0.511811023622047"/>
  <pageSetup paperSize="9" orientation="landscape" cellComments="asDisplayed" r:id="rId1"/>
</worksheet>
</file>

<file path=xl/worksheets/sheet14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39">
    <tabColor rgb="FFFFFF00"/>
  </sheetPr>
  <dimension ref="A1:E30"/>
  <sheetViews>
    <sheetView workbookViewId="0">
      <selection sqref="A1:C1"/>
    </sheetView>
  </sheetViews>
  <sheetFormatPr defaultColWidth="56.3984375" defaultRowHeight="15.6"/>
  <cols>
    <col min="1" max="1" width="4.09765625" style="1570" customWidth="1"/>
    <col min="2" max="2" width="55.5" style="1570" customWidth="1"/>
    <col min="3" max="3" width="12.3984375" style="1570" customWidth="1"/>
    <col min="4" max="4" width="15" style="1570" customWidth="1"/>
    <col min="5" max="256" width="56.3984375" style="1570"/>
    <col min="257" max="257" width="4.09765625" style="1570" customWidth="1"/>
    <col min="258" max="258" width="55.5" style="1570" customWidth="1"/>
    <col min="259" max="259" width="6.3984375" style="1570" customWidth="1"/>
    <col min="260" max="260" width="15" style="1570" customWidth="1"/>
    <col min="261" max="512" width="56.3984375" style="1570"/>
    <col min="513" max="513" width="4.09765625" style="1570" customWidth="1"/>
    <col min="514" max="514" width="55.5" style="1570" customWidth="1"/>
    <col min="515" max="515" width="6.3984375" style="1570" customWidth="1"/>
    <col min="516" max="516" width="15" style="1570" customWidth="1"/>
    <col min="517" max="768" width="56.3984375" style="1570"/>
    <col min="769" max="769" width="4.09765625" style="1570" customWidth="1"/>
    <col min="770" max="770" width="55.5" style="1570" customWidth="1"/>
    <col min="771" max="771" width="6.3984375" style="1570" customWidth="1"/>
    <col min="772" max="772" width="15" style="1570" customWidth="1"/>
    <col min="773" max="1024" width="56.3984375" style="1570"/>
    <col min="1025" max="1025" width="4.09765625" style="1570" customWidth="1"/>
    <col min="1026" max="1026" width="55.5" style="1570" customWidth="1"/>
    <col min="1027" max="1027" width="6.3984375" style="1570" customWidth="1"/>
    <col min="1028" max="1028" width="15" style="1570" customWidth="1"/>
    <col min="1029" max="1280" width="56.3984375" style="1570"/>
    <col min="1281" max="1281" width="4.09765625" style="1570" customWidth="1"/>
    <col min="1282" max="1282" width="55.5" style="1570" customWidth="1"/>
    <col min="1283" max="1283" width="6.3984375" style="1570" customWidth="1"/>
    <col min="1284" max="1284" width="15" style="1570" customWidth="1"/>
    <col min="1285" max="1536" width="56.3984375" style="1570"/>
    <col min="1537" max="1537" width="4.09765625" style="1570" customWidth="1"/>
    <col min="1538" max="1538" width="55.5" style="1570" customWidth="1"/>
    <col min="1539" max="1539" width="6.3984375" style="1570" customWidth="1"/>
    <col min="1540" max="1540" width="15" style="1570" customWidth="1"/>
    <col min="1541" max="1792" width="56.3984375" style="1570"/>
    <col min="1793" max="1793" width="4.09765625" style="1570" customWidth="1"/>
    <col min="1794" max="1794" width="55.5" style="1570" customWidth="1"/>
    <col min="1795" max="1795" width="6.3984375" style="1570" customWidth="1"/>
    <col min="1796" max="1796" width="15" style="1570" customWidth="1"/>
    <col min="1797" max="2048" width="56.3984375" style="1570"/>
    <col min="2049" max="2049" width="4.09765625" style="1570" customWidth="1"/>
    <col min="2050" max="2050" width="55.5" style="1570" customWidth="1"/>
    <col min="2051" max="2051" width="6.3984375" style="1570" customWidth="1"/>
    <col min="2052" max="2052" width="15" style="1570" customWidth="1"/>
    <col min="2053" max="2304" width="56.3984375" style="1570"/>
    <col min="2305" max="2305" width="4.09765625" style="1570" customWidth="1"/>
    <col min="2306" max="2306" width="55.5" style="1570" customWidth="1"/>
    <col min="2307" max="2307" width="6.3984375" style="1570" customWidth="1"/>
    <col min="2308" max="2308" width="15" style="1570" customWidth="1"/>
    <col min="2309" max="2560" width="56.3984375" style="1570"/>
    <col min="2561" max="2561" width="4.09765625" style="1570" customWidth="1"/>
    <col min="2562" max="2562" width="55.5" style="1570" customWidth="1"/>
    <col min="2563" max="2563" width="6.3984375" style="1570" customWidth="1"/>
    <col min="2564" max="2564" width="15" style="1570" customWidth="1"/>
    <col min="2565" max="2816" width="56.3984375" style="1570"/>
    <col min="2817" max="2817" width="4.09765625" style="1570" customWidth="1"/>
    <col min="2818" max="2818" width="55.5" style="1570" customWidth="1"/>
    <col min="2819" max="2819" width="6.3984375" style="1570" customWidth="1"/>
    <col min="2820" max="2820" width="15" style="1570" customWidth="1"/>
    <col min="2821" max="3072" width="56.3984375" style="1570"/>
    <col min="3073" max="3073" width="4.09765625" style="1570" customWidth="1"/>
    <col min="3074" max="3074" width="55.5" style="1570" customWidth="1"/>
    <col min="3075" max="3075" width="6.3984375" style="1570" customWidth="1"/>
    <col min="3076" max="3076" width="15" style="1570" customWidth="1"/>
    <col min="3077" max="3328" width="56.3984375" style="1570"/>
    <col min="3329" max="3329" width="4.09765625" style="1570" customWidth="1"/>
    <col min="3330" max="3330" width="55.5" style="1570" customWidth="1"/>
    <col min="3331" max="3331" width="6.3984375" style="1570" customWidth="1"/>
    <col min="3332" max="3332" width="15" style="1570" customWidth="1"/>
    <col min="3333" max="3584" width="56.3984375" style="1570"/>
    <col min="3585" max="3585" width="4.09765625" style="1570" customWidth="1"/>
    <col min="3586" max="3586" width="55.5" style="1570" customWidth="1"/>
    <col min="3587" max="3587" width="6.3984375" style="1570" customWidth="1"/>
    <col min="3588" max="3588" width="15" style="1570" customWidth="1"/>
    <col min="3589" max="3840" width="56.3984375" style="1570"/>
    <col min="3841" max="3841" width="4.09765625" style="1570" customWidth="1"/>
    <col min="3842" max="3842" width="55.5" style="1570" customWidth="1"/>
    <col min="3843" max="3843" width="6.3984375" style="1570" customWidth="1"/>
    <col min="3844" max="3844" width="15" style="1570" customWidth="1"/>
    <col min="3845" max="4096" width="56.3984375" style="1570"/>
    <col min="4097" max="4097" width="4.09765625" style="1570" customWidth="1"/>
    <col min="4098" max="4098" width="55.5" style="1570" customWidth="1"/>
    <col min="4099" max="4099" width="6.3984375" style="1570" customWidth="1"/>
    <col min="4100" max="4100" width="15" style="1570" customWidth="1"/>
    <col min="4101" max="4352" width="56.3984375" style="1570"/>
    <col min="4353" max="4353" width="4.09765625" style="1570" customWidth="1"/>
    <col min="4354" max="4354" width="55.5" style="1570" customWidth="1"/>
    <col min="4355" max="4355" width="6.3984375" style="1570" customWidth="1"/>
    <col min="4356" max="4356" width="15" style="1570" customWidth="1"/>
    <col min="4357" max="4608" width="56.3984375" style="1570"/>
    <col min="4609" max="4609" width="4.09765625" style="1570" customWidth="1"/>
    <col min="4610" max="4610" width="55.5" style="1570" customWidth="1"/>
    <col min="4611" max="4611" width="6.3984375" style="1570" customWidth="1"/>
    <col min="4612" max="4612" width="15" style="1570" customWidth="1"/>
    <col min="4613" max="4864" width="56.3984375" style="1570"/>
    <col min="4865" max="4865" width="4.09765625" style="1570" customWidth="1"/>
    <col min="4866" max="4866" width="55.5" style="1570" customWidth="1"/>
    <col min="4867" max="4867" width="6.3984375" style="1570" customWidth="1"/>
    <col min="4868" max="4868" width="15" style="1570" customWidth="1"/>
    <col min="4869" max="5120" width="56.3984375" style="1570"/>
    <col min="5121" max="5121" width="4.09765625" style="1570" customWidth="1"/>
    <col min="5122" max="5122" width="55.5" style="1570" customWidth="1"/>
    <col min="5123" max="5123" width="6.3984375" style="1570" customWidth="1"/>
    <col min="5124" max="5124" width="15" style="1570" customWidth="1"/>
    <col min="5125" max="5376" width="56.3984375" style="1570"/>
    <col min="5377" max="5377" width="4.09765625" style="1570" customWidth="1"/>
    <col min="5378" max="5378" width="55.5" style="1570" customWidth="1"/>
    <col min="5379" max="5379" width="6.3984375" style="1570" customWidth="1"/>
    <col min="5380" max="5380" width="15" style="1570" customWidth="1"/>
    <col min="5381" max="5632" width="56.3984375" style="1570"/>
    <col min="5633" max="5633" width="4.09765625" style="1570" customWidth="1"/>
    <col min="5634" max="5634" width="55.5" style="1570" customWidth="1"/>
    <col min="5635" max="5635" width="6.3984375" style="1570" customWidth="1"/>
    <col min="5636" max="5636" width="15" style="1570" customWidth="1"/>
    <col min="5637" max="5888" width="56.3984375" style="1570"/>
    <col min="5889" max="5889" width="4.09765625" style="1570" customWidth="1"/>
    <col min="5890" max="5890" width="55.5" style="1570" customWidth="1"/>
    <col min="5891" max="5891" width="6.3984375" style="1570" customWidth="1"/>
    <col min="5892" max="5892" width="15" style="1570" customWidth="1"/>
    <col min="5893" max="6144" width="56.3984375" style="1570"/>
    <col min="6145" max="6145" width="4.09765625" style="1570" customWidth="1"/>
    <col min="6146" max="6146" width="55.5" style="1570" customWidth="1"/>
    <col min="6147" max="6147" width="6.3984375" style="1570" customWidth="1"/>
    <col min="6148" max="6148" width="15" style="1570" customWidth="1"/>
    <col min="6149" max="6400" width="56.3984375" style="1570"/>
    <col min="6401" max="6401" width="4.09765625" style="1570" customWidth="1"/>
    <col min="6402" max="6402" width="55.5" style="1570" customWidth="1"/>
    <col min="6403" max="6403" width="6.3984375" style="1570" customWidth="1"/>
    <col min="6404" max="6404" width="15" style="1570" customWidth="1"/>
    <col min="6405" max="6656" width="56.3984375" style="1570"/>
    <col min="6657" max="6657" width="4.09765625" style="1570" customWidth="1"/>
    <col min="6658" max="6658" width="55.5" style="1570" customWidth="1"/>
    <col min="6659" max="6659" width="6.3984375" style="1570" customWidth="1"/>
    <col min="6660" max="6660" width="15" style="1570" customWidth="1"/>
    <col min="6661" max="6912" width="56.3984375" style="1570"/>
    <col min="6913" max="6913" width="4.09765625" style="1570" customWidth="1"/>
    <col min="6914" max="6914" width="55.5" style="1570" customWidth="1"/>
    <col min="6915" max="6915" width="6.3984375" style="1570" customWidth="1"/>
    <col min="6916" max="6916" width="15" style="1570" customWidth="1"/>
    <col min="6917" max="7168" width="56.3984375" style="1570"/>
    <col min="7169" max="7169" width="4.09765625" style="1570" customWidth="1"/>
    <col min="7170" max="7170" width="55.5" style="1570" customWidth="1"/>
    <col min="7171" max="7171" width="6.3984375" style="1570" customWidth="1"/>
    <col min="7172" max="7172" width="15" style="1570" customWidth="1"/>
    <col min="7173" max="7424" width="56.3984375" style="1570"/>
    <col min="7425" max="7425" width="4.09765625" style="1570" customWidth="1"/>
    <col min="7426" max="7426" width="55.5" style="1570" customWidth="1"/>
    <col min="7427" max="7427" width="6.3984375" style="1570" customWidth="1"/>
    <col min="7428" max="7428" width="15" style="1570" customWidth="1"/>
    <col min="7429" max="7680" width="56.3984375" style="1570"/>
    <col min="7681" max="7681" width="4.09765625" style="1570" customWidth="1"/>
    <col min="7682" max="7682" width="55.5" style="1570" customWidth="1"/>
    <col min="7683" max="7683" width="6.3984375" style="1570" customWidth="1"/>
    <col min="7684" max="7684" width="15" style="1570" customWidth="1"/>
    <col min="7685" max="7936" width="56.3984375" style="1570"/>
    <col min="7937" max="7937" width="4.09765625" style="1570" customWidth="1"/>
    <col min="7938" max="7938" width="55.5" style="1570" customWidth="1"/>
    <col min="7939" max="7939" width="6.3984375" style="1570" customWidth="1"/>
    <col min="7940" max="7940" width="15" style="1570" customWidth="1"/>
    <col min="7941" max="8192" width="56.3984375" style="1570"/>
    <col min="8193" max="8193" width="4.09765625" style="1570" customWidth="1"/>
    <col min="8194" max="8194" width="55.5" style="1570" customWidth="1"/>
    <col min="8195" max="8195" width="6.3984375" style="1570" customWidth="1"/>
    <col min="8196" max="8196" width="15" style="1570" customWidth="1"/>
    <col min="8197" max="8448" width="56.3984375" style="1570"/>
    <col min="8449" max="8449" width="4.09765625" style="1570" customWidth="1"/>
    <col min="8450" max="8450" width="55.5" style="1570" customWidth="1"/>
    <col min="8451" max="8451" width="6.3984375" style="1570" customWidth="1"/>
    <col min="8452" max="8452" width="15" style="1570" customWidth="1"/>
    <col min="8453" max="8704" width="56.3984375" style="1570"/>
    <col min="8705" max="8705" width="4.09765625" style="1570" customWidth="1"/>
    <col min="8706" max="8706" width="55.5" style="1570" customWidth="1"/>
    <col min="8707" max="8707" width="6.3984375" style="1570" customWidth="1"/>
    <col min="8708" max="8708" width="15" style="1570" customWidth="1"/>
    <col min="8709" max="8960" width="56.3984375" style="1570"/>
    <col min="8961" max="8961" width="4.09765625" style="1570" customWidth="1"/>
    <col min="8962" max="8962" width="55.5" style="1570" customWidth="1"/>
    <col min="8963" max="8963" width="6.3984375" style="1570" customWidth="1"/>
    <col min="8964" max="8964" width="15" style="1570" customWidth="1"/>
    <col min="8965" max="9216" width="56.3984375" style="1570"/>
    <col min="9217" max="9217" width="4.09765625" style="1570" customWidth="1"/>
    <col min="9218" max="9218" width="55.5" style="1570" customWidth="1"/>
    <col min="9219" max="9219" width="6.3984375" style="1570" customWidth="1"/>
    <col min="9220" max="9220" width="15" style="1570" customWidth="1"/>
    <col min="9221" max="9472" width="56.3984375" style="1570"/>
    <col min="9473" max="9473" width="4.09765625" style="1570" customWidth="1"/>
    <col min="9474" max="9474" width="55.5" style="1570" customWidth="1"/>
    <col min="9475" max="9475" width="6.3984375" style="1570" customWidth="1"/>
    <col min="9476" max="9476" width="15" style="1570" customWidth="1"/>
    <col min="9477" max="9728" width="56.3984375" style="1570"/>
    <col min="9729" max="9729" width="4.09765625" style="1570" customWidth="1"/>
    <col min="9730" max="9730" width="55.5" style="1570" customWidth="1"/>
    <col min="9731" max="9731" width="6.3984375" style="1570" customWidth="1"/>
    <col min="9732" max="9732" width="15" style="1570" customWidth="1"/>
    <col min="9733" max="9984" width="56.3984375" style="1570"/>
    <col min="9985" max="9985" width="4.09765625" style="1570" customWidth="1"/>
    <col min="9986" max="9986" width="55.5" style="1570" customWidth="1"/>
    <col min="9987" max="9987" width="6.3984375" style="1570" customWidth="1"/>
    <col min="9988" max="9988" width="15" style="1570" customWidth="1"/>
    <col min="9989" max="10240" width="56.3984375" style="1570"/>
    <col min="10241" max="10241" width="4.09765625" style="1570" customWidth="1"/>
    <col min="10242" max="10242" width="55.5" style="1570" customWidth="1"/>
    <col min="10243" max="10243" width="6.3984375" style="1570" customWidth="1"/>
    <col min="10244" max="10244" width="15" style="1570" customWidth="1"/>
    <col min="10245" max="10496" width="56.3984375" style="1570"/>
    <col min="10497" max="10497" width="4.09765625" style="1570" customWidth="1"/>
    <col min="10498" max="10498" width="55.5" style="1570" customWidth="1"/>
    <col min="10499" max="10499" width="6.3984375" style="1570" customWidth="1"/>
    <col min="10500" max="10500" width="15" style="1570" customWidth="1"/>
    <col min="10501" max="10752" width="56.3984375" style="1570"/>
    <col min="10753" max="10753" width="4.09765625" style="1570" customWidth="1"/>
    <col min="10754" max="10754" width="55.5" style="1570" customWidth="1"/>
    <col min="10755" max="10755" width="6.3984375" style="1570" customWidth="1"/>
    <col min="10756" max="10756" width="15" style="1570" customWidth="1"/>
    <col min="10757" max="11008" width="56.3984375" style="1570"/>
    <col min="11009" max="11009" width="4.09765625" style="1570" customWidth="1"/>
    <col min="11010" max="11010" width="55.5" style="1570" customWidth="1"/>
    <col min="11011" max="11011" width="6.3984375" style="1570" customWidth="1"/>
    <col min="11012" max="11012" width="15" style="1570" customWidth="1"/>
    <col min="11013" max="11264" width="56.3984375" style="1570"/>
    <col min="11265" max="11265" width="4.09765625" style="1570" customWidth="1"/>
    <col min="11266" max="11266" width="55.5" style="1570" customWidth="1"/>
    <col min="11267" max="11267" width="6.3984375" style="1570" customWidth="1"/>
    <col min="11268" max="11268" width="15" style="1570" customWidth="1"/>
    <col min="11269" max="11520" width="56.3984375" style="1570"/>
    <col min="11521" max="11521" width="4.09765625" style="1570" customWidth="1"/>
    <col min="11522" max="11522" width="55.5" style="1570" customWidth="1"/>
    <col min="11523" max="11523" width="6.3984375" style="1570" customWidth="1"/>
    <col min="11524" max="11524" width="15" style="1570" customWidth="1"/>
    <col min="11525" max="11776" width="56.3984375" style="1570"/>
    <col min="11777" max="11777" width="4.09765625" style="1570" customWidth="1"/>
    <col min="11778" max="11778" width="55.5" style="1570" customWidth="1"/>
    <col min="11779" max="11779" width="6.3984375" style="1570" customWidth="1"/>
    <col min="11780" max="11780" width="15" style="1570" customWidth="1"/>
    <col min="11781" max="12032" width="56.3984375" style="1570"/>
    <col min="12033" max="12033" width="4.09765625" style="1570" customWidth="1"/>
    <col min="12034" max="12034" width="55.5" style="1570" customWidth="1"/>
    <col min="12035" max="12035" width="6.3984375" style="1570" customWidth="1"/>
    <col min="12036" max="12036" width="15" style="1570" customWidth="1"/>
    <col min="12037" max="12288" width="56.3984375" style="1570"/>
    <col min="12289" max="12289" width="4.09765625" style="1570" customWidth="1"/>
    <col min="12290" max="12290" width="55.5" style="1570" customWidth="1"/>
    <col min="12291" max="12291" width="6.3984375" style="1570" customWidth="1"/>
    <col min="12292" max="12292" width="15" style="1570" customWidth="1"/>
    <col min="12293" max="12544" width="56.3984375" style="1570"/>
    <col min="12545" max="12545" width="4.09765625" style="1570" customWidth="1"/>
    <col min="12546" max="12546" width="55.5" style="1570" customWidth="1"/>
    <col min="12547" max="12547" width="6.3984375" style="1570" customWidth="1"/>
    <col min="12548" max="12548" width="15" style="1570" customWidth="1"/>
    <col min="12549" max="12800" width="56.3984375" style="1570"/>
    <col min="12801" max="12801" width="4.09765625" style="1570" customWidth="1"/>
    <col min="12802" max="12802" width="55.5" style="1570" customWidth="1"/>
    <col min="12803" max="12803" width="6.3984375" style="1570" customWidth="1"/>
    <col min="12804" max="12804" width="15" style="1570" customWidth="1"/>
    <col min="12805" max="13056" width="56.3984375" style="1570"/>
    <col min="13057" max="13057" width="4.09765625" style="1570" customWidth="1"/>
    <col min="13058" max="13058" width="55.5" style="1570" customWidth="1"/>
    <col min="13059" max="13059" width="6.3984375" style="1570" customWidth="1"/>
    <col min="13060" max="13060" width="15" style="1570" customWidth="1"/>
    <col min="13061" max="13312" width="56.3984375" style="1570"/>
    <col min="13313" max="13313" width="4.09765625" style="1570" customWidth="1"/>
    <col min="13314" max="13314" width="55.5" style="1570" customWidth="1"/>
    <col min="13315" max="13315" width="6.3984375" style="1570" customWidth="1"/>
    <col min="13316" max="13316" width="15" style="1570" customWidth="1"/>
    <col min="13317" max="13568" width="56.3984375" style="1570"/>
    <col min="13569" max="13569" width="4.09765625" style="1570" customWidth="1"/>
    <col min="13570" max="13570" width="55.5" style="1570" customWidth="1"/>
    <col min="13571" max="13571" width="6.3984375" style="1570" customWidth="1"/>
    <col min="13572" max="13572" width="15" style="1570" customWidth="1"/>
    <col min="13573" max="13824" width="56.3984375" style="1570"/>
    <col min="13825" max="13825" width="4.09765625" style="1570" customWidth="1"/>
    <col min="13826" max="13826" width="55.5" style="1570" customWidth="1"/>
    <col min="13827" max="13827" width="6.3984375" style="1570" customWidth="1"/>
    <col min="13828" max="13828" width="15" style="1570" customWidth="1"/>
    <col min="13829" max="14080" width="56.3984375" style="1570"/>
    <col min="14081" max="14081" width="4.09765625" style="1570" customWidth="1"/>
    <col min="14082" max="14082" width="55.5" style="1570" customWidth="1"/>
    <col min="14083" max="14083" width="6.3984375" style="1570" customWidth="1"/>
    <col min="14084" max="14084" width="15" style="1570" customWidth="1"/>
    <col min="14085" max="14336" width="56.3984375" style="1570"/>
    <col min="14337" max="14337" width="4.09765625" style="1570" customWidth="1"/>
    <col min="14338" max="14338" width="55.5" style="1570" customWidth="1"/>
    <col min="14339" max="14339" width="6.3984375" style="1570" customWidth="1"/>
    <col min="14340" max="14340" width="15" style="1570" customWidth="1"/>
    <col min="14341" max="14592" width="56.3984375" style="1570"/>
    <col min="14593" max="14593" width="4.09765625" style="1570" customWidth="1"/>
    <col min="14594" max="14594" width="55.5" style="1570" customWidth="1"/>
    <col min="14595" max="14595" width="6.3984375" style="1570" customWidth="1"/>
    <col min="14596" max="14596" width="15" style="1570" customWidth="1"/>
    <col min="14597" max="14848" width="56.3984375" style="1570"/>
    <col min="14849" max="14849" width="4.09765625" style="1570" customWidth="1"/>
    <col min="14850" max="14850" width="55.5" style="1570" customWidth="1"/>
    <col min="14851" max="14851" width="6.3984375" style="1570" customWidth="1"/>
    <col min="14852" max="14852" width="15" style="1570" customWidth="1"/>
    <col min="14853" max="15104" width="56.3984375" style="1570"/>
    <col min="15105" max="15105" width="4.09765625" style="1570" customWidth="1"/>
    <col min="15106" max="15106" width="55.5" style="1570" customWidth="1"/>
    <col min="15107" max="15107" width="6.3984375" style="1570" customWidth="1"/>
    <col min="15108" max="15108" width="15" style="1570" customWidth="1"/>
    <col min="15109" max="15360" width="56.3984375" style="1570"/>
    <col min="15361" max="15361" width="4.09765625" style="1570" customWidth="1"/>
    <col min="15362" max="15362" width="55.5" style="1570" customWidth="1"/>
    <col min="15363" max="15363" width="6.3984375" style="1570" customWidth="1"/>
    <col min="15364" max="15364" width="15" style="1570" customWidth="1"/>
    <col min="15365" max="15616" width="56.3984375" style="1570"/>
    <col min="15617" max="15617" width="4.09765625" style="1570" customWidth="1"/>
    <col min="15618" max="15618" width="55.5" style="1570" customWidth="1"/>
    <col min="15619" max="15619" width="6.3984375" style="1570" customWidth="1"/>
    <col min="15620" max="15620" width="15" style="1570" customWidth="1"/>
    <col min="15621" max="15872" width="56.3984375" style="1570"/>
    <col min="15873" max="15873" width="4.09765625" style="1570" customWidth="1"/>
    <col min="15874" max="15874" width="55.5" style="1570" customWidth="1"/>
    <col min="15875" max="15875" width="6.3984375" style="1570" customWidth="1"/>
    <col min="15876" max="15876" width="15" style="1570" customWidth="1"/>
    <col min="15877" max="16128" width="56.3984375" style="1570"/>
    <col min="16129" max="16129" width="4.09765625" style="1570" customWidth="1"/>
    <col min="16130" max="16130" width="55.5" style="1570" customWidth="1"/>
    <col min="16131" max="16131" width="6.3984375" style="1570" customWidth="1"/>
    <col min="16132" max="16132" width="15" style="1570" customWidth="1"/>
    <col min="16133" max="16384" width="56.3984375" style="1570"/>
  </cols>
  <sheetData>
    <row r="1" spans="1:5" ht="20.100000000000001" customHeight="1">
      <c r="A1" s="3378" t="s">
        <v>5488</v>
      </c>
      <c r="B1" s="3378"/>
      <c r="C1" s="3378"/>
      <c r="D1" s="2017"/>
    </row>
    <row r="2" spans="1:5" ht="25.5" customHeight="1">
      <c r="A2" s="3379" t="s">
        <v>5489</v>
      </c>
      <c r="B2" s="3379"/>
      <c r="C2" s="3379"/>
      <c r="D2" s="1836"/>
    </row>
    <row r="3" spans="1:5">
      <c r="A3" s="1837" t="s">
        <v>1854</v>
      </c>
      <c r="B3" s="1837" t="s">
        <v>1628</v>
      </c>
      <c r="C3" s="1837" t="s">
        <v>5016</v>
      </c>
      <c r="D3" s="1837" t="s">
        <v>5490</v>
      </c>
    </row>
    <row r="4" spans="1:5">
      <c r="A4" s="1837">
        <v>1</v>
      </c>
      <c r="B4" s="1838" t="s">
        <v>5491</v>
      </c>
      <c r="C4" s="2074">
        <f>免税、减计收入及加计扣除优惠审核表!C4</f>
        <v>0</v>
      </c>
      <c r="D4" s="1976"/>
      <c r="E4" s="1575"/>
    </row>
    <row r="5" spans="1:5">
      <c r="A5" s="1837">
        <v>2</v>
      </c>
      <c r="B5" s="1838" t="s">
        <v>5492</v>
      </c>
      <c r="C5" s="2074">
        <f>免税、减计收入及加计扣除优惠审核表!C5</f>
        <v>0</v>
      </c>
      <c r="D5" s="1976"/>
      <c r="E5" s="1575"/>
    </row>
    <row r="6" spans="1:5" ht="32.25" customHeight="1">
      <c r="A6" s="1839">
        <v>3</v>
      </c>
      <c r="B6" s="1840" t="s">
        <v>5493</v>
      </c>
      <c r="C6" s="2074">
        <f>免税、减计收入及加计扣除优惠审核表!C6</f>
        <v>0</v>
      </c>
      <c r="D6" s="1978" t="s">
        <v>5494</v>
      </c>
    </row>
    <row r="7" spans="1:5">
      <c r="A7" s="1837">
        <v>4</v>
      </c>
      <c r="B7" s="1838" t="s">
        <v>5495</v>
      </c>
      <c r="C7" s="2074">
        <f>免税、减计收入及加计扣除优惠审核表!C7</f>
        <v>0</v>
      </c>
      <c r="D7" s="1979"/>
    </row>
    <row r="8" spans="1:5">
      <c r="A8" s="1837">
        <v>5</v>
      </c>
      <c r="B8" s="1838" t="s">
        <v>5496</v>
      </c>
      <c r="C8" s="2074">
        <f>免税、减计收入及加计扣除优惠审核表!C8</f>
        <v>0</v>
      </c>
      <c r="D8" s="1979"/>
    </row>
    <row r="9" spans="1:5">
      <c r="A9" s="1837">
        <v>6</v>
      </c>
      <c r="B9" s="1838" t="s">
        <v>5497</v>
      </c>
      <c r="C9" s="2074">
        <f>免税、减计收入及加计扣除优惠审核表!C9</f>
        <v>0</v>
      </c>
      <c r="D9" s="1979"/>
    </row>
    <row r="10" spans="1:5">
      <c r="A10" s="1837">
        <v>7</v>
      </c>
      <c r="B10" s="1838" t="s">
        <v>5498</v>
      </c>
      <c r="C10" s="2074">
        <f>免税、减计收入及加计扣除优惠审核表!C10</f>
        <v>0</v>
      </c>
      <c r="D10" s="1979"/>
    </row>
    <row r="11" spans="1:5">
      <c r="A11" s="1837">
        <v>8</v>
      </c>
      <c r="B11" s="1838" t="s">
        <v>5499</v>
      </c>
      <c r="C11" s="2074">
        <f>免税、减计收入及加计扣除优惠审核表!C11</f>
        <v>0</v>
      </c>
      <c r="D11" s="1979"/>
    </row>
    <row r="12" spans="1:5">
      <c r="A12" s="1837">
        <v>9</v>
      </c>
      <c r="B12" s="1838" t="s">
        <v>5500</v>
      </c>
      <c r="C12" s="2074">
        <f>免税、减计收入及加计扣除优惠审核表!C12</f>
        <v>0</v>
      </c>
      <c r="D12" s="1979"/>
      <c r="E12" s="1675" t="s">
        <v>6457</v>
      </c>
    </row>
    <row r="13" spans="1:5">
      <c r="A13" s="1837">
        <v>10</v>
      </c>
      <c r="B13" s="1838" t="s">
        <v>5501</v>
      </c>
      <c r="C13" s="2074">
        <f>免税、减计收入及加计扣除优惠审核表!C13</f>
        <v>0</v>
      </c>
      <c r="D13" s="1979"/>
    </row>
    <row r="14" spans="1:5">
      <c r="A14" s="1837">
        <v>11</v>
      </c>
      <c r="B14" s="1838" t="s">
        <v>5502</v>
      </c>
      <c r="C14" s="2074">
        <f>免税、减计收入及加计扣除优惠审核表!C14</f>
        <v>0</v>
      </c>
      <c r="D14" s="1979"/>
    </row>
    <row r="15" spans="1:5">
      <c r="A15" s="1837">
        <v>12</v>
      </c>
      <c r="B15" s="1838" t="s">
        <v>5503</v>
      </c>
      <c r="C15" s="2074">
        <f>免税、减计收入及加计扣除优惠审核表!C15</f>
        <v>0</v>
      </c>
      <c r="D15" s="1979"/>
    </row>
    <row r="16" spans="1:5">
      <c r="A16" s="1837">
        <v>13</v>
      </c>
      <c r="B16" s="1838" t="s">
        <v>5504</v>
      </c>
      <c r="C16" s="2074">
        <f>免税、减计收入及加计扣除优惠审核表!C16</f>
        <v>0</v>
      </c>
      <c r="D16" s="1979"/>
    </row>
    <row r="17" spans="1:4">
      <c r="A17" s="1837">
        <v>14</v>
      </c>
      <c r="B17" s="1838" t="s">
        <v>5505</v>
      </c>
      <c r="C17" s="2074">
        <f>免税、减计收入及加计扣除优惠审核表!C17</f>
        <v>0</v>
      </c>
      <c r="D17" s="1979"/>
    </row>
    <row r="18" spans="1:4">
      <c r="A18" s="1837">
        <v>15</v>
      </c>
      <c r="B18" s="1838" t="s">
        <v>5506</v>
      </c>
      <c r="C18" s="2074">
        <f>免税、减计收入及加计扣除优惠审核表!C18</f>
        <v>0</v>
      </c>
      <c r="D18" s="1979"/>
    </row>
    <row r="19" spans="1:4" ht="27.75" customHeight="1">
      <c r="A19" s="1837">
        <v>16</v>
      </c>
      <c r="B19" s="1838" t="s">
        <v>5507</v>
      </c>
      <c r="C19" s="2074">
        <f>免税、减计收入及加计扣除优惠审核表!C19</f>
        <v>0</v>
      </c>
      <c r="D19" s="1978" t="s">
        <v>5508</v>
      </c>
    </row>
    <row r="20" spans="1:4">
      <c r="A20" s="1837">
        <v>17</v>
      </c>
      <c r="B20" s="1838" t="s">
        <v>5509</v>
      </c>
      <c r="C20" s="2074">
        <f>免税、减计收入及加计扣除优惠审核表!C20</f>
        <v>0</v>
      </c>
      <c r="D20" s="1980"/>
    </row>
    <row r="21" spans="1:4" ht="24">
      <c r="A21" s="1837">
        <v>18</v>
      </c>
      <c r="B21" s="1838" t="s">
        <v>5510</v>
      </c>
      <c r="C21" s="2074">
        <f>免税、减计收入及加计扣除优惠审核表!C21</f>
        <v>0</v>
      </c>
      <c r="D21" s="1978" t="s">
        <v>5511</v>
      </c>
    </row>
    <row r="22" spans="1:4">
      <c r="A22" s="1837">
        <v>19</v>
      </c>
      <c r="B22" s="1838" t="s">
        <v>5512</v>
      </c>
      <c r="C22" s="2074">
        <f>免税、减计收入及加计扣除优惠审核表!C22</f>
        <v>0</v>
      </c>
      <c r="D22" s="1979"/>
    </row>
    <row r="23" spans="1:4">
      <c r="A23" s="1837">
        <v>20</v>
      </c>
      <c r="B23" s="1838" t="s">
        <v>5513</v>
      </c>
      <c r="C23" s="2074">
        <f>免税、减计收入及加计扣除优惠审核表!C23</f>
        <v>0</v>
      </c>
      <c r="D23" s="1979"/>
    </row>
    <row r="24" spans="1:4">
      <c r="A24" s="1837">
        <v>21</v>
      </c>
      <c r="B24" s="1838" t="s">
        <v>5514</v>
      </c>
      <c r="C24" s="2074">
        <f>免税、减计收入及加计扣除优惠审核表!C24</f>
        <v>0</v>
      </c>
      <c r="D24" s="1979"/>
    </row>
    <row r="25" spans="1:4" ht="36">
      <c r="A25" s="1839">
        <v>22</v>
      </c>
      <c r="B25" s="1840" t="s">
        <v>5515</v>
      </c>
      <c r="C25" s="2074">
        <f>免税、减计收入及加计扣除优惠审核表!C25</f>
        <v>0</v>
      </c>
      <c r="D25" s="1978" t="s">
        <v>5516</v>
      </c>
    </row>
    <row r="26" spans="1:4" ht="24">
      <c r="A26" s="1837">
        <v>23</v>
      </c>
      <c r="B26" s="1841" t="s">
        <v>5517</v>
      </c>
      <c r="C26" s="2074">
        <f>免税、减计收入及加计扣除优惠审核表!C26</f>
        <v>0</v>
      </c>
      <c r="D26" s="1979"/>
    </row>
    <row r="27" spans="1:4">
      <c r="A27" s="1837">
        <v>24</v>
      </c>
      <c r="B27" s="1838" t="s">
        <v>5518</v>
      </c>
      <c r="C27" s="2074">
        <f>免税、减计收入及加计扣除优惠审核表!C27</f>
        <v>0</v>
      </c>
      <c r="D27" s="1979"/>
    </row>
    <row r="28" spans="1:4">
      <c r="A28" s="1837">
        <v>25</v>
      </c>
      <c r="B28" s="1838" t="s">
        <v>5519</v>
      </c>
      <c r="C28" s="2074">
        <f>免税、减计收入及加计扣除优惠审核表!C28</f>
        <v>0</v>
      </c>
      <c r="D28" s="1979"/>
    </row>
    <row r="29" spans="1:4">
      <c r="A29" s="1837">
        <v>26</v>
      </c>
      <c r="B29" s="1838" t="s">
        <v>5520</v>
      </c>
      <c r="C29" s="2074">
        <f>免税、减计收入及加计扣除优惠审核表!C29</f>
        <v>0</v>
      </c>
      <c r="D29" s="1979"/>
    </row>
    <row r="30" spans="1:4" ht="24">
      <c r="A30" s="1837">
        <v>27</v>
      </c>
      <c r="B30" s="1838" t="s">
        <v>5521</v>
      </c>
      <c r="C30" s="2074">
        <f>免税、减计收入及加计扣除优惠审核表!C30</f>
        <v>0</v>
      </c>
      <c r="D30" s="1980" t="s">
        <v>5522</v>
      </c>
    </row>
  </sheetData>
  <mergeCells count="2">
    <mergeCell ref="A1:C1"/>
    <mergeCell ref="A2:C2"/>
  </mergeCells>
  <phoneticPr fontId="51" type="noConversion"/>
  <hyperlinks>
    <hyperlink ref="E12" location="免税、减计收入及加计扣除优惠审核表!A1" display="免税、减计收入及加计扣除优惠审核表!A1"/>
  </hyperlinks>
  <printOptions horizontalCentered="1"/>
  <pageMargins left="0.78740157480314998" right="0.35433070866141703" top="0.511811023622047" bottom="0.11811023622047198" header="0.511811023622047" footer="0.511811023622047"/>
  <pageSetup paperSize="9" orientation="portrait" r:id="rId1"/>
</worksheet>
</file>

<file path=xl/worksheets/sheet14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40">
    <tabColor rgb="FFFFFF00"/>
  </sheetPr>
  <dimension ref="A1:S15"/>
  <sheetViews>
    <sheetView topLeftCell="B1" workbookViewId="0">
      <selection activeCell="F11" sqref="F11"/>
    </sheetView>
  </sheetViews>
  <sheetFormatPr defaultRowHeight="15.6"/>
  <cols>
    <col min="1" max="1" width="4.19921875" style="1584" hidden="1" customWidth="1"/>
    <col min="2" max="2" width="18.3984375" style="1584" customWidth="1"/>
    <col min="3" max="3" width="6.5" style="1584" customWidth="1"/>
    <col min="4" max="4" width="10.19921875" style="1584" customWidth="1"/>
    <col min="5" max="5" width="5.3984375" style="1584" customWidth="1"/>
    <col min="6" max="6" width="9.5" style="1584" customWidth="1"/>
    <col min="7" max="11" width="10.19921875" style="1584" customWidth="1"/>
    <col min="12" max="12" width="6.3984375" style="1584" customWidth="1"/>
    <col min="13" max="17" width="10.19921875" style="1584" customWidth="1"/>
    <col min="18" max="18" width="8.3984375" style="1584" customWidth="1"/>
    <col min="19" max="256" width="9" style="1584"/>
    <col min="257" max="257" width="0" style="1584" hidden="1" customWidth="1"/>
    <col min="258" max="258" width="6.09765625" style="1584" customWidth="1"/>
    <col min="259" max="260" width="5.09765625" style="1584" customWidth="1"/>
    <col min="261" max="261" width="5.3984375" style="1584" customWidth="1"/>
    <col min="262" max="263" width="9.5" style="1584" customWidth="1"/>
    <col min="264" max="264" width="6.3984375" style="1584" customWidth="1"/>
    <col min="265" max="265" width="8.59765625" style="1584" customWidth="1"/>
    <col min="266" max="266" width="7.5" style="1584" customWidth="1"/>
    <col min="267" max="267" width="8.3984375" style="1584" customWidth="1"/>
    <col min="268" max="268" width="6.3984375" style="1584" customWidth="1"/>
    <col min="269" max="269" width="6.09765625" style="1584" customWidth="1"/>
    <col min="270" max="270" width="7.19921875" style="1584" customWidth="1"/>
    <col min="271" max="271" width="9" style="1584"/>
    <col min="272" max="272" width="6.5" style="1584" customWidth="1"/>
    <col min="273" max="273" width="9.3984375" style="1584" customWidth="1"/>
    <col min="274" max="274" width="8.3984375" style="1584" customWidth="1"/>
    <col min="275" max="512" width="9" style="1584"/>
    <col min="513" max="513" width="0" style="1584" hidden="1" customWidth="1"/>
    <col min="514" max="514" width="6.09765625" style="1584" customWidth="1"/>
    <col min="515" max="516" width="5.09765625" style="1584" customWidth="1"/>
    <col min="517" max="517" width="5.3984375" style="1584" customWidth="1"/>
    <col min="518" max="519" width="9.5" style="1584" customWidth="1"/>
    <col min="520" max="520" width="6.3984375" style="1584" customWidth="1"/>
    <col min="521" max="521" width="8.59765625" style="1584" customWidth="1"/>
    <col min="522" max="522" width="7.5" style="1584" customWidth="1"/>
    <col min="523" max="523" width="8.3984375" style="1584" customWidth="1"/>
    <col min="524" max="524" width="6.3984375" style="1584" customWidth="1"/>
    <col min="525" max="525" width="6.09765625" style="1584" customWidth="1"/>
    <col min="526" max="526" width="7.19921875" style="1584" customWidth="1"/>
    <col min="527" max="527" width="9" style="1584"/>
    <col min="528" max="528" width="6.5" style="1584" customWidth="1"/>
    <col min="529" max="529" width="9.3984375" style="1584" customWidth="1"/>
    <col min="530" max="530" width="8.3984375" style="1584" customWidth="1"/>
    <col min="531" max="768" width="9" style="1584"/>
    <col min="769" max="769" width="0" style="1584" hidden="1" customWidth="1"/>
    <col min="770" max="770" width="6.09765625" style="1584" customWidth="1"/>
    <col min="771" max="772" width="5.09765625" style="1584" customWidth="1"/>
    <col min="773" max="773" width="5.3984375" style="1584" customWidth="1"/>
    <col min="774" max="775" width="9.5" style="1584" customWidth="1"/>
    <col min="776" max="776" width="6.3984375" style="1584" customWidth="1"/>
    <col min="777" max="777" width="8.59765625" style="1584" customWidth="1"/>
    <col min="778" max="778" width="7.5" style="1584" customWidth="1"/>
    <col min="779" max="779" width="8.3984375" style="1584" customWidth="1"/>
    <col min="780" max="780" width="6.3984375" style="1584" customWidth="1"/>
    <col min="781" max="781" width="6.09765625" style="1584" customWidth="1"/>
    <col min="782" max="782" width="7.19921875" style="1584" customWidth="1"/>
    <col min="783" max="783" width="9" style="1584"/>
    <col min="784" max="784" width="6.5" style="1584" customWidth="1"/>
    <col min="785" max="785" width="9.3984375" style="1584" customWidth="1"/>
    <col min="786" max="786" width="8.3984375" style="1584" customWidth="1"/>
    <col min="787" max="1024" width="9" style="1584"/>
    <col min="1025" max="1025" width="0" style="1584" hidden="1" customWidth="1"/>
    <col min="1026" max="1026" width="6.09765625" style="1584" customWidth="1"/>
    <col min="1027" max="1028" width="5.09765625" style="1584" customWidth="1"/>
    <col min="1029" max="1029" width="5.3984375" style="1584" customWidth="1"/>
    <col min="1030" max="1031" width="9.5" style="1584" customWidth="1"/>
    <col min="1032" max="1032" width="6.3984375" style="1584" customWidth="1"/>
    <col min="1033" max="1033" width="8.59765625" style="1584" customWidth="1"/>
    <col min="1034" max="1034" width="7.5" style="1584" customWidth="1"/>
    <col min="1035" max="1035" width="8.3984375" style="1584" customWidth="1"/>
    <col min="1036" max="1036" width="6.3984375" style="1584" customWidth="1"/>
    <col min="1037" max="1037" width="6.09765625" style="1584" customWidth="1"/>
    <col min="1038" max="1038" width="7.19921875" style="1584" customWidth="1"/>
    <col min="1039" max="1039" width="9" style="1584"/>
    <col min="1040" max="1040" width="6.5" style="1584" customWidth="1"/>
    <col min="1041" max="1041" width="9.3984375" style="1584" customWidth="1"/>
    <col min="1042" max="1042" width="8.3984375" style="1584" customWidth="1"/>
    <col min="1043" max="1280" width="9" style="1584"/>
    <col min="1281" max="1281" width="0" style="1584" hidden="1" customWidth="1"/>
    <col min="1282" max="1282" width="6.09765625" style="1584" customWidth="1"/>
    <col min="1283" max="1284" width="5.09765625" style="1584" customWidth="1"/>
    <col min="1285" max="1285" width="5.3984375" style="1584" customWidth="1"/>
    <col min="1286" max="1287" width="9.5" style="1584" customWidth="1"/>
    <col min="1288" max="1288" width="6.3984375" style="1584" customWidth="1"/>
    <col min="1289" max="1289" width="8.59765625" style="1584" customWidth="1"/>
    <col min="1290" max="1290" width="7.5" style="1584" customWidth="1"/>
    <col min="1291" max="1291" width="8.3984375" style="1584" customWidth="1"/>
    <col min="1292" max="1292" width="6.3984375" style="1584" customWidth="1"/>
    <col min="1293" max="1293" width="6.09765625" style="1584" customWidth="1"/>
    <col min="1294" max="1294" width="7.19921875" style="1584" customWidth="1"/>
    <col min="1295" max="1295" width="9" style="1584"/>
    <col min="1296" max="1296" width="6.5" style="1584" customWidth="1"/>
    <col min="1297" max="1297" width="9.3984375" style="1584" customWidth="1"/>
    <col min="1298" max="1298" width="8.3984375" style="1584" customWidth="1"/>
    <col min="1299" max="1536" width="9" style="1584"/>
    <col min="1537" max="1537" width="0" style="1584" hidden="1" customWidth="1"/>
    <col min="1538" max="1538" width="6.09765625" style="1584" customWidth="1"/>
    <col min="1539" max="1540" width="5.09765625" style="1584" customWidth="1"/>
    <col min="1541" max="1541" width="5.3984375" style="1584" customWidth="1"/>
    <col min="1542" max="1543" width="9.5" style="1584" customWidth="1"/>
    <col min="1544" max="1544" width="6.3984375" style="1584" customWidth="1"/>
    <col min="1545" max="1545" width="8.59765625" style="1584" customWidth="1"/>
    <col min="1546" max="1546" width="7.5" style="1584" customWidth="1"/>
    <col min="1547" max="1547" width="8.3984375" style="1584" customWidth="1"/>
    <col min="1548" max="1548" width="6.3984375" style="1584" customWidth="1"/>
    <col min="1549" max="1549" width="6.09765625" style="1584" customWidth="1"/>
    <col min="1550" max="1550" width="7.19921875" style="1584" customWidth="1"/>
    <col min="1551" max="1551" width="9" style="1584"/>
    <col min="1552" max="1552" width="6.5" style="1584" customWidth="1"/>
    <col min="1553" max="1553" width="9.3984375" style="1584" customWidth="1"/>
    <col min="1554" max="1554" width="8.3984375" style="1584" customWidth="1"/>
    <col min="1555" max="1792" width="9" style="1584"/>
    <col min="1793" max="1793" width="0" style="1584" hidden="1" customWidth="1"/>
    <col min="1794" max="1794" width="6.09765625" style="1584" customWidth="1"/>
    <col min="1795" max="1796" width="5.09765625" style="1584" customWidth="1"/>
    <col min="1797" max="1797" width="5.3984375" style="1584" customWidth="1"/>
    <col min="1798" max="1799" width="9.5" style="1584" customWidth="1"/>
    <col min="1800" max="1800" width="6.3984375" style="1584" customWidth="1"/>
    <col min="1801" max="1801" width="8.59765625" style="1584" customWidth="1"/>
    <col min="1802" max="1802" width="7.5" style="1584" customWidth="1"/>
    <col min="1803" max="1803" width="8.3984375" style="1584" customWidth="1"/>
    <col min="1804" max="1804" width="6.3984375" style="1584" customWidth="1"/>
    <col min="1805" max="1805" width="6.09765625" style="1584" customWidth="1"/>
    <col min="1806" max="1806" width="7.19921875" style="1584" customWidth="1"/>
    <col min="1807" max="1807" width="9" style="1584"/>
    <col min="1808" max="1808" width="6.5" style="1584" customWidth="1"/>
    <col min="1809" max="1809" width="9.3984375" style="1584" customWidth="1"/>
    <col min="1810" max="1810" width="8.3984375" style="1584" customWidth="1"/>
    <col min="1811" max="2048" width="9" style="1584"/>
    <col min="2049" max="2049" width="0" style="1584" hidden="1" customWidth="1"/>
    <col min="2050" max="2050" width="6.09765625" style="1584" customWidth="1"/>
    <col min="2051" max="2052" width="5.09765625" style="1584" customWidth="1"/>
    <col min="2053" max="2053" width="5.3984375" style="1584" customWidth="1"/>
    <col min="2054" max="2055" width="9.5" style="1584" customWidth="1"/>
    <col min="2056" max="2056" width="6.3984375" style="1584" customWidth="1"/>
    <col min="2057" max="2057" width="8.59765625" style="1584" customWidth="1"/>
    <col min="2058" max="2058" width="7.5" style="1584" customWidth="1"/>
    <col min="2059" max="2059" width="8.3984375" style="1584" customWidth="1"/>
    <col min="2060" max="2060" width="6.3984375" style="1584" customWidth="1"/>
    <col min="2061" max="2061" width="6.09765625" style="1584" customWidth="1"/>
    <col min="2062" max="2062" width="7.19921875" style="1584" customWidth="1"/>
    <col min="2063" max="2063" width="9" style="1584"/>
    <col min="2064" max="2064" width="6.5" style="1584" customWidth="1"/>
    <col min="2065" max="2065" width="9.3984375" style="1584" customWidth="1"/>
    <col min="2066" max="2066" width="8.3984375" style="1584" customWidth="1"/>
    <col min="2067" max="2304" width="9" style="1584"/>
    <col min="2305" max="2305" width="0" style="1584" hidden="1" customWidth="1"/>
    <col min="2306" max="2306" width="6.09765625" style="1584" customWidth="1"/>
    <col min="2307" max="2308" width="5.09765625" style="1584" customWidth="1"/>
    <col min="2309" max="2309" width="5.3984375" style="1584" customWidth="1"/>
    <col min="2310" max="2311" width="9.5" style="1584" customWidth="1"/>
    <col min="2312" max="2312" width="6.3984375" style="1584" customWidth="1"/>
    <col min="2313" max="2313" width="8.59765625" style="1584" customWidth="1"/>
    <col min="2314" max="2314" width="7.5" style="1584" customWidth="1"/>
    <col min="2315" max="2315" width="8.3984375" style="1584" customWidth="1"/>
    <col min="2316" max="2316" width="6.3984375" style="1584" customWidth="1"/>
    <col min="2317" max="2317" width="6.09765625" style="1584" customWidth="1"/>
    <col min="2318" max="2318" width="7.19921875" style="1584" customWidth="1"/>
    <col min="2319" max="2319" width="9" style="1584"/>
    <col min="2320" max="2320" width="6.5" style="1584" customWidth="1"/>
    <col min="2321" max="2321" width="9.3984375" style="1584" customWidth="1"/>
    <col min="2322" max="2322" width="8.3984375" style="1584" customWidth="1"/>
    <col min="2323" max="2560" width="9" style="1584"/>
    <col min="2561" max="2561" width="0" style="1584" hidden="1" customWidth="1"/>
    <col min="2562" max="2562" width="6.09765625" style="1584" customWidth="1"/>
    <col min="2563" max="2564" width="5.09765625" style="1584" customWidth="1"/>
    <col min="2565" max="2565" width="5.3984375" style="1584" customWidth="1"/>
    <col min="2566" max="2567" width="9.5" style="1584" customWidth="1"/>
    <col min="2568" max="2568" width="6.3984375" style="1584" customWidth="1"/>
    <col min="2569" max="2569" width="8.59765625" style="1584" customWidth="1"/>
    <col min="2570" max="2570" width="7.5" style="1584" customWidth="1"/>
    <col min="2571" max="2571" width="8.3984375" style="1584" customWidth="1"/>
    <col min="2572" max="2572" width="6.3984375" style="1584" customWidth="1"/>
    <col min="2573" max="2573" width="6.09765625" style="1584" customWidth="1"/>
    <col min="2574" max="2574" width="7.19921875" style="1584" customWidth="1"/>
    <col min="2575" max="2575" width="9" style="1584"/>
    <col min="2576" max="2576" width="6.5" style="1584" customWidth="1"/>
    <col min="2577" max="2577" width="9.3984375" style="1584" customWidth="1"/>
    <col min="2578" max="2578" width="8.3984375" style="1584" customWidth="1"/>
    <col min="2579" max="2816" width="9" style="1584"/>
    <col min="2817" max="2817" width="0" style="1584" hidden="1" customWidth="1"/>
    <col min="2818" max="2818" width="6.09765625" style="1584" customWidth="1"/>
    <col min="2819" max="2820" width="5.09765625" style="1584" customWidth="1"/>
    <col min="2821" max="2821" width="5.3984375" style="1584" customWidth="1"/>
    <col min="2822" max="2823" width="9.5" style="1584" customWidth="1"/>
    <col min="2824" max="2824" width="6.3984375" style="1584" customWidth="1"/>
    <col min="2825" max="2825" width="8.59765625" style="1584" customWidth="1"/>
    <col min="2826" max="2826" width="7.5" style="1584" customWidth="1"/>
    <col min="2827" max="2827" width="8.3984375" style="1584" customWidth="1"/>
    <col min="2828" max="2828" width="6.3984375" style="1584" customWidth="1"/>
    <col min="2829" max="2829" width="6.09765625" style="1584" customWidth="1"/>
    <col min="2830" max="2830" width="7.19921875" style="1584" customWidth="1"/>
    <col min="2831" max="2831" width="9" style="1584"/>
    <col min="2832" max="2832" width="6.5" style="1584" customWidth="1"/>
    <col min="2833" max="2833" width="9.3984375" style="1584" customWidth="1"/>
    <col min="2834" max="2834" width="8.3984375" style="1584" customWidth="1"/>
    <col min="2835" max="3072" width="9" style="1584"/>
    <col min="3073" max="3073" width="0" style="1584" hidden="1" customWidth="1"/>
    <col min="3074" max="3074" width="6.09765625" style="1584" customWidth="1"/>
    <col min="3075" max="3076" width="5.09765625" style="1584" customWidth="1"/>
    <col min="3077" max="3077" width="5.3984375" style="1584" customWidth="1"/>
    <col min="3078" max="3079" width="9.5" style="1584" customWidth="1"/>
    <col min="3080" max="3080" width="6.3984375" style="1584" customWidth="1"/>
    <col min="3081" max="3081" width="8.59765625" style="1584" customWidth="1"/>
    <col min="3082" max="3082" width="7.5" style="1584" customWidth="1"/>
    <col min="3083" max="3083" width="8.3984375" style="1584" customWidth="1"/>
    <col min="3084" max="3084" width="6.3984375" style="1584" customWidth="1"/>
    <col min="3085" max="3085" width="6.09765625" style="1584" customWidth="1"/>
    <col min="3086" max="3086" width="7.19921875" style="1584" customWidth="1"/>
    <col min="3087" max="3087" width="9" style="1584"/>
    <col min="3088" max="3088" width="6.5" style="1584" customWidth="1"/>
    <col min="3089" max="3089" width="9.3984375" style="1584" customWidth="1"/>
    <col min="3090" max="3090" width="8.3984375" style="1584" customWidth="1"/>
    <col min="3091" max="3328" width="9" style="1584"/>
    <col min="3329" max="3329" width="0" style="1584" hidden="1" customWidth="1"/>
    <col min="3330" max="3330" width="6.09765625" style="1584" customWidth="1"/>
    <col min="3331" max="3332" width="5.09765625" style="1584" customWidth="1"/>
    <col min="3333" max="3333" width="5.3984375" style="1584" customWidth="1"/>
    <col min="3334" max="3335" width="9.5" style="1584" customWidth="1"/>
    <col min="3336" max="3336" width="6.3984375" style="1584" customWidth="1"/>
    <col min="3337" max="3337" width="8.59765625" style="1584" customWidth="1"/>
    <col min="3338" max="3338" width="7.5" style="1584" customWidth="1"/>
    <col min="3339" max="3339" width="8.3984375" style="1584" customWidth="1"/>
    <col min="3340" max="3340" width="6.3984375" style="1584" customWidth="1"/>
    <col min="3341" max="3341" width="6.09765625" style="1584" customWidth="1"/>
    <col min="3342" max="3342" width="7.19921875" style="1584" customWidth="1"/>
    <col min="3343" max="3343" width="9" style="1584"/>
    <col min="3344" max="3344" width="6.5" style="1584" customWidth="1"/>
    <col min="3345" max="3345" width="9.3984375" style="1584" customWidth="1"/>
    <col min="3346" max="3346" width="8.3984375" style="1584" customWidth="1"/>
    <col min="3347" max="3584" width="9" style="1584"/>
    <col min="3585" max="3585" width="0" style="1584" hidden="1" customWidth="1"/>
    <col min="3586" max="3586" width="6.09765625" style="1584" customWidth="1"/>
    <col min="3587" max="3588" width="5.09765625" style="1584" customWidth="1"/>
    <col min="3589" max="3589" width="5.3984375" style="1584" customWidth="1"/>
    <col min="3590" max="3591" width="9.5" style="1584" customWidth="1"/>
    <col min="3592" max="3592" width="6.3984375" style="1584" customWidth="1"/>
    <col min="3593" max="3593" width="8.59765625" style="1584" customWidth="1"/>
    <col min="3594" max="3594" width="7.5" style="1584" customWidth="1"/>
    <col min="3595" max="3595" width="8.3984375" style="1584" customWidth="1"/>
    <col min="3596" max="3596" width="6.3984375" style="1584" customWidth="1"/>
    <col min="3597" max="3597" width="6.09765625" style="1584" customWidth="1"/>
    <col min="3598" max="3598" width="7.19921875" style="1584" customWidth="1"/>
    <col min="3599" max="3599" width="9" style="1584"/>
    <col min="3600" max="3600" width="6.5" style="1584" customWidth="1"/>
    <col min="3601" max="3601" width="9.3984375" style="1584" customWidth="1"/>
    <col min="3602" max="3602" width="8.3984375" style="1584" customWidth="1"/>
    <col min="3603" max="3840" width="9" style="1584"/>
    <col min="3841" max="3841" width="0" style="1584" hidden="1" customWidth="1"/>
    <col min="3842" max="3842" width="6.09765625" style="1584" customWidth="1"/>
    <col min="3843" max="3844" width="5.09765625" style="1584" customWidth="1"/>
    <col min="3845" max="3845" width="5.3984375" style="1584" customWidth="1"/>
    <col min="3846" max="3847" width="9.5" style="1584" customWidth="1"/>
    <col min="3848" max="3848" width="6.3984375" style="1584" customWidth="1"/>
    <col min="3849" max="3849" width="8.59765625" style="1584" customWidth="1"/>
    <col min="3850" max="3850" width="7.5" style="1584" customWidth="1"/>
    <col min="3851" max="3851" width="8.3984375" style="1584" customWidth="1"/>
    <col min="3852" max="3852" width="6.3984375" style="1584" customWidth="1"/>
    <col min="3853" max="3853" width="6.09765625" style="1584" customWidth="1"/>
    <col min="3854" max="3854" width="7.19921875" style="1584" customWidth="1"/>
    <col min="3855" max="3855" width="9" style="1584"/>
    <col min="3856" max="3856" width="6.5" style="1584" customWidth="1"/>
    <col min="3857" max="3857" width="9.3984375" style="1584" customWidth="1"/>
    <col min="3858" max="3858" width="8.3984375" style="1584" customWidth="1"/>
    <col min="3859" max="4096" width="9" style="1584"/>
    <col min="4097" max="4097" width="0" style="1584" hidden="1" customWidth="1"/>
    <col min="4098" max="4098" width="6.09765625" style="1584" customWidth="1"/>
    <col min="4099" max="4100" width="5.09765625" style="1584" customWidth="1"/>
    <col min="4101" max="4101" width="5.3984375" style="1584" customWidth="1"/>
    <col min="4102" max="4103" width="9.5" style="1584" customWidth="1"/>
    <col min="4104" max="4104" width="6.3984375" style="1584" customWidth="1"/>
    <col min="4105" max="4105" width="8.59765625" style="1584" customWidth="1"/>
    <col min="4106" max="4106" width="7.5" style="1584" customWidth="1"/>
    <col min="4107" max="4107" width="8.3984375" style="1584" customWidth="1"/>
    <col min="4108" max="4108" width="6.3984375" style="1584" customWidth="1"/>
    <col min="4109" max="4109" width="6.09765625" style="1584" customWidth="1"/>
    <col min="4110" max="4110" width="7.19921875" style="1584" customWidth="1"/>
    <col min="4111" max="4111" width="9" style="1584"/>
    <col min="4112" max="4112" width="6.5" style="1584" customWidth="1"/>
    <col min="4113" max="4113" width="9.3984375" style="1584" customWidth="1"/>
    <col min="4114" max="4114" width="8.3984375" style="1584" customWidth="1"/>
    <col min="4115" max="4352" width="9" style="1584"/>
    <col min="4353" max="4353" width="0" style="1584" hidden="1" customWidth="1"/>
    <col min="4354" max="4354" width="6.09765625" style="1584" customWidth="1"/>
    <col min="4355" max="4356" width="5.09765625" style="1584" customWidth="1"/>
    <col min="4357" max="4357" width="5.3984375" style="1584" customWidth="1"/>
    <col min="4358" max="4359" width="9.5" style="1584" customWidth="1"/>
    <col min="4360" max="4360" width="6.3984375" style="1584" customWidth="1"/>
    <col min="4361" max="4361" width="8.59765625" style="1584" customWidth="1"/>
    <col min="4362" max="4362" width="7.5" style="1584" customWidth="1"/>
    <col min="4363" max="4363" width="8.3984375" style="1584" customWidth="1"/>
    <col min="4364" max="4364" width="6.3984375" style="1584" customWidth="1"/>
    <col min="4365" max="4365" width="6.09765625" style="1584" customWidth="1"/>
    <col min="4366" max="4366" width="7.19921875" style="1584" customWidth="1"/>
    <col min="4367" max="4367" width="9" style="1584"/>
    <col min="4368" max="4368" width="6.5" style="1584" customWidth="1"/>
    <col min="4369" max="4369" width="9.3984375" style="1584" customWidth="1"/>
    <col min="4370" max="4370" width="8.3984375" style="1584" customWidth="1"/>
    <col min="4371" max="4608" width="9" style="1584"/>
    <col min="4609" max="4609" width="0" style="1584" hidden="1" customWidth="1"/>
    <col min="4610" max="4610" width="6.09765625" style="1584" customWidth="1"/>
    <col min="4611" max="4612" width="5.09765625" style="1584" customWidth="1"/>
    <col min="4613" max="4613" width="5.3984375" style="1584" customWidth="1"/>
    <col min="4614" max="4615" width="9.5" style="1584" customWidth="1"/>
    <col min="4616" max="4616" width="6.3984375" style="1584" customWidth="1"/>
    <col min="4617" max="4617" width="8.59765625" style="1584" customWidth="1"/>
    <col min="4618" max="4618" width="7.5" style="1584" customWidth="1"/>
    <col min="4619" max="4619" width="8.3984375" style="1584" customWidth="1"/>
    <col min="4620" max="4620" width="6.3984375" style="1584" customWidth="1"/>
    <col min="4621" max="4621" width="6.09765625" style="1584" customWidth="1"/>
    <col min="4622" max="4622" width="7.19921875" style="1584" customWidth="1"/>
    <col min="4623" max="4623" width="9" style="1584"/>
    <col min="4624" max="4624" width="6.5" style="1584" customWidth="1"/>
    <col min="4625" max="4625" width="9.3984375" style="1584" customWidth="1"/>
    <col min="4626" max="4626" width="8.3984375" style="1584" customWidth="1"/>
    <col min="4627" max="4864" width="9" style="1584"/>
    <col min="4865" max="4865" width="0" style="1584" hidden="1" customWidth="1"/>
    <col min="4866" max="4866" width="6.09765625" style="1584" customWidth="1"/>
    <col min="4867" max="4868" width="5.09765625" style="1584" customWidth="1"/>
    <col min="4869" max="4869" width="5.3984375" style="1584" customWidth="1"/>
    <col min="4870" max="4871" width="9.5" style="1584" customWidth="1"/>
    <col min="4872" max="4872" width="6.3984375" style="1584" customWidth="1"/>
    <col min="4873" max="4873" width="8.59765625" style="1584" customWidth="1"/>
    <col min="4874" max="4874" width="7.5" style="1584" customWidth="1"/>
    <col min="4875" max="4875" width="8.3984375" style="1584" customWidth="1"/>
    <col min="4876" max="4876" width="6.3984375" style="1584" customWidth="1"/>
    <col min="4877" max="4877" width="6.09765625" style="1584" customWidth="1"/>
    <col min="4878" max="4878" width="7.19921875" style="1584" customWidth="1"/>
    <col min="4879" max="4879" width="9" style="1584"/>
    <col min="4880" max="4880" width="6.5" style="1584" customWidth="1"/>
    <col min="4881" max="4881" width="9.3984375" style="1584" customWidth="1"/>
    <col min="4882" max="4882" width="8.3984375" style="1584" customWidth="1"/>
    <col min="4883" max="5120" width="9" style="1584"/>
    <col min="5121" max="5121" width="0" style="1584" hidden="1" customWidth="1"/>
    <col min="5122" max="5122" width="6.09765625" style="1584" customWidth="1"/>
    <col min="5123" max="5124" width="5.09765625" style="1584" customWidth="1"/>
    <col min="5125" max="5125" width="5.3984375" style="1584" customWidth="1"/>
    <col min="5126" max="5127" width="9.5" style="1584" customWidth="1"/>
    <col min="5128" max="5128" width="6.3984375" style="1584" customWidth="1"/>
    <col min="5129" max="5129" width="8.59765625" style="1584" customWidth="1"/>
    <col min="5130" max="5130" width="7.5" style="1584" customWidth="1"/>
    <col min="5131" max="5131" width="8.3984375" style="1584" customWidth="1"/>
    <col min="5132" max="5132" width="6.3984375" style="1584" customWidth="1"/>
    <col min="5133" max="5133" width="6.09765625" style="1584" customWidth="1"/>
    <col min="5134" max="5134" width="7.19921875" style="1584" customWidth="1"/>
    <col min="5135" max="5135" width="9" style="1584"/>
    <col min="5136" max="5136" width="6.5" style="1584" customWidth="1"/>
    <col min="5137" max="5137" width="9.3984375" style="1584" customWidth="1"/>
    <col min="5138" max="5138" width="8.3984375" style="1584" customWidth="1"/>
    <col min="5139" max="5376" width="9" style="1584"/>
    <col min="5377" max="5377" width="0" style="1584" hidden="1" customWidth="1"/>
    <col min="5378" max="5378" width="6.09765625" style="1584" customWidth="1"/>
    <col min="5379" max="5380" width="5.09765625" style="1584" customWidth="1"/>
    <col min="5381" max="5381" width="5.3984375" style="1584" customWidth="1"/>
    <col min="5382" max="5383" width="9.5" style="1584" customWidth="1"/>
    <col min="5384" max="5384" width="6.3984375" style="1584" customWidth="1"/>
    <col min="5385" max="5385" width="8.59765625" style="1584" customWidth="1"/>
    <col min="5386" max="5386" width="7.5" style="1584" customWidth="1"/>
    <col min="5387" max="5387" width="8.3984375" style="1584" customWidth="1"/>
    <col min="5388" max="5388" width="6.3984375" style="1584" customWidth="1"/>
    <col min="5389" max="5389" width="6.09765625" style="1584" customWidth="1"/>
    <col min="5390" max="5390" width="7.19921875" style="1584" customWidth="1"/>
    <col min="5391" max="5391" width="9" style="1584"/>
    <col min="5392" max="5392" width="6.5" style="1584" customWidth="1"/>
    <col min="5393" max="5393" width="9.3984375" style="1584" customWidth="1"/>
    <col min="5394" max="5394" width="8.3984375" style="1584" customWidth="1"/>
    <col min="5395" max="5632" width="9" style="1584"/>
    <col min="5633" max="5633" width="0" style="1584" hidden="1" customWidth="1"/>
    <col min="5634" max="5634" width="6.09765625" style="1584" customWidth="1"/>
    <col min="5635" max="5636" width="5.09765625" style="1584" customWidth="1"/>
    <col min="5637" max="5637" width="5.3984375" style="1584" customWidth="1"/>
    <col min="5638" max="5639" width="9.5" style="1584" customWidth="1"/>
    <col min="5640" max="5640" width="6.3984375" style="1584" customWidth="1"/>
    <col min="5641" max="5641" width="8.59765625" style="1584" customWidth="1"/>
    <col min="5642" max="5642" width="7.5" style="1584" customWidth="1"/>
    <col min="5643" max="5643" width="8.3984375" style="1584" customWidth="1"/>
    <col min="5644" max="5644" width="6.3984375" style="1584" customWidth="1"/>
    <col min="5645" max="5645" width="6.09765625" style="1584" customWidth="1"/>
    <col min="5646" max="5646" width="7.19921875" style="1584" customWidth="1"/>
    <col min="5647" max="5647" width="9" style="1584"/>
    <col min="5648" max="5648" width="6.5" style="1584" customWidth="1"/>
    <col min="5649" max="5649" width="9.3984375" style="1584" customWidth="1"/>
    <col min="5650" max="5650" width="8.3984375" style="1584" customWidth="1"/>
    <col min="5651" max="5888" width="9" style="1584"/>
    <col min="5889" max="5889" width="0" style="1584" hidden="1" customWidth="1"/>
    <col min="5890" max="5890" width="6.09765625" style="1584" customWidth="1"/>
    <col min="5891" max="5892" width="5.09765625" style="1584" customWidth="1"/>
    <col min="5893" max="5893" width="5.3984375" style="1584" customWidth="1"/>
    <col min="5894" max="5895" width="9.5" style="1584" customWidth="1"/>
    <col min="5896" max="5896" width="6.3984375" style="1584" customWidth="1"/>
    <col min="5897" max="5897" width="8.59765625" style="1584" customWidth="1"/>
    <col min="5898" max="5898" width="7.5" style="1584" customWidth="1"/>
    <col min="5899" max="5899" width="8.3984375" style="1584" customWidth="1"/>
    <col min="5900" max="5900" width="6.3984375" style="1584" customWidth="1"/>
    <col min="5901" max="5901" width="6.09765625" style="1584" customWidth="1"/>
    <col min="5902" max="5902" width="7.19921875" style="1584" customWidth="1"/>
    <col min="5903" max="5903" width="9" style="1584"/>
    <col min="5904" max="5904" width="6.5" style="1584" customWidth="1"/>
    <col min="5905" max="5905" width="9.3984375" style="1584" customWidth="1"/>
    <col min="5906" max="5906" width="8.3984375" style="1584" customWidth="1"/>
    <col min="5907" max="6144" width="9" style="1584"/>
    <col min="6145" max="6145" width="0" style="1584" hidden="1" customWidth="1"/>
    <col min="6146" max="6146" width="6.09765625" style="1584" customWidth="1"/>
    <col min="6147" max="6148" width="5.09765625" style="1584" customWidth="1"/>
    <col min="6149" max="6149" width="5.3984375" style="1584" customWidth="1"/>
    <col min="6150" max="6151" width="9.5" style="1584" customWidth="1"/>
    <col min="6152" max="6152" width="6.3984375" style="1584" customWidth="1"/>
    <col min="6153" max="6153" width="8.59765625" style="1584" customWidth="1"/>
    <col min="6154" max="6154" width="7.5" style="1584" customWidth="1"/>
    <col min="6155" max="6155" width="8.3984375" style="1584" customWidth="1"/>
    <col min="6156" max="6156" width="6.3984375" style="1584" customWidth="1"/>
    <col min="6157" max="6157" width="6.09765625" style="1584" customWidth="1"/>
    <col min="6158" max="6158" width="7.19921875" style="1584" customWidth="1"/>
    <col min="6159" max="6159" width="9" style="1584"/>
    <col min="6160" max="6160" width="6.5" style="1584" customWidth="1"/>
    <col min="6161" max="6161" width="9.3984375" style="1584" customWidth="1"/>
    <col min="6162" max="6162" width="8.3984375" style="1584" customWidth="1"/>
    <col min="6163" max="6400" width="9" style="1584"/>
    <col min="6401" max="6401" width="0" style="1584" hidden="1" customWidth="1"/>
    <col min="6402" max="6402" width="6.09765625" style="1584" customWidth="1"/>
    <col min="6403" max="6404" width="5.09765625" style="1584" customWidth="1"/>
    <col min="6405" max="6405" width="5.3984375" style="1584" customWidth="1"/>
    <col min="6406" max="6407" width="9.5" style="1584" customWidth="1"/>
    <col min="6408" max="6408" width="6.3984375" style="1584" customWidth="1"/>
    <col min="6409" max="6409" width="8.59765625" style="1584" customWidth="1"/>
    <col min="6410" max="6410" width="7.5" style="1584" customWidth="1"/>
    <col min="6411" max="6411" width="8.3984375" style="1584" customWidth="1"/>
    <col min="6412" max="6412" width="6.3984375" style="1584" customWidth="1"/>
    <col min="6413" max="6413" width="6.09765625" style="1584" customWidth="1"/>
    <col min="6414" max="6414" width="7.19921875" style="1584" customWidth="1"/>
    <col min="6415" max="6415" width="9" style="1584"/>
    <col min="6416" max="6416" width="6.5" style="1584" customWidth="1"/>
    <col min="6417" max="6417" width="9.3984375" style="1584" customWidth="1"/>
    <col min="6418" max="6418" width="8.3984375" style="1584" customWidth="1"/>
    <col min="6419" max="6656" width="9" style="1584"/>
    <col min="6657" max="6657" width="0" style="1584" hidden="1" customWidth="1"/>
    <col min="6658" max="6658" width="6.09765625" style="1584" customWidth="1"/>
    <col min="6659" max="6660" width="5.09765625" style="1584" customWidth="1"/>
    <col min="6661" max="6661" width="5.3984375" style="1584" customWidth="1"/>
    <col min="6662" max="6663" width="9.5" style="1584" customWidth="1"/>
    <col min="6664" max="6664" width="6.3984375" style="1584" customWidth="1"/>
    <col min="6665" max="6665" width="8.59765625" style="1584" customWidth="1"/>
    <col min="6666" max="6666" width="7.5" style="1584" customWidth="1"/>
    <col min="6667" max="6667" width="8.3984375" style="1584" customWidth="1"/>
    <col min="6668" max="6668" width="6.3984375" style="1584" customWidth="1"/>
    <col min="6669" max="6669" width="6.09765625" style="1584" customWidth="1"/>
    <col min="6670" max="6670" width="7.19921875" style="1584" customWidth="1"/>
    <col min="6671" max="6671" width="9" style="1584"/>
    <col min="6672" max="6672" width="6.5" style="1584" customWidth="1"/>
    <col min="6673" max="6673" width="9.3984375" style="1584" customWidth="1"/>
    <col min="6674" max="6674" width="8.3984375" style="1584" customWidth="1"/>
    <col min="6675" max="6912" width="9" style="1584"/>
    <col min="6913" max="6913" width="0" style="1584" hidden="1" customWidth="1"/>
    <col min="6914" max="6914" width="6.09765625" style="1584" customWidth="1"/>
    <col min="6915" max="6916" width="5.09765625" style="1584" customWidth="1"/>
    <col min="6917" max="6917" width="5.3984375" style="1584" customWidth="1"/>
    <col min="6918" max="6919" width="9.5" style="1584" customWidth="1"/>
    <col min="6920" max="6920" width="6.3984375" style="1584" customWidth="1"/>
    <col min="6921" max="6921" width="8.59765625" style="1584" customWidth="1"/>
    <col min="6922" max="6922" width="7.5" style="1584" customWidth="1"/>
    <col min="6923" max="6923" width="8.3984375" style="1584" customWidth="1"/>
    <col min="6924" max="6924" width="6.3984375" style="1584" customWidth="1"/>
    <col min="6925" max="6925" width="6.09765625" style="1584" customWidth="1"/>
    <col min="6926" max="6926" width="7.19921875" style="1584" customWidth="1"/>
    <col min="6927" max="6927" width="9" style="1584"/>
    <col min="6928" max="6928" width="6.5" style="1584" customWidth="1"/>
    <col min="6929" max="6929" width="9.3984375" style="1584" customWidth="1"/>
    <col min="6930" max="6930" width="8.3984375" style="1584" customWidth="1"/>
    <col min="6931" max="7168" width="9" style="1584"/>
    <col min="7169" max="7169" width="0" style="1584" hidden="1" customWidth="1"/>
    <col min="7170" max="7170" width="6.09765625" style="1584" customWidth="1"/>
    <col min="7171" max="7172" width="5.09765625" style="1584" customWidth="1"/>
    <col min="7173" max="7173" width="5.3984375" style="1584" customWidth="1"/>
    <col min="7174" max="7175" width="9.5" style="1584" customWidth="1"/>
    <col min="7176" max="7176" width="6.3984375" style="1584" customWidth="1"/>
    <col min="7177" max="7177" width="8.59765625" style="1584" customWidth="1"/>
    <col min="7178" max="7178" width="7.5" style="1584" customWidth="1"/>
    <col min="7179" max="7179" width="8.3984375" style="1584" customWidth="1"/>
    <col min="7180" max="7180" width="6.3984375" style="1584" customWidth="1"/>
    <col min="7181" max="7181" width="6.09765625" style="1584" customWidth="1"/>
    <col min="7182" max="7182" width="7.19921875" style="1584" customWidth="1"/>
    <col min="7183" max="7183" width="9" style="1584"/>
    <col min="7184" max="7184" width="6.5" style="1584" customWidth="1"/>
    <col min="7185" max="7185" width="9.3984375" style="1584" customWidth="1"/>
    <col min="7186" max="7186" width="8.3984375" style="1584" customWidth="1"/>
    <col min="7187" max="7424" width="9" style="1584"/>
    <col min="7425" max="7425" width="0" style="1584" hidden="1" customWidth="1"/>
    <col min="7426" max="7426" width="6.09765625" style="1584" customWidth="1"/>
    <col min="7427" max="7428" width="5.09765625" style="1584" customWidth="1"/>
    <col min="7429" max="7429" width="5.3984375" style="1584" customWidth="1"/>
    <col min="7430" max="7431" width="9.5" style="1584" customWidth="1"/>
    <col min="7432" max="7432" width="6.3984375" style="1584" customWidth="1"/>
    <col min="7433" max="7433" width="8.59765625" style="1584" customWidth="1"/>
    <col min="7434" max="7434" width="7.5" style="1584" customWidth="1"/>
    <col min="7435" max="7435" width="8.3984375" style="1584" customWidth="1"/>
    <col min="7436" max="7436" width="6.3984375" style="1584" customWidth="1"/>
    <col min="7437" max="7437" width="6.09765625" style="1584" customWidth="1"/>
    <col min="7438" max="7438" width="7.19921875" style="1584" customWidth="1"/>
    <col min="7439" max="7439" width="9" style="1584"/>
    <col min="7440" max="7440" width="6.5" style="1584" customWidth="1"/>
    <col min="7441" max="7441" width="9.3984375" style="1584" customWidth="1"/>
    <col min="7442" max="7442" width="8.3984375" style="1584" customWidth="1"/>
    <col min="7443" max="7680" width="9" style="1584"/>
    <col min="7681" max="7681" width="0" style="1584" hidden="1" customWidth="1"/>
    <col min="7682" max="7682" width="6.09765625" style="1584" customWidth="1"/>
    <col min="7683" max="7684" width="5.09765625" style="1584" customWidth="1"/>
    <col min="7685" max="7685" width="5.3984375" style="1584" customWidth="1"/>
    <col min="7686" max="7687" width="9.5" style="1584" customWidth="1"/>
    <col min="7688" max="7688" width="6.3984375" style="1584" customWidth="1"/>
    <col min="7689" max="7689" width="8.59765625" style="1584" customWidth="1"/>
    <col min="7690" max="7690" width="7.5" style="1584" customWidth="1"/>
    <col min="7691" max="7691" width="8.3984375" style="1584" customWidth="1"/>
    <col min="7692" max="7692" width="6.3984375" style="1584" customWidth="1"/>
    <col min="7693" max="7693" width="6.09765625" style="1584" customWidth="1"/>
    <col min="7694" max="7694" width="7.19921875" style="1584" customWidth="1"/>
    <col min="7695" max="7695" width="9" style="1584"/>
    <col min="7696" max="7696" width="6.5" style="1584" customWidth="1"/>
    <col min="7697" max="7697" width="9.3984375" style="1584" customWidth="1"/>
    <col min="7698" max="7698" width="8.3984375" style="1584" customWidth="1"/>
    <col min="7699" max="7936" width="9" style="1584"/>
    <col min="7937" max="7937" width="0" style="1584" hidden="1" customWidth="1"/>
    <col min="7938" max="7938" width="6.09765625" style="1584" customWidth="1"/>
    <col min="7939" max="7940" width="5.09765625" style="1584" customWidth="1"/>
    <col min="7941" max="7941" width="5.3984375" style="1584" customWidth="1"/>
    <col min="7942" max="7943" width="9.5" style="1584" customWidth="1"/>
    <col min="7944" max="7944" width="6.3984375" style="1584" customWidth="1"/>
    <col min="7945" max="7945" width="8.59765625" style="1584" customWidth="1"/>
    <col min="7946" max="7946" width="7.5" style="1584" customWidth="1"/>
    <col min="7947" max="7947" width="8.3984375" style="1584" customWidth="1"/>
    <col min="7948" max="7948" width="6.3984375" style="1584" customWidth="1"/>
    <col min="7949" max="7949" width="6.09765625" style="1584" customWidth="1"/>
    <col min="7950" max="7950" width="7.19921875" style="1584" customWidth="1"/>
    <col min="7951" max="7951" width="9" style="1584"/>
    <col min="7952" max="7952" width="6.5" style="1584" customWidth="1"/>
    <col min="7953" max="7953" width="9.3984375" style="1584" customWidth="1"/>
    <col min="7954" max="7954" width="8.3984375" style="1584" customWidth="1"/>
    <col min="7955" max="8192" width="9" style="1584"/>
    <col min="8193" max="8193" width="0" style="1584" hidden="1" customWidth="1"/>
    <col min="8194" max="8194" width="6.09765625" style="1584" customWidth="1"/>
    <col min="8195" max="8196" width="5.09765625" style="1584" customWidth="1"/>
    <col min="8197" max="8197" width="5.3984375" style="1584" customWidth="1"/>
    <col min="8198" max="8199" width="9.5" style="1584" customWidth="1"/>
    <col min="8200" max="8200" width="6.3984375" style="1584" customWidth="1"/>
    <col min="8201" max="8201" width="8.59765625" style="1584" customWidth="1"/>
    <col min="8202" max="8202" width="7.5" style="1584" customWidth="1"/>
    <col min="8203" max="8203" width="8.3984375" style="1584" customWidth="1"/>
    <col min="8204" max="8204" width="6.3984375" style="1584" customWidth="1"/>
    <col min="8205" max="8205" width="6.09765625" style="1584" customWidth="1"/>
    <col min="8206" max="8206" width="7.19921875" style="1584" customWidth="1"/>
    <col min="8207" max="8207" width="9" style="1584"/>
    <col min="8208" max="8208" width="6.5" style="1584" customWidth="1"/>
    <col min="8209" max="8209" width="9.3984375" style="1584" customWidth="1"/>
    <col min="8210" max="8210" width="8.3984375" style="1584" customWidth="1"/>
    <col min="8211" max="8448" width="9" style="1584"/>
    <col min="8449" max="8449" width="0" style="1584" hidden="1" customWidth="1"/>
    <col min="8450" max="8450" width="6.09765625" style="1584" customWidth="1"/>
    <col min="8451" max="8452" width="5.09765625" style="1584" customWidth="1"/>
    <col min="8453" max="8453" width="5.3984375" style="1584" customWidth="1"/>
    <col min="8454" max="8455" width="9.5" style="1584" customWidth="1"/>
    <col min="8456" max="8456" width="6.3984375" style="1584" customWidth="1"/>
    <col min="8457" max="8457" width="8.59765625" style="1584" customWidth="1"/>
    <col min="8458" max="8458" width="7.5" style="1584" customWidth="1"/>
    <col min="8459" max="8459" width="8.3984375" style="1584" customWidth="1"/>
    <col min="8460" max="8460" width="6.3984375" style="1584" customWidth="1"/>
    <col min="8461" max="8461" width="6.09765625" style="1584" customWidth="1"/>
    <col min="8462" max="8462" width="7.19921875" style="1584" customWidth="1"/>
    <col min="8463" max="8463" width="9" style="1584"/>
    <col min="8464" max="8464" width="6.5" style="1584" customWidth="1"/>
    <col min="8465" max="8465" width="9.3984375" style="1584" customWidth="1"/>
    <col min="8466" max="8466" width="8.3984375" style="1584" customWidth="1"/>
    <col min="8467" max="8704" width="9" style="1584"/>
    <col min="8705" max="8705" width="0" style="1584" hidden="1" customWidth="1"/>
    <col min="8706" max="8706" width="6.09765625" style="1584" customWidth="1"/>
    <col min="8707" max="8708" width="5.09765625" style="1584" customWidth="1"/>
    <col min="8709" max="8709" width="5.3984375" style="1584" customWidth="1"/>
    <col min="8710" max="8711" width="9.5" style="1584" customWidth="1"/>
    <col min="8712" max="8712" width="6.3984375" style="1584" customWidth="1"/>
    <col min="8713" max="8713" width="8.59765625" style="1584" customWidth="1"/>
    <col min="8714" max="8714" width="7.5" style="1584" customWidth="1"/>
    <col min="8715" max="8715" width="8.3984375" style="1584" customWidth="1"/>
    <col min="8716" max="8716" width="6.3984375" style="1584" customWidth="1"/>
    <col min="8717" max="8717" width="6.09765625" style="1584" customWidth="1"/>
    <col min="8718" max="8718" width="7.19921875" style="1584" customWidth="1"/>
    <col min="8719" max="8719" width="9" style="1584"/>
    <col min="8720" max="8720" width="6.5" style="1584" customWidth="1"/>
    <col min="8721" max="8721" width="9.3984375" style="1584" customWidth="1"/>
    <col min="8722" max="8722" width="8.3984375" style="1584" customWidth="1"/>
    <col min="8723" max="8960" width="9" style="1584"/>
    <col min="8961" max="8961" width="0" style="1584" hidden="1" customWidth="1"/>
    <col min="8962" max="8962" width="6.09765625" style="1584" customWidth="1"/>
    <col min="8963" max="8964" width="5.09765625" style="1584" customWidth="1"/>
    <col min="8965" max="8965" width="5.3984375" style="1584" customWidth="1"/>
    <col min="8966" max="8967" width="9.5" style="1584" customWidth="1"/>
    <col min="8968" max="8968" width="6.3984375" style="1584" customWidth="1"/>
    <col min="8969" max="8969" width="8.59765625" style="1584" customWidth="1"/>
    <col min="8970" max="8970" width="7.5" style="1584" customWidth="1"/>
    <col min="8971" max="8971" width="8.3984375" style="1584" customWidth="1"/>
    <col min="8972" max="8972" width="6.3984375" style="1584" customWidth="1"/>
    <col min="8973" max="8973" width="6.09765625" style="1584" customWidth="1"/>
    <col min="8974" max="8974" width="7.19921875" style="1584" customWidth="1"/>
    <col min="8975" max="8975" width="9" style="1584"/>
    <col min="8976" max="8976" width="6.5" style="1584" customWidth="1"/>
    <col min="8977" max="8977" width="9.3984375" style="1584" customWidth="1"/>
    <col min="8978" max="8978" width="8.3984375" style="1584" customWidth="1"/>
    <col min="8979" max="9216" width="9" style="1584"/>
    <col min="9217" max="9217" width="0" style="1584" hidden="1" customWidth="1"/>
    <col min="9218" max="9218" width="6.09765625" style="1584" customWidth="1"/>
    <col min="9219" max="9220" width="5.09765625" style="1584" customWidth="1"/>
    <col min="9221" max="9221" width="5.3984375" style="1584" customWidth="1"/>
    <col min="9222" max="9223" width="9.5" style="1584" customWidth="1"/>
    <col min="9224" max="9224" width="6.3984375" style="1584" customWidth="1"/>
    <col min="9225" max="9225" width="8.59765625" style="1584" customWidth="1"/>
    <col min="9226" max="9226" width="7.5" style="1584" customWidth="1"/>
    <col min="9227" max="9227" width="8.3984375" style="1584" customWidth="1"/>
    <col min="9228" max="9228" width="6.3984375" style="1584" customWidth="1"/>
    <col min="9229" max="9229" width="6.09765625" style="1584" customWidth="1"/>
    <col min="9230" max="9230" width="7.19921875" style="1584" customWidth="1"/>
    <col min="9231" max="9231" width="9" style="1584"/>
    <col min="9232" max="9232" width="6.5" style="1584" customWidth="1"/>
    <col min="9233" max="9233" width="9.3984375" style="1584" customWidth="1"/>
    <col min="9234" max="9234" width="8.3984375" style="1584" customWidth="1"/>
    <col min="9235" max="9472" width="9" style="1584"/>
    <col min="9473" max="9473" width="0" style="1584" hidden="1" customWidth="1"/>
    <col min="9474" max="9474" width="6.09765625" style="1584" customWidth="1"/>
    <col min="9475" max="9476" width="5.09765625" style="1584" customWidth="1"/>
    <col min="9477" max="9477" width="5.3984375" style="1584" customWidth="1"/>
    <col min="9478" max="9479" width="9.5" style="1584" customWidth="1"/>
    <col min="9480" max="9480" width="6.3984375" style="1584" customWidth="1"/>
    <col min="9481" max="9481" width="8.59765625" style="1584" customWidth="1"/>
    <col min="9482" max="9482" width="7.5" style="1584" customWidth="1"/>
    <col min="9483" max="9483" width="8.3984375" style="1584" customWidth="1"/>
    <col min="9484" max="9484" width="6.3984375" style="1584" customWidth="1"/>
    <col min="9485" max="9485" width="6.09765625" style="1584" customWidth="1"/>
    <col min="9486" max="9486" width="7.19921875" style="1584" customWidth="1"/>
    <col min="9487" max="9487" width="9" style="1584"/>
    <col min="9488" max="9488" width="6.5" style="1584" customWidth="1"/>
    <col min="9489" max="9489" width="9.3984375" style="1584" customWidth="1"/>
    <col min="9490" max="9490" width="8.3984375" style="1584" customWidth="1"/>
    <col min="9491" max="9728" width="9" style="1584"/>
    <col min="9729" max="9729" width="0" style="1584" hidden="1" customWidth="1"/>
    <col min="9730" max="9730" width="6.09765625" style="1584" customWidth="1"/>
    <col min="9731" max="9732" width="5.09765625" style="1584" customWidth="1"/>
    <col min="9733" max="9733" width="5.3984375" style="1584" customWidth="1"/>
    <col min="9734" max="9735" width="9.5" style="1584" customWidth="1"/>
    <col min="9736" max="9736" width="6.3984375" style="1584" customWidth="1"/>
    <col min="9737" max="9737" width="8.59765625" style="1584" customWidth="1"/>
    <col min="9738" max="9738" width="7.5" style="1584" customWidth="1"/>
    <col min="9739" max="9739" width="8.3984375" style="1584" customWidth="1"/>
    <col min="9740" max="9740" width="6.3984375" style="1584" customWidth="1"/>
    <col min="9741" max="9741" width="6.09765625" style="1584" customWidth="1"/>
    <col min="9742" max="9742" width="7.19921875" style="1584" customWidth="1"/>
    <col min="9743" max="9743" width="9" style="1584"/>
    <col min="9744" max="9744" width="6.5" style="1584" customWidth="1"/>
    <col min="9745" max="9745" width="9.3984375" style="1584" customWidth="1"/>
    <col min="9746" max="9746" width="8.3984375" style="1584" customWidth="1"/>
    <col min="9747" max="9984" width="9" style="1584"/>
    <col min="9985" max="9985" width="0" style="1584" hidden="1" customWidth="1"/>
    <col min="9986" max="9986" width="6.09765625" style="1584" customWidth="1"/>
    <col min="9987" max="9988" width="5.09765625" style="1584" customWidth="1"/>
    <col min="9989" max="9989" width="5.3984375" style="1584" customWidth="1"/>
    <col min="9990" max="9991" width="9.5" style="1584" customWidth="1"/>
    <col min="9992" max="9992" width="6.3984375" style="1584" customWidth="1"/>
    <col min="9993" max="9993" width="8.59765625" style="1584" customWidth="1"/>
    <col min="9994" max="9994" width="7.5" style="1584" customWidth="1"/>
    <col min="9995" max="9995" width="8.3984375" style="1584" customWidth="1"/>
    <col min="9996" max="9996" width="6.3984375" style="1584" customWidth="1"/>
    <col min="9997" max="9997" width="6.09765625" style="1584" customWidth="1"/>
    <col min="9998" max="9998" width="7.19921875" style="1584" customWidth="1"/>
    <col min="9999" max="9999" width="9" style="1584"/>
    <col min="10000" max="10000" width="6.5" style="1584" customWidth="1"/>
    <col min="10001" max="10001" width="9.3984375" style="1584" customWidth="1"/>
    <col min="10002" max="10002" width="8.3984375" style="1584" customWidth="1"/>
    <col min="10003" max="10240" width="9" style="1584"/>
    <col min="10241" max="10241" width="0" style="1584" hidden="1" customWidth="1"/>
    <col min="10242" max="10242" width="6.09765625" style="1584" customWidth="1"/>
    <col min="10243" max="10244" width="5.09765625" style="1584" customWidth="1"/>
    <col min="10245" max="10245" width="5.3984375" style="1584" customWidth="1"/>
    <col min="10246" max="10247" width="9.5" style="1584" customWidth="1"/>
    <col min="10248" max="10248" width="6.3984375" style="1584" customWidth="1"/>
    <col min="10249" max="10249" width="8.59765625" style="1584" customWidth="1"/>
    <col min="10250" max="10250" width="7.5" style="1584" customWidth="1"/>
    <col min="10251" max="10251" width="8.3984375" style="1584" customWidth="1"/>
    <col min="10252" max="10252" width="6.3984375" style="1584" customWidth="1"/>
    <col min="10253" max="10253" width="6.09765625" style="1584" customWidth="1"/>
    <col min="10254" max="10254" width="7.19921875" style="1584" customWidth="1"/>
    <col min="10255" max="10255" width="9" style="1584"/>
    <col min="10256" max="10256" width="6.5" style="1584" customWidth="1"/>
    <col min="10257" max="10257" width="9.3984375" style="1584" customWidth="1"/>
    <col min="10258" max="10258" width="8.3984375" style="1584" customWidth="1"/>
    <col min="10259" max="10496" width="9" style="1584"/>
    <col min="10497" max="10497" width="0" style="1584" hidden="1" customWidth="1"/>
    <col min="10498" max="10498" width="6.09765625" style="1584" customWidth="1"/>
    <col min="10499" max="10500" width="5.09765625" style="1584" customWidth="1"/>
    <col min="10501" max="10501" width="5.3984375" style="1584" customWidth="1"/>
    <col min="10502" max="10503" width="9.5" style="1584" customWidth="1"/>
    <col min="10504" max="10504" width="6.3984375" style="1584" customWidth="1"/>
    <col min="10505" max="10505" width="8.59765625" style="1584" customWidth="1"/>
    <col min="10506" max="10506" width="7.5" style="1584" customWidth="1"/>
    <col min="10507" max="10507" width="8.3984375" style="1584" customWidth="1"/>
    <col min="10508" max="10508" width="6.3984375" style="1584" customWidth="1"/>
    <col min="10509" max="10509" width="6.09765625" style="1584" customWidth="1"/>
    <col min="10510" max="10510" width="7.19921875" style="1584" customWidth="1"/>
    <col min="10511" max="10511" width="9" style="1584"/>
    <col min="10512" max="10512" width="6.5" style="1584" customWidth="1"/>
    <col min="10513" max="10513" width="9.3984375" style="1584" customWidth="1"/>
    <col min="10514" max="10514" width="8.3984375" style="1584" customWidth="1"/>
    <col min="10515" max="10752" width="9" style="1584"/>
    <col min="10753" max="10753" width="0" style="1584" hidden="1" customWidth="1"/>
    <col min="10754" max="10754" width="6.09765625" style="1584" customWidth="1"/>
    <col min="10755" max="10756" width="5.09765625" style="1584" customWidth="1"/>
    <col min="10757" max="10757" width="5.3984375" style="1584" customWidth="1"/>
    <col min="10758" max="10759" width="9.5" style="1584" customWidth="1"/>
    <col min="10760" max="10760" width="6.3984375" style="1584" customWidth="1"/>
    <col min="10761" max="10761" width="8.59765625" style="1584" customWidth="1"/>
    <col min="10762" max="10762" width="7.5" style="1584" customWidth="1"/>
    <col min="10763" max="10763" width="8.3984375" style="1584" customWidth="1"/>
    <col min="10764" max="10764" width="6.3984375" style="1584" customWidth="1"/>
    <col min="10765" max="10765" width="6.09765625" style="1584" customWidth="1"/>
    <col min="10766" max="10766" width="7.19921875" style="1584" customWidth="1"/>
    <col min="10767" max="10767" width="9" style="1584"/>
    <col min="10768" max="10768" width="6.5" style="1584" customWidth="1"/>
    <col min="10769" max="10769" width="9.3984375" style="1584" customWidth="1"/>
    <col min="10770" max="10770" width="8.3984375" style="1584" customWidth="1"/>
    <col min="10771" max="11008" width="9" style="1584"/>
    <col min="11009" max="11009" width="0" style="1584" hidden="1" customWidth="1"/>
    <col min="11010" max="11010" width="6.09765625" style="1584" customWidth="1"/>
    <col min="11011" max="11012" width="5.09765625" style="1584" customWidth="1"/>
    <col min="11013" max="11013" width="5.3984375" style="1584" customWidth="1"/>
    <col min="11014" max="11015" width="9.5" style="1584" customWidth="1"/>
    <col min="11016" max="11016" width="6.3984375" style="1584" customWidth="1"/>
    <col min="11017" max="11017" width="8.59765625" style="1584" customWidth="1"/>
    <col min="11018" max="11018" width="7.5" style="1584" customWidth="1"/>
    <col min="11019" max="11019" width="8.3984375" style="1584" customWidth="1"/>
    <col min="11020" max="11020" width="6.3984375" style="1584" customWidth="1"/>
    <col min="11021" max="11021" width="6.09765625" style="1584" customWidth="1"/>
    <col min="11022" max="11022" width="7.19921875" style="1584" customWidth="1"/>
    <col min="11023" max="11023" width="9" style="1584"/>
    <col min="11024" max="11024" width="6.5" style="1584" customWidth="1"/>
    <col min="11025" max="11025" width="9.3984375" style="1584" customWidth="1"/>
    <col min="11026" max="11026" width="8.3984375" style="1584" customWidth="1"/>
    <col min="11027" max="11264" width="9" style="1584"/>
    <col min="11265" max="11265" width="0" style="1584" hidden="1" customWidth="1"/>
    <col min="11266" max="11266" width="6.09765625" style="1584" customWidth="1"/>
    <col min="11267" max="11268" width="5.09765625" style="1584" customWidth="1"/>
    <col min="11269" max="11269" width="5.3984375" style="1584" customWidth="1"/>
    <col min="11270" max="11271" width="9.5" style="1584" customWidth="1"/>
    <col min="11272" max="11272" width="6.3984375" style="1584" customWidth="1"/>
    <col min="11273" max="11273" width="8.59765625" style="1584" customWidth="1"/>
    <col min="11274" max="11274" width="7.5" style="1584" customWidth="1"/>
    <col min="11275" max="11275" width="8.3984375" style="1584" customWidth="1"/>
    <col min="11276" max="11276" width="6.3984375" style="1584" customWidth="1"/>
    <col min="11277" max="11277" width="6.09765625" style="1584" customWidth="1"/>
    <col min="11278" max="11278" width="7.19921875" style="1584" customWidth="1"/>
    <col min="11279" max="11279" width="9" style="1584"/>
    <col min="11280" max="11280" width="6.5" style="1584" customWidth="1"/>
    <col min="11281" max="11281" width="9.3984375" style="1584" customWidth="1"/>
    <col min="11282" max="11282" width="8.3984375" style="1584" customWidth="1"/>
    <col min="11283" max="11520" width="9" style="1584"/>
    <col min="11521" max="11521" width="0" style="1584" hidden="1" customWidth="1"/>
    <col min="11522" max="11522" width="6.09765625" style="1584" customWidth="1"/>
    <col min="11523" max="11524" width="5.09765625" style="1584" customWidth="1"/>
    <col min="11525" max="11525" width="5.3984375" style="1584" customWidth="1"/>
    <col min="11526" max="11527" width="9.5" style="1584" customWidth="1"/>
    <col min="11528" max="11528" width="6.3984375" style="1584" customWidth="1"/>
    <col min="11529" max="11529" width="8.59765625" style="1584" customWidth="1"/>
    <col min="11530" max="11530" width="7.5" style="1584" customWidth="1"/>
    <col min="11531" max="11531" width="8.3984375" style="1584" customWidth="1"/>
    <col min="11532" max="11532" width="6.3984375" style="1584" customWidth="1"/>
    <col min="11533" max="11533" width="6.09765625" style="1584" customWidth="1"/>
    <col min="11534" max="11534" width="7.19921875" style="1584" customWidth="1"/>
    <col min="11535" max="11535" width="9" style="1584"/>
    <col min="11536" max="11536" width="6.5" style="1584" customWidth="1"/>
    <col min="11537" max="11537" width="9.3984375" style="1584" customWidth="1"/>
    <col min="11538" max="11538" width="8.3984375" style="1584" customWidth="1"/>
    <col min="11539" max="11776" width="9" style="1584"/>
    <col min="11777" max="11777" width="0" style="1584" hidden="1" customWidth="1"/>
    <col min="11778" max="11778" width="6.09765625" style="1584" customWidth="1"/>
    <col min="11779" max="11780" width="5.09765625" style="1584" customWidth="1"/>
    <col min="11781" max="11781" width="5.3984375" style="1584" customWidth="1"/>
    <col min="11782" max="11783" width="9.5" style="1584" customWidth="1"/>
    <col min="11784" max="11784" width="6.3984375" style="1584" customWidth="1"/>
    <col min="11785" max="11785" width="8.59765625" style="1584" customWidth="1"/>
    <col min="11786" max="11786" width="7.5" style="1584" customWidth="1"/>
    <col min="11787" max="11787" width="8.3984375" style="1584" customWidth="1"/>
    <col min="11788" max="11788" width="6.3984375" style="1584" customWidth="1"/>
    <col min="11789" max="11789" width="6.09765625" style="1584" customWidth="1"/>
    <col min="11790" max="11790" width="7.19921875" style="1584" customWidth="1"/>
    <col min="11791" max="11791" width="9" style="1584"/>
    <col min="11792" max="11792" width="6.5" style="1584" customWidth="1"/>
    <col min="11793" max="11793" width="9.3984375" style="1584" customWidth="1"/>
    <col min="11794" max="11794" width="8.3984375" style="1584" customWidth="1"/>
    <col min="11795" max="12032" width="9" style="1584"/>
    <col min="12033" max="12033" width="0" style="1584" hidden="1" customWidth="1"/>
    <col min="12034" max="12034" width="6.09765625" style="1584" customWidth="1"/>
    <col min="12035" max="12036" width="5.09765625" style="1584" customWidth="1"/>
    <col min="12037" max="12037" width="5.3984375" style="1584" customWidth="1"/>
    <col min="12038" max="12039" width="9.5" style="1584" customWidth="1"/>
    <col min="12040" max="12040" width="6.3984375" style="1584" customWidth="1"/>
    <col min="12041" max="12041" width="8.59765625" style="1584" customWidth="1"/>
    <col min="12042" max="12042" width="7.5" style="1584" customWidth="1"/>
    <col min="12043" max="12043" width="8.3984375" style="1584" customWidth="1"/>
    <col min="12044" max="12044" width="6.3984375" style="1584" customWidth="1"/>
    <col min="12045" max="12045" width="6.09765625" style="1584" customWidth="1"/>
    <col min="12046" max="12046" width="7.19921875" style="1584" customWidth="1"/>
    <col min="12047" max="12047" width="9" style="1584"/>
    <col min="12048" max="12048" width="6.5" style="1584" customWidth="1"/>
    <col min="12049" max="12049" width="9.3984375" style="1584" customWidth="1"/>
    <col min="12050" max="12050" width="8.3984375" style="1584" customWidth="1"/>
    <col min="12051" max="12288" width="9" style="1584"/>
    <col min="12289" max="12289" width="0" style="1584" hidden="1" customWidth="1"/>
    <col min="12290" max="12290" width="6.09765625" style="1584" customWidth="1"/>
    <col min="12291" max="12292" width="5.09765625" style="1584" customWidth="1"/>
    <col min="12293" max="12293" width="5.3984375" style="1584" customWidth="1"/>
    <col min="12294" max="12295" width="9.5" style="1584" customWidth="1"/>
    <col min="12296" max="12296" width="6.3984375" style="1584" customWidth="1"/>
    <col min="12297" max="12297" width="8.59765625" style="1584" customWidth="1"/>
    <col min="12298" max="12298" width="7.5" style="1584" customWidth="1"/>
    <col min="12299" max="12299" width="8.3984375" style="1584" customWidth="1"/>
    <col min="12300" max="12300" width="6.3984375" style="1584" customWidth="1"/>
    <col min="12301" max="12301" width="6.09765625" style="1584" customWidth="1"/>
    <col min="12302" max="12302" width="7.19921875" style="1584" customWidth="1"/>
    <col min="12303" max="12303" width="9" style="1584"/>
    <col min="12304" max="12304" width="6.5" style="1584" customWidth="1"/>
    <col min="12305" max="12305" width="9.3984375" style="1584" customWidth="1"/>
    <col min="12306" max="12306" width="8.3984375" style="1584" customWidth="1"/>
    <col min="12307" max="12544" width="9" style="1584"/>
    <col min="12545" max="12545" width="0" style="1584" hidden="1" customWidth="1"/>
    <col min="12546" max="12546" width="6.09765625" style="1584" customWidth="1"/>
    <col min="12547" max="12548" width="5.09765625" style="1584" customWidth="1"/>
    <col min="12549" max="12549" width="5.3984375" style="1584" customWidth="1"/>
    <col min="12550" max="12551" width="9.5" style="1584" customWidth="1"/>
    <col min="12552" max="12552" width="6.3984375" style="1584" customWidth="1"/>
    <col min="12553" max="12553" width="8.59765625" style="1584" customWidth="1"/>
    <col min="12554" max="12554" width="7.5" style="1584" customWidth="1"/>
    <col min="12555" max="12555" width="8.3984375" style="1584" customWidth="1"/>
    <col min="12556" max="12556" width="6.3984375" style="1584" customWidth="1"/>
    <col min="12557" max="12557" width="6.09765625" style="1584" customWidth="1"/>
    <col min="12558" max="12558" width="7.19921875" style="1584" customWidth="1"/>
    <col min="12559" max="12559" width="9" style="1584"/>
    <col min="12560" max="12560" width="6.5" style="1584" customWidth="1"/>
    <col min="12561" max="12561" width="9.3984375" style="1584" customWidth="1"/>
    <col min="12562" max="12562" width="8.3984375" style="1584" customWidth="1"/>
    <col min="12563" max="12800" width="9" style="1584"/>
    <col min="12801" max="12801" width="0" style="1584" hidden="1" customWidth="1"/>
    <col min="12802" max="12802" width="6.09765625" style="1584" customWidth="1"/>
    <col min="12803" max="12804" width="5.09765625" style="1584" customWidth="1"/>
    <col min="12805" max="12805" width="5.3984375" style="1584" customWidth="1"/>
    <col min="12806" max="12807" width="9.5" style="1584" customWidth="1"/>
    <col min="12808" max="12808" width="6.3984375" style="1584" customWidth="1"/>
    <col min="12809" max="12809" width="8.59765625" style="1584" customWidth="1"/>
    <col min="12810" max="12810" width="7.5" style="1584" customWidth="1"/>
    <col min="12811" max="12811" width="8.3984375" style="1584" customWidth="1"/>
    <col min="12812" max="12812" width="6.3984375" style="1584" customWidth="1"/>
    <col min="12813" max="12813" width="6.09765625" style="1584" customWidth="1"/>
    <col min="12814" max="12814" width="7.19921875" style="1584" customWidth="1"/>
    <col min="12815" max="12815" width="9" style="1584"/>
    <col min="12816" max="12816" width="6.5" style="1584" customWidth="1"/>
    <col min="12817" max="12817" width="9.3984375" style="1584" customWidth="1"/>
    <col min="12818" max="12818" width="8.3984375" style="1584" customWidth="1"/>
    <col min="12819" max="13056" width="9" style="1584"/>
    <col min="13057" max="13057" width="0" style="1584" hidden="1" customWidth="1"/>
    <col min="13058" max="13058" width="6.09765625" style="1584" customWidth="1"/>
    <col min="13059" max="13060" width="5.09765625" style="1584" customWidth="1"/>
    <col min="13061" max="13061" width="5.3984375" style="1584" customWidth="1"/>
    <col min="13062" max="13063" width="9.5" style="1584" customWidth="1"/>
    <col min="13064" max="13064" width="6.3984375" style="1584" customWidth="1"/>
    <col min="13065" max="13065" width="8.59765625" style="1584" customWidth="1"/>
    <col min="13066" max="13066" width="7.5" style="1584" customWidth="1"/>
    <col min="13067" max="13067" width="8.3984375" style="1584" customWidth="1"/>
    <col min="13068" max="13068" width="6.3984375" style="1584" customWidth="1"/>
    <col min="13069" max="13069" width="6.09765625" style="1584" customWidth="1"/>
    <col min="13070" max="13070" width="7.19921875" style="1584" customWidth="1"/>
    <col min="13071" max="13071" width="9" style="1584"/>
    <col min="13072" max="13072" width="6.5" style="1584" customWidth="1"/>
    <col min="13073" max="13073" width="9.3984375" style="1584" customWidth="1"/>
    <col min="13074" max="13074" width="8.3984375" style="1584" customWidth="1"/>
    <col min="13075" max="13312" width="9" style="1584"/>
    <col min="13313" max="13313" width="0" style="1584" hidden="1" customWidth="1"/>
    <col min="13314" max="13314" width="6.09765625" style="1584" customWidth="1"/>
    <col min="13315" max="13316" width="5.09765625" style="1584" customWidth="1"/>
    <col min="13317" max="13317" width="5.3984375" style="1584" customWidth="1"/>
    <col min="13318" max="13319" width="9.5" style="1584" customWidth="1"/>
    <col min="13320" max="13320" width="6.3984375" style="1584" customWidth="1"/>
    <col min="13321" max="13321" width="8.59765625" style="1584" customWidth="1"/>
    <col min="13322" max="13322" width="7.5" style="1584" customWidth="1"/>
    <col min="13323" max="13323" width="8.3984375" style="1584" customWidth="1"/>
    <col min="13324" max="13324" width="6.3984375" style="1584" customWidth="1"/>
    <col min="13325" max="13325" width="6.09765625" style="1584" customWidth="1"/>
    <col min="13326" max="13326" width="7.19921875" style="1584" customWidth="1"/>
    <col min="13327" max="13327" width="9" style="1584"/>
    <col min="13328" max="13328" width="6.5" style="1584" customWidth="1"/>
    <col min="13329" max="13329" width="9.3984375" style="1584" customWidth="1"/>
    <col min="13330" max="13330" width="8.3984375" style="1584" customWidth="1"/>
    <col min="13331" max="13568" width="9" style="1584"/>
    <col min="13569" max="13569" width="0" style="1584" hidden="1" customWidth="1"/>
    <col min="13570" max="13570" width="6.09765625" style="1584" customWidth="1"/>
    <col min="13571" max="13572" width="5.09765625" style="1584" customWidth="1"/>
    <col min="13573" max="13573" width="5.3984375" style="1584" customWidth="1"/>
    <col min="13574" max="13575" width="9.5" style="1584" customWidth="1"/>
    <col min="13576" max="13576" width="6.3984375" style="1584" customWidth="1"/>
    <col min="13577" max="13577" width="8.59765625" style="1584" customWidth="1"/>
    <col min="13578" max="13578" width="7.5" style="1584" customWidth="1"/>
    <col min="13579" max="13579" width="8.3984375" style="1584" customWidth="1"/>
    <col min="13580" max="13580" width="6.3984375" style="1584" customWidth="1"/>
    <col min="13581" max="13581" width="6.09765625" style="1584" customWidth="1"/>
    <col min="13582" max="13582" width="7.19921875" style="1584" customWidth="1"/>
    <col min="13583" max="13583" width="9" style="1584"/>
    <col min="13584" max="13584" width="6.5" style="1584" customWidth="1"/>
    <col min="13585" max="13585" width="9.3984375" style="1584" customWidth="1"/>
    <col min="13586" max="13586" width="8.3984375" style="1584" customWidth="1"/>
    <col min="13587" max="13824" width="9" style="1584"/>
    <col min="13825" max="13825" width="0" style="1584" hidden="1" customWidth="1"/>
    <col min="13826" max="13826" width="6.09765625" style="1584" customWidth="1"/>
    <col min="13827" max="13828" width="5.09765625" style="1584" customWidth="1"/>
    <col min="13829" max="13829" width="5.3984375" style="1584" customWidth="1"/>
    <col min="13830" max="13831" width="9.5" style="1584" customWidth="1"/>
    <col min="13832" max="13832" width="6.3984375" style="1584" customWidth="1"/>
    <col min="13833" max="13833" width="8.59765625" style="1584" customWidth="1"/>
    <col min="13834" max="13834" width="7.5" style="1584" customWidth="1"/>
    <col min="13835" max="13835" width="8.3984375" style="1584" customWidth="1"/>
    <col min="13836" max="13836" width="6.3984375" style="1584" customWidth="1"/>
    <col min="13837" max="13837" width="6.09765625" style="1584" customWidth="1"/>
    <col min="13838" max="13838" width="7.19921875" style="1584" customWidth="1"/>
    <col min="13839" max="13839" width="9" style="1584"/>
    <col min="13840" max="13840" width="6.5" style="1584" customWidth="1"/>
    <col min="13841" max="13841" width="9.3984375" style="1584" customWidth="1"/>
    <col min="13842" max="13842" width="8.3984375" style="1584" customWidth="1"/>
    <col min="13843" max="14080" width="9" style="1584"/>
    <col min="14081" max="14081" width="0" style="1584" hidden="1" customWidth="1"/>
    <col min="14082" max="14082" width="6.09765625" style="1584" customWidth="1"/>
    <col min="14083" max="14084" width="5.09765625" style="1584" customWidth="1"/>
    <col min="14085" max="14085" width="5.3984375" style="1584" customWidth="1"/>
    <col min="14086" max="14087" width="9.5" style="1584" customWidth="1"/>
    <col min="14088" max="14088" width="6.3984375" style="1584" customWidth="1"/>
    <col min="14089" max="14089" width="8.59765625" style="1584" customWidth="1"/>
    <col min="14090" max="14090" width="7.5" style="1584" customWidth="1"/>
    <col min="14091" max="14091" width="8.3984375" style="1584" customWidth="1"/>
    <col min="14092" max="14092" width="6.3984375" style="1584" customWidth="1"/>
    <col min="14093" max="14093" width="6.09765625" style="1584" customWidth="1"/>
    <col min="14094" max="14094" width="7.19921875" style="1584" customWidth="1"/>
    <col min="14095" max="14095" width="9" style="1584"/>
    <col min="14096" max="14096" width="6.5" style="1584" customWidth="1"/>
    <col min="14097" max="14097" width="9.3984375" style="1584" customWidth="1"/>
    <col min="14098" max="14098" width="8.3984375" style="1584" customWidth="1"/>
    <col min="14099" max="14336" width="9" style="1584"/>
    <col min="14337" max="14337" width="0" style="1584" hidden="1" customWidth="1"/>
    <col min="14338" max="14338" width="6.09765625" style="1584" customWidth="1"/>
    <col min="14339" max="14340" width="5.09765625" style="1584" customWidth="1"/>
    <col min="14341" max="14341" width="5.3984375" style="1584" customWidth="1"/>
    <col min="14342" max="14343" width="9.5" style="1584" customWidth="1"/>
    <col min="14344" max="14344" width="6.3984375" style="1584" customWidth="1"/>
    <col min="14345" max="14345" width="8.59765625" style="1584" customWidth="1"/>
    <col min="14346" max="14346" width="7.5" style="1584" customWidth="1"/>
    <col min="14347" max="14347" width="8.3984375" style="1584" customWidth="1"/>
    <col min="14348" max="14348" width="6.3984375" style="1584" customWidth="1"/>
    <col min="14349" max="14349" width="6.09765625" style="1584" customWidth="1"/>
    <col min="14350" max="14350" width="7.19921875" style="1584" customWidth="1"/>
    <col min="14351" max="14351" width="9" style="1584"/>
    <col min="14352" max="14352" width="6.5" style="1584" customWidth="1"/>
    <col min="14353" max="14353" width="9.3984375" style="1584" customWidth="1"/>
    <col min="14354" max="14354" width="8.3984375" style="1584" customWidth="1"/>
    <col min="14355" max="14592" width="9" style="1584"/>
    <col min="14593" max="14593" width="0" style="1584" hidden="1" customWidth="1"/>
    <col min="14594" max="14594" width="6.09765625" style="1584" customWidth="1"/>
    <col min="14595" max="14596" width="5.09765625" style="1584" customWidth="1"/>
    <col min="14597" max="14597" width="5.3984375" style="1584" customWidth="1"/>
    <col min="14598" max="14599" width="9.5" style="1584" customWidth="1"/>
    <col min="14600" max="14600" width="6.3984375" style="1584" customWidth="1"/>
    <col min="14601" max="14601" width="8.59765625" style="1584" customWidth="1"/>
    <col min="14602" max="14602" width="7.5" style="1584" customWidth="1"/>
    <col min="14603" max="14603" width="8.3984375" style="1584" customWidth="1"/>
    <col min="14604" max="14604" width="6.3984375" style="1584" customWidth="1"/>
    <col min="14605" max="14605" width="6.09765625" style="1584" customWidth="1"/>
    <col min="14606" max="14606" width="7.19921875" style="1584" customWidth="1"/>
    <col min="14607" max="14607" width="9" style="1584"/>
    <col min="14608" max="14608" width="6.5" style="1584" customWidth="1"/>
    <col min="14609" max="14609" width="9.3984375" style="1584" customWidth="1"/>
    <col min="14610" max="14610" width="8.3984375" style="1584" customWidth="1"/>
    <col min="14611" max="14848" width="9" style="1584"/>
    <col min="14849" max="14849" width="0" style="1584" hidden="1" customWidth="1"/>
    <col min="14850" max="14850" width="6.09765625" style="1584" customWidth="1"/>
    <col min="14851" max="14852" width="5.09765625" style="1584" customWidth="1"/>
    <col min="14853" max="14853" width="5.3984375" style="1584" customWidth="1"/>
    <col min="14854" max="14855" width="9.5" style="1584" customWidth="1"/>
    <col min="14856" max="14856" width="6.3984375" style="1584" customWidth="1"/>
    <col min="14857" max="14857" width="8.59765625" style="1584" customWidth="1"/>
    <col min="14858" max="14858" width="7.5" style="1584" customWidth="1"/>
    <col min="14859" max="14859" width="8.3984375" style="1584" customWidth="1"/>
    <col min="14860" max="14860" width="6.3984375" style="1584" customWidth="1"/>
    <col min="14861" max="14861" width="6.09765625" style="1584" customWidth="1"/>
    <col min="14862" max="14862" width="7.19921875" style="1584" customWidth="1"/>
    <col min="14863" max="14863" width="9" style="1584"/>
    <col min="14864" max="14864" width="6.5" style="1584" customWidth="1"/>
    <col min="14865" max="14865" width="9.3984375" style="1584" customWidth="1"/>
    <col min="14866" max="14866" width="8.3984375" style="1584" customWidth="1"/>
    <col min="14867" max="15104" width="9" style="1584"/>
    <col min="15105" max="15105" width="0" style="1584" hidden="1" customWidth="1"/>
    <col min="15106" max="15106" width="6.09765625" style="1584" customWidth="1"/>
    <col min="15107" max="15108" width="5.09765625" style="1584" customWidth="1"/>
    <col min="15109" max="15109" width="5.3984375" style="1584" customWidth="1"/>
    <col min="15110" max="15111" width="9.5" style="1584" customWidth="1"/>
    <col min="15112" max="15112" width="6.3984375" style="1584" customWidth="1"/>
    <col min="15113" max="15113" width="8.59765625" style="1584" customWidth="1"/>
    <col min="15114" max="15114" width="7.5" style="1584" customWidth="1"/>
    <col min="15115" max="15115" width="8.3984375" style="1584" customWidth="1"/>
    <col min="15116" max="15116" width="6.3984375" style="1584" customWidth="1"/>
    <col min="15117" max="15117" width="6.09765625" style="1584" customWidth="1"/>
    <col min="15118" max="15118" width="7.19921875" style="1584" customWidth="1"/>
    <col min="15119" max="15119" width="9" style="1584"/>
    <col min="15120" max="15120" width="6.5" style="1584" customWidth="1"/>
    <col min="15121" max="15121" width="9.3984375" style="1584" customWidth="1"/>
    <col min="15122" max="15122" width="8.3984375" style="1584" customWidth="1"/>
    <col min="15123" max="15360" width="9" style="1584"/>
    <col min="15361" max="15361" width="0" style="1584" hidden="1" customWidth="1"/>
    <col min="15362" max="15362" width="6.09765625" style="1584" customWidth="1"/>
    <col min="15363" max="15364" width="5.09765625" style="1584" customWidth="1"/>
    <col min="15365" max="15365" width="5.3984375" style="1584" customWidth="1"/>
    <col min="15366" max="15367" width="9.5" style="1584" customWidth="1"/>
    <col min="15368" max="15368" width="6.3984375" style="1584" customWidth="1"/>
    <col min="15369" max="15369" width="8.59765625" style="1584" customWidth="1"/>
    <col min="15370" max="15370" width="7.5" style="1584" customWidth="1"/>
    <col min="15371" max="15371" width="8.3984375" style="1584" customWidth="1"/>
    <col min="15372" max="15372" width="6.3984375" style="1584" customWidth="1"/>
    <col min="15373" max="15373" width="6.09765625" style="1584" customWidth="1"/>
    <col min="15374" max="15374" width="7.19921875" style="1584" customWidth="1"/>
    <col min="15375" max="15375" width="9" style="1584"/>
    <col min="15376" max="15376" width="6.5" style="1584" customWidth="1"/>
    <col min="15377" max="15377" width="9.3984375" style="1584" customWidth="1"/>
    <col min="15378" max="15378" width="8.3984375" style="1584" customWidth="1"/>
    <col min="15379" max="15616" width="9" style="1584"/>
    <col min="15617" max="15617" width="0" style="1584" hidden="1" customWidth="1"/>
    <col min="15618" max="15618" width="6.09765625" style="1584" customWidth="1"/>
    <col min="15619" max="15620" width="5.09765625" style="1584" customWidth="1"/>
    <col min="15621" max="15621" width="5.3984375" style="1584" customWidth="1"/>
    <col min="15622" max="15623" width="9.5" style="1584" customWidth="1"/>
    <col min="15624" max="15624" width="6.3984375" style="1584" customWidth="1"/>
    <col min="15625" max="15625" width="8.59765625" style="1584" customWidth="1"/>
    <col min="15626" max="15626" width="7.5" style="1584" customWidth="1"/>
    <col min="15627" max="15627" width="8.3984375" style="1584" customWidth="1"/>
    <col min="15628" max="15628" width="6.3984375" style="1584" customWidth="1"/>
    <col min="15629" max="15629" width="6.09765625" style="1584" customWidth="1"/>
    <col min="15630" max="15630" width="7.19921875" style="1584" customWidth="1"/>
    <col min="15631" max="15631" width="9" style="1584"/>
    <col min="15632" max="15632" width="6.5" style="1584" customWidth="1"/>
    <col min="15633" max="15633" width="9.3984375" style="1584" customWidth="1"/>
    <col min="15634" max="15634" width="8.3984375" style="1584" customWidth="1"/>
    <col min="15635" max="15872" width="9" style="1584"/>
    <col min="15873" max="15873" width="0" style="1584" hidden="1" customWidth="1"/>
    <col min="15874" max="15874" width="6.09765625" style="1584" customWidth="1"/>
    <col min="15875" max="15876" width="5.09765625" style="1584" customWidth="1"/>
    <col min="15877" max="15877" width="5.3984375" style="1584" customWidth="1"/>
    <col min="15878" max="15879" width="9.5" style="1584" customWidth="1"/>
    <col min="15880" max="15880" width="6.3984375" style="1584" customWidth="1"/>
    <col min="15881" max="15881" width="8.59765625" style="1584" customWidth="1"/>
    <col min="15882" max="15882" width="7.5" style="1584" customWidth="1"/>
    <col min="15883" max="15883" width="8.3984375" style="1584" customWidth="1"/>
    <col min="15884" max="15884" width="6.3984375" style="1584" customWidth="1"/>
    <col min="15885" max="15885" width="6.09765625" style="1584" customWidth="1"/>
    <col min="15886" max="15886" width="7.19921875" style="1584" customWidth="1"/>
    <col min="15887" max="15887" width="9" style="1584"/>
    <col min="15888" max="15888" width="6.5" style="1584" customWidth="1"/>
    <col min="15889" max="15889" width="9.3984375" style="1584" customWidth="1"/>
    <col min="15890" max="15890" width="8.3984375" style="1584" customWidth="1"/>
    <col min="15891" max="16128" width="9" style="1584"/>
    <col min="16129" max="16129" width="0" style="1584" hidden="1" customWidth="1"/>
    <col min="16130" max="16130" width="6.09765625" style="1584" customWidth="1"/>
    <col min="16131" max="16132" width="5.09765625" style="1584" customWidth="1"/>
    <col min="16133" max="16133" width="5.3984375" style="1584" customWidth="1"/>
    <col min="16134" max="16135" width="9.5" style="1584" customWidth="1"/>
    <col min="16136" max="16136" width="6.3984375" style="1584" customWidth="1"/>
    <col min="16137" max="16137" width="8.59765625" style="1584" customWidth="1"/>
    <col min="16138" max="16138" width="7.5" style="1584" customWidth="1"/>
    <col min="16139" max="16139" width="8.3984375" style="1584" customWidth="1"/>
    <col min="16140" max="16140" width="6.3984375" style="1584" customWidth="1"/>
    <col min="16141" max="16141" width="6.09765625" style="1584" customWidth="1"/>
    <col min="16142" max="16142" width="7.19921875" style="1584" customWidth="1"/>
    <col min="16143" max="16143" width="9" style="1584"/>
    <col min="16144" max="16144" width="6.5" style="1584" customWidth="1"/>
    <col min="16145" max="16145" width="9.3984375" style="1584" customWidth="1"/>
    <col min="16146" max="16146" width="8.3984375" style="1584" customWidth="1"/>
    <col min="16147" max="16384" width="9" style="1584"/>
  </cols>
  <sheetData>
    <row r="1" spans="1:19" s="1583" customFormat="1" ht="17.25" customHeight="1">
      <c r="A1" s="3378" t="s">
        <v>5523</v>
      </c>
      <c r="B1" s="3378"/>
      <c r="C1" s="3378"/>
      <c r="D1" s="3378"/>
      <c r="E1" s="3378"/>
      <c r="F1" s="3378"/>
      <c r="G1" s="3378"/>
      <c r="H1" s="3378"/>
      <c r="I1" s="3378"/>
      <c r="J1" s="3378"/>
      <c r="K1" s="3378"/>
      <c r="L1" s="3378"/>
      <c r="M1" s="3378"/>
      <c r="N1" s="3378"/>
      <c r="O1" s="3378"/>
      <c r="P1" s="3378"/>
      <c r="Q1" s="3378"/>
      <c r="R1" s="3937"/>
    </row>
    <row r="2" spans="1:19" ht="36.75" customHeight="1">
      <c r="A2" s="3379" t="s">
        <v>5524</v>
      </c>
      <c r="B2" s="3379"/>
      <c r="C2" s="3379"/>
      <c r="D2" s="3379"/>
      <c r="E2" s="3379"/>
      <c r="F2" s="3379"/>
      <c r="G2" s="3379"/>
      <c r="H2" s="3379"/>
      <c r="I2" s="3379"/>
      <c r="J2" s="3379"/>
      <c r="K2" s="3379"/>
      <c r="L2" s="3379"/>
      <c r="M2" s="3379"/>
      <c r="N2" s="3379"/>
      <c r="O2" s="3379"/>
      <c r="P2" s="3379"/>
      <c r="Q2" s="3379"/>
      <c r="R2" s="3448"/>
    </row>
    <row r="3" spans="1:19" s="1585" customFormat="1" ht="42.75" customHeight="1">
      <c r="A3" s="3449" t="s">
        <v>646</v>
      </c>
      <c r="B3" s="3385" t="s">
        <v>954</v>
      </c>
      <c r="C3" s="3385" t="s">
        <v>5525</v>
      </c>
      <c r="D3" s="3385" t="s">
        <v>955</v>
      </c>
      <c r="E3" s="3385" t="s">
        <v>7692</v>
      </c>
      <c r="F3" s="3385" t="s">
        <v>5526</v>
      </c>
      <c r="G3" s="3385"/>
      <c r="H3" s="3385" t="s">
        <v>5527</v>
      </c>
      <c r="I3" s="3385"/>
      <c r="J3" s="3385"/>
      <c r="K3" s="3385" t="s">
        <v>5528</v>
      </c>
      <c r="L3" s="3385"/>
      <c r="M3" s="3385"/>
      <c r="N3" s="3385"/>
      <c r="O3" s="3385"/>
      <c r="P3" s="3385"/>
      <c r="Q3" s="3383" t="s">
        <v>5484</v>
      </c>
      <c r="R3" s="3385" t="s">
        <v>4901</v>
      </c>
    </row>
    <row r="4" spans="1:19" s="1585" customFormat="1" ht="78" customHeight="1">
      <c r="A4" s="3450"/>
      <c r="B4" s="3385"/>
      <c r="C4" s="3385"/>
      <c r="D4" s="3385"/>
      <c r="E4" s="3385"/>
      <c r="F4" s="1850" t="s">
        <v>5529</v>
      </c>
      <c r="G4" s="1850" t="s">
        <v>5530</v>
      </c>
      <c r="H4" s="1850" t="s">
        <v>5531</v>
      </c>
      <c r="I4" s="1850" t="s">
        <v>5532</v>
      </c>
      <c r="J4" s="1850" t="s">
        <v>5533</v>
      </c>
      <c r="K4" s="1850" t="s">
        <v>5534</v>
      </c>
      <c r="L4" s="1850" t="s">
        <v>7693</v>
      </c>
      <c r="M4" s="1850" t="s">
        <v>5535</v>
      </c>
      <c r="N4" s="1850" t="s">
        <v>5536</v>
      </c>
      <c r="O4" s="1850" t="s">
        <v>5537</v>
      </c>
      <c r="P4" s="1850" t="s">
        <v>5533</v>
      </c>
      <c r="Q4" s="3384"/>
      <c r="R4" s="3385"/>
    </row>
    <row r="5" spans="1:19" ht="46.5" customHeight="1">
      <c r="A5" s="3450"/>
      <c r="B5" s="1839">
        <v>1</v>
      </c>
      <c r="C5" s="1865">
        <v>2</v>
      </c>
      <c r="D5" s="1865">
        <v>3</v>
      </c>
      <c r="E5" s="1865">
        <v>4</v>
      </c>
      <c r="F5" s="1865">
        <v>5</v>
      </c>
      <c r="G5" s="1865">
        <v>6</v>
      </c>
      <c r="H5" s="1865">
        <v>7</v>
      </c>
      <c r="I5" s="1865">
        <v>8</v>
      </c>
      <c r="J5" s="1865" t="s">
        <v>5538</v>
      </c>
      <c r="K5" s="1865">
        <v>10</v>
      </c>
      <c r="L5" s="1865">
        <v>11</v>
      </c>
      <c r="M5" s="1865" t="s">
        <v>5539</v>
      </c>
      <c r="N5" s="1865" t="s">
        <v>5540</v>
      </c>
      <c r="O5" s="1865">
        <v>14</v>
      </c>
      <c r="P5" s="1865" t="s">
        <v>5541</v>
      </c>
      <c r="Q5" s="1866" t="s">
        <v>5542</v>
      </c>
      <c r="R5" s="1960"/>
      <c r="S5" s="1586"/>
    </row>
    <row r="6" spans="1:19" ht="14.25" customHeight="1">
      <c r="A6" s="1582">
        <v>1</v>
      </c>
      <c r="B6" s="1871" t="str">
        <f>IF(股息红利优惠审核表!B6=0,"",股息红利优惠审核表!B6)</f>
        <v/>
      </c>
      <c r="C6" s="1871" t="str">
        <f>IF(股息红利优惠审核表!C6=0,"",股息红利优惠审核表!C6)</f>
        <v/>
      </c>
      <c r="D6" s="2074">
        <f>股息红利优惠审核表!D6</f>
        <v>0</v>
      </c>
      <c r="E6" s="2074">
        <f>股息红利优惠审核表!E6</f>
        <v>0</v>
      </c>
      <c r="F6" s="1871" t="str">
        <f>IF(B6="","",TEXT(股息红利优惠审核表!F6,"yyyy-mm-dd"))</f>
        <v/>
      </c>
      <c r="G6" s="2074">
        <f>股息红利优惠审核表!G6</f>
        <v>0</v>
      </c>
      <c r="H6" s="2074">
        <f>股息红利优惠审核表!H6</f>
        <v>0</v>
      </c>
      <c r="I6" s="2074">
        <f>股息红利优惠审核表!I6</f>
        <v>0</v>
      </c>
      <c r="J6" s="2074">
        <f>股息红利优惠审核表!J6</f>
        <v>0</v>
      </c>
      <c r="K6" s="2074">
        <f>股息红利优惠审核表!K6</f>
        <v>0</v>
      </c>
      <c r="L6" s="2074">
        <f>股息红利优惠审核表!L6</f>
        <v>0</v>
      </c>
      <c r="M6" s="2074">
        <f>股息红利优惠审核表!M6</f>
        <v>0</v>
      </c>
      <c r="N6" s="2074">
        <f>股息红利优惠审核表!N6</f>
        <v>0</v>
      </c>
      <c r="O6" s="2074">
        <f>股息红利优惠审核表!O6</f>
        <v>0</v>
      </c>
      <c r="P6" s="2074">
        <f>股息红利优惠审核表!P6</f>
        <v>0</v>
      </c>
      <c r="Q6" s="2074">
        <f>股息红利优惠审核表!Q6</f>
        <v>0</v>
      </c>
      <c r="R6" s="1981"/>
    </row>
    <row r="7" spans="1:19" ht="14.25" customHeight="1">
      <c r="A7" s="1582">
        <v>2</v>
      </c>
      <c r="B7" s="1871" t="str">
        <f>IF(股息红利优惠审核表!B7=0,"",股息红利优惠审核表!B7)</f>
        <v/>
      </c>
      <c r="C7" s="1871" t="str">
        <f>IF(股息红利优惠审核表!C7=0,"",股息红利优惠审核表!C7)</f>
        <v/>
      </c>
      <c r="D7" s="2074">
        <f>股息红利优惠审核表!D7</f>
        <v>0</v>
      </c>
      <c r="E7" s="2074">
        <f>股息红利优惠审核表!E7</f>
        <v>0</v>
      </c>
      <c r="F7" s="1871" t="str">
        <f>IF(B7="","",TEXT(股息红利优惠审核表!F7,"yyyy-mm-dd"))</f>
        <v/>
      </c>
      <c r="G7" s="2074">
        <f>股息红利优惠审核表!G7</f>
        <v>0</v>
      </c>
      <c r="H7" s="2074">
        <f>股息红利优惠审核表!H7</f>
        <v>0</v>
      </c>
      <c r="I7" s="2074">
        <f>股息红利优惠审核表!I7</f>
        <v>0</v>
      </c>
      <c r="J7" s="2074">
        <f>股息红利优惠审核表!J7</f>
        <v>0</v>
      </c>
      <c r="K7" s="2074">
        <f>股息红利优惠审核表!K7</f>
        <v>0</v>
      </c>
      <c r="L7" s="2074">
        <f>股息红利优惠审核表!L7</f>
        <v>0</v>
      </c>
      <c r="M7" s="2074">
        <f>股息红利优惠审核表!M7</f>
        <v>0</v>
      </c>
      <c r="N7" s="2074">
        <f>股息红利优惠审核表!N7</f>
        <v>0</v>
      </c>
      <c r="O7" s="2074">
        <f>股息红利优惠审核表!O7</f>
        <v>0</v>
      </c>
      <c r="P7" s="2074">
        <f>股息红利优惠审核表!P7</f>
        <v>0</v>
      </c>
      <c r="Q7" s="2074">
        <f>股息红利优惠审核表!Q7</f>
        <v>0</v>
      </c>
      <c r="R7" s="1981"/>
    </row>
    <row r="8" spans="1:19" ht="14.25" customHeight="1">
      <c r="A8" s="1582">
        <v>3</v>
      </c>
      <c r="B8" s="1871" t="str">
        <f>IF(股息红利优惠审核表!B8=0,"",股息红利优惠审核表!B8)</f>
        <v/>
      </c>
      <c r="C8" s="1871" t="str">
        <f>IF(股息红利优惠审核表!C8=0,"",股息红利优惠审核表!C8)</f>
        <v/>
      </c>
      <c r="D8" s="2074">
        <f>股息红利优惠审核表!D8</f>
        <v>0</v>
      </c>
      <c r="E8" s="2074">
        <f>股息红利优惠审核表!E8</f>
        <v>0</v>
      </c>
      <c r="F8" s="1871" t="str">
        <f>IF(B8="","",TEXT(股息红利优惠审核表!F8,"yyyy-mm-dd"))</f>
        <v/>
      </c>
      <c r="G8" s="2074">
        <f>股息红利优惠审核表!G8</f>
        <v>0</v>
      </c>
      <c r="H8" s="2074">
        <f>股息红利优惠审核表!H8</f>
        <v>0</v>
      </c>
      <c r="I8" s="2074">
        <f>股息红利优惠审核表!I8</f>
        <v>0</v>
      </c>
      <c r="J8" s="2074">
        <f>股息红利优惠审核表!J8</f>
        <v>0</v>
      </c>
      <c r="K8" s="2074">
        <f>股息红利优惠审核表!K8</f>
        <v>0</v>
      </c>
      <c r="L8" s="2074">
        <f>股息红利优惠审核表!L8</f>
        <v>0</v>
      </c>
      <c r="M8" s="2074">
        <f>股息红利优惠审核表!M8</f>
        <v>0</v>
      </c>
      <c r="N8" s="2074">
        <f>股息红利优惠审核表!N8</f>
        <v>0</v>
      </c>
      <c r="O8" s="2074">
        <f>股息红利优惠审核表!O8</f>
        <v>0</v>
      </c>
      <c r="P8" s="2074">
        <f>股息红利优惠审核表!P8</f>
        <v>0</v>
      </c>
      <c r="Q8" s="2074">
        <f>股息红利优惠审核表!Q8</f>
        <v>0</v>
      </c>
      <c r="R8" s="1981"/>
      <c r="S8" s="1772" t="s">
        <v>6459</v>
      </c>
    </row>
    <row r="9" spans="1:19" ht="14.25" customHeight="1">
      <c r="A9" s="1582">
        <v>4</v>
      </c>
      <c r="B9" s="1871" t="str">
        <f>IF(股息红利优惠审核表!B9=0,"",股息红利优惠审核表!B9)</f>
        <v/>
      </c>
      <c r="C9" s="1871" t="str">
        <f>IF(股息红利优惠审核表!C9=0,"",股息红利优惠审核表!C9)</f>
        <v/>
      </c>
      <c r="D9" s="2074">
        <f>股息红利优惠审核表!D9</f>
        <v>0</v>
      </c>
      <c r="E9" s="2074">
        <f>股息红利优惠审核表!E9</f>
        <v>0</v>
      </c>
      <c r="F9" s="1871" t="str">
        <f>IF(B9="","",TEXT(股息红利优惠审核表!F9,"yyyy-mm-dd"))</f>
        <v/>
      </c>
      <c r="G9" s="2074">
        <f>股息红利优惠审核表!G9</f>
        <v>0</v>
      </c>
      <c r="H9" s="2074">
        <f>股息红利优惠审核表!H9</f>
        <v>0</v>
      </c>
      <c r="I9" s="2074">
        <f>股息红利优惠审核表!I9</f>
        <v>0</v>
      </c>
      <c r="J9" s="2074">
        <f>股息红利优惠审核表!J9</f>
        <v>0</v>
      </c>
      <c r="K9" s="2074">
        <f>股息红利优惠审核表!K9</f>
        <v>0</v>
      </c>
      <c r="L9" s="2074">
        <f>股息红利优惠审核表!L9</f>
        <v>0</v>
      </c>
      <c r="M9" s="2074">
        <f>股息红利优惠审核表!M9</f>
        <v>0</v>
      </c>
      <c r="N9" s="2074">
        <f>股息红利优惠审核表!N9</f>
        <v>0</v>
      </c>
      <c r="O9" s="2074">
        <f>股息红利优惠审核表!O9</f>
        <v>0</v>
      </c>
      <c r="P9" s="2074">
        <f>股息红利优惠审核表!P9</f>
        <v>0</v>
      </c>
      <c r="Q9" s="2074">
        <f>股息红利优惠审核表!Q9</f>
        <v>0</v>
      </c>
      <c r="R9" s="1981"/>
    </row>
    <row r="10" spans="1:19" ht="14.25" customHeight="1">
      <c r="A10" s="1582">
        <v>5</v>
      </c>
      <c r="B10" s="1871" t="str">
        <f>IF(股息红利优惠审核表!B10=0,"",股息红利优惠审核表!B10)</f>
        <v/>
      </c>
      <c r="C10" s="1871" t="str">
        <f>IF(股息红利优惠审核表!C10=0,"",股息红利优惠审核表!C10)</f>
        <v/>
      </c>
      <c r="D10" s="2074">
        <f>股息红利优惠审核表!D10</f>
        <v>0</v>
      </c>
      <c r="E10" s="2074">
        <f>股息红利优惠审核表!E10</f>
        <v>0</v>
      </c>
      <c r="F10" s="1871" t="str">
        <f>IF(B10="","",TEXT(股息红利优惠审核表!F10,"yyyy-mm-dd"))</f>
        <v/>
      </c>
      <c r="G10" s="2074">
        <f>股息红利优惠审核表!G10</f>
        <v>0</v>
      </c>
      <c r="H10" s="2074">
        <f>股息红利优惠审核表!H10</f>
        <v>0</v>
      </c>
      <c r="I10" s="2074">
        <f>股息红利优惠审核表!I10</f>
        <v>0</v>
      </c>
      <c r="J10" s="2074">
        <f>股息红利优惠审核表!J10</f>
        <v>0</v>
      </c>
      <c r="K10" s="2074">
        <f>股息红利优惠审核表!K10</f>
        <v>0</v>
      </c>
      <c r="L10" s="2074">
        <f>股息红利优惠审核表!L10</f>
        <v>0</v>
      </c>
      <c r="M10" s="2074">
        <f>股息红利优惠审核表!M10</f>
        <v>0</v>
      </c>
      <c r="N10" s="2074">
        <f>股息红利优惠审核表!N10</f>
        <v>0</v>
      </c>
      <c r="O10" s="2074">
        <f>股息红利优惠审核表!O10</f>
        <v>0</v>
      </c>
      <c r="P10" s="2074">
        <f>股息红利优惠审核表!P10</f>
        <v>0</v>
      </c>
      <c r="Q10" s="2074">
        <f>股息红利优惠审核表!Q10</f>
        <v>0</v>
      </c>
      <c r="R10" s="1981"/>
    </row>
    <row r="11" spans="1:19" ht="14.25" customHeight="1">
      <c r="A11" s="1582">
        <v>6</v>
      </c>
      <c r="B11" s="1871" t="str">
        <f>IF(股息红利优惠审核表!B11=0,"",股息红利优惠审核表!B11)</f>
        <v/>
      </c>
      <c r="C11" s="1871" t="str">
        <f>IF(股息红利优惠审核表!C11=0,"",股息红利优惠审核表!C11)</f>
        <v/>
      </c>
      <c r="D11" s="2074">
        <f>股息红利优惠审核表!D11</f>
        <v>0</v>
      </c>
      <c r="E11" s="2074">
        <f>股息红利优惠审核表!E11</f>
        <v>0</v>
      </c>
      <c r="F11" s="1871" t="str">
        <f>IF(B11="","",TEXT(股息红利优惠审核表!F11,"yyyy-mm-dd"))</f>
        <v/>
      </c>
      <c r="G11" s="2074">
        <f>股息红利优惠审核表!G11</f>
        <v>0</v>
      </c>
      <c r="H11" s="2074">
        <f>股息红利优惠审核表!H11</f>
        <v>0</v>
      </c>
      <c r="I11" s="2074">
        <f>股息红利优惠审核表!I11</f>
        <v>0</v>
      </c>
      <c r="J11" s="2074">
        <f>股息红利优惠审核表!J11</f>
        <v>0</v>
      </c>
      <c r="K11" s="2074">
        <f>股息红利优惠审核表!K11</f>
        <v>0</v>
      </c>
      <c r="L11" s="2074">
        <f>股息红利优惠审核表!L11</f>
        <v>0</v>
      </c>
      <c r="M11" s="2074">
        <f>股息红利优惠审核表!M11</f>
        <v>0</v>
      </c>
      <c r="N11" s="2074">
        <f>股息红利优惠审核表!N11</f>
        <v>0</v>
      </c>
      <c r="O11" s="2074">
        <f>股息红利优惠审核表!O11</f>
        <v>0</v>
      </c>
      <c r="P11" s="2074">
        <f>股息红利优惠审核表!P11</f>
        <v>0</v>
      </c>
      <c r="Q11" s="2074">
        <f>股息红利优惠审核表!Q11</f>
        <v>0</v>
      </c>
      <c r="R11" s="1981"/>
    </row>
    <row r="12" spans="1:19" ht="14.25" customHeight="1">
      <c r="A12" s="1582">
        <v>7</v>
      </c>
      <c r="B12" s="1871" t="str">
        <f>IF(股息红利优惠审核表!B12=0,"",股息红利优惠审核表!B12)</f>
        <v/>
      </c>
      <c r="C12" s="1871" t="str">
        <f>IF(股息红利优惠审核表!C12=0,"",股息红利优惠审核表!C12)</f>
        <v/>
      </c>
      <c r="D12" s="2074">
        <f>股息红利优惠审核表!D12</f>
        <v>0</v>
      </c>
      <c r="E12" s="2074">
        <f>股息红利优惠审核表!E12</f>
        <v>0</v>
      </c>
      <c r="F12" s="1871" t="str">
        <f>IF(B12="","",TEXT(股息红利优惠审核表!F12,"yyyy-mm-dd"))</f>
        <v/>
      </c>
      <c r="G12" s="2074">
        <f>股息红利优惠审核表!G12</f>
        <v>0</v>
      </c>
      <c r="H12" s="2074">
        <f>股息红利优惠审核表!H12</f>
        <v>0</v>
      </c>
      <c r="I12" s="2074">
        <f>股息红利优惠审核表!I12</f>
        <v>0</v>
      </c>
      <c r="J12" s="2074">
        <f>股息红利优惠审核表!J12</f>
        <v>0</v>
      </c>
      <c r="K12" s="2074">
        <f>股息红利优惠审核表!K12</f>
        <v>0</v>
      </c>
      <c r="L12" s="2074">
        <f>股息红利优惠审核表!L12</f>
        <v>0</v>
      </c>
      <c r="M12" s="2074">
        <f>股息红利优惠审核表!M12</f>
        <v>0</v>
      </c>
      <c r="N12" s="2074">
        <f>股息红利优惠审核表!N12</f>
        <v>0</v>
      </c>
      <c r="O12" s="2074">
        <f>股息红利优惠审核表!O12</f>
        <v>0</v>
      </c>
      <c r="P12" s="2074">
        <f>股息红利优惠审核表!P12</f>
        <v>0</v>
      </c>
      <c r="Q12" s="2074">
        <f>股息红利优惠审核表!Q12</f>
        <v>0</v>
      </c>
      <c r="R12" s="1981"/>
    </row>
    <row r="13" spans="1:19" ht="14.25" customHeight="1">
      <c r="A13" s="1582">
        <v>8</v>
      </c>
      <c r="B13" s="1871" t="str">
        <f>IF(股息红利优惠审核表!B13=0,"",股息红利优惠审核表!B13)</f>
        <v/>
      </c>
      <c r="C13" s="1871" t="str">
        <f>IF(股息红利优惠审核表!C13=0,"",股息红利优惠审核表!C13)</f>
        <v/>
      </c>
      <c r="D13" s="2074">
        <f>股息红利优惠审核表!D13</f>
        <v>0</v>
      </c>
      <c r="E13" s="2074">
        <f>股息红利优惠审核表!E13</f>
        <v>0</v>
      </c>
      <c r="F13" s="1871" t="str">
        <f>IF(B13="","",TEXT(股息红利优惠审核表!F13,"yyyy-mm-dd"))</f>
        <v/>
      </c>
      <c r="G13" s="2074">
        <f>股息红利优惠审核表!G13</f>
        <v>0</v>
      </c>
      <c r="H13" s="2074">
        <f>股息红利优惠审核表!H13</f>
        <v>0</v>
      </c>
      <c r="I13" s="2074">
        <f>股息红利优惠审核表!I13</f>
        <v>0</v>
      </c>
      <c r="J13" s="2074">
        <f>股息红利优惠审核表!J13</f>
        <v>0</v>
      </c>
      <c r="K13" s="2074">
        <f>股息红利优惠审核表!K13</f>
        <v>0</v>
      </c>
      <c r="L13" s="2074">
        <f>股息红利优惠审核表!L13</f>
        <v>0</v>
      </c>
      <c r="M13" s="2074">
        <f>股息红利优惠审核表!M13</f>
        <v>0</v>
      </c>
      <c r="N13" s="2074">
        <f>股息红利优惠审核表!N13</f>
        <v>0</v>
      </c>
      <c r="O13" s="2074">
        <f>股息红利优惠审核表!O13</f>
        <v>0</v>
      </c>
      <c r="P13" s="2074">
        <f>股息红利优惠审核表!P13</f>
        <v>0</v>
      </c>
      <c r="Q13" s="2074">
        <f>股息红利优惠审核表!Q13</f>
        <v>0</v>
      </c>
      <c r="R13" s="1981"/>
    </row>
    <row r="14" spans="1:19" ht="14.25" customHeight="1">
      <c r="A14" s="1582">
        <v>9</v>
      </c>
      <c r="B14" s="1871" t="str">
        <f>IF(股息红利优惠审核表!B14=0,"",股息红利优惠审核表!B14)</f>
        <v/>
      </c>
      <c r="C14" s="1871" t="str">
        <f>IF(股息红利优惠审核表!C14=0,"",股息红利优惠审核表!C14)</f>
        <v/>
      </c>
      <c r="D14" s="2074">
        <f>股息红利优惠审核表!D14</f>
        <v>0</v>
      </c>
      <c r="E14" s="2074">
        <f>股息红利优惠审核表!E14</f>
        <v>0</v>
      </c>
      <c r="F14" s="1871" t="str">
        <f>IF(B14="","",TEXT(股息红利优惠审核表!F14,"yyyy-mm-dd"))</f>
        <v/>
      </c>
      <c r="G14" s="2074">
        <f>股息红利优惠审核表!G14</f>
        <v>0</v>
      </c>
      <c r="H14" s="2074">
        <f>股息红利优惠审核表!H14</f>
        <v>0</v>
      </c>
      <c r="I14" s="2074">
        <f>股息红利优惠审核表!I14</f>
        <v>0</v>
      </c>
      <c r="J14" s="2074">
        <f>股息红利优惠审核表!J14</f>
        <v>0</v>
      </c>
      <c r="K14" s="2074">
        <f>股息红利优惠审核表!K14</f>
        <v>0</v>
      </c>
      <c r="L14" s="2074">
        <f>股息红利优惠审核表!L14</f>
        <v>0</v>
      </c>
      <c r="M14" s="2074">
        <f>股息红利优惠审核表!M14</f>
        <v>0</v>
      </c>
      <c r="N14" s="2074">
        <f>股息红利优惠审核表!N14</f>
        <v>0</v>
      </c>
      <c r="O14" s="2074">
        <f>股息红利优惠审核表!O14</f>
        <v>0</v>
      </c>
      <c r="P14" s="2074">
        <f>股息红利优惠审核表!P14</f>
        <v>0</v>
      </c>
      <c r="Q14" s="2074">
        <f>股息红利优惠审核表!Q14</f>
        <v>0</v>
      </c>
      <c r="R14" s="1981"/>
    </row>
    <row r="15" spans="1:19" ht="89.25" customHeight="1">
      <c r="A15" s="1588" t="s">
        <v>5543</v>
      </c>
      <c r="B15" s="1838" t="str">
        <f>股息红利优惠审核表!B15</f>
        <v>合计</v>
      </c>
      <c r="C15" s="1961" t="s">
        <v>5544</v>
      </c>
      <c r="D15" s="1961" t="s">
        <v>5544</v>
      </c>
      <c r="E15" s="1961" t="s">
        <v>5544</v>
      </c>
      <c r="F15" s="1961" t="s">
        <v>5544</v>
      </c>
      <c r="G15" s="2074">
        <f>股息红利优惠审核表!G15</f>
        <v>0</v>
      </c>
      <c r="H15" s="1961" t="s">
        <v>5544</v>
      </c>
      <c r="I15" s="1961" t="s">
        <v>5544</v>
      </c>
      <c r="J15" s="2074">
        <f>股息红利优惠审核表!J15</f>
        <v>0</v>
      </c>
      <c r="K15" s="1961" t="s">
        <v>5544</v>
      </c>
      <c r="L15" s="1961" t="s">
        <v>5544</v>
      </c>
      <c r="M15" s="1961" t="s">
        <v>5544</v>
      </c>
      <c r="N15" s="1961" t="s">
        <v>5544</v>
      </c>
      <c r="O15" s="1961" t="s">
        <v>5544</v>
      </c>
      <c r="P15" s="2074">
        <f>股息红利优惠审核表!P15</f>
        <v>0</v>
      </c>
      <c r="Q15" s="2074">
        <f>股息红利优惠审核表!Q15</f>
        <v>0</v>
      </c>
      <c r="R15" s="1980" t="s">
        <v>5545</v>
      </c>
    </row>
  </sheetData>
  <mergeCells count="12">
    <mergeCell ref="Q3:Q4"/>
    <mergeCell ref="R3:R4"/>
    <mergeCell ref="A1:R1"/>
    <mergeCell ref="A2:R2"/>
    <mergeCell ref="A3:A5"/>
    <mergeCell ref="B3:B4"/>
    <mergeCell ref="C3:C4"/>
    <mergeCell ref="D3:D4"/>
    <mergeCell ref="E3:E4"/>
    <mergeCell ref="F3:G3"/>
    <mergeCell ref="H3:J3"/>
    <mergeCell ref="K3:P3"/>
  </mergeCells>
  <phoneticPr fontId="51" type="noConversion"/>
  <hyperlinks>
    <hyperlink ref="S8" location="股息红利优惠审核表!A1" display="股息红利优惠审核表!A1"/>
  </hyperlinks>
  <printOptions horizontalCentered="1" verticalCentered="1"/>
  <pageMargins left="0.78740157480314998" right="0.35433070866141703" top="0.511811023622047" bottom="0.11811023622047198" header="0.511811023622047" footer="0.511811023622047"/>
  <pageSetup paperSize="9" orientation="landscape" r:id="rId1"/>
</worksheet>
</file>

<file path=xl/worksheets/sheet14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41">
    <tabColor rgb="FFFFFF00"/>
  </sheetPr>
  <dimension ref="A1:N16"/>
  <sheetViews>
    <sheetView workbookViewId="0">
      <selection activeCell="J9" sqref="J9"/>
    </sheetView>
  </sheetViews>
  <sheetFormatPr defaultRowHeight="15.6"/>
  <cols>
    <col min="1" max="1" width="5.69921875" style="1590" customWidth="1"/>
    <col min="2" max="2" width="14.8984375" style="1590" customWidth="1"/>
    <col min="3" max="7" width="11.5" style="1590" customWidth="1"/>
    <col min="8" max="8" width="7.3984375" style="1590" customWidth="1"/>
    <col min="9" max="11" width="11.5" style="1590" customWidth="1"/>
    <col min="12" max="12" width="8" style="1590" customWidth="1"/>
    <col min="13" max="256" width="9" style="1590"/>
    <col min="257" max="257" width="5.69921875" style="1590" customWidth="1"/>
    <col min="258" max="258" width="8.19921875" style="1590" customWidth="1"/>
    <col min="259" max="261" width="11.59765625" style="1590" customWidth="1"/>
    <col min="262" max="262" width="10.69921875" style="1590" customWidth="1"/>
    <col min="263" max="263" width="9" style="1590"/>
    <col min="264" max="264" width="10" style="1590" customWidth="1"/>
    <col min="265" max="265" width="10.69921875" style="1590" customWidth="1"/>
    <col min="266" max="266" width="10.8984375" style="1590" customWidth="1"/>
    <col min="267" max="267" width="10.5" style="1590" customWidth="1"/>
    <col min="268" max="268" width="11.19921875" style="1590" customWidth="1"/>
    <col min="269" max="512" width="9" style="1590"/>
    <col min="513" max="513" width="5.69921875" style="1590" customWidth="1"/>
    <col min="514" max="514" width="8.19921875" style="1590" customWidth="1"/>
    <col min="515" max="517" width="11.59765625" style="1590" customWidth="1"/>
    <col min="518" max="518" width="10.69921875" style="1590" customWidth="1"/>
    <col min="519" max="519" width="9" style="1590"/>
    <col min="520" max="520" width="10" style="1590" customWidth="1"/>
    <col min="521" max="521" width="10.69921875" style="1590" customWidth="1"/>
    <col min="522" max="522" width="10.8984375" style="1590" customWidth="1"/>
    <col min="523" max="523" width="10.5" style="1590" customWidth="1"/>
    <col min="524" max="524" width="11.19921875" style="1590" customWidth="1"/>
    <col min="525" max="768" width="9" style="1590"/>
    <col min="769" max="769" width="5.69921875" style="1590" customWidth="1"/>
    <col min="770" max="770" width="8.19921875" style="1590" customWidth="1"/>
    <col min="771" max="773" width="11.59765625" style="1590" customWidth="1"/>
    <col min="774" max="774" width="10.69921875" style="1590" customWidth="1"/>
    <col min="775" max="775" width="9" style="1590"/>
    <col min="776" max="776" width="10" style="1590" customWidth="1"/>
    <col min="777" max="777" width="10.69921875" style="1590" customWidth="1"/>
    <col min="778" max="778" width="10.8984375" style="1590" customWidth="1"/>
    <col min="779" max="779" width="10.5" style="1590" customWidth="1"/>
    <col min="780" max="780" width="11.19921875" style="1590" customWidth="1"/>
    <col min="781" max="1024" width="9" style="1590"/>
    <col min="1025" max="1025" width="5.69921875" style="1590" customWidth="1"/>
    <col min="1026" max="1026" width="8.19921875" style="1590" customWidth="1"/>
    <col min="1027" max="1029" width="11.59765625" style="1590" customWidth="1"/>
    <col min="1030" max="1030" width="10.69921875" style="1590" customWidth="1"/>
    <col min="1031" max="1031" width="9" style="1590"/>
    <col min="1032" max="1032" width="10" style="1590" customWidth="1"/>
    <col min="1033" max="1033" width="10.69921875" style="1590" customWidth="1"/>
    <col min="1034" max="1034" width="10.8984375" style="1590" customWidth="1"/>
    <col min="1035" max="1035" width="10.5" style="1590" customWidth="1"/>
    <col min="1036" max="1036" width="11.19921875" style="1590" customWidth="1"/>
    <col min="1037" max="1280" width="9" style="1590"/>
    <col min="1281" max="1281" width="5.69921875" style="1590" customWidth="1"/>
    <col min="1282" max="1282" width="8.19921875" style="1590" customWidth="1"/>
    <col min="1283" max="1285" width="11.59765625" style="1590" customWidth="1"/>
    <col min="1286" max="1286" width="10.69921875" style="1590" customWidth="1"/>
    <col min="1287" max="1287" width="9" style="1590"/>
    <col min="1288" max="1288" width="10" style="1590" customWidth="1"/>
    <col min="1289" max="1289" width="10.69921875" style="1590" customWidth="1"/>
    <col min="1290" max="1290" width="10.8984375" style="1590" customWidth="1"/>
    <col min="1291" max="1291" width="10.5" style="1590" customWidth="1"/>
    <col min="1292" max="1292" width="11.19921875" style="1590" customWidth="1"/>
    <col min="1293" max="1536" width="9" style="1590"/>
    <col min="1537" max="1537" width="5.69921875" style="1590" customWidth="1"/>
    <col min="1538" max="1538" width="8.19921875" style="1590" customWidth="1"/>
    <col min="1539" max="1541" width="11.59765625" style="1590" customWidth="1"/>
    <col min="1542" max="1542" width="10.69921875" style="1590" customWidth="1"/>
    <col min="1543" max="1543" width="9" style="1590"/>
    <col min="1544" max="1544" width="10" style="1590" customWidth="1"/>
    <col min="1545" max="1545" width="10.69921875" style="1590" customWidth="1"/>
    <col min="1546" max="1546" width="10.8984375" style="1590" customWidth="1"/>
    <col min="1547" max="1547" width="10.5" style="1590" customWidth="1"/>
    <col min="1548" max="1548" width="11.19921875" style="1590" customWidth="1"/>
    <col min="1549" max="1792" width="9" style="1590"/>
    <col min="1793" max="1793" width="5.69921875" style="1590" customWidth="1"/>
    <col min="1794" max="1794" width="8.19921875" style="1590" customWidth="1"/>
    <col min="1795" max="1797" width="11.59765625" style="1590" customWidth="1"/>
    <col min="1798" max="1798" width="10.69921875" style="1590" customWidth="1"/>
    <col min="1799" max="1799" width="9" style="1590"/>
    <col min="1800" max="1800" width="10" style="1590" customWidth="1"/>
    <col min="1801" max="1801" width="10.69921875" style="1590" customWidth="1"/>
    <col min="1802" max="1802" width="10.8984375" style="1590" customWidth="1"/>
    <col min="1803" max="1803" width="10.5" style="1590" customWidth="1"/>
    <col min="1804" max="1804" width="11.19921875" style="1590" customWidth="1"/>
    <col min="1805" max="2048" width="9" style="1590"/>
    <col min="2049" max="2049" width="5.69921875" style="1590" customWidth="1"/>
    <col min="2050" max="2050" width="8.19921875" style="1590" customWidth="1"/>
    <col min="2051" max="2053" width="11.59765625" style="1590" customWidth="1"/>
    <col min="2054" max="2054" width="10.69921875" style="1590" customWidth="1"/>
    <col min="2055" max="2055" width="9" style="1590"/>
    <col min="2056" max="2056" width="10" style="1590" customWidth="1"/>
    <col min="2057" max="2057" width="10.69921875" style="1590" customWidth="1"/>
    <col min="2058" max="2058" width="10.8984375" style="1590" customWidth="1"/>
    <col min="2059" max="2059" width="10.5" style="1590" customWidth="1"/>
    <col min="2060" max="2060" width="11.19921875" style="1590" customWidth="1"/>
    <col min="2061" max="2304" width="9" style="1590"/>
    <col min="2305" max="2305" width="5.69921875" style="1590" customWidth="1"/>
    <col min="2306" max="2306" width="8.19921875" style="1590" customWidth="1"/>
    <col min="2307" max="2309" width="11.59765625" style="1590" customWidth="1"/>
    <col min="2310" max="2310" width="10.69921875" style="1590" customWidth="1"/>
    <col min="2311" max="2311" width="9" style="1590"/>
    <col min="2312" max="2312" width="10" style="1590" customWidth="1"/>
    <col min="2313" max="2313" width="10.69921875" style="1590" customWidth="1"/>
    <col min="2314" max="2314" width="10.8984375" style="1590" customWidth="1"/>
    <col min="2315" max="2315" width="10.5" style="1590" customWidth="1"/>
    <col min="2316" max="2316" width="11.19921875" style="1590" customWidth="1"/>
    <col min="2317" max="2560" width="9" style="1590"/>
    <col min="2561" max="2561" width="5.69921875" style="1590" customWidth="1"/>
    <col min="2562" max="2562" width="8.19921875" style="1590" customWidth="1"/>
    <col min="2563" max="2565" width="11.59765625" style="1590" customWidth="1"/>
    <col min="2566" max="2566" width="10.69921875" style="1590" customWidth="1"/>
    <col min="2567" max="2567" width="9" style="1590"/>
    <col min="2568" max="2568" width="10" style="1590" customWidth="1"/>
    <col min="2569" max="2569" width="10.69921875" style="1590" customWidth="1"/>
    <col min="2570" max="2570" width="10.8984375" style="1590" customWidth="1"/>
    <col min="2571" max="2571" width="10.5" style="1590" customWidth="1"/>
    <col min="2572" max="2572" width="11.19921875" style="1590" customWidth="1"/>
    <col min="2573" max="2816" width="9" style="1590"/>
    <col min="2817" max="2817" width="5.69921875" style="1590" customWidth="1"/>
    <col min="2818" max="2818" width="8.19921875" style="1590" customWidth="1"/>
    <col min="2819" max="2821" width="11.59765625" style="1590" customWidth="1"/>
    <col min="2822" max="2822" width="10.69921875" style="1590" customWidth="1"/>
    <col min="2823" max="2823" width="9" style="1590"/>
    <col min="2824" max="2824" width="10" style="1590" customWidth="1"/>
    <col min="2825" max="2825" width="10.69921875" style="1590" customWidth="1"/>
    <col min="2826" max="2826" width="10.8984375" style="1590" customWidth="1"/>
    <col min="2827" max="2827" width="10.5" style="1590" customWidth="1"/>
    <col min="2828" max="2828" width="11.19921875" style="1590" customWidth="1"/>
    <col min="2829" max="3072" width="9" style="1590"/>
    <col min="3073" max="3073" width="5.69921875" style="1590" customWidth="1"/>
    <col min="3074" max="3074" width="8.19921875" style="1590" customWidth="1"/>
    <col min="3075" max="3077" width="11.59765625" style="1590" customWidth="1"/>
    <col min="3078" max="3078" width="10.69921875" style="1590" customWidth="1"/>
    <col min="3079" max="3079" width="9" style="1590"/>
    <col min="3080" max="3080" width="10" style="1590" customWidth="1"/>
    <col min="3081" max="3081" width="10.69921875" style="1590" customWidth="1"/>
    <col min="3082" max="3082" width="10.8984375" style="1590" customWidth="1"/>
    <col min="3083" max="3083" width="10.5" style="1590" customWidth="1"/>
    <col min="3084" max="3084" width="11.19921875" style="1590" customWidth="1"/>
    <col min="3085" max="3328" width="9" style="1590"/>
    <col min="3329" max="3329" width="5.69921875" style="1590" customWidth="1"/>
    <col min="3330" max="3330" width="8.19921875" style="1590" customWidth="1"/>
    <col min="3331" max="3333" width="11.59765625" style="1590" customWidth="1"/>
    <col min="3334" max="3334" width="10.69921875" style="1590" customWidth="1"/>
    <col min="3335" max="3335" width="9" style="1590"/>
    <col min="3336" max="3336" width="10" style="1590" customWidth="1"/>
    <col min="3337" max="3337" width="10.69921875" style="1590" customWidth="1"/>
    <col min="3338" max="3338" width="10.8984375" style="1590" customWidth="1"/>
    <col min="3339" max="3339" width="10.5" style="1590" customWidth="1"/>
    <col min="3340" max="3340" width="11.19921875" style="1590" customWidth="1"/>
    <col min="3341" max="3584" width="9" style="1590"/>
    <col min="3585" max="3585" width="5.69921875" style="1590" customWidth="1"/>
    <col min="3586" max="3586" width="8.19921875" style="1590" customWidth="1"/>
    <col min="3587" max="3589" width="11.59765625" style="1590" customWidth="1"/>
    <col min="3590" max="3590" width="10.69921875" style="1590" customWidth="1"/>
    <col min="3591" max="3591" width="9" style="1590"/>
    <col min="3592" max="3592" width="10" style="1590" customWidth="1"/>
    <col min="3593" max="3593" width="10.69921875" style="1590" customWidth="1"/>
    <col min="3594" max="3594" width="10.8984375" style="1590" customWidth="1"/>
    <col min="3595" max="3595" width="10.5" style="1590" customWidth="1"/>
    <col min="3596" max="3596" width="11.19921875" style="1590" customWidth="1"/>
    <col min="3597" max="3840" width="9" style="1590"/>
    <col min="3841" max="3841" width="5.69921875" style="1590" customWidth="1"/>
    <col min="3842" max="3842" width="8.19921875" style="1590" customWidth="1"/>
    <col min="3843" max="3845" width="11.59765625" style="1590" customWidth="1"/>
    <col min="3846" max="3846" width="10.69921875" style="1590" customWidth="1"/>
    <col min="3847" max="3847" width="9" style="1590"/>
    <col min="3848" max="3848" width="10" style="1590" customWidth="1"/>
    <col min="3849" max="3849" width="10.69921875" style="1590" customWidth="1"/>
    <col min="3850" max="3850" width="10.8984375" style="1590" customWidth="1"/>
    <col min="3851" max="3851" width="10.5" style="1590" customWidth="1"/>
    <col min="3852" max="3852" width="11.19921875" style="1590" customWidth="1"/>
    <col min="3853" max="4096" width="9" style="1590"/>
    <col min="4097" max="4097" width="5.69921875" style="1590" customWidth="1"/>
    <col min="4098" max="4098" width="8.19921875" style="1590" customWidth="1"/>
    <col min="4099" max="4101" width="11.59765625" style="1590" customWidth="1"/>
    <col min="4102" max="4102" width="10.69921875" style="1590" customWidth="1"/>
    <col min="4103" max="4103" width="9" style="1590"/>
    <col min="4104" max="4104" width="10" style="1590" customWidth="1"/>
    <col min="4105" max="4105" width="10.69921875" style="1590" customWidth="1"/>
    <col min="4106" max="4106" width="10.8984375" style="1590" customWidth="1"/>
    <col min="4107" max="4107" width="10.5" style="1590" customWidth="1"/>
    <col min="4108" max="4108" width="11.19921875" style="1590" customWidth="1"/>
    <col min="4109" max="4352" width="9" style="1590"/>
    <col min="4353" max="4353" width="5.69921875" style="1590" customWidth="1"/>
    <col min="4354" max="4354" width="8.19921875" style="1590" customWidth="1"/>
    <col min="4355" max="4357" width="11.59765625" style="1590" customWidth="1"/>
    <col min="4358" max="4358" width="10.69921875" style="1590" customWidth="1"/>
    <col min="4359" max="4359" width="9" style="1590"/>
    <col min="4360" max="4360" width="10" style="1590" customWidth="1"/>
    <col min="4361" max="4361" width="10.69921875" style="1590" customWidth="1"/>
    <col min="4362" max="4362" width="10.8984375" style="1590" customWidth="1"/>
    <col min="4363" max="4363" width="10.5" style="1590" customWidth="1"/>
    <col min="4364" max="4364" width="11.19921875" style="1590" customWidth="1"/>
    <col min="4365" max="4608" width="9" style="1590"/>
    <col min="4609" max="4609" width="5.69921875" style="1590" customWidth="1"/>
    <col min="4610" max="4610" width="8.19921875" style="1590" customWidth="1"/>
    <col min="4611" max="4613" width="11.59765625" style="1590" customWidth="1"/>
    <col min="4614" max="4614" width="10.69921875" style="1590" customWidth="1"/>
    <col min="4615" max="4615" width="9" style="1590"/>
    <col min="4616" max="4616" width="10" style="1590" customWidth="1"/>
    <col min="4617" max="4617" width="10.69921875" style="1590" customWidth="1"/>
    <col min="4618" max="4618" width="10.8984375" style="1590" customWidth="1"/>
    <col min="4619" max="4619" width="10.5" style="1590" customWidth="1"/>
    <col min="4620" max="4620" width="11.19921875" style="1590" customWidth="1"/>
    <col min="4621" max="4864" width="9" style="1590"/>
    <col min="4865" max="4865" width="5.69921875" style="1590" customWidth="1"/>
    <col min="4866" max="4866" width="8.19921875" style="1590" customWidth="1"/>
    <col min="4867" max="4869" width="11.59765625" style="1590" customWidth="1"/>
    <col min="4870" max="4870" width="10.69921875" style="1590" customWidth="1"/>
    <col min="4871" max="4871" width="9" style="1590"/>
    <col min="4872" max="4872" width="10" style="1590" customWidth="1"/>
    <col min="4873" max="4873" width="10.69921875" style="1590" customWidth="1"/>
    <col min="4874" max="4874" width="10.8984375" style="1590" customWidth="1"/>
    <col min="4875" max="4875" width="10.5" style="1590" customWidth="1"/>
    <col min="4876" max="4876" width="11.19921875" style="1590" customWidth="1"/>
    <col min="4877" max="5120" width="9" style="1590"/>
    <col min="5121" max="5121" width="5.69921875" style="1590" customWidth="1"/>
    <col min="5122" max="5122" width="8.19921875" style="1590" customWidth="1"/>
    <col min="5123" max="5125" width="11.59765625" style="1590" customWidth="1"/>
    <col min="5126" max="5126" width="10.69921875" style="1590" customWidth="1"/>
    <col min="5127" max="5127" width="9" style="1590"/>
    <col min="5128" max="5128" width="10" style="1590" customWidth="1"/>
    <col min="5129" max="5129" width="10.69921875" style="1590" customWidth="1"/>
    <col min="5130" max="5130" width="10.8984375" style="1590" customWidth="1"/>
    <col min="5131" max="5131" width="10.5" style="1590" customWidth="1"/>
    <col min="5132" max="5132" width="11.19921875" style="1590" customWidth="1"/>
    <col min="5133" max="5376" width="9" style="1590"/>
    <col min="5377" max="5377" width="5.69921875" style="1590" customWidth="1"/>
    <col min="5378" max="5378" width="8.19921875" style="1590" customWidth="1"/>
    <col min="5379" max="5381" width="11.59765625" style="1590" customWidth="1"/>
    <col min="5382" max="5382" width="10.69921875" style="1590" customWidth="1"/>
    <col min="5383" max="5383" width="9" style="1590"/>
    <col min="5384" max="5384" width="10" style="1590" customWidth="1"/>
    <col min="5385" max="5385" width="10.69921875" style="1590" customWidth="1"/>
    <col min="5386" max="5386" width="10.8984375" style="1590" customWidth="1"/>
    <col min="5387" max="5387" width="10.5" style="1590" customWidth="1"/>
    <col min="5388" max="5388" width="11.19921875" style="1590" customWidth="1"/>
    <col min="5389" max="5632" width="9" style="1590"/>
    <col min="5633" max="5633" width="5.69921875" style="1590" customWidth="1"/>
    <col min="5634" max="5634" width="8.19921875" style="1590" customWidth="1"/>
    <col min="5635" max="5637" width="11.59765625" style="1590" customWidth="1"/>
    <col min="5638" max="5638" width="10.69921875" style="1590" customWidth="1"/>
    <col min="5639" max="5639" width="9" style="1590"/>
    <col min="5640" max="5640" width="10" style="1590" customWidth="1"/>
    <col min="5641" max="5641" width="10.69921875" style="1590" customWidth="1"/>
    <col min="5642" max="5642" width="10.8984375" style="1590" customWidth="1"/>
    <col min="5643" max="5643" width="10.5" style="1590" customWidth="1"/>
    <col min="5644" max="5644" width="11.19921875" style="1590" customWidth="1"/>
    <col min="5645" max="5888" width="9" style="1590"/>
    <col min="5889" max="5889" width="5.69921875" style="1590" customWidth="1"/>
    <col min="5890" max="5890" width="8.19921875" style="1590" customWidth="1"/>
    <col min="5891" max="5893" width="11.59765625" style="1590" customWidth="1"/>
    <col min="5894" max="5894" width="10.69921875" style="1590" customWidth="1"/>
    <col min="5895" max="5895" width="9" style="1590"/>
    <col min="5896" max="5896" width="10" style="1590" customWidth="1"/>
    <col min="5897" max="5897" width="10.69921875" style="1590" customWidth="1"/>
    <col min="5898" max="5898" width="10.8984375" style="1590" customWidth="1"/>
    <col min="5899" max="5899" width="10.5" style="1590" customWidth="1"/>
    <col min="5900" max="5900" width="11.19921875" style="1590" customWidth="1"/>
    <col min="5901" max="6144" width="9" style="1590"/>
    <col min="6145" max="6145" width="5.69921875" style="1590" customWidth="1"/>
    <col min="6146" max="6146" width="8.19921875" style="1590" customWidth="1"/>
    <col min="6147" max="6149" width="11.59765625" style="1590" customWidth="1"/>
    <col min="6150" max="6150" width="10.69921875" style="1590" customWidth="1"/>
    <col min="6151" max="6151" width="9" style="1590"/>
    <col min="6152" max="6152" width="10" style="1590" customWidth="1"/>
    <col min="6153" max="6153" width="10.69921875" style="1590" customWidth="1"/>
    <col min="6154" max="6154" width="10.8984375" style="1590" customWidth="1"/>
    <col min="6155" max="6155" width="10.5" style="1590" customWidth="1"/>
    <col min="6156" max="6156" width="11.19921875" style="1590" customWidth="1"/>
    <col min="6157" max="6400" width="9" style="1590"/>
    <col min="6401" max="6401" width="5.69921875" style="1590" customWidth="1"/>
    <col min="6402" max="6402" width="8.19921875" style="1590" customWidth="1"/>
    <col min="6403" max="6405" width="11.59765625" style="1590" customWidth="1"/>
    <col min="6406" max="6406" width="10.69921875" style="1590" customWidth="1"/>
    <col min="6407" max="6407" width="9" style="1590"/>
    <col min="6408" max="6408" width="10" style="1590" customWidth="1"/>
    <col min="6409" max="6409" width="10.69921875" style="1590" customWidth="1"/>
    <col min="6410" max="6410" width="10.8984375" style="1590" customWidth="1"/>
    <col min="6411" max="6411" width="10.5" style="1590" customWidth="1"/>
    <col min="6412" max="6412" width="11.19921875" style="1590" customWidth="1"/>
    <col min="6413" max="6656" width="9" style="1590"/>
    <col min="6657" max="6657" width="5.69921875" style="1590" customWidth="1"/>
    <col min="6658" max="6658" width="8.19921875" style="1590" customWidth="1"/>
    <col min="6659" max="6661" width="11.59765625" style="1590" customWidth="1"/>
    <col min="6662" max="6662" width="10.69921875" style="1590" customWidth="1"/>
    <col min="6663" max="6663" width="9" style="1590"/>
    <col min="6664" max="6664" width="10" style="1590" customWidth="1"/>
    <col min="6665" max="6665" width="10.69921875" style="1590" customWidth="1"/>
    <col min="6666" max="6666" width="10.8984375" style="1590" customWidth="1"/>
    <col min="6667" max="6667" width="10.5" style="1590" customWidth="1"/>
    <col min="6668" max="6668" width="11.19921875" style="1590" customWidth="1"/>
    <col min="6669" max="6912" width="9" style="1590"/>
    <col min="6913" max="6913" width="5.69921875" style="1590" customWidth="1"/>
    <col min="6914" max="6914" width="8.19921875" style="1590" customWidth="1"/>
    <col min="6915" max="6917" width="11.59765625" style="1590" customWidth="1"/>
    <col min="6918" max="6918" width="10.69921875" style="1590" customWidth="1"/>
    <col min="6919" max="6919" width="9" style="1590"/>
    <col min="6920" max="6920" width="10" style="1590" customWidth="1"/>
    <col min="6921" max="6921" width="10.69921875" style="1590" customWidth="1"/>
    <col min="6922" max="6922" width="10.8984375" style="1590" customWidth="1"/>
    <col min="6923" max="6923" width="10.5" style="1590" customWidth="1"/>
    <col min="6924" max="6924" width="11.19921875" style="1590" customWidth="1"/>
    <col min="6925" max="7168" width="9" style="1590"/>
    <col min="7169" max="7169" width="5.69921875" style="1590" customWidth="1"/>
    <col min="7170" max="7170" width="8.19921875" style="1590" customWidth="1"/>
    <col min="7171" max="7173" width="11.59765625" style="1590" customWidth="1"/>
    <col min="7174" max="7174" width="10.69921875" style="1590" customWidth="1"/>
    <col min="7175" max="7175" width="9" style="1590"/>
    <col min="7176" max="7176" width="10" style="1590" customWidth="1"/>
    <col min="7177" max="7177" width="10.69921875" style="1590" customWidth="1"/>
    <col min="7178" max="7178" width="10.8984375" style="1590" customWidth="1"/>
    <col min="7179" max="7179" width="10.5" style="1590" customWidth="1"/>
    <col min="7180" max="7180" width="11.19921875" style="1590" customWidth="1"/>
    <col min="7181" max="7424" width="9" style="1590"/>
    <col min="7425" max="7425" width="5.69921875" style="1590" customWidth="1"/>
    <col min="7426" max="7426" width="8.19921875" style="1590" customWidth="1"/>
    <col min="7427" max="7429" width="11.59765625" style="1590" customWidth="1"/>
    <col min="7430" max="7430" width="10.69921875" style="1590" customWidth="1"/>
    <col min="7431" max="7431" width="9" style="1590"/>
    <col min="7432" max="7432" width="10" style="1590" customWidth="1"/>
    <col min="7433" max="7433" width="10.69921875" style="1590" customWidth="1"/>
    <col min="7434" max="7434" width="10.8984375" style="1590" customWidth="1"/>
    <col min="7435" max="7435" width="10.5" style="1590" customWidth="1"/>
    <col min="7436" max="7436" width="11.19921875" style="1590" customWidth="1"/>
    <col min="7437" max="7680" width="9" style="1590"/>
    <col min="7681" max="7681" width="5.69921875" style="1590" customWidth="1"/>
    <col min="7682" max="7682" width="8.19921875" style="1590" customWidth="1"/>
    <col min="7683" max="7685" width="11.59765625" style="1590" customWidth="1"/>
    <col min="7686" max="7686" width="10.69921875" style="1590" customWidth="1"/>
    <col min="7687" max="7687" width="9" style="1590"/>
    <col min="7688" max="7688" width="10" style="1590" customWidth="1"/>
    <col min="7689" max="7689" width="10.69921875" style="1590" customWidth="1"/>
    <col min="7690" max="7690" width="10.8984375" style="1590" customWidth="1"/>
    <col min="7691" max="7691" width="10.5" style="1590" customWidth="1"/>
    <col min="7692" max="7692" width="11.19921875" style="1590" customWidth="1"/>
    <col min="7693" max="7936" width="9" style="1590"/>
    <col min="7937" max="7937" width="5.69921875" style="1590" customWidth="1"/>
    <col min="7938" max="7938" width="8.19921875" style="1590" customWidth="1"/>
    <col min="7939" max="7941" width="11.59765625" style="1590" customWidth="1"/>
    <col min="7942" max="7942" width="10.69921875" style="1590" customWidth="1"/>
    <col min="7943" max="7943" width="9" style="1590"/>
    <col min="7944" max="7944" width="10" style="1590" customWidth="1"/>
    <col min="7945" max="7945" width="10.69921875" style="1590" customWidth="1"/>
    <col min="7946" max="7946" width="10.8984375" style="1590" customWidth="1"/>
    <col min="7947" max="7947" width="10.5" style="1590" customWidth="1"/>
    <col min="7948" max="7948" width="11.19921875" style="1590" customWidth="1"/>
    <col min="7949" max="8192" width="9" style="1590"/>
    <col min="8193" max="8193" width="5.69921875" style="1590" customWidth="1"/>
    <col min="8194" max="8194" width="8.19921875" style="1590" customWidth="1"/>
    <col min="8195" max="8197" width="11.59765625" style="1590" customWidth="1"/>
    <col min="8198" max="8198" width="10.69921875" style="1590" customWidth="1"/>
    <col min="8199" max="8199" width="9" style="1590"/>
    <col min="8200" max="8200" width="10" style="1590" customWidth="1"/>
    <col min="8201" max="8201" width="10.69921875" style="1590" customWidth="1"/>
    <col min="8202" max="8202" width="10.8984375" style="1590" customWidth="1"/>
    <col min="8203" max="8203" width="10.5" style="1590" customWidth="1"/>
    <col min="8204" max="8204" width="11.19921875" style="1590" customWidth="1"/>
    <col min="8205" max="8448" width="9" style="1590"/>
    <col min="8449" max="8449" width="5.69921875" style="1590" customWidth="1"/>
    <col min="8450" max="8450" width="8.19921875" style="1590" customWidth="1"/>
    <col min="8451" max="8453" width="11.59765625" style="1590" customWidth="1"/>
    <col min="8454" max="8454" width="10.69921875" style="1590" customWidth="1"/>
    <col min="8455" max="8455" width="9" style="1590"/>
    <col min="8456" max="8456" width="10" style="1590" customWidth="1"/>
    <col min="8457" max="8457" width="10.69921875" style="1590" customWidth="1"/>
    <col min="8458" max="8458" width="10.8984375" style="1590" customWidth="1"/>
    <col min="8459" max="8459" width="10.5" style="1590" customWidth="1"/>
    <col min="8460" max="8460" width="11.19921875" style="1590" customWidth="1"/>
    <col min="8461" max="8704" width="9" style="1590"/>
    <col min="8705" max="8705" width="5.69921875" style="1590" customWidth="1"/>
    <col min="8706" max="8706" width="8.19921875" style="1590" customWidth="1"/>
    <col min="8707" max="8709" width="11.59765625" style="1590" customWidth="1"/>
    <col min="8710" max="8710" width="10.69921875" style="1590" customWidth="1"/>
    <col min="8711" max="8711" width="9" style="1590"/>
    <col min="8712" max="8712" width="10" style="1590" customWidth="1"/>
    <col min="8713" max="8713" width="10.69921875" style="1590" customWidth="1"/>
    <col min="8714" max="8714" width="10.8984375" style="1590" customWidth="1"/>
    <col min="8715" max="8715" width="10.5" style="1590" customWidth="1"/>
    <col min="8716" max="8716" width="11.19921875" style="1590" customWidth="1"/>
    <col min="8717" max="8960" width="9" style="1590"/>
    <col min="8961" max="8961" width="5.69921875" style="1590" customWidth="1"/>
    <col min="8962" max="8962" width="8.19921875" style="1590" customWidth="1"/>
    <col min="8963" max="8965" width="11.59765625" style="1590" customWidth="1"/>
    <col min="8966" max="8966" width="10.69921875" style="1590" customWidth="1"/>
    <col min="8967" max="8967" width="9" style="1590"/>
    <col min="8968" max="8968" width="10" style="1590" customWidth="1"/>
    <col min="8969" max="8969" width="10.69921875" style="1590" customWidth="1"/>
    <col min="8970" max="8970" width="10.8984375" style="1590" customWidth="1"/>
    <col min="8971" max="8971" width="10.5" style="1590" customWidth="1"/>
    <col min="8972" max="8972" width="11.19921875" style="1590" customWidth="1"/>
    <col min="8973" max="9216" width="9" style="1590"/>
    <col min="9217" max="9217" width="5.69921875" style="1590" customWidth="1"/>
    <col min="9218" max="9218" width="8.19921875" style="1590" customWidth="1"/>
    <col min="9219" max="9221" width="11.59765625" style="1590" customWidth="1"/>
    <col min="9222" max="9222" width="10.69921875" style="1590" customWidth="1"/>
    <col min="9223" max="9223" width="9" style="1590"/>
    <col min="9224" max="9224" width="10" style="1590" customWidth="1"/>
    <col min="9225" max="9225" width="10.69921875" style="1590" customWidth="1"/>
    <col min="9226" max="9226" width="10.8984375" style="1590" customWidth="1"/>
    <col min="9227" max="9227" width="10.5" style="1590" customWidth="1"/>
    <col min="9228" max="9228" width="11.19921875" style="1590" customWidth="1"/>
    <col min="9229" max="9472" width="9" style="1590"/>
    <col min="9473" max="9473" width="5.69921875" style="1590" customWidth="1"/>
    <col min="9474" max="9474" width="8.19921875" style="1590" customWidth="1"/>
    <col min="9475" max="9477" width="11.59765625" style="1590" customWidth="1"/>
    <col min="9478" max="9478" width="10.69921875" style="1590" customWidth="1"/>
    <col min="9479" max="9479" width="9" style="1590"/>
    <col min="9480" max="9480" width="10" style="1590" customWidth="1"/>
    <col min="9481" max="9481" width="10.69921875" style="1590" customWidth="1"/>
    <col min="9482" max="9482" width="10.8984375" style="1590" customWidth="1"/>
    <col min="9483" max="9483" width="10.5" style="1590" customWidth="1"/>
    <col min="9484" max="9484" width="11.19921875" style="1590" customWidth="1"/>
    <col min="9485" max="9728" width="9" style="1590"/>
    <col min="9729" max="9729" width="5.69921875" style="1590" customWidth="1"/>
    <col min="9730" max="9730" width="8.19921875" style="1590" customWidth="1"/>
    <col min="9731" max="9733" width="11.59765625" style="1590" customWidth="1"/>
    <col min="9734" max="9734" width="10.69921875" style="1590" customWidth="1"/>
    <col min="9735" max="9735" width="9" style="1590"/>
    <col min="9736" max="9736" width="10" style="1590" customWidth="1"/>
    <col min="9737" max="9737" width="10.69921875" style="1590" customWidth="1"/>
    <col min="9738" max="9738" width="10.8984375" style="1590" customWidth="1"/>
    <col min="9739" max="9739" width="10.5" style="1590" customWidth="1"/>
    <col min="9740" max="9740" width="11.19921875" style="1590" customWidth="1"/>
    <col min="9741" max="9984" width="9" style="1590"/>
    <col min="9985" max="9985" width="5.69921875" style="1590" customWidth="1"/>
    <col min="9986" max="9986" width="8.19921875" style="1590" customWidth="1"/>
    <col min="9987" max="9989" width="11.59765625" style="1590" customWidth="1"/>
    <col min="9990" max="9990" width="10.69921875" style="1590" customWidth="1"/>
    <col min="9991" max="9991" width="9" style="1590"/>
    <col min="9992" max="9992" width="10" style="1590" customWidth="1"/>
    <col min="9993" max="9993" width="10.69921875" style="1590" customWidth="1"/>
    <col min="9994" max="9994" width="10.8984375" style="1590" customWidth="1"/>
    <col min="9995" max="9995" width="10.5" style="1590" customWidth="1"/>
    <col min="9996" max="9996" width="11.19921875" style="1590" customWidth="1"/>
    <col min="9997" max="10240" width="9" style="1590"/>
    <col min="10241" max="10241" width="5.69921875" style="1590" customWidth="1"/>
    <col min="10242" max="10242" width="8.19921875" style="1590" customWidth="1"/>
    <col min="10243" max="10245" width="11.59765625" style="1590" customWidth="1"/>
    <col min="10246" max="10246" width="10.69921875" style="1590" customWidth="1"/>
    <col min="10247" max="10247" width="9" style="1590"/>
    <col min="10248" max="10248" width="10" style="1590" customWidth="1"/>
    <col min="10249" max="10249" width="10.69921875" style="1590" customWidth="1"/>
    <col min="10250" max="10250" width="10.8984375" style="1590" customWidth="1"/>
    <col min="10251" max="10251" width="10.5" style="1590" customWidth="1"/>
    <col min="10252" max="10252" width="11.19921875" style="1590" customWidth="1"/>
    <col min="10253" max="10496" width="9" style="1590"/>
    <col min="10497" max="10497" width="5.69921875" style="1590" customWidth="1"/>
    <col min="10498" max="10498" width="8.19921875" style="1590" customWidth="1"/>
    <col min="10499" max="10501" width="11.59765625" style="1590" customWidth="1"/>
    <col min="10502" max="10502" width="10.69921875" style="1590" customWidth="1"/>
    <col min="10503" max="10503" width="9" style="1590"/>
    <col min="10504" max="10504" width="10" style="1590" customWidth="1"/>
    <col min="10505" max="10505" width="10.69921875" style="1590" customWidth="1"/>
    <col min="10506" max="10506" width="10.8984375" style="1590" customWidth="1"/>
    <col min="10507" max="10507" width="10.5" style="1590" customWidth="1"/>
    <col min="10508" max="10508" width="11.19921875" style="1590" customWidth="1"/>
    <col min="10509" max="10752" width="9" style="1590"/>
    <col min="10753" max="10753" width="5.69921875" style="1590" customWidth="1"/>
    <col min="10754" max="10754" width="8.19921875" style="1590" customWidth="1"/>
    <col min="10755" max="10757" width="11.59765625" style="1590" customWidth="1"/>
    <col min="10758" max="10758" width="10.69921875" style="1590" customWidth="1"/>
    <col min="10759" max="10759" width="9" style="1590"/>
    <col min="10760" max="10760" width="10" style="1590" customWidth="1"/>
    <col min="10761" max="10761" width="10.69921875" style="1590" customWidth="1"/>
    <col min="10762" max="10762" width="10.8984375" style="1590" customWidth="1"/>
    <col min="10763" max="10763" width="10.5" style="1590" customWidth="1"/>
    <col min="10764" max="10764" width="11.19921875" style="1590" customWidth="1"/>
    <col min="10765" max="11008" width="9" style="1590"/>
    <col min="11009" max="11009" width="5.69921875" style="1590" customWidth="1"/>
    <col min="11010" max="11010" width="8.19921875" style="1590" customWidth="1"/>
    <col min="11011" max="11013" width="11.59765625" style="1590" customWidth="1"/>
    <col min="11014" max="11014" width="10.69921875" style="1590" customWidth="1"/>
    <col min="11015" max="11015" width="9" style="1590"/>
    <col min="11016" max="11016" width="10" style="1590" customWidth="1"/>
    <col min="11017" max="11017" width="10.69921875" style="1590" customWidth="1"/>
    <col min="11018" max="11018" width="10.8984375" style="1590" customWidth="1"/>
    <col min="11019" max="11019" width="10.5" style="1590" customWidth="1"/>
    <col min="11020" max="11020" width="11.19921875" style="1590" customWidth="1"/>
    <col min="11021" max="11264" width="9" style="1590"/>
    <col min="11265" max="11265" width="5.69921875" style="1590" customWidth="1"/>
    <col min="11266" max="11266" width="8.19921875" style="1590" customWidth="1"/>
    <col min="11267" max="11269" width="11.59765625" style="1590" customWidth="1"/>
    <col min="11270" max="11270" width="10.69921875" style="1590" customWidth="1"/>
    <col min="11271" max="11271" width="9" style="1590"/>
    <col min="11272" max="11272" width="10" style="1590" customWidth="1"/>
    <col min="11273" max="11273" width="10.69921875" style="1590" customWidth="1"/>
    <col min="11274" max="11274" width="10.8984375" style="1590" customWidth="1"/>
    <col min="11275" max="11275" width="10.5" style="1590" customWidth="1"/>
    <col min="11276" max="11276" width="11.19921875" style="1590" customWidth="1"/>
    <col min="11277" max="11520" width="9" style="1590"/>
    <col min="11521" max="11521" width="5.69921875" style="1590" customWidth="1"/>
    <col min="11522" max="11522" width="8.19921875" style="1590" customWidth="1"/>
    <col min="11523" max="11525" width="11.59765625" style="1590" customWidth="1"/>
    <col min="11526" max="11526" width="10.69921875" style="1590" customWidth="1"/>
    <col min="11527" max="11527" width="9" style="1590"/>
    <col min="11528" max="11528" width="10" style="1590" customWidth="1"/>
    <col min="11529" max="11529" width="10.69921875" style="1590" customWidth="1"/>
    <col min="11530" max="11530" width="10.8984375" style="1590" customWidth="1"/>
    <col min="11531" max="11531" width="10.5" style="1590" customWidth="1"/>
    <col min="11532" max="11532" width="11.19921875" style="1590" customWidth="1"/>
    <col min="11533" max="11776" width="9" style="1590"/>
    <col min="11777" max="11777" width="5.69921875" style="1590" customWidth="1"/>
    <col min="11778" max="11778" width="8.19921875" style="1590" customWidth="1"/>
    <col min="11779" max="11781" width="11.59765625" style="1590" customWidth="1"/>
    <col min="11782" max="11782" width="10.69921875" style="1590" customWidth="1"/>
    <col min="11783" max="11783" width="9" style="1590"/>
    <col min="11784" max="11784" width="10" style="1590" customWidth="1"/>
    <col min="11785" max="11785" width="10.69921875" style="1590" customWidth="1"/>
    <col min="11786" max="11786" width="10.8984375" style="1590" customWidth="1"/>
    <col min="11787" max="11787" width="10.5" style="1590" customWidth="1"/>
    <col min="11788" max="11788" width="11.19921875" style="1590" customWidth="1"/>
    <col min="11789" max="12032" width="9" style="1590"/>
    <col min="12033" max="12033" width="5.69921875" style="1590" customWidth="1"/>
    <col min="12034" max="12034" width="8.19921875" style="1590" customWidth="1"/>
    <col min="12035" max="12037" width="11.59765625" style="1590" customWidth="1"/>
    <col min="12038" max="12038" width="10.69921875" style="1590" customWidth="1"/>
    <col min="12039" max="12039" width="9" style="1590"/>
    <col min="12040" max="12040" width="10" style="1590" customWidth="1"/>
    <col min="12041" max="12041" width="10.69921875" style="1590" customWidth="1"/>
    <col min="12042" max="12042" width="10.8984375" style="1590" customWidth="1"/>
    <col min="12043" max="12043" width="10.5" style="1590" customWidth="1"/>
    <col min="12044" max="12044" width="11.19921875" style="1590" customWidth="1"/>
    <col min="12045" max="12288" width="9" style="1590"/>
    <col min="12289" max="12289" width="5.69921875" style="1590" customWidth="1"/>
    <col min="12290" max="12290" width="8.19921875" style="1590" customWidth="1"/>
    <col min="12291" max="12293" width="11.59765625" style="1590" customWidth="1"/>
    <col min="12294" max="12294" width="10.69921875" style="1590" customWidth="1"/>
    <col min="12295" max="12295" width="9" style="1590"/>
    <col min="12296" max="12296" width="10" style="1590" customWidth="1"/>
    <col min="12297" max="12297" width="10.69921875" style="1590" customWidth="1"/>
    <col min="12298" max="12298" width="10.8984375" style="1590" customWidth="1"/>
    <col min="12299" max="12299" width="10.5" style="1590" customWidth="1"/>
    <col min="12300" max="12300" width="11.19921875" style="1590" customWidth="1"/>
    <col min="12301" max="12544" width="9" style="1590"/>
    <col min="12545" max="12545" width="5.69921875" style="1590" customWidth="1"/>
    <col min="12546" max="12546" width="8.19921875" style="1590" customWidth="1"/>
    <col min="12547" max="12549" width="11.59765625" style="1590" customWidth="1"/>
    <col min="12550" max="12550" width="10.69921875" style="1590" customWidth="1"/>
    <col min="12551" max="12551" width="9" style="1590"/>
    <col min="12552" max="12552" width="10" style="1590" customWidth="1"/>
    <col min="12553" max="12553" width="10.69921875" style="1590" customWidth="1"/>
    <col min="12554" max="12554" width="10.8984375" style="1590" customWidth="1"/>
    <col min="12555" max="12555" width="10.5" style="1590" customWidth="1"/>
    <col min="12556" max="12556" width="11.19921875" style="1590" customWidth="1"/>
    <col min="12557" max="12800" width="9" style="1590"/>
    <col min="12801" max="12801" width="5.69921875" style="1590" customWidth="1"/>
    <col min="12802" max="12802" width="8.19921875" style="1590" customWidth="1"/>
    <col min="12803" max="12805" width="11.59765625" style="1590" customWidth="1"/>
    <col min="12806" max="12806" width="10.69921875" style="1590" customWidth="1"/>
    <col min="12807" max="12807" width="9" style="1590"/>
    <col min="12808" max="12808" width="10" style="1590" customWidth="1"/>
    <col min="12809" max="12809" width="10.69921875" style="1590" customWidth="1"/>
    <col min="12810" max="12810" width="10.8984375" style="1590" customWidth="1"/>
    <col min="12811" max="12811" width="10.5" style="1590" customWidth="1"/>
    <col min="12812" max="12812" width="11.19921875" style="1590" customWidth="1"/>
    <col min="12813" max="13056" width="9" style="1590"/>
    <col min="13057" max="13057" width="5.69921875" style="1590" customWidth="1"/>
    <col min="13058" max="13058" width="8.19921875" style="1590" customWidth="1"/>
    <col min="13059" max="13061" width="11.59765625" style="1590" customWidth="1"/>
    <col min="13062" max="13062" width="10.69921875" style="1590" customWidth="1"/>
    <col min="13063" max="13063" width="9" style="1590"/>
    <col min="13064" max="13064" width="10" style="1590" customWidth="1"/>
    <col min="13065" max="13065" width="10.69921875" style="1590" customWidth="1"/>
    <col min="13066" max="13066" width="10.8984375" style="1590" customWidth="1"/>
    <col min="13067" max="13067" width="10.5" style="1590" customWidth="1"/>
    <col min="13068" max="13068" width="11.19921875" style="1590" customWidth="1"/>
    <col min="13069" max="13312" width="9" style="1590"/>
    <col min="13313" max="13313" width="5.69921875" style="1590" customWidth="1"/>
    <col min="13314" max="13314" width="8.19921875" style="1590" customWidth="1"/>
    <col min="13315" max="13317" width="11.59765625" style="1590" customWidth="1"/>
    <col min="13318" max="13318" width="10.69921875" style="1590" customWidth="1"/>
    <col min="13319" max="13319" width="9" style="1590"/>
    <col min="13320" max="13320" width="10" style="1590" customWidth="1"/>
    <col min="13321" max="13321" width="10.69921875" style="1590" customWidth="1"/>
    <col min="13322" max="13322" width="10.8984375" style="1590" customWidth="1"/>
    <col min="13323" max="13323" width="10.5" style="1590" customWidth="1"/>
    <col min="13324" max="13324" width="11.19921875" style="1590" customWidth="1"/>
    <col min="13325" max="13568" width="9" style="1590"/>
    <col min="13569" max="13569" width="5.69921875" style="1590" customWidth="1"/>
    <col min="13570" max="13570" width="8.19921875" style="1590" customWidth="1"/>
    <col min="13571" max="13573" width="11.59765625" style="1590" customWidth="1"/>
    <col min="13574" max="13574" width="10.69921875" style="1590" customWidth="1"/>
    <col min="13575" max="13575" width="9" style="1590"/>
    <col min="13576" max="13576" width="10" style="1590" customWidth="1"/>
    <col min="13577" max="13577" width="10.69921875" style="1590" customWidth="1"/>
    <col min="13578" max="13578" width="10.8984375" style="1590" customWidth="1"/>
    <col min="13579" max="13579" width="10.5" style="1590" customWidth="1"/>
    <col min="13580" max="13580" width="11.19921875" style="1590" customWidth="1"/>
    <col min="13581" max="13824" width="9" style="1590"/>
    <col min="13825" max="13825" width="5.69921875" style="1590" customWidth="1"/>
    <col min="13826" max="13826" width="8.19921875" style="1590" customWidth="1"/>
    <col min="13827" max="13829" width="11.59765625" style="1590" customWidth="1"/>
    <col min="13830" max="13830" width="10.69921875" style="1590" customWidth="1"/>
    <col min="13831" max="13831" width="9" style="1590"/>
    <col min="13832" max="13832" width="10" style="1590" customWidth="1"/>
    <col min="13833" max="13833" width="10.69921875" style="1590" customWidth="1"/>
    <col min="13834" max="13834" width="10.8984375" style="1590" customWidth="1"/>
    <col min="13835" max="13835" width="10.5" style="1590" customWidth="1"/>
    <col min="13836" max="13836" width="11.19921875" style="1590" customWidth="1"/>
    <col min="13837" max="14080" width="9" style="1590"/>
    <col min="14081" max="14081" width="5.69921875" style="1590" customWidth="1"/>
    <col min="14082" max="14082" width="8.19921875" style="1590" customWidth="1"/>
    <col min="14083" max="14085" width="11.59765625" style="1590" customWidth="1"/>
    <col min="14086" max="14086" width="10.69921875" style="1590" customWidth="1"/>
    <col min="14087" max="14087" width="9" style="1590"/>
    <col min="14088" max="14088" width="10" style="1590" customWidth="1"/>
    <col min="14089" max="14089" width="10.69921875" style="1590" customWidth="1"/>
    <col min="14090" max="14090" width="10.8984375" style="1590" customWidth="1"/>
    <col min="14091" max="14091" width="10.5" style="1590" customWidth="1"/>
    <col min="14092" max="14092" width="11.19921875" style="1590" customWidth="1"/>
    <col min="14093" max="14336" width="9" style="1590"/>
    <col min="14337" max="14337" width="5.69921875" style="1590" customWidth="1"/>
    <col min="14338" max="14338" width="8.19921875" style="1590" customWidth="1"/>
    <col min="14339" max="14341" width="11.59765625" style="1590" customWidth="1"/>
    <col min="14342" max="14342" width="10.69921875" style="1590" customWidth="1"/>
    <col min="14343" max="14343" width="9" style="1590"/>
    <col min="14344" max="14344" width="10" style="1590" customWidth="1"/>
    <col min="14345" max="14345" width="10.69921875" style="1590" customWidth="1"/>
    <col min="14346" max="14346" width="10.8984375" style="1590" customWidth="1"/>
    <col min="14347" max="14347" width="10.5" style="1590" customWidth="1"/>
    <col min="14348" max="14348" width="11.19921875" style="1590" customWidth="1"/>
    <col min="14349" max="14592" width="9" style="1590"/>
    <col min="14593" max="14593" width="5.69921875" style="1590" customWidth="1"/>
    <col min="14594" max="14594" width="8.19921875" style="1590" customWidth="1"/>
    <col min="14595" max="14597" width="11.59765625" style="1590" customWidth="1"/>
    <col min="14598" max="14598" width="10.69921875" style="1590" customWidth="1"/>
    <col min="14599" max="14599" width="9" style="1590"/>
    <col min="14600" max="14600" width="10" style="1590" customWidth="1"/>
    <col min="14601" max="14601" width="10.69921875" style="1590" customWidth="1"/>
    <col min="14602" max="14602" width="10.8984375" style="1590" customWidth="1"/>
    <col min="14603" max="14603" width="10.5" style="1590" customWidth="1"/>
    <col min="14604" max="14604" width="11.19921875" style="1590" customWidth="1"/>
    <col min="14605" max="14848" width="9" style="1590"/>
    <col min="14849" max="14849" width="5.69921875" style="1590" customWidth="1"/>
    <col min="14850" max="14850" width="8.19921875" style="1590" customWidth="1"/>
    <col min="14851" max="14853" width="11.59765625" style="1590" customWidth="1"/>
    <col min="14854" max="14854" width="10.69921875" style="1590" customWidth="1"/>
    <col min="14855" max="14855" width="9" style="1590"/>
    <col min="14856" max="14856" width="10" style="1590" customWidth="1"/>
    <col min="14857" max="14857" width="10.69921875" style="1590" customWidth="1"/>
    <col min="14858" max="14858" width="10.8984375" style="1590" customWidth="1"/>
    <col min="14859" max="14859" width="10.5" style="1590" customWidth="1"/>
    <col min="14860" max="14860" width="11.19921875" style="1590" customWidth="1"/>
    <col min="14861" max="15104" width="9" style="1590"/>
    <col min="15105" max="15105" width="5.69921875" style="1590" customWidth="1"/>
    <col min="15106" max="15106" width="8.19921875" style="1590" customWidth="1"/>
    <col min="15107" max="15109" width="11.59765625" style="1590" customWidth="1"/>
    <col min="15110" max="15110" width="10.69921875" style="1590" customWidth="1"/>
    <col min="15111" max="15111" width="9" style="1590"/>
    <col min="15112" max="15112" width="10" style="1590" customWidth="1"/>
    <col min="15113" max="15113" width="10.69921875" style="1590" customWidth="1"/>
    <col min="15114" max="15114" width="10.8984375" style="1590" customWidth="1"/>
    <col min="15115" max="15115" width="10.5" style="1590" customWidth="1"/>
    <col min="15116" max="15116" width="11.19921875" style="1590" customWidth="1"/>
    <col min="15117" max="15360" width="9" style="1590"/>
    <col min="15361" max="15361" width="5.69921875" style="1590" customWidth="1"/>
    <col min="15362" max="15362" width="8.19921875" style="1590" customWidth="1"/>
    <col min="15363" max="15365" width="11.59765625" style="1590" customWidth="1"/>
    <col min="15366" max="15366" width="10.69921875" style="1590" customWidth="1"/>
    <col min="15367" max="15367" width="9" style="1590"/>
    <col min="15368" max="15368" width="10" style="1590" customWidth="1"/>
    <col min="15369" max="15369" width="10.69921875" style="1590" customWidth="1"/>
    <col min="15370" max="15370" width="10.8984375" style="1590" customWidth="1"/>
    <col min="15371" max="15371" width="10.5" style="1590" customWidth="1"/>
    <col min="15372" max="15372" width="11.19921875" style="1590" customWidth="1"/>
    <col min="15373" max="15616" width="9" style="1590"/>
    <col min="15617" max="15617" width="5.69921875" style="1590" customWidth="1"/>
    <col min="15618" max="15618" width="8.19921875" style="1590" customWidth="1"/>
    <col min="15619" max="15621" width="11.59765625" style="1590" customWidth="1"/>
    <col min="15622" max="15622" width="10.69921875" style="1590" customWidth="1"/>
    <col min="15623" max="15623" width="9" style="1590"/>
    <col min="15624" max="15624" width="10" style="1590" customWidth="1"/>
    <col min="15625" max="15625" width="10.69921875" style="1590" customWidth="1"/>
    <col min="15626" max="15626" width="10.8984375" style="1590" customWidth="1"/>
    <col min="15627" max="15627" width="10.5" style="1590" customWidth="1"/>
    <col min="15628" max="15628" width="11.19921875" style="1590" customWidth="1"/>
    <col min="15629" max="15872" width="9" style="1590"/>
    <col min="15873" max="15873" width="5.69921875" style="1590" customWidth="1"/>
    <col min="15874" max="15874" width="8.19921875" style="1590" customWidth="1"/>
    <col min="15875" max="15877" width="11.59765625" style="1590" customWidth="1"/>
    <col min="15878" max="15878" width="10.69921875" style="1590" customWidth="1"/>
    <col min="15879" max="15879" width="9" style="1590"/>
    <col min="15880" max="15880" width="10" style="1590" customWidth="1"/>
    <col min="15881" max="15881" width="10.69921875" style="1590" customWidth="1"/>
    <col min="15882" max="15882" width="10.8984375" style="1590" customWidth="1"/>
    <col min="15883" max="15883" width="10.5" style="1590" customWidth="1"/>
    <col min="15884" max="15884" width="11.19921875" style="1590" customWidth="1"/>
    <col min="15885" max="16128" width="9" style="1590"/>
    <col min="16129" max="16129" width="5.69921875" style="1590" customWidth="1"/>
    <col min="16130" max="16130" width="8.19921875" style="1590" customWidth="1"/>
    <col min="16131" max="16133" width="11.59765625" style="1590" customWidth="1"/>
    <col min="16134" max="16134" width="10.69921875" style="1590" customWidth="1"/>
    <col min="16135" max="16135" width="9" style="1590"/>
    <col min="16136" max="16136" width="10" style="1590" customWidth="1"/>
    <col min="16137" max="16137" width="10.69921875" style="1590" customWidth="1"/>
    <col min="16138" max="16138" width="10.8984375" style="1590" customWidth="1"/>
    <col min="16139" max="16139" width="10.5" style="1590" customWidth="1"/>
    <col min="16140" max="16140" width="11.19921875" style="1590" customWidth="1"/>
    <col min="16141" max="16384" width="9" style="1590"/>
  </cols>
  <sheetData>
    <row r="1" spans="1:14" s="1583" customFormat="1" ht="20.100000000000001" customHeight="1">
      <c r="A1" s="3378" t="s">
        <v>5546</v>
      </c>
      <c r="B1" s="3378"/>
      <c r="C1" s="3378"/>
      <c r="D1" s="3378"/>
      <c r="E1" s="3378"/>
      <c r="F1" s="3378"/>
      <c r="G1" s="3378"/>
      <c r="H1" s="3378"/>
      <c r="I1" s="3378"/>
      <c r="J1" s="3378"/>
      <c r="K1" s="3378"/>
      <c r="L1" s="2023"/>
    </row>
    <row r="2" spans="1:14" s="1589" customFormat="1" ht="25.5" customHeight="1">
      <c r="A2" s="3379" t="s">
        <v>5547</v>
      </c>
      <c r="B2" s="3379"/>
      <c r="C2" s="3379"/>
      <c r="D2" s="3379"/>
      <c r="E2" s="3379"/>
      <c r="F2" s="3379"/>
      <c r="G2" s="3379"/>
      <c r="H2" s="3379"/>
      <c r="I2" s="3379"/>
      <c r="J2" s="3379"/>
      <c r="K2" s="3379"/>
      <c r="L2" s="1867"/>
    </row>
    <row r="3" spans="1:14" ht="29.25" customHeight="1">
      <c r="A3" s="3380" t="s">
        <v>2436</v>
      </c>
      <c r="B3" s="3383" t="s">
        <v>5548</v>
      </c>
      <c r="C3" s="3385" t="s">
        <v>5549</v>
      </c>
      <c r="D3" s="3385"/>
      <c r="E3" s="3385"/>
      <c r="F3" s="3385" t="s">
        <v>5550</v>
      </c>
      <c r="G3" s="3385" t="s">
        <v>5551</v>
      </c>
      <c r="H3" s="3385" t="s">
        <v>5552</v>
      </c>
      <c r="I3" s="3385" t="s">
        <v>5553</v>
      </c>
      <c r="J3" s="3385" t="s">
        <v>5554</v>
      </c>
      <c r="K3" s="3385" t="s">
        <v>5555</v>
      </c>
      <c r="L3" s="3385" t="s">
        <v>4901</v>
      </c>
    </row>
    <row r="4" spans="1:14" ht="36" customHeight="1">
      <c r="A4" s="3381"/>
      <c r="B4" s="3387"/>
      <c r="C4" s="1866" t="s">
        <v>5556</v>
      </c>
      <c r="D4" s="1866" t="s">
        <v>5557</v>
      </c>
      <c r="E4" s="1866" t="s">
        <v>5558</v>
      </c>
      <c r="F4" s="3385"/>
      <c r="G4" s="3385"/>
      <c r="H4" s="3385"/>
      <c r="I4" s="3385"/>
      <c r="J4" s="3385"/>
      <c r="K4" s="3385"/>
      <c r="L4" s="3385"/>
    </row>
    <row r="5" spans="1:14" ht="14.25" customHeight="1">
      <c r="A5" s="3382"/>
      <c r="B5" s="1837">
        <v>1</v>
      </c>
      <c r="C5" s="1837">
        <v>2</v>
      </c>
      <c r="D5" s="1837">
        <v>3</v>
      </c>
      <c r="E5" s="1837">
        <v>4</v>
      </c>
      <c r="F5" s="1837">
        <v>5</v>
      </c>
      <c r="G5" s="1837">
        <v>6</v>
      </c>
      <c r="H5" s="1837">
        <v>7</v>
      </c>
      <c r="I5" s="1837">
        <v>8</v>
      </c>
      <c r="J5" s="1837">
        <v>9</v>
      </c>
      <c r="K5" s="1837" t="s">
        <v>5559</v>
      </c>
      <c r="L5" s="1982"/>
    </row>
    <row r="6" spans="1:14" ht="14.25" customHeight="1">
      <c r="A6" s="1837">
        <v>1</v>
      </c>
      <c r="B6" s="1871" t="str">
        <f>综合利用资源生产产品取得的收入优惠审核表!B6&amp;""</f>
        <v/>
      </c>
      <c r="C6" s="1871" t="str">
        <f>IF(B6="","",TEXT(综合利用资源生产产品取得的收入优惠审核表!C6,"yyyy-mm-dd"))</f>
        <v/>
      </c>
      <c r="D6" s="1871" t="str">
        <f>综合利用资源生产产品取得的收入优惠审核表!D6&amp;""</f>
        <v/>
      </c>
      <c r="E6" s="1871" t="str">
        <f>综合利用资源生产产品取得的收入优惠审核表!E6&amp;""</f>
        <v/>
      </c>
      <c r="F6" s="1871" t="str">
        <f>综合利用资源生产产品取得的收入优惠审核表!F6&amp;""</f>
        <v/>
      </c>
      <c r="G6" s="1871" t="str">
        <f>综合利用资源生产产品取得的收入优惠审核表!G6&amp;""</f>
        <v/>
      </c>
      <c r="H6" s="2568" t="str">
        <f>IF($B6="","",综合利用资源生产产品取得的收入优惠审核表!H6)</f>
        <v/>
      </c>
      <c r="I6" s="1871" t="str">
        <f>综合利用资源生产产品取得的收入优惠审核表!I6&amp;""</f>
        <v/>
      </c>
      <c r="J6" s="2074" t="str">
        <f>IF($B6="","",综合利用资源生产产品取得的收入优惠审核表!J6)</f>
        <v/>
      </c>
      <c r="K6" s="2074" t="str">
        <f>IF($B6="","",综合利用资源生产产品取得的收入优惠审核表!K6)</f>
        <v/>
      </c>
      <c r="L6" s="1982"/>
    </row>
    <row r="7" spans="1:14" ht="14.25" customHeight="1">
      <c r="A7" s="1837">
        <v>2</v>
      </c>
      <c r="B7" s="1871" t="str">
        <f>综合利用资源生产产品取得的收入优惠审核表!B7&amp;""</f>
        <v/>
      </c>
      <c r="C7" s="1871" t="str">
        <f>IF(B7="","",TEXT(综合利用资源生产产品取得的收入优惠审核表!C7,"yyyy-mm-dd"))</f>
        <v/>
      </c>
      <c r="D7" s="1871" t="str">
        <f>综合利用资源生产产品取得的收入优惠审核表!D7&amp;""</f>
        <v/>
      </c>
      <c r="E7" s="1871" t="str">
        <f>综合利用资源生产产品取得的收入优惠审核表!E7&amp;""</f>
        <v/>
      </c>
      <c r="F7" s="1871" t="str">
        <f>综合利用资源生产产品取得的收入优惠审核表!F7&amp;""</f>
        <v/>
      </c>
      <c r="G7" s="1871" t="str">
        <f>综合利用资源生产产品取得的收入优惠审核表!G7&amp;""</f>
        <v/>
      </c>
      <c r="H7" s="2568" t="str">
        <f>IF($B7="","",综合利用资源生产产品取得的收入优惠审核表!H7)</f>
        <v/>
      </c>
      <c r="I7" s="1871" t="str">
        <f>综合利用资源生产产品取得的收入优惠审核表!I7&amp;""</f>
        <v/>
      </c>
      <c r="J7" s="2074" t="str">
        <f>IF($B7="","",综合利用资源生产产品取得的收入优惠审核表!J7)</f>
        <v/>
      </c>
      <c r="K7" s="2074" t="str">
        <f>IF($B7="","",综合利用资源生产产品取得的收入优惠审核表!K7)</f>
        <v/>
      </c>
      <c r="L7" s="1982"/>
    </row>
    <row r="8" spans="1:14" ht="14.25" customHeight="1">
      <c r="A8" s="1837">
        <v>3</v>
      </c>
      <c r="B8" s="1871" t="str">
        <f>综合利用资源生产产品取得的收入优惠审核表!B8&amp;""</f>
        <v/>
      </c>
      <c r="C8" s="1871" t="str">
        <f>IF(B8="","",TEXT(综合利用资源生产产品取得的收入优惠审核表!C8,"yyyy-mm-dd"))</f>
        <v/>
      </c>
      <c r="D8" s="1871" t="str">
        <f>综合利用资源生产产品取得的收入优惠审核表!D8&amp;""</f>
        <v/>
      </c>
      <c r="E8" s="1871" t="str">
        <f>综合利用资源生产产品取得的收入优惠审核表!E8&amp;""</f>
        <v/>
      </c>
      <c r="F8" s="1871" t="str">
        <f>综合利用资源生产产品取得的收入优惠审核表!F8&amp;""</f>
        <v/>
      </c>
      <c r="G8" s="1871" t="str">
        <f>综合利用资源生产产品取得的收入优惠审核表!G8&amp;""</f>
        <v/>
      </c>
      <c r="H8" s="2568" t="str">
        <f>IF($B8="","",综合利用资源生产产品取得的收入优惠审核表!H8)</f>
        <v/>
      </c>
      <c r="I8" s="1871" t="str">
        <f>综合利用资源生产产品取得的收入优惠审核表!I8&amp;""</f>
        <v/>
      </c>
      <c r="J8" s="2074" t="str">
        <f>IF($B8="","",综合利用资源生产产品取得的收入优惠审核表!J8)</f>
        <v/>
      </c>
      <c r="K8" s="2074" t="str">
        <f>IF($B8="","",综合利用资源生产产品取得的收入优惠审核表!K8)</f>
        <v/>
      </c>
      <c r="L8" s="1982"/>
    </row>
    <row r="9" spans="1:14" ht="14.25" customHeight="1">
      <c r="A9" s="1837">
        <v>4</v>
      </c>
      <c r="B9" s="1871" t="str">
        <f>综合利用资源生产产品取得的收入优惠审核表!B9&amp;""</f>
        <v/>
      </c>
      <c r="C9" s="1871" t="str">
        <f>IF(B9="","",TEXT(综合利用资源生产产品取得的收入优惠审核表!C9,"yyyy-mm-dd"))</f>
        <v/>
      </c>
      <c r="D9" s="1871" t="str">
        <f>综合利用资源生产产品取得的收入优惠审核表!D9&amp;""</f>
        <v/>
      </c>
      <c r="E9" s="1871" t="str">
        <f>综合利用资源生产产品取得的收入优惠审核表!E9&amp;""</f>
        <v/>
      </c>
      <c r="F9" s="1871" t="str">
        <f>综合利用资源生产产品取得的收入优惠审核表!F9&amp;""</f>
        <v/>
      </c>
      <c r="G9" s="1871" t="str">
        <f>综合利用资源生产产品取得的收入优惠审核表!G9&amp;""</f>
        <v/>
      </c>
      <c r="H9" s="2568" t="str">
        <f>IF($B9="","",综合利用资源生产产品取得的收入优惠审核表!H9)</f>
        <v/>
      </c>
      <c r="I9" s="1871" t="str">
        <f>综合利用资源生产产品取得的收入优惠审核表!I9&amp;""</f>
        <v/>
      </c>
      <c r="J9" s="2074" t="str">
        <f>IF($B9="","",综合利用资源生产产品取得的收入优惠审核表!J9)</f>
        <v/>
      </c>
      <c r="K9" s="2074" t="str">
        <f>IF($B9="","",综合利用资源生产产品取得的收入优惠审核表!K9)</f>
        <v/>
      </c>
      <c r="L9" s="1982"/>
    </row>
    <row r="10" spans="1:14" ht="14.25" customHeight="1">
      <c r="A10" s="1837">
        <v>5</v>
      </c>
      <c r="B10" s="1871" t="str">
        <f>综合利用资源生产产品取得的收入优惠审核表!B10&amp;""</f>
        <v/>
      </c>
      <c r="C10" s="1871" t="str">
        <f>IF(B10="","",TEXT(综合利用资源生产产品取得的收入优惠审核表!C10,"yyyy-mm-dd"))</f>
        <v/>
      </c>
      <c r="D10" s="1871" t="str">
        <f>综合利用资源生产产品取得的收入优惠审核表!D10&amp;""</f>
        <v/>
      </c>
      <c r="E10" s="1871" t="str">
        <f>综合利用资源生产产品取得的收入优惠审核表!E10&amp;""</f>
        <v/>
      </c>
      <c r="F10" s="1871" t="str">
        <f>综合利用资源生产产品取得的收入优惠审核表!F10&amp;""</f>
        <v/>
      </c>
      <c r="G10" s="1871" t="str">
        <f>综合利用资源生产产品取得的收入优惠审核表!G10&amp;""</f>
        <v/>
      </c>
      <c r="H10" s="2568" t="str">
        <f>IF($B10="","",综合利用资源生产产品取得的收入优惠审核表!H10)</f>
        <v/>
      </c>
      <c r="I10" s="1871" t="str">
        <f>综合利用资源生产产品取得的收入优惠审核表!I10&amp;""</f>
        <v/>
      </c>
      <c r="J10" s="2074" t="str">
        <f>IF($B10="","",综合利用资源生产产品取得的收入优惠审核表!J10)</f>
        <v/>
      </c>
      <c r="K10" s="2074" t="str">
        <f>IF($B10="","",综合利用资源生产产品取得的收入优惠审核表!K10)</f>
        <v/>
      </c>
      <c r="L10" s="1982"/>
    </row>
    <row r="11" spans="1:14" ht="14.25" customHeight="1">
      <c r="A11" s="1837">
        <v>6</v>
      </c>
      <c r="B11" s="1871" t="str">
        <f>综合利用资源生产产品取得的收入优惠审核表!B11&amp;""</f>
        <v/>
      </c>
      <c r="C11" s="1871" t="str">
        <f>IF(B11="","",TEXT(综合利用资源生产产品取得的收入优惠审核表!C11,"yyyy-mm-dd"))</f>
        <v/>
      </c>
      <c r="D11" s="1871" t="str">
        <f>综合利用资源生产产品取得的收入优惠审核表!D11&amp;""</f>
        <v/>
      </c>
      <c r="E11" s="1871" t="str">
        <f>综合利用资源生产产品取得的收入优惠审核表!E11&amp;""</f>
        <v/>
      </c>
      <c r="F11" s="1871" t="str">
        <f>综合利用资源生产产品取得的收入优惠审核表!F11&amp;""</f>
        <v/>
      </c>
      <c r="G11" s="1871" t="str">
        <f>综合利用资源生产产品取得的收入优惠审核表!G11&amp;""</f>
        <v/>
      </c>
      <c r="H11" s="2568" t="str">
        <f>IF($B11="","",综合利用资源生产产品取得的收入优惠审核表!H11)</f>
        <v/>
      </c>
      <c r="I11" s="1871" t="str">
        <f>综合利用资源生产产品取得的收入优惠审核表!I11&amp;""</f>
        <v/>
      </c>
      <c r="J11" s="2074" t="str">
        <f>IF($B11="","",综合利用资源生产产品取得的收入优惠审核表!J11)</f>
        <v/>
      </c>
      <c r="K11" s="2074" t="str">
        <f>IF($B11="","",综合利用资源生产产品取得的收入优惠审核表!K11)</f>
        <v/>
      </c>
      <c r="L11" s="1982"/>
    </row>
    <row r="12" spans="1:14" ht="14.25" customHeight="1">
      <c r="A12" s="1837">
        <v>7</v>
      </c>
      <c r="B12" s="1871" t="str">
        <f>综合利用资源生产产品取得的收入优惠审核表!B12&amp;""</f>
        <v/>
      </c>
      <c r="C12" s="1871" t="str">
        <f>IF(B12="","",TEXT(综合利用资源生产产品取得的收入优惠审核表!C12,"yyyy-mm-dd"))</f>
        <v/>
      </c>
      <c r="D12" s="1871" t="str">
        <f>综合利用资源生产产品取得的收入优惠审核表!D12&amp;""</f>
        <v/>
      </c>
      <c r="E12" s="1871" t="str">
        <f>综合利用资源生产产品取得的收入优惠审核表!E12&amp;""</f>
        <v/>
      </c>
      <c r="F12" s="1871" t="str">
        <f>综合利用资源生产产品取得的收入优惠审核表!F12&amp;""</f>
        <v/>
      </c>
      <c r="G12" s="1871" t="str">
        <f>综合利用资源生产产品取得的收入优惠审核表!G12&amp;""</f>
        <v/>
      </c>
      <c r="H12" s="2568" t="str">
        <f>IF($B12="","",综合利用资源生产产品取得的收入优惠审核表!H12)</f>
        <v/>
      </c>
      <c r="I12" s="1871" t="str">
        <f>综合利用资源生产产品取得的收入优惠审核表!I12&amp;""</f>
        <v/>
      </c>
      <c r="J12" s="2074" t="str">
        <f>IF($B12="","",综合利用资源生产产品取得的收入优惠审核表!J12)</f>
        <v/>
      </c>
      <c r="K12" s="2074" t="str">
        <f>IF($B12="","",综合利用资源生产产品取得的收入优惠审核表!K12)</f>
        <v/>
      </c>
      <c r="L12" s="1982"/>
      <c r="M12" s="1772" t="s">
        <v>6461</v>
      </c>
    </row>
    <row r="13" spans="1:14" ht="14.25" customHeight="1">
      <c r="A13" s="1837">
        <v>8</v>
      </c>
      <c r="B13" s="1871" t="str">
        <f>综合利用资源生产产品取得的收入优惠审核表!B13&amp;""</f>
        <v/>
      </c>
      <c r="C13" s="1871" t="str">
        <f>IF(B13="","",TEXT(综合利用资源生产产品取得的收入优惠审核表!C13,"yyyy-mm-dd"))</f>
        <v/>
      </c>
      <c r="D13" s="1871" t="str">
        <f>综合利用资源生产产品取得的收入优惠审核表!D13&amp;""</f>
        <v/>
      </c>
      <c r="E13" s="1871" t="str">
        <f>综合利用资源生产产品取得的收入优惠审核表!E13&amp;""</f>
        <v/>
      </c>
      <c r="F13" s="1871" t="str">
        <f>综合利用资源生产产品取得的收入优惠审核表!F13&amp;""</f>
        <v/>
      </c>
      <c r="G13" s="1871" t="str">
        <f>综合利用资源生产产品取得的收入优惠审核表!G13&amp;""</f>
        <v/>
      </c>
      <c r="H13" s="2568" t="str">
        <f>IF($B13="","",综合利用资源生产产品取得的收入优惠审核表!H13)</f>
        <v/>
      </c>
      <c r="I13" s="1871" t="str">
        <f>综合利用资源生产产品取得的收入优惠审核表!I13&amp;""</f>
        <v/>
      </c>
      <c r="J13" s="2074" t="str">
        <f>IF($B13="","",综合利用资源生产产品取得的收入优惠审核表!J13)</f>
        <v/>
      </c>
      <c r="K13" s="2074" t="str">
        <f>IF($B13="","",综合利用资源生产产品取得的收入优惠审核表!K13)</f>
        <v/>
      </c>
      <c r="L13" s="1982"/>
    </row>
    <row r="14" spans="1:14" ht="14.25" customHeight="1">
      <c r="A14" s="1837">
        <v>9</v>
      </c>
      <c r="B14" s="1871" t="str">
        <f>综合利用资源生产产品取得的收入优惠审核表!B14&amp;""</f>
        <v/>
      </c>
      <c r="C14" s="1871" t="str">
        <f>IF(B14="","",TEXT(综合利用资源生产产品取得的收入优惠审核表!C14,"yyyy-mm-dd"))</f>
        <v/>
      </c>
      <c r="D14" s="1871" t="str">
        <f>综合利用资源生产产品取得的收入优惠审核表!D14&amp;""</f>
        <v/>
      </c>
      <c r="E14" s="1871" t="str">
        <f>综合利用资源生产产品取得的收入优惠审核表!E14&amp;""</f>
        <v/>
      </c>
      <c r="F14" s="1871" t="str">
        <f>综合利用资源生产产品取得的收入优惠审核表!F14&amp;""</f>
        <v/>
      </c>
      <c r="G14" s="1871" t="str">
        <f>综合利用资源生产产品取得的收入优惠审核表!G14&amp;""</f>
        <v/>
      </c>
      <c r="H14" s="2568" t="str">
        <f>IF($B14="","",综合利用资源生产产品取得的收入优惠审核表!H14)</f>
        <v/>
      </c>
      <c r="I14" s="1871" t="str">
        <f>综合利用资源生产产品取得的收入优惠审核表!I14&amp;""</f>
        <v/>
      </c>
      <c r="J14" s="2074" t="str">
        <f>IF($B14="","",综合利用资源生产产品取得的收入优惠审核表!J14)</f>
        <v/>
      </c>
      <c r="K14" s="2074" t="str">
        <f>IF($B14="","",综合利用资源生产产品取得的收入优惠审核表!K14)</f>
        <v/>
      </c>
      <c r="L14" s="1982"/>
    </row>
    <row r="15" spans="1:14" ht="47.25" customHeight="1">
      <c r="A15" s="1870">
        <v>10</v>
      </c>
      <c r="B15" s="1838" t="str">
        <f>综合利用资源生产产品取得的收入优惠审核表!B15</f>
        <v xml:space="preserve">合计  </v>
      </c>
      <c r="C15" s="1961" t="s">
        <v>1867</v>
      </c>
      <c r="D15" s="1961" t="s">
        <v>1867</v>
      </c>
      <c r="E15" s="1961" t="s">
        <v>1867</v>
      </c>
      <c r="F15" s="1961" t="s">
        <v>1867</v>
      </c>
      <c r="G15" s="1961" t="s">
        <v>1867</v>
      </c>
      <c r="H15" s="1961" t="s">
        <v>1867</v>
      </c>
      <c r="I15" s="1961" t="s">
        <v>1867</v>
      </c>
      <c r="J15" s="2074">
        <f>综合利用资源生产产品取得的收入优惠审核表!J15</f>
        <v>0</v>
      </c>
      <c r="K15" s="2074">
        <f>综合利用资源生产产品取得的收入优惠审核表!K15</f>
        <v>0</v>
      </c>
      <c r="L15" s="1841" t="s">
        <v>5562</v>
      </c>
    </row>
    <row r="16" spans="1:14">
      <c r="A16" s="2295"/>
      <c r="B16" s="2295"/>
      <c r="C16" s="2295"/>
      <c r="D16" s="2295"/>
      <c r="E16" s="2295"/>
      <c r="F16" s="2295"/>
      <c r="G16" s="2295"/>
      <c r="H16" s="2295"/>
      <c r="I16" s="2295"/>
      <c r="J16" s="2295"/>
      <c r="K16" s="2295"/>
      <c r="L16" s="2022" t="s">
        <v>5561</v>
      </c>
      <c r="M16" s="2022"/>
      <c r="N16" s="2022"/>
    </row>
  </sheetData>
  <mergeCells count="12">
    <mergeCell ref="K3:K4"/>
    <mergeCell ref="L3:L4"/>
    <mergeCell ref="A1:K1"/>
    <mergeCell ref="A2:K2"/>
    <mergeCell ref="A3:A5"/>
    <mergeCell ref="B3:B4"/>
    <mergeCell ref="C3:E3"/>
    <mergeCell ref="F3:F4"/>
    <mergeCell ref="G3:G4"/>
    <mergeCell ref="H3:H4"/>
    <mergeCell ref="I3:I4"/>
    <mergeCell ref="J3:J4"/>
  </mergeCells>
  <phoneticPr fontId="51" type="noConversion"/>
  <hyperlinks>
    <hyperlink ref="M12" location="综合利用资源生产产品取得的收入优惠审核表!A1" display="综合利用资源生产产品取得的收入优惠审核表!A1"/>
  </hyperlinks>
  <printOptions horizontalCentered="1"/>
  <pageMargins left="0.78740157480314998" right="0.35433070866141703" top="0.511811023622047" bottom="0.11811023622047198" header="0.511811023622047" footer="0.511811023622047"/>
  <pageSetup paperSize="9" orientation="landscape" r:id="rId1"/>
</worksheet>
</file>

<file path=xl/worksheets/sheet14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42">
    <tabColor rgb="FFFFFF00"/>
  </sheetPr>
  <dimension ref="A1:H16"/>
  <sheetViews>
    <sheetView workbookViewId="0">
      <selection sqref="A1:C1"/>
    </sheetView>
  </sheetViews>
  <sheetFormatPr defaultRowHeight="15.6"/>
  <cols>
    <col min="1" max="1" width="5.19921875" style="1597" customWidth="1"/>
    <col min="2" max="2" width="64.59765625" style="1597" customWidth="1"/>
    <col min="3" max="3" width="16.09765625" style="1597" customWidth="1"/>
    <col min="4" max="4" width="19.8984375" style="1597" customWidth="1"/>
    <col min="5" max="256" width="9" style="1597"/>
    <col min="257" max="257" width="5.19921875" style="1597" customWidth="1"/>
    <col min="258" max="258" width="64.59765625" style="1597" customWidth="1"/>
    <col min="259" max="259" width="16.09765625" style="1597" customWidth="1"/>
    <col min="260" max="260" width="19.8984375" style="1597" customWidth="1"/>
    <col min="261" max="512" width="9" style="1597"/>
    <col min="513" max="513" width="5.19921875" style="1597" customWidth="1"/>
    <col min="514" max="514" width="64.59765625" style="1597" customWidth="1"/>
    <col min="515" max="515" width="16.09765625" style="1597" customWidth="1"/>
    <col min="516" max="516" width="19.8984375" style="1597" customWidth="1"/>
    <col min="517" max="768" width="9" style="1597"/>
    <col min="769" max="769" width="5.19921875" style="1597" customWidth="1"/>
    <col min="770" max="770" width="64.59765625" style="1597" customWidth="1"/>
    <col min="771" max="771" width="16.09765625" style="1597" customWidth="1"/>
    <col min="772" max="772" width="19.8984375" style="1597" customWidth="1"/>
    <col min="773" max="1024" width="9" style="1597"/>
    <col min="1025" max="1025" width="5.19921875" style="1597" customWidth="1"/>
    <col min="1026" max="1026" width="64.59765625" style="1597" customWidth="1"/>
    <col min="1027" max="1027" width="16.09765625" style="1597" customWidth="1"/>
    <col min="1028" max="1028" width="19.8984375" style="1597" customWidth="1"/>
    <col min="1029" max="1280" width="9" style="1597"/>
    <col min="1281" max="1281" width="5.19921875" style="1597" customWidth="1"/>
    <col min="1282" max="1282" width="64.59765625" style="1597" customWidth="1"/>
    <col min="1283" max="1283" width="16.09765625" style="1597" customWidth="1"/>
    <col min="1284" max="1284" width="19.8984375" style="1597" customWidth="1"/>
    <col min="1285" max="1536" width="9" style="1597"/>
    <col min="1537" max="1537" width="5.19921875" style="1597" customWidth="1"/>
    <col min="1538" max="1538" width="64.59765625" style="1597" customWidth="1"/>
    <col min="1539" max="1539" width="16.09765625" style="1597" customWidth="1"/>
    <col min="1540" max="1540" width="19.8984375" style="1597" customWidth="1"/>
    <col min="1541" max="1792" width="9" style="1597"/>
    <col min="1793" max="1793" width="5.19921875" style="1597" customWidth="1"/>
    <col min="1794" max="1794" width="64.59765625" style="1597" customWidth="1"/>
    <col min="1795" max="1795" width="16.09765625" style="1597" customWidth="1"/>
    <col min="1796" max="1796" width="19.8984375" style="1597" customWidth="1"/>
    <col min="1797" max="2048" width="9" style="1597"/>
    <col min="2049" max="2049" width="5.19921875" style="1597" customWidth="1"/>
    <col min="2050" max="2050" width="64.59765625" style="1597" customWidth="1"/>
    <col min="2051" max="2051" width="16.09765625" style="1597" customWidth="1"/>
    <col min="2052" max="2052" width="19.8984375" style="1597" customWidth="1"/>
    <col min="2053" max="2304" width="9" style="1597"/>
    <col min="2305" max="2305" width="5.19921875" style="1597" customWidth="1"/>
    <col min="2306" max="2306" width="64.59765625" style="1597" customWidth="1"/>
    <col min="2307" max="2307" width="16.09765625" style="1597" customWidth="1"/>
    <col min="2308" max="2308" width="19.8984375" style="1597" customWidth="1"/>
    <col min="2309" max="2560" width="9" style="1597"/>
    <col min="2561" max="2561" width="5.19921875" style="1597" customWidth="1"/>
    <col min="2562" max="2562" width="64.59765625" style="1597" customWidth="1"/>
    <col min="2563" max="2563" width="16.09765625" style="1597" customWidth="1"/>
    <col min="2564" max="2564" width="19.8984375" style="1597" customWidth="1"/>
    <col min="2565" max="2816" width="9" style="1597"/>
    <col min="2817" max="2817" width="5.19921875" style="1597" customWidth="1"/>
    <col min="2818" max="2818" width="64.59765625" style="1597" customWidth="1"/>
    <col min="2819" max="2819" width="16.09765625" style="1597" customWidth="1"/>
    <col min="2820" max="2820" width="19.8984375" style="1597" customWidth="1"/>
    <col min="2821" max="3072" width="9" style="1597"/>
    <col min="3073" max="3073" width="5.19921875" style="1597" customWidth="1"/>
    <col min="3074" max="3074" width="64.59765625" style="1597" customWidth="1"/>
    <col min="3075" max="3075" width="16.09765625" style="1597" customWidth="1"/>
    <col min="3076" max="3076" width="19.8984375" style="1597" customWidth="1"/>
    <col min="3077" max="3328" width="9" style="1597"/>
    <col min="3329" max="3329" width="5.19921875" style="1597" customWidth="1"/>
    <col min="3330" max="3330" width="64.59765625" style="1597" customWidth="1"/>
    <col min="3331" max="3331" width="16.09765625" style="1597" customWidth="1"/>
    <col min="3332" max="3332" width="19.8984375" style="1597" customWidth="1"/>
    <col min="3333" max="3584" width="9" style="1597"/>
    <col min="3585" max="3585" width="5.19921875" style="1597" customWidth="1"/>
    <col min="3586" max="3586" width="64.59765625" style="1597" customWidth="1"/>
    <col min="3587" max="3587" width="16.09765625" style="1597" customWidth="1"/>
    <col min="3588" max="3588" width="19.8984375" style="1597" customWidth="1"/>
    <col min="3589" max="3840" width="9" style="1597"/>
    <col min="3841" max="3841" width="5.19921875" style="1597" customWidth="1"/>
    <col min="3842" max="3842" width="64.59765625" style="1597" customWidth="1"/>
    <col min="3843" max="3843" width="16.09765625" style="1597" customWidth="1"/>
    <col min="3844" max="3844" width="19.8984375" style="1597" customWidth="1"/>
    <col min="3845" max="4096" width="9" style="1597"/>
    <col min="4097" max="4097" width="5.19921875" style="1597" customWidth="1"/>
    <col min="4098" max="4098" width="64.59765625" style="1597" customWidth="1"/>
    <col min="4099" max="4099" width="16.09765625" style="1597" customWidth="1"/>
    <col min="4100" max="4100" width="19.8984375" style="1597" customWidth="1"/>
    <col min="4101" max="4352" width="9" style="1597"/>
    <col min="4353" max="4353" width="5.19921875" style="1597" customWidth="1"/>
    <col min="4354" max="4354" width="64.59765625" style="1597" customWidth="1"/>
    <col min="4355" max="4355" width="16.09765625" style="1597" customWidth="1"/>
    <col min="4356" max="4356" width="19.8984375" style="1597" customWidth="1"/>
    <col min="4357" max="4608" width="9" style="1597"/>
    <col min="4609" max="4609" width="5.19921875" style="1597" customWidth="1"/>
    <col min="4610" max="4610" width="64.59765625" style="1597" customWidth="1"/>
    <col min="4611" max="4611" width="16.09765625" style="1597" customWidth="1"/>
    <col min="4612" max="4612" width="19.8984375" style="1597" customWidth="1"/>
    <col min="4613" max="4864" width="9" style="1597"/>
    <col min="4865" max="4865" width="5.19921875" style="1597" customWidth="1"/>
    <col min="4866" max="4866" width="64.59765625" style="1597" customWidth="1"/>
    <col min="4867" max="4867" width="16.09765625" style="1597" customWidth="1"/>
    <col min="4868" max="4868" width="19.8984375" style="1597" customWidth="1"/>
    <col min="4869" max="5120" width="9" style="1597"/>
    <col min="5121" max="5121" width="5.19921875" style="1597" customWidth="1"/>
    <col min="5122" max="5122" width="64.59765625" style="1597" customWidth="1"/>
    <col min="5123" max="5123" width="16.09765625" style="1597" customWidth="1"/>
    <col min="5124" max="5124" width="19.8984375" style="1597" customWidth="1"/>
    <col min="5125" max="5376" width="9" style="1597"/>
    <col min="5377" max="5377" width="5.19921875" style="1597" customWidth="1"/>
    <col min="5378" max="5378" width="64.59765625" style="1597" customWidth="1"/>
    <col min="5379" max="5379" width="16.09765625" style="1597" customWidth="1"/>
    <col min="5380" max="5380" width="19.8984375" style="1597" customWidth="1"/>
    <col min="5381" max="5632" width="9" style="1597"/>
    <col min="5633" max="5633" width="5.19921875" style="1597" customWidth="1"/>
    <col min="5634" max="5634" width="64.59765625" style="1597" customWidth="1"/>
    <col min="5635" max="5635" width="16.09765625" style="1597" customWidth="1"/>
    <col min="5636" max="5636" width="19.8984375" style="1597" customWidth="1"/>
    <col min="5637" max="5888" width="9" style="1597"/>
    <col min="5889" max="5889" width="5.19921875" style="1597" customWidth="1"/>
    <col min="5890" max="5890" width="64.59765625" style="1597" customWidth="1"/>
    <col min="5891" max="5891" width="16.09765625" style="1597" customWidth="1"/>
    <col min="5892" max="5892" width="19.8984375" style="1597" customWidth="1"/>
    <col min="5893" max="6144" width="9" style="1597"/>
    <col min="6145" max="6145" width="5.19921875" style="1597" customWidth="1"/>
    <col min="6146" max="6146" width="64.59765625" style="1597" customWidth="1"/>
    <col min="6147" max="6147" width="16.09765625" style="1597" customWidth="1"/>
    <col min="6148" max="6148" width="19.8984375" style="1597" customWidth="1"/>
    <col min="6149" max="6400" width="9" style="1597"/>
    <col min="6401" max="6401" width="5.19921875" style="1597" customWidth="1"/>
    <col min="6402" max="6402" width="64.59765625" style="1597" customWidth="1"/>
    <col min="6403" max="6403" width="16.09765625" style="1597" customWidth="1"/>
    <col min="6404" max="6404" width="19.8984375" style="1597" customWidth="1"/>
    <col min="6405" max="6656" width="9" style="1597"/>
    <col min="6657" max="6657" width="5.19921875" style="1597" customWidth="1"/>
    <col min="6658" max="6658" width="64.59765625" style="1597" customWidth="1"/>
    <col min="6659" max="6659" width="16.09765625" style="1597" customWidth="1"/>
    <col min="6660" max="6660" width="19.8984375" style="1597" customWidth="1"/>
    <col min="6661" max="6912" width="9" style="1597"/>
    <col min="6913" max="6913" width="5.19921875" style="1597" customWidth="1"/>
    <col min="6914" max="6914" width="64.59765625" style="1597" customWidth="1"/>
    <col min="6915" max="6915" width="16.09765625" style="1597" customWidth="1"/>
    <col min="6916" max="6916" width="19.8984375" style="1597" customWidth="1"/>
    <col min="6917" max="7168" width="9" style="1597"/>
    <col min="7169" max="7169" width="5.19921875" style="1597" customWidth="1"/>
    <col min="7170" max="7170" width="64.59765625" style="1597" customWidth="1"/>
    <col min="7171" max="7171" width="16.09765625" style="1597" customWidth="1"/>
    <col min="7172" max="7172" width="19.8984375" style="1597" customWidth="1"/>
    <col min="7173" max="7424" width="9" style="1597"/>
    <col min="7425" max="7425" width="5.19921875" style="1597" customWidth="1"/>
    <col min="7426" max="7426" width="64.59765625" style="1597" customWidth="1"/>
    <col min="7427" max="7427" width="16.09765625" style="1597" customWidth="1"/>
    <col min="7428" max="7428" width="19.8984375" style="1597" customWidth="1"/>
    <col min="7429" max="7680" width="9" style="1597"/>
    <col min="7681" max="7681" width="5.19921875" style="1597" customWidth="1"/>
    <col min="7682" max="7682" width="64.59765625" style="1597" customWidth="1"/>
    <col min="7683" max="7683" width="16.09765625" style="1597" customWidth="1"/>
    <col min="7684" max="7684" width="19.8984375" style="1597" customWidth="1"/>
    <col min="7685" max="7936" width="9" style="1597"/>
    <col min="7937" max="7937" width="5.19921875" style="1597" customWidth="1"/>
    <col min="7938" max="7938" width="64.59765625" style="1597" customWidth="1"/>
    <col min="7939" max="7939" width="16.09765625" style="1597" customWidth="1"/>
    <col min="7940" max="7940" width="19.8984375" style="1597" customWidth="1"/>
    <col min="7941" max="8192" width="9" style="1597"/>
    <col min="8193" max="8193" width="5.19921875" style="1597" customWidth="1"/>
    <col min="8194" max="8194" width="64.59765625" style="1597" customWidth="1"/>
    <col min="8195" max="8195" width="16.09765625" style="1597" customWidth="1"/>
    <col min="8196" max="8196" width="19.8984375" style="1597" customWidth="1"/>
    <col min="8197" max="8448" width="9" style="1597"/>
    <col min="8449" max="8449" width="5.19921875" style="1597" customWidth="1"/>
    <col min="8450" max="8450" width="64.59765625" style="1597" customWidth="1"/>
    <col min="8451" max="8451" width="16.09765625" style="1597" customWidth="1"/>
    <col min="8452" max="8452" width="19.8984375" style="1597" customWidth="1"/>
    <col min="8453" max="8704" width="9" style="1597"/>
    <col min="8705" max="8705" width="5.19921875" style="1597" customWidth="1"/>
    <col min="8706" max="8706" width="64.59765625" style="1597" customWidth="1"/>
    <col min="8707" max="8707" width="16.09765625" style="1597" customWidth="1"/>
    <col min="8708" max="8708" width="19.8984375" style="1597" customWidth="1"/>
    <col min="8709" max="8960" width="9" style="1597"/>
    <col min="8961" max="8961" width="5.19921875" style="1597" customWidth="1"/>
    <col min="8962" max="8962" width="64.59765625" style="1597" customWidth="1"/>
    <col min="8963" max="8963" width="16.09765625" style="1597" customWidth="1"/>
    <col min="8964" max="8964" width="19.8984375" style="1597" customWidth="1"/>
    <col min="8965" max="9216" width="9" style="1597"/>
    <col min="9217" max="9217" width="5.19921875" style="1597" customWidth="1"/>
    <col min="9218" max="9218" width="64.59765625" style="1597" customWidth="1"/>
    <col min="9219" max="9219" width="16.09765625" style="1597" customWidth="1"/>
    <col min="9220" max="9220" width="19.8984375" style="1597" customWidth="1"/>
    <col min="9221" max="9472" width="9" style="1597"/>
    <col min="9473" max="9473" width="5.19921875" style="1597" customWidth="1"/>
    <col min="9474" max="9474" width="64.59765625" style="1597" customWidth="1"/>
    <col min="9475" max="9475" width="16.09765625" style="1597" customWidth="1"/>
    <col min="9476" max="9476" width="19.8984375" style="1597" customWidth="1"/>
    <col min="9477" max="9728" width="9" style="1597"/>
    <col min="9729" max="9729" width="5.19921875" style="1597" customWidth="1"/>
    <col min="9730" max="9730" width="64.59765625" style="1597" customWidth="1"/>
    <col min="9731" max="9731" width="16.09765625" style="1597" customWidth="1"/>
    <col min="9732" max="9732" width="19.8984375" style="1597" customWidth="1"/>
    <col min="9733" max="9984" width="9" style="1597"/>
    <col min="9985" max="9985" width="5.19921875" style="1597" customWidth="1"/>
    <col min="9986" max="9986" width="64.59765625" style="1597" customWidth="1"/>
    <col min="9987" max="9987" width="16.09765625" style="1597" customWidth="1"/>
    <col min="9988" max="9988" width="19.8984375" style="1597" customWidth="1"/>
    <col min="9989" max="10240" width="9" style="1597"/>
    <col min="10241" max="10241" width="5.19921875" style="1597" customWidth="1"/>
    <col min="10242" max="10242" width="64.59765625" style="1597" customWidth="1"/>
    <col min="10243" max="10243" width="16.09765625" style="1597" customWidth="1"/>
    <col min="10244" max="10244" width="19.8984375" style="1597" customWidth="1"/>
    <col min="10245" max="10496" width="9" style="1597"/>
    <col min="10497" max="10497" width="5.19921875" style="1597" customWidth="1"/>
    <col min="10498" max="10498" width="64.59765625" style="1597" customWidth="1"/>
    <col min="10499" max="10499" width="16.09765625" style="1597" customWidth="1"/>
    <col min="10500" max="10500" width="19.8984375" style="1597" customWidth="1"/>
    <col min="10501" max="10752" width="9" style="1597"/>
    <col min="10753" max="10753" width="5.19921875" style="1597" customWidth="1"/>
    <col min="10754" max="10754" width="64.59765625" style="1597" customWidth="1"/>
    <col min="10755" max="10755" width="16.09765625" style="1597" customWidth="1"/>
    <col min="10756" max="10756" width="19.8984375" style="1597" customWidth="1"/>
    <col min="10757" max="11008" width="9" style="1597"/>
    <col min="11009" max="11009" width="5.19921875" style="1597" customWidth="1"/>
    <col min="11010" max="11010" width="64.59765625" style="1597" customWidth="1"/>
    <col min="11011" max="11011" width="16.09765625" style="1597" customWidth="1"/>
    <col min="11012" max="11012" width="19.8984375" style="1597" customWidth="1"/>
    <col min="11013" max="11264" width="9" style="1597"/>
    <col min="11265" max="11265" width="5.19921875" style="1597" customWidth="1"/>
    <col min="11266" max="11266" width="64.59765625" style="1597" customWidth="1"/>
    <col min="11267" max="11267" width="16.09765625" style="1597" customWidth="1"/>
    <col min="11268" max="11268" width="19.8984375" style="1597" customWidth="1"/>
    <col min="11269" max="11520" width="9" style="1597"/>
    <col min="11521" max="11521" width="5.19921875" style="1597" customWidth="1"/>
    <col min="11522" max="11522" width="64.59765625" style="1597" customWidth="1"/>
    <col min="11523" max="11523" width="16.09765625" style="1597" customWidth="1"/>
    <col min="11524" max="11524" width="19.8984375" style="1597" customWidth="1"/>
    <col min="11525" max="11776" width="9" style="1597"/>
    <col min="11777" max="11777" width="5.19921875" style="1597" customWidth="1"/>
    <col min="11778" max="11778" width="64.59765625" style="1597" customWidth="1"/>
    <col min="11779" max="11779" width="16.09765625" style="1597" customWidth="1"/>
    <col min="11780" max="11780" width="19.8984375" style="1597" customWidth="1"/>
    <col min="11781" max="12032" width="9" style="1597"/>
    <col min="12033" max="12033" width="5.19921875" style="1597" customWidth="1"/>
    <col min="12034" max="12034" width="64.59765625" style="1597" customWidth="1"/>
    <col min="12035" max="12035" width="16.09765625" style="1597" customWidth="1"/>
    <col min="12036" max="12036" width="19.8984375" style="1597" customWidth="1"/>
    <col min="12037" max="12288" width="9" style="1597"/>
    <col min="12289" max="12289" width="5.19921875" style="1597" customWidth="1"/>
    <col min="12290" max="12290" width="64.59765625" style="1597" customWidth="1"/>
    <col min="12291" max="12291" width="16.09765625" style="1597" customWidth="1"/>
    <col min="12292" max="12292" width="19.8984375" style="1597" customWidth="1"/>
    <col min="12293" max="12544" width="9" style="1597"/>
    <col min="12545" max="12545" width="5.19921875" style="1597" customWidth="1"/>
    <col min="12546" max="12546" width="64.59765625" style="1597" customWidth="1"/>
    <col min="12547" max="12547" width="16.09765625" style="1597" customWidth="1"/>
    <col min="12548" max="12548" width="19.8984375" style="1597" customWidth="1"/>
    <col min="12549" max="12800" width="9" style="1597"/>
    <col min="12801" max="12801" width="5.19921875" style="1597" customWidth="1"/>
    <col min="12802" max="12802" width="64.59765625" style="1597" customWidth="1"/>
    <col min="12803" max="12803" width="16.09765625" style="1597" customWidth="1"/>
    <col min="12804" max="12804" width="19.8984375" style="1597" customWidth="1"/>
    <col min="12805" max="13056" width="9" style="1597"/>
    <col min="13057" max="13057" width="5.19921875" style="1597" customWidth="1"/>
    <col min="13058" max="13058" width="64.59765625" style="1597" customWidth="1"/>
    <col min="13059" max="13059" width="16.09765625" style="1597" customWidth="1"/>
    <col min="13060" max="13060" width="19.8984375" style="1597" customWidth="1"/>
    <col min="13061" max="13312" width="9" style="1597"/>
    <col min="13313" max="13313" width="5.19921875" style="1597" customWidth="1"/>
    <col min="13314" max="13314" width="64.59765625" style="1597" customWidth="1"/>
    <col min="13315" max="13315" width="16.09765625" style="1597" customWidth="1"/>
    <col min="13316" max="13316" width="19.8984375" style="1597" customWidth="1"/>
    <col min="13317" max="13568" width="9" style="1597"/>
    <col min="13569" max="13569" width="5.19921875" style="1597" customWidth="1"/>
    <col min="13570" max="13570" width="64.59765625" style="1597" customWidth="1"/>
    <col min="13571" max="13571" width="16.09765625" style="1597" customWidth="1"/>
    <col min="13572" max="13572" width="19.8984375" style="1597" customWidth="1"/>
    <col min="13573" max="13824" width="9" style="1597"/>
    <col min="13825" max="13825" width="5.19921875" style="1597" customWidth="1"/>
    <col min="13826" max="13826" width="64.59765625" style="1597" customWidth="1"/>
    <col min="13827" max="13827" width="16.09765625" style="1597" customWidth="1"/>
    <col min="13828" max="13828" width="19.8984375" style="1597" customWidth="1"/>
    <col min="13829" max="14080" width="9" style="1597"/>
    <col min="14081" max="14081" width="5.19921875" style="1597" customWidth="1"/>
    <col min="14082" max="14082" width="64.59765625" style="1597" customWidth="1"/>
    <col min="14083" max="14083" width="16.09765625" style="1597" customWidth="1"/>
    <col min="14084" max="14084" width="19.8984375" style="1597" customWidth="1"/>
    <col min="14085" max="14336" width="9" style="1597"/>
    <col min="14337" max="14337" width="5.19921875" style="1597" customWidth="1"/>
    <col min="14338" max="14338" width="64.59765625" style="1597" customWidth="1"/>
    <col min="14339" max="14339" width="16.09765625" style="1597" customWidth="1"/>
    <col min="14340" max="14340" width="19.8984375" style="1597" customWidth="1"/>
    <col min="14341" max="14592" width="9" style="1597"/>
    <col min="14593" max="14593" width="5.19921875" style="1597" customWidth="1"/>
    <col min="14594" max="14594" width="64.59765625" style="1597" customWidth="1"/>
    <col min="14595" max="14595" width="16.09765625" style="1597" customWidth="1"/>
    <col min="14596" max="14596" width="19.8984375" style="1597" customWidth="1"/>
    <col min="14597" max="14848" width="9" style="1597"/>
    <col min="14849" max="14849" width="5.19921875" style="1597" customWidth="1"/>
    <col min="14850" max="14850" width="64.59765625" style="1597" customWidth="1"/>
    <col min="14851" max="14851" width="16.09765625" style="1597" customWidth="1"/>
    <col min="14852" max="14852" width="19.8984375" style="1597" customWidth="1"/>
    <col min="14853" max="15104" width="9" style="1597"/>
    <col min="15105" max="15105" width="5.19921875" style="1597" customWidth="1"/>
    <col min="15106" max="15106" width="64.59765625" style="1597" customWidth="1"/>
    <col min="15107" max="15107" width="16.09765625" style="1597" customWidth="1"/>
    <col min="15108" max="15108" width="19.8984375" style="1597" customWidth="1"/>
    <col min="15109" max="15360" width="9" style="1597"/>
    <col min="15361" max="15361" width="5.19921875" style="1597" customWidth="1"/>
    <col min="15362" max="15362" width="64.59765625" style="1597" customWidth="1"/>
    <col min="15363" max="15363" width="16.09765625" style="1597" customWidth="1"/>
    <col min="15364" max="15364" width="19.8984375" style="1597" customWidth="1"/>
    <col min="15365" max="15616" width="9" style="1597"/>
    <col min="15617" max="15617" width="5.19921875" style="1597" customWidth="1"/>
    <col min="15618" max="15618" width="64.59765625" style="1597" customWidth="1"/>
    <col min="15619" max="15619" width="16.09765625" style="1597" customWidth="1"/>
    <col min="15620" max="15620" width="19.8984375" style="1597" customWidth="1"/>
    <col min="15621" max="15872" width="9" style="1597"/>
    <col min="15873" max="15873" width="5.19921875" style="1597" customWidth="1"/>
    <col min="15874" max="15874" width="64.59765625" style="1597" customWidth="1"/>
    <col min="15875" max="15875" width="16.09765625" style="1597" customWidth="1"/>
    <col min="15876" max="15876" width="19.8984375" style="1597" customWidth="1"/>
    <col min="15877" max="16128" width="9" style="1597"/>
    <col min="16129" max="16129" width="5.19921875" style="1597" customWidth="1"/>
    <col min="16130" max="16130" width="64.59765625" style="1597" customWidth="1"/>
    <col min="16131" max="16131" width="16.09765625" style="1597" customWidth="1"/>
    <col min="16132" max="16132" width="19.8984375" style="1597" customWidth="1"/>
    <col min="16133" max="16384" width="9" style="1597"/>
  </cols>
  <sheetData>
    <row r="1" spans="1:8" s="1593" customFormat="1" ht="20.100000000000001" customHeight="1">
      <c r="A1" s="3378" t="s">
        <v>5563</v>
      </c>
      <c r="B1" s="3378"/>
      <c r="C1" s="3378"/>
      <c r="D1" s="2024"/>
    </row>
    <row r="2" spans="1:8" s="1594" customFormat="1" ht="25.5" customHeight="1">
      <c r="A2" s="3379" t="s">
        <v>5564</v>
      </c>
      <c r="B2" s="3379"/>
      <c r="C2" s="3379"/>
      <c r="D2" s="1872"/>
    </row>
    <row r="3" spans="1:8" s="1595" customFormat="1" ht="14.25" customHeight="1">
      <c r="A3" s="1839" t="s">
        <v>1854</v>
      </c>
      <c r="B3" s="1839" t="s">
        <v>1628</v>
      </c>
      <c r="C3" s="1837" t="s">
        <v>5565</v>
      </c>
      <c r="D3" s="1837" t="s">
        <v>4901</v>
      </c>
      <c r="H3" s="1596"/>
    </row>
    <row r="4" spans="1:8" s="1595" customFormat="1" ht="14.25" customHeight="1">
      <c r="A4" s="1837">
        <v>1</v>
      </c>
      <c r="B4" s="1873" t="s">
        <v>5566</v>
      </c>
      <c r="C4" s="1961" t="s">
        <v>1860</v>
      </c>
      <c r="D4" s="1873"/>
    </row>
    <row r="5" spans="1:8" s="1595" customFormat="1" ht="14.25" customHeight="1">
      <c r="A5" s="1837">
        <v>2</v>
      </c>
      <c r="B5" s="1873" t="s">
        <v>5567</v>
      </c>
      <c r="C5" s="2074">
        <f>金融保险等机构取得涉农利息保费收入优惠审核表!C5</f>
        <v>0</v>
      </c>
      <c r="D5" s="1873"/>
    </row>
    <row r="6" spans="1:8" s="1595" customFormat="1" ht="14.25" customHeight="1">
      <c r="A6" s="1837">
        <v>3</v>
      </c>
      <c r="B6" s="1841" t="s">
        <v>5568</v>
      </c>
      <c r="C6" s="2074">
        <f>金融保险等机构取得涉农利息保费收入优惠审核表!C6</f>
        <v>0</v>
      </c>
      <c r="D6" s="1873"/>
    </row>
    <row r="7" spans="1:8" s="1595" customFormat="1" ht="14.25" customHeight="1">
      <c r="A7" s="1837">
        <v>4</v>
      </c>
      <c r="B7" s="1841" t="s">
        <v>5569</v>
      </c>
      <c r="C7" s="1961" t="s">
        <v>1860</v>
      </c>
      <c r="D7" s="1873"/>
    </row>
    <row r="8" spans="1:8" s="1595" customFormat="1" ht="15.75" customHeight="1">
      <c r="A8" s="1839">
        <v>5</v>
      </c>
      <c r="B8" s="1840" t="s">
        <v>5570</v>
      </c>
      <c r="C8" s="2074">
        <f>金融保险等机构取得涉农利息保费收入优惠审核表!C8</f>
        <v>0</v>
      </c>
      <c r="D8" s="1983"/>
    </row>
    <row r="9" spans="1:8" s="1595" customFormat="1" ht="14.25" customHeight="1">
      <c r="A9" s="1837">
        <v>6</v>
      </c>
      <c r="B9" s="1841" t="s">
        <v>5571</v>
      </c>
      <c r="C9" s="2074">
        <f>金融保险等机构取得涉农利息保费收入优惠审核表!C9</f>
        <v>0</v>
      </c>
      <c r="D9" s="1873"/>
    </row>
    <row r="10" spans="1:8" s="1595" customFormat="1" ht="14.25" customHeight="1">
      <c r="A10" s="1837">
        <v>7</v>
      </c>
      <c r="B10" s="1873" t="s">
        <v>5572</v>
      </c>
      <c r="C10" s="2074">
        <f>金融保险等机构取得涉农利息保费收入优惠审核表!C10</f>
        <v>0</v>
      </c>
      <c r="D10" s="1873"/>
    </row>
    <row r="11" spans="1:8" s="1595" customFormat="1" ht="14.25" customHeight="1">
      <c r="A11" s="1837">
        <v>8</v>
      </c>
      <c r="B11" s="1873" t="s">
        <v>5573</v>
      </c>
      <c r="C11" s="2074">
        <f>金融保险等机构取得涉农利息保费收入优惠审核表!C11</f>
        <v>0</v>
      </c>
      <c r="D11" s="1873"/>
    </row>
    <row r="12" spans="1:8" s="1595" customFormat="1" ht="15.75" customHeight="1">
      <c r="A12" s="1839">
        <v>9</v>
      </c>
      <c r="B12" s="1840" t="s">
        <v>5574</v>
      </c>
      <c r="C12" s="2074">
        <f>金融保险等机构取得涉农利息保费收入优惠审核表!C12</f>
        <v>0</v>
      </c>
      <c r="D12" s="1873"/>
    </row>
    <row r="13" spans="1:8" s="1595" customFormat="1" ht="14.25" customHeight="1">
      <c r="A13" s="1837">
        <v>10</v>
      </c>
      <c r="B13" s="1873" t="s">
        <v>5575</v>
      </c>
      <c r="C13" s="1961" t="s">
        <v>1860</v>
      </c>
      <c r="D13" s="1873"/>
    </row>
    <row r="14" spans="1:8" s="1595" customFormat="1" ht="14.25" customHeight="1">
      <c r="A14" s="1837">
        <v>11</v>
      </c>
      <c r="B14" s="1873" t="s">
        <v>5576</v>
      </c>
      <c r="C14" s="2074">
        <f>金融保险等机构取得涉农利息保费收入优惠审核表!C14</f>
        <v>0</v>
      </c>
      <c r="D14" s="1873"/>
      <c r="E14" s="1675" t="s">
        <v>6463</v>
      </c>
    </row>
    <row r="15" spans="1:8" s="1595" customFormat="1" ht="14.25" customHeight="1">
      <c r="A15" s="1837">
        <v>12</v>
      </c>
      <c r="B15" s="1841" t="s">
        <v>5577</v>
      </c>
      <c r="C15" s="2074">
        <f>金融保险等机构取得涉农利息保费收入优惠审核表!C15</f>
        <v>0</v>
      </c>
      <c r="D15" s="1873"/>
    </row>
    <row r="16" spans="1:8" s="1595" customFormat="1" ht="14.25" customHeight="1">
      <c r="A16" s="1837">
        <v>13</v>
      </c>
      <c r="B16" s="1873" t="s">
        <v>5578</v>
      </c>
      <c r="C16" s="2074">
        <f>金融保险等机构取得涉农利息保费收入优惠审核表!C16</f>
        <v>0</v>
      </c>
      <c r="D16" s="1873" t="s">
        <v>5579</v>
      </c>
    </row>
  </sheetData>
  <mergeCells count="2">
    <mergeCell ref="A1:C1"/>
    <mergeCell ref="A2:C2"/>
  </mergeCells>
  <phoneticPr fontId="51" type="noConversion"/>
  <hyperlinks>
    <hyperlink ref="E14" location="金融保险等机构取得涉农利息保费收入优惠审核表!A1" display="金融保险等机构取得涉农利息保费收入优惠审核表!A1"/>
  </hyperlinks>
  <printOptions horizontalCentered="1"/>
  <pageMargins left="0.78740157480314998" right="0.35433070866141703" top="0.511811023622047" bottom="0.11811023622047198" header="0.511811023622047" footer="0.511811023622047"/>
  <pageSetup paperSize="9" orientation="landscape" r:id="rId1"/>
</worksheet>
</file>

<file path=xl/worksheets/sheet14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43">
    <tabColor rgb="FFFFFF00"/>
  </sheetPr>
  <dimension ref="A1:X15"/>
  <sheetViews>
    <sheetView topLeftCell="A5" workbookViewId="0">
      <selection activeCell="C15" sqref="C15"/>
    </sheetView>
  </sheetViews>
  <sheetFormatPr defaultRowHeight="15.6"/>
  <cols>
    <col min="1" max="1" width="5.69921875" style="1598" customWidth="1"/>
    <col min="2" max="2" width="12.19921875" style="1598" customWidth="1"/>
    <col min="3" max="20" width="10.5" style="1598" customWidth="1"/>
    <col min="21" max="256" width="9" style="1598"/>
    <col min="257" max="257" width="5.69921875" style="1598" customWidth="1"/>
    <col min="258" max="258" width="4.59765625" style="1598" customWidth="1"/>
    <col min="259" max="259" width="5.09765625" style="1598" customWidth="1"/>
    <col min="260" max="260" width="5" style="1598" customWidth="1"/>
    <col min="261" max="261" width="5.09765625" style="1598" customWidth="1"/>
    <col min="262" max="262" width="4.69921875" style="1598" customWidth="1"/>
    <col min="263" max="265" width="6.09765625" style="1598" customWidth="1"/>
    <col min="266" max="266" width="5.09765625" style="1598" customWidth="1"/>
    <col min="267" max="267" width="4.09765625" style="1598" customWidth="1"/>
    <col min="268" max="276" width="6.09765625" style="1598" customWidth="1"/>
    <col min="277" max="512" width="9" style="1598"/>
    <col min="513" max="513" width="5.69921875" style="1598" customWidth="1"/>
    <col min="514" max="514" width="4.59765625" style="1598" customWidth="1"/>
    <col min="515" max="515" width="5.09765625" style="1598" customWidth="1"/>
    <col min="516" max="516" width="5" style="1598" customWidth="1"/>
    <col min="517" max="517" width="5.09765625" style="1598" customWidth="1"/>
    <col min="518" max="518" width="4.69921875" style="1598" customWidth="1"/>
    <col min="519" max="521" width="6.09765625" style="1598" customWidth="1"/>
    <col min="522" max="522" width="5.09765625" style="1598" customWidth="1"/>
    <col min="523" max="523" width="4.09765625" style="1598" customWidth="1"/>
    <col min="524" max="532" width="6.09765625" style="1598" customWidth="1"/>
    <col min="533" max="768" width="9" style="1598"/>
    <col min="769" max="769" width="5.69921875" style="1598" customWidth="1"/>
    <col min="770" max="770" width="4.59765625" style="1598" customWidth="1"/>
    <col min="771" max="771" width="5.09765625" style="1598" customWidth="1"/>
    <col min="772" max="772" width="5" style="1598" customWidth="1"/>
    <col min="773" max="773" width="5.09765625" style="1598" customWidth="1"/>
    <col min="774" max="774" width="4.69921875" style="1598" customWidth="1"/>
    <col min="775" max="777" width="6.09765625" style="1598" customWidth="1"/>
    <col min="778" max="778" width="5.09765625" style="1598" customWidth="1"/>
    <col min="779" max="779" width="4.09765625" style="1598" customWidth="1"/>
    <col min="780" max="788" width="6.09765625" style="1598" customWidth="1"/>
    <col min="789" max="1024" width="9" style="1598"/>
    <col min="1025" max="1025" width="5.69921875" style="1598" customWidth="1"/>
    <col min="1026" max="1026" width="4.59765625" style="1598" customWidth="1"/>
    <col min="1027" max="1027" width="5.09765625" style="1598" customWidth="1"/>
    <col min="1028" max="1028" width="5" style="1598" customWidth="1"/>
    <col min="1029" max="1029" width="5.09765625" style="1598" customWidth="1"/>
    <col min="1030" max="1030" width="4.69921875" style="1598" customWidth="1"/>
    <col min="1031" max="1033" width="6.09765625" style="1598" customWidth="1"/>
    <col min="1034" max="1034" width="5.09765625" style="1598" customWidth="1"/>
    <col min="1035" max="1035" width="4.09765625" style="1598" customWidth="1"/>
    <col min="1036" max="1044" width="6.09765625" style="1598" customWidth="1"/>
    <col min="1045" max="1280" width="9" style="1598"/>
    <col min="1281" max="1281" width="5.69921875" style="1598" customWidth="1"/>
    <col min="1282" max="1282" width="4.59765625" style="1598" customWidth="1"/>
    <col min="1283" max="1283" width="5.09765625" style="1598" customWidth="1"/>
    <col min="1284" max="1284" width="5" style="1598" customWidth="1"/>
    <col min="1285" max="1285" width="5.09765625" style="1598" customWidth="1"/>
    <col min="1286" max="1286" width="4.69921875" style="1598" customWidth="1"/>
    <col min="1287" max="1289" width="6.09765625" style="1598" customWidth="1"/>
    <col min="1290" max="1290" width="5.09765625" style="1598" customWidth="1"/>
    <col min="1291" max="1291" width="4.09765625" style="1598" customWidth="1"/>
    <col min="1292" max="1300" width="6.09765625" style="1598" customWidth="1"/>
    <col min="1301" max="1536" width="9" style="1598"/>
    <col min="1537" max="1537" width="5.69921875" style="1598" customWidth="1"/>
    <col min="1538" max="1538" width="4.59765625" style="1598" customWidth="1"/>
    <col min="1539" max="1539" width="5.09765625" style="1598" customWidth="1"/>
    <col min="1540" max="1540" width="5" style="1598" customWidth="1"/>
    <col min="1541" max="1541" width="5.09765625" style="1598" customWidth="1"/>
    <col min="1542" max="1542" width="4.69921875" style="1598" customWidth="1"/>
    <col min="1543" max="1545" width="6.09765625" style="1598" customWidth="1"/>
    <col min="1546" max="1546" width="5.09765625" style="1598" customWidth="1"/>
    <col min="1547" max="1547" width="4.09765625" style="1598" customWidth="1"/>
    <col min="1548" max="1556" width="6.09765625" style="1598" customWidth="1"/>
    <col min="1557" max="1792" width="9" style="1598"/>
    <col min="1793" max="1793" width="5.69921875" style="1598" customWidth="1"/>
    <col min="1794" max="1794" width="4.59765625" style="1598" customWidth="1"/>
    <col min="1795" max="1795" width="5.09765625" style="1598" customWidth="1"/>
    <col min="1796" max="1796" width="5" style="1598" customWidth="1"/>
    <col min="1797" max="1797" width="5.09765625" style="1598" customWidth="1"/>
    <col min="1798" max="1798" width="4.69921875" style="1598" customWidth="1"/>
    <col min="1799" max="1801" width="6.09765625" style="1598" customWidth="1"/>
    <col min="1802" max="1802" width="5.09765625" style="1598" customWidth="1"/>
    <col min="1803" max="1803" width="4.09765625" style="1598" customWidth="1"/>
    <col min="1804" max="1812" width="6.09765625" style="1598" customWidth="1"/>
    <col min="1813" max="2048" width="9" style="1598"/>
    <col min="2049" max="2049" width="5.69921875" style="1598" customWidth="1"/>
    <col min="2050" max="2050" width="4.59765625" style="1598" customWidth="1"/>
    <col min="2051" max="2051" width="5.09765625" style="1598" customWidth="1"/>
    <col min="2052" max="2052" width="5" style="1598" customWidth="1"/>
    <col min="2053" max="2053" width="5.09765625" style="1598" customWidth="1"/>
    <col min="2054" max="2054" width="4.69921875" style="1598" customWidth="1"/>
    <col min="2055" max="2057" width="6.09765625" style="1598" customWidth="1"/>
    <col min="2058" max="2058" width="5.09765625" style="1598" customWidth="1"/>
    <col min="2059" max="2059" width="4.09765625" style="1598" customWidth="1"/>
    <col min="2060" max="2068" width="6.09765625" style="1598" customWidth="1"/>
    <col min="2069" max="2304" width="9" style="1598"/>
    <col min="2305" max="2305" width="5.69921875" style="1598" customWidth="1"/>
    <col min="2306" max="2306" width="4.59765625" style="1598" customWidth="1"/>
    <col min="2307" max="2307" width="5.09765625" style="1598" customWidth="1"/>
    <col min="2308" max="2308" width="5" style="1598" customWidth="1"/>
    <col min="2309" max="2309" width="5.09765625" style="1598" customWidth="1"/>
    <col min="2310" max="2310" width="4.69921875" style="1598" customWidth="1"/>
    <col min="2311" max="2313" width="6.09765625" style="1598" customWidth="1"/>
    <col min="2314" max="2314" width="5.09765625" style="1598" customWidth="1"/>
    <col min="2315" max="2315" width="4.09765625" style="1598" customWidth="1"/>
    <col min="2316" max="2324" width="6.09765625" style="1598" customWidth="1"/>
    <col min="2325" max="2560" width="9" style="1598"/>
    <col min="2561" max="2561" width="5.69921875" style="1598" customWidth="1"/>
    <col min="2562" max="2562" width="4.59765625" style="1598" customWidth="1"/>
    <col min="2563" max="2563" width="5.09765625" style="1598" customWidth="1"/>
    <col min="2564" max="2564" width="5" style="1598" customWidth="1"/>
    <col min="2565" max="2565" width="5.09765625" style="1598" customWidth="1"/>
    <col min="2566" max="2566" width="4.69921875" style="1598" customWidth="1"/>
    <col min="2567" max="2569" width="6.09765625" style="1598" customWidth="1"/>
    <col min="2570" max="2570" width="5.09765625" style="1598" customWidth="1"/>
    <col min="2571" max="2571" width="4.09765625" style="1598" customWidth="1"/>
    <col min="2572" max="2580" width="6.09765625" style="1598" customWidth="1"/>
    <col min="2581" max="2816" width="9" style="1598"/>
    <col min="2817" max="2817" width="5.69921875" style="1598" customWidth="1"/>
    <col min="2818" max="2818" width="4.59765625" style="1598" customWidth="1"/>
    <col min="2819" max="2819" width="5.09765625" style="1598" customWidth="1"/>
    <col min="2820" max="2820" width="5" style="1598" customWidth="1"/>
    <col min="2821" max="2821" width="5.09765625" style="1598" customWidth="1"/>
    <col min="2822" max="2822" width="4.69921875" style="1598" customWidth="1"/>
    <col min="2823" max="2825" width="6.09765625" style="1598" customWidth="1"/>
    <col min="2826" max="2826" width="5.09765625" style="1598" customWidth="1"/>
    <col min="2827" max="2827" width="4.09765625" style="1598" customWidth="1"/>
    <col min="2828" max="2836" width="6.09765625" style="1598" customWidth="1"/>
    <col min="2837" max="3072" width="9" style="1598"/>
    <col min="3073" max="3073" width="5.69921875" style="1598" customWidth="1"/>
    <col min="3074" max="3074" width="4.59765625" style="1598" customWidth="1"/>
    <col min="3075" max="3075" width="5.09765625" style="1598" customWidth="1"/>
    <col min="3076" max="3076" width="5" style="1598" customWidth="1"/>
    <col min="3077" max="3077" width="5.09765625" style="1598" customWidth="1"/>
    <col min="3078" max="3078" width="4.69921875" style="1598" customWidth="1"/>
    <col min="3079" max="3081" width="6.09765625" style="1598" customWidth="1"/>
    <col min="3082" max="3082" width="5.09765625" style="1598" customWidth="1"/>
    <col min="3083" max="3083" width="4.09765625" style="1598" customWidth="1"/>
    <col min="3084" max="3092" width="6.09765625" style="1598" customWidth="1"/>
    <col min="3093" max="3328" width="9" style="1598"/>
    <col min="3329" max="3329" width="5.69921875" style="1598" customWidth="1"/>
    <col min="3330" max="3330" width="4.59765625" style="1598" customWidth="1"/>
    <col min="3331" max="3331" width="5.09765625" style="1598" customWidth="1"/>
    <col min="3332" max="3332" width="5" style="1598" customWidth="1"/>
    <col min="3333" max="3333" width="5.09765625" style="1598" customWidth="1"/>
    <col min="3334" max="3334" width="4.69921875" style="1598" customWidth="1"/>
    <col min="3335" max="3337" width="6.09765625" style="1598" customWidth="1"/>
    <col min="3338" max="3338" width="5.09765625" style="1598" customWidth="1"/>
    <col min="3339" max="3339" width="4.09765625" style="1598" customWidth="1"/>
    <col min="3340" max="3348" width="6.09765625" style="1598" customWidth="1"/>
    <col min="3349" max="3584" width="9" style="1598"/>
    <col min="3585" max="3585" width="5.69921875" style="1598" customWidth="1"/>
    <col min="3586" max="3586" width="4.59765625" style="1598" customWidth="1"/>
    <col min="3587" max="3587" width="5.09765625" style="1598" customWidth="1"/>
    <col min="3588" max="3588" width="5" style="1598" customWidth="1"/>
    <col min="3589" max="3589" width="5.09765625" style="1598" customWidth="1"/>
    <col min="3590" max="3590" width="4.69921875" style="1598" customWidth="1"/>
    <col min="3591" max="3593" width="6.09765625" style="1598" customWidth="1"/>
    <col min="3594" max="3594" width="5.09765625" style="1598" customWidth="1"/>
    <col min="3595" max="3595" width="4.09765625" style="1598" customWidth="1"/>
    <col min="3596" max="3604" width="6.09765625" style="1598" customWidth="1"/>
    <col min="3605" max="3840" width="9" style="1598"/>
    <col min="3841" max="3841" width="5.69921875" style="1598" customWidth="1"/>
    <col min="3842" max="3842" width="4.59765625" style="1598" customWidth="1"/>
    <col min="3843" max="3843" width="5.09765625" style="1598" customWidth="1"/>
    <col min="3844" max="3844" width="5" style="1598" customWidth="1"/>
    <col min="3845" max="3845" width="5.09765625" style="1598" customWidth="1"/>
    <col min="3846" max="3846" width="4.69921875" style="1598" customWidth="1"/>
    <col min="3847" max="3849" width="6.09765625" style="1598" customWidth="1"/>
    <col min="3850" max="3850" width="5.09765625" style="1598" customWidth="1"/>
    <col min="3851" max="3851" width="4.09765625" style="1598" customWidth="1"/>
    <col min="3852" max="3860" width="6.09765625" style="1598" customWidth="1"/>
    <col min="3861" max="4096" width="9" style="1598"/>
    <col min="4097" max="4097" width="5.69921875" style="1598" customWidth="1"/>
    <col min="4098" max="4098" width="4.59765625" style="1598" customWidth="1"/>
    <col min="4099" max="4099" width="5.09765625" style="1598" customWidth="1"/>
    <col min="4100" max="4100" width="5" style="1598" customWidth="1"/>
    <col min="4101" max="4101" width="5.09765625" style="1598" customWidth="1"/>
    <col min="4102" max="4102" width="4.69921875" style="1598" customWidth="1"/>
    <col min="4103" max="4105" width="6.09765625" style="1598" customWidth="1"/>
    <col min="4106" max="4106" width="5.09765625" style="1598" customWidth="1"/>
    <col min="4107" max="4107" width="4.09765625" style="1598" customWidth="1"/>
    <col min="4108" max="4116" width="6.09765625" style="1598" customWidth="1"/>
    <col min="4117" max="4352" width="9" style="1598"/>
    <col min="4353" max="4353" width="5.69921875" style="1598" customWidth="1"/>
    <col min="4354" max="4354" width="4.59765625" style="1598" customWidth="1"/>
    <col min="4355" max="4355" width="5.09765625" style="1598" customWidth="1"/>
    <col min="4356" max="4356" width="5" style="1598" customWidth="1"/>
    <col min="4357" max="4357" width="5.09765625" style="1598" customWidth="1"/>
    <col min="4358" max="4358" width="4.69921875" style="1598" customWidth="1"/>
    <col min="4359" max="4361" width="6.09765625" style="1598" customWidth="1"/>
    <col min="4362" max="4362" width="5.09765625" style="1598" customWidth="1"/>
    <col min="4363" max="4363" width="4.09765625" style="1598" customWidth="1"/>
    <col min="4364" max="4372" width="6.09765625" style="1598" customWidth="1"/>
    <col min="4373" max="4608" width="9" style="1598"/>
    <col min="4609" max="4609" width="5.69921875" style="1598" customWidth="1"/>
    <col min="4610" max="4610" width="4.59765625" style="1598" customWidth="1"/>
    <col min="4611" max="4611" width="5.09765625" style="1598" customWidth="1"/>
    <col min="4612" max="4612" width="5" style="1598" customWidth="1"/>
    <col min="4613" max="4613" width="5.09765625" style="1598" customWidth="1"/>
    <col min="4614" max="4614" width="4.69921875" style="1598" customWidth="1"/>
    <col min="4615" max="4617" width="6.09765625" style="1598" customWidth="1"/>
    <col min="4618" max="4618" width="5.09765625" style="1598" customWidth="1"/>
    <col min="4619" max="4619" width="4.09765625" style="1598" customWidth="1"/>
    <col min="4620" max="4628" width="6.09765625" style="1598" customWidth="1"/>
    <col min="4629" max="4864" width="9" style="1598"/>
    <col min="4865" max="4865" width="5.69921875" style="1598" customWidth="1"/>
    <col min="4866" max="4866" width="4.59765625" style="1598" customWidth="1"/>
    <col min="4867" max="4867" width="5.09765625" style="1598" customWidth="1"/>
    <col min="4868" max="4868" width="5" style="1598" customWidth="1"/>
    <col min="4869" max="4869" width="5.09765625" style="1598" customWidth="1"/>
    <col min="4870" max="4870" width="4.69921875" style="1598" customWidth="1"/>
    <col min="4871" max="4873" width="6.09765625" style="1598" customWidth="1"/>
    <col min="4874" max="4874" width="5.09765625" style="1598" customWidth="1"/>
    <col min="4875" max="4875" width="4.09765625" style="1598" customWidth="1"/>
    <col min="4876" max="4884" width="6.09765625" style="1598" customWidth="1"/>
    <col min="4885" max="5120" width="9" style="1598"/>
    <col min="5121" max="5121" width="5.69921875" style="1598" customWidth="1"/>
    <col min="5122" max="5122" width="4.59765625" style="1598" customWidth="1"/>
    <col min="5123" max="5123" width="5.09765625" style="1598" customWidth="1"/>
    <col min="5124" max="5124" width="5" style="1598" customWidth="1"/>
    <col min="5125" max="5125" width="5.09765625" style="1598" customWidth="1"/>
    <col min="5126" max="5126" width="4.69921875" style="1598" customWidth="1"/>
    <col min="5127" max="5129" width="6.09765625" style="1598" customWidth="1"/>
    <col min="5130" max="5130" width="5.09765625" style="1598" customWidth="1"/>
    <col min="5131" max="5131" width="4.09765625" style="1598" customWidth="1"/>
    <col min="5132" max="5140" width="6.09765625" style="1598" customWidth="1"/>
    <col min="5141" max="5376" width="9" style="1598"/>
    <col min="5377" max="5377" width="5.69921875" style="1598" customWidth="1"/>
    <col min="5378" max="5378" width="4.59765625" style="1598" customWidth="1"/>
    <col min="5379" max="5379" width="5.09765625" style="1598" customWidth="1"/>
    <col min="5380" max="5380" width="5" style="1598" customWidth="1"/>
    <col min="5381" max="5381" width="5.09765625" style="1598" customWidth="1"/>
    <col min="5382" max="5382" width="4.69921875" style="1598" customWidth="1"/>
    <col min="5383" max="5385" width="6.09765625" style="1598" customWidth="1"/>
    <col min="5386" max="5386" width="5.09765625" style="1598" customWidth="1"/>
    <col min="5387" max="5387" width="4.09765625" style="1598" customWidth="1"/>
    <col min="5388" max="5396" width="6.09765625" style="1598" customWidth="1"/>
    <col min="5397" max="5632" width="9" style="1598"/>
    <col min="5633" max="5633" width="5.69921875" style="1598" customWidth="1"/>
    <col min="5634" max="5634" width="4.59765625" style="1598" customWidth="1"/>
    <col min="5635" max="5635" width="5.09765625" style="1598" customWidth="1"/>
    <col min="5636" max="5636" width="5" style="1598" customWidth="1"/>
    <col min="5637" max="5637" width="5.09765625" style="1598" customWidth="1"/>
    <col min="5638" max="5638" width="4.69921875" style="1598" customWidth="1"/>
    <col min="5639" max="5641" width="6.09765625" style="1598" customWidth="1"/>
    <col min="5642" max="5642" width="5.09765625" style="1598" customWidth="1"/>
    <col min="5643" max="5643" width="4.09765625" style="1598" customWidth="1"/>
    <col min="5644" max="5652" width="6.09765625" style="1598" customWidth="1"/>
    <col min="5653" max="5888" width="9" style="1598"/>
    <col min="5889" max="5889" width="5.69921875" style="1598" customWidth="1"/>
    <col min="5890" max="5890" width="4.59765625" style="1598" customWidth="1"/>
    <col min="5891" max="5891" width="5.09765625" style="1598" customWidth="1"/>
    <col min="5892" max="5892" width="5" style="1598" customWidth="1"/>
    <col min="5893" max="5893" width="5.09765625" style="1598" customWidth="1"/>
    <col min="5894" max="5894" width="4.69921875" style="1598" customWidth="1"/>
    <col min="5895" max="5897" width="6.09765625" style="1598" customWidth="1"/>
    <col min="5898" max="5898" width="5.09765625" style="1598" customWidth="1"/>
    <col min="5899" max="5899" width="4.09765625" style="1598" customWidth="1"/>
    <col min="5900" max="5908" width="6.09765625" style="1598" customWidth="1"/>
    <col min="5909" max="6144" width="9" style="1598"/>
    <col min="6145" max="6145" width="5.69921875" style="1598" customWidth="1"/>
    <col min="6146" max="6146" width="4.59765625" style="1598" customWidth="1"/>
    <col min="6147" max="6147" width="5.09765625" style="1598" customWidth="1"/>
    <col min="6148" max="6148" width="5" style="1598" customWidth="1"/>
    <col min="6149" max="6149" width="5.09765625" style="1598" customWidth="1"/>
    <col min="6150" max="6150" width="4.69921875" style="1598" customWidth="1"/>
    <col min="6151" max="6153" width="6.09765625" style="1598" customWidth="1"/>
    <col min="6154" max="6154" width="5.09765625" style="1598" customWidth="1"/>
    <col min="6155" max="6155" width="4.09765625" style="1598" customWidth="1"/>
    <col min="6156" max="6164" width="6.09765625" style="1598" customWidth="1"/>
    <col min="6165" max="6400" width="9" style="1598"/>
    <col min="6401" max="6401" width="5.69921875" style="1598" customWidth="1"/>
    <col min="6402" max="6402" width="4.59765625" style="1598" customWidth="1"/>
    <col min="6403" max="6403" width="5.09765625" style="1598" customWidth="1"/>
    <col min="6404" max="6404" width="5" style="1598" customWidth="1"/>
    <col min="6405" max="6405" width="5.09765625" style="1598" customWidth="1"/>
    <col min="6406" max="6406" width="4.69921875" style="1598" customWidth="1"/>
    <col min="6407" max="6409" width="6.09765625" style="1598" customWidth="1"/>
    <col min="6410" max="6410" width="5.09765625" style="1598" customWidth="1"/>
    <col min="6411" max="6411" width="4.09765625" style="1598" customWidth="1"/>
    <col min="6412" max="6420" width="6.09765625" style="1598" customWidth="1"/>
    <col min="6421" max="6656" width="9" style="1598"/>
    <col min="6657" max="6657" width="5.69921875" style="1598" customWidth="1"/>
    <col min="6658" max="6658" width="4.59765625" style="1598" customWidth="1"/>
    <col min="6659" max="6659" width="5.09765625" style="1598" customWidth="1"/>
    <col min="6660" max="6660" width="5" style="1598" customWidth="1"/>
    <col min="6661" max="6661" width="5.09765625" style="1598" customWidth="1"/>
    <col min="6662" max="6662" width="4.69921875" style="1598" customWidth="1"/>
    <col min="6663" max="6665" width="6.09765625" style="1598" customWidth="1"/>
    <col min="6666" max="6666" width="5.09765625" style="1598" customWidth="1"/>
    <col min="6667" max="6667" width="4.09765625" style="1598" customWidth="1"/>
    <col min="6668" max="6676" width="6.09765625" style="1598" customWidth="1"/>
    <col min="6677" max="6912" width="9" style="1598"/>
    <col min="6913" max="6913" width="5.69921875" style="1598" customWidth="1"/>
    <col min="6914" max="6914" width="4.59765625" style="1598" customWidth="1"/>
    <col min="6915" max="6915" width="5.09765625" style="1598" customWidth="1"/>
    <col min="6916" max="6916" width="5" style="1598" customWidth="1"/>
    <col min="6917" max="6917" width="5.09765625" style="1598" customWidth="1"/>
    <col min="6918" max="6918" width="4.69921875" style="1598" customWidth="1"/>
    <col min="6919" max="6921" width="6.09765625" style="1598" customWidth="1"/>
    <col min="6922" max="6922" width="5.09765625" style="1598" customWidth="1"/>
    <col min="6923" max="6923" width="4.09765625" style="1598" customWidth="1"/>
    <col min="6924" max="6932" width="6.09765625" style="1598" customWidth="1"/>
    <col min="6933" max="7168" width="9" style="1598"/>
    <col min="7169" max="7169" width="5.69921875" style="1598" customWidth="1"/>
    <col min="7170" max="7170" width="4.59765625" style="1598" customWidth="1"/>
    <col min="7171" max="7171" width="5.09765625" style="1598" customWidth="1"/>
    <col min="7172" max="7172" width="5" style="1598" customWidth="1"/>
    <col min="7173" max="7173" width="5.09765625" style="1598" customWidth="1"/>
    <col min="7174" max="7174" width="4.69921875" style="1598" customWidth="1"/>
    <col min="7175" max="7177" width="6.09765625" style="1598" customWidth="1"/>
    <col min="7178" max="7178" width="5.09765625" style="1598" customWidth="1"/>
    <col min="7179" max="7179" width="4.09765625" style="1598" customWidth="1"/>
    <col min="7180" max="7188" width="6.09765625" style="1598" customWidth="1"/>
    <col min="7189" max="7424" width="9" style="1598"/>
    <col min="7425" max="7425" width="5.69921875" style="1598" customWidth="1"/>
    <col min="7426" max="7426" width="4.59765625" style="1598" customWidth="1"/>
    <col min="7427" max="7427" width="5.09765625" style="1598" customWidth="1"/>
    <col min="7428" max="7428" width="5" style="1598" customWidth="1"/>
    <col min="7429" max="7429" width="5.09765625" style="1598" customWidth="1"/>
    <col min="7430" max="7430" width="4.69921875" style="1598" customWidth="1"/>
    <col min="7431" max="7433" width="6.09765625" style="1598" customWidth="1"/>
    <col min="7434" max="7434" width="5.09765625" style="1598" customWidth="1"/>
    <col min="7435" max="7435" width="4.09765625" style="1598" customWidth="1"/>
    <col min="7436" max="7444" width="6.09765625" style="1598" customWidth="1"/>
    <col min="7445" max="7680" width="9" style="1598"/>
    <col min="7681" max="7681" width="5.69921875" style="1598" customWidth="1"/>
    <col min="7682" max="7682" width="4.59765625" style="1598" customWidth="1"/>
    <col min="7683" max="7683" width="5.09765625" style="1598" customWidth="1"/>
    <col min="7684" max="7684" width="5" style="1598" customWidth="1"/>
    <col min="7685" max="7685" width="5.09765625" style="1598" customWidth="1"/>
    <col min="7686" max="7686" width="4.69921875" style="1598" customWidth="1"/>
    <col min="7687" max="7689" width="6.09765625" style="1598" customWidth="1"/>
    <col min="7690" max="7690" width="5.09765625" style="1598" customWidth="1"/>
    <col min="7691" max="7691" width="4.09765625" style="1598" customWidth="1"/>
    <col min="7692" max="7700" width="6.09765625" style="1598" customWidth="1"/>
    <col min="7701" max="7936" width="9" style="1598"/>
    <col min="7937" max="7937" width="5.69921875" style="1598" customWidth="1"/>
    <col min="7938" max="7938" width="4.59765625" style="1598" customWidth="1"/>
    <col min="7939" max="7939" width="5.09765625" style="1598" customWidth="1"/>
    <col min="7940" max="7940" width="5" style="1598" customWidth="1"/>
    <col min="7941" max="7941" width="5.09765625" style="1598" customWidth="1"/>
    <col min="7942" max="7942" width="4.69921875" style="1598" customWidth="1"/>
    <col min="7943" max="7945" width="6.09765625" style="1598" customWidth="1"/>
    <col min="7946" max="7946" width="5.09765625" style="1598" customWidth="1"/>
    <col min="7947" max="7947" width="4.09765625" style="1598" customWidth="1"/>
    <col min="7948" max="7956" width="6.09765625" style="1598" customWidth="1"/>
    <col min="7957" max="8192" width="9" style="1598"/>
    <col min="8193" max="8193" width="5.69921875" style="1598" customWidth="1"/>
    <col min="8194" max="8194" width="4.59765625" style="1598" customWidth="1"/>
    <col min="8195" max="8195" width="5.09765625" style="1598" customWidth="1"/>
    <col min="8196" max="8196" width="5" style="1598" customWidth="1"/>
    <col min="8197" max="8197" width="5.09765625" style="1598" customWidth="1"/>
    <col min="8198" max="8198" width="4.69921875" style="1598" customWidth="1"/>
    <col min="8199" max="8201" width="6.09765625" style="1598" customWidth="1"/>
    <col min="8202" max="8202" width="5.09765625" style="1598" customWidth="1"/>
    <col min="8203" max="8203" width="4.09765625" style="1598" customWidth="1"/>
    <col min="8204" max="8212" width="6.09765625" style="1598" customWidth="1"/>
    <col min="8213" max="8448" width="9" style="1598"/>
    <col min="8449" max="8449" width="5.69921875" style="1598" customWidth="1"/>
    <col min="8450" max="8450" width="4.59765625" style="1598" customWidth="1"/>
    <col min="8451" max="8451" width="5.09765625" style="1598" customWidth="1"/>
    <col min="8452" max="8452" width="5" style="1598" customWidth="1"/>
    <col min="8453" max="8453" width="5.09765625" style="1598" customWidth="1"/>
    <col min="8454" max="8454" width="4.69921875" style="1598" customWidth="1"/>
    <col min="8455" max="8457" width="6.09765625" style="1598" customWidth="1"/>
    <col min="8458" max="8458" width="5.09765625" style="1598" customWidth="1"/>
    <col min="8459" max="8459" width="4.09765625" style="1598" customWidth="1"/>
    <col min="8460" max="8468" width="6.09765625" style="1598" customWidth="1"/>
    <col min="8469" max="8704" width="9" style="1598"/>
    <col min="8705" max="8705" width="5.69921875" style="1598" customWidth="1"/>
    <col min="8706" max="8706" width="4.59765625" style="1598" customWidth="1"/>
    <col min="8707" max="8707" width="5.09765625" style="1598" customWidth="1"/>
    <col min="8708" max="8708" width="5" style="1598" customWidth="1"/>
    <col min="8709" max="8709" width="5.09765625" style="1598" customWidth="1"/>
    <col min="8710" max="8710" width="4.69921875" style="1598" customWidth="1"/>
    <col min="8711" max="8713" width="6.09765625" style="1598" customWidth="1"/>
    <col min="8714" max="8714" width="5.09765625" style="1598" customWidth="1"/>
    <col min="8715" max="8715" width="4.09765625" style="1598" customWidth="1"/>
    <col min="8716" max="8724" width="6.09765625" style="1598" customWidth="1"/>
    <col min="8725" max="8960" width="9" style="1598"/>
    <col min="8961" max="8961" width="5.69921875" style="1598" customWidth="1"/>
    <col min="8962" max="8962" width="4.59765625" style="1598" customWidth="1"/>
    <col min="8963" max="8963" width="5.09765625" style="1598" customWidth="1"/>
    <col min="8964" max="8964" width="5" style="1598" customWidth="1"/>
    <col min="8965" max="8965" width="5.09765625" style="1598" customWidth="1"/>
    <col min="8966" max="8966" width="4.69921875" style="1598" customWidth="1"/>
    <col min="8967" max="8969" width="6.09765625" style="1598" customWidth="1"/>
    <col min="8970" max="8970" width="5.09765625" style="1598" customWidth="1"/>
    <col min="8971" max="8971" width="4.09765625" style="1598" customWidth="1"/>
    <col min="8972" max="8980" width="6.09765625" style="1598" customWidth="1"/>
    <col min="8981" max="9216" width="9" style="1598"/>
    <col min="9217" max="9217" width="5.69921875" style="1598" customWidth="1"/>
    <col min="9218" max="9218" width="4.59765625" style="1598" customWidth="1"/>
    <col min="9219" max="9219" width="5.09765625" style="1598" customWidth="1"/>
    <col min="9220" max="9220" width="5" style="1598" customWidth="1"/>
    <col min="9221" max="9221" width="5.09765625" style="1598" customWidth="1"/>
    <col min="9222" max="9222" width="4.69921875" style="1598" customWidth="1"/>
    <col min="9223" max="9225" width="6.09765625" style="1598" customWidth="1"/>
    <col min="9226" max="9226" width="5.09765625" style="1598" customWidth="1"/>
    <col min="9227" max="9227" width="4.09765625" style="1598" customWidth="1"/>
    <col min="9228" max="9236" width="6.09765625" style="1598" customWidth="1"/>
    <col min="9237" max="9472" width="9" style="1598"/>
    <col min="9473" max="9473" width="5.69921875" style="1598" customWidth="1"/>
    <col min="9474" max="9474" width="4.59765625" style="1598" customWidth="1"/>
    <col min="9475" max="9475" width="5.09765625" style="1598" customWidth="1"/>
    <col min="9476" max="9476" width="5" style="1598" customWidth="1"/>
    <col min="9477" max="9477" width="5.09765625" style="1598" customWidth="1"/>
    <col min="9478" max="9478" width="4.69921875" style="1598" customWidth="1"/>
    <col min="9479" max="9481" width="6.09765625" style="1598" customWidth="1"/>
    <col min="9482" max="9482" width="5.09765625" style="1598" customWidth="1"/>
    <col min="9483" max="9483" width="4.09765625" style="1598" customWidth="1"/>
    <col min="9484" max="9492" width="6.09765625" style="1598" customWidth="1"/>
    <col min="9493" max="9728" width="9" style="1598"/>
    <col min="9729" max="9729" width="5.69921875" style="1598" customWidth="1"/>
    <col min="9730" max="9730" width="4.59765625" style="1598" customWidth="1"/>
    <col min="9731" max="9731" width="5.09765625" style="1598" customWidth="1"/>
    <col min="9732" max="9732" width="5" style="1598" customWidth="1"/>
    <col min="9733" max="9733" width="5.09765625" style="1598" customWidth="1"/>
    <col min="9734" max="9734" width="4.69921875" style="1598" customWidth="1"/>
    <col min="9735" max="9737" width="6.09765625" style="1598" customWidth="1"/>
    <col min="9738" max="9738" width="5.09765625" style="1598" customWidth="1"/>
    <col min="9739" max="9739" width="4.09765625" style="1598" customWidth="1"/>
    <col min="9740" max="9748" width="6.09765625" style="1598" customWidth="1"/>
    <col min="9749" max="9984" width="9" style="1598"/>
    <col min="9985" max="9985" width="5.69921875" style="1598" customWidth="1"/>
    <col min="9986" max="9986" width="4.59765625" style="1598" customWidth="1"/>
    <col min="9987" max="9987" width="5.09765625" style="1598" customWidth="1"/>
    <col min="9988" max="9988" width="5" style="1598" customWidth="1"/>
    <col min="9989" max="9989" width="5.09765625" style="1598" customWidth="1"/>
    <col min="9990" max="9990" width="4.69921875" style="1598" customWidth="1"/>
    <col min="9991" max="9993" width="6.09765625" style="1598" customWidth="1"/>
    <col min="9994" max="9994" width="5.09765625" style="1598" customWidth="1"/>
    <col min="9995" max="9995" width="4.09765625" style="1598" customWidth="1"/>
    <col min="9996" max="10004" width="6.09765625" style="1598" customWidth="1"/>
    <col min="10005" max="10240" width="9" style="1598"/>
    <col min="10241" max="10241" width="5.69921875" style="1598" customWidth="1"/>
    <col min="10242" max="10242" width="4.59765625" style="1598" customWidth="1"/>
    <col min="10243" max="10243" width="5.09765625" style="1598" customWidth="1"/>
    <col min="10244" max="10244" width="5" style="1598" customWidth="1"/>
    <col min="10245" max="10245" width="5.09765625" style="1598" customWidth="1"/>
    <col min="10246" max="10246" width="4.69921875" style="1598" customWidth="1"/>
    <col min="10247" max="10249" width="6.09765625" style="1598" customWidth="1"/>
    <col min="10250" max="10250" width="5.09765625" style="1598" customWidth="1"/>
    <col min="10251" max="10251" width="4.09765625" style="1598" customWidth="1"/>
    <col min="10252" max="10260" width="6.09765625" style="1598" customWidth="1"/>
    <col min="10261" max="10496" width="9" style="1598"/>
    <col min="10497" max="10497" width="5.69921875" style="1598" customWidth="1"/>
    <col min="10498" max="10498" width="4.59765625" style="1598" customWidth="1"/>
    <col min="10499" max="10499" width="5.09765625" style="1598" customWidth="1"/>
    <col min="10500" max="10500" width="5" style="1598" customWidth="1"/>
    <col min="10501" max="10501" width="5.09765625" style="1598" customWidth="1"/>
    <col min="10502" max="10502" width="4.69921875" style="1598" customWidth="1"/>
    <col min="10503" max="10505" width="6.09765625" style="1598" customWidth="1"/>
    <col min="10506" max="10506" width="5.09765625" style="1598" customWidth="1"/>
    <col min="10507" max="10507" width="4.09765625" style="1598" customWidth="1"/>
    <col min="10508" max="10516" width="6.09765625" style="1598" customWidth="1"/>
    <col min="10517" max="10752" width="9" style="1598"/>
    <col min="10753" max="10753" width="5.69921875" style="1598" customWidth="1"/>
    <col min="10754" max="10754" width="4.59765625" style="1598" customWidth="1"/>
    <col min="10755" max="10755" width="5.09765625" style="1598" customWidth="1"/>
    <col min="10756" max="10756" width="5" style="1598" customWidth="1"/>
    <col min="10757" max="10757" width="5.09765625" style="1598" customWidth="1"/>
    <col min="10758" max="10758" width="4.69921875" style="1598" customWidth="1"/>
    <col min="10759" max="10761" width="6.09765625" style="1598" customWidth="1"/>
    <col min="10762" max="10762" width="5.09765625" style="1598" customWidth="1"/>
    <col min="10763" max="10763" width="4.09765625" style="1598" customWidth="1"/>
    <col min="10764" max="10772" width="6.09765625" style="1598" customWidth="1"/>
    <col min="10773" max="11008" width="9" style="1598"/>
    <col min="11009" max="11009" width="5.69921875" style="1598" customWidth="1"/>
    <col min="11010" max="11010" width="4.59765625" style="1598" customWidth="1"/>
    <col min="11011" max="11011" width="5.09765625" style="1598" customWidth="1"/>
    <col min="11012" max="11012" width="5" style="1598" customWidth="1"/>
    <col min="11013" max="11013" width="5.09765625" style="1598" customWidth="1"/>
    <col min="11014" max="11014" width="4.69921875" style="1598" customWidth="1"/>
    <col min="11015" max="11017" width="6.09765625" style="1598" customWidth="1"/>
    <col min="11018" max="11018" width="5.09765625" style="1598" customWidth="1"/>
    <col min="11019" max="11019" width="4.09765625" style="1598" customWidth="1"/>
    <col min="11020" max="11028" width="6.09765625" style="1598" customWidth="1"/>
    <col min="11029" max="11264" width="9" style="1598"/>
    <col min="11265" max="11265" width="5.69921875" style="1598" customWidth="1"/>
    <col min="11266" max="11266" width="4.59765625" style="1598" customWidth="1"/>
    <col min="11267" max="11267" width="5.09765625" style="1598" customWidth="1"/>
    <col min="11268" max="11268" width="5" style="1598" customWidth="1"/>
    <col min="11269" max="11269" width="5.09765625" style="1598" customWidth="1"/>
    <col min="11270" max="11270" width="4.69921875" style="1598" customWidth="1"/>
    <col min="11271" max="11273" width="6.09765625" style="1598" customWidth="1"/>
    <col min="11274" max="11274" width="5.09765625" style="1598" customWidth="1"/>
    <col min="11275" max="11275" width="4.09765625" style="1598" customWidth="1"/>
    <col min="11276" max="11284" width="6.09765625" style="1598" customWidth="1"/>
    <col min="11285" max="11520" width="9" style="1598"/>
    <col min="11521" max="11521" width="5.69921875" style="1598" customWidth="1"/>
    <col min="11522" max="11522" width="4.59765625" style="1598" customWidth="1"/>
    <col min="11523" max="11523" width="5.09765625" style="1598" customWidth="1"/>
    <col min="11524" max="11524" width="5" style="1598" customWidth="1"/>
    <col min="11525" max="11525" width="5.09765625" style="1598" customWidth="1"/>
    <col min="11526" max="11526" width="4.69921875" style="1598" customWidth="1"/>
    <col min="11527" max="11529" width="6.09765625" style="1598" customWidth="1"/>
    <col min="11530" max="11530" width="5.09765625" style="1598" customWidth="1"/>
    <col min="11531" max="11531" width="4.09765625" style="1598" customWidth="1"/>
    <col min="11532" max="11540" width="6.09765625" style="1598" customWidth="1"/>
    <col min="11541" max="11776" width="9" style="1598"/>
    <col min="11777" max="11777" width="5.69921875" style="1598" customWidth="1"/>
    <col min="11778" max="11778" width="4.59765625" style="1598" customWidth="1"/>
    <col min="11779" max="11779" width="5.09765625" style="1598" customWidth="1"/>
    <col min="11780" max="11780" width="5" style="1598" customWidth="1"/>
    <col min="11781" max="11781" width="5.09765625" style="1598" customWidth="1"/>
    <col min="11782" max="11782" width="4.69921875" style="1598" customWidth="1"/>
    <col min="11783" max="11785" width="6.09765625" style="1598" customWidth="1"/>
    <col min="11786" max="11786" width="5.09765625" style="1598" customWidth="1"/>
    <col min="11787" max="11787" width="4.09765625" style="1598" customWidth="1"/>
    <col min="11788" max="11796" width="6.09765625" style="1598" customWidth="1"/>
    <col min="11797" max="12032" width="9" style="1598"/>
    <col min="12033" max="12033" width="5.69921875" style="1598" customWidth="1"/>
    <col min="12034" max="12034" width="4.59765625" style="1598" customWidth="1"/>
    <col min="12035" max="12035" width="5.09765625" style="1598" customWidth="1"/>
    <col min="12036" max="12036" width="5" style="1598" customWidth="1"/>
    <col min="12037" max="12037" width="5.09765625" style="1598" customWidth="1"/>
    <col min="12038" max="12038" width="4.69921875" style="1598" customWidth="1"/>
    <col min="12039" max="12041" width="6.09765625" style="1598" customWidth="1"/>
    <col min="12042" max="12042" width="5.09765625" style="1598" customWidth="1"/>
    <col min="12043" max="12043" width="4.09765625" style="1598" customWidth="1"/>
    <col min="12044" max="12052" width="6.09765625" style="1598" customWidth="1"/>
    <col min="12053" max="12288" width="9" style="1598"/>
    <col min="12289" max="12289" width="5.69921875" style="1598" customWidth="1"/>
    <col min="12290" max="12290" width="4.59765625" style="1598" customWidth="1"/>
    <col min="12291" max="12291" width="5.09765625" style="1598" customWidth="1"/>
    <col min="12292" max="12292" width="5" style="1598" customWidth="1"/>
    <col min="12293" max="12293" width="5.09765625" style="1598" customWidth="1"/>
    <col min="12294" max="12294" width="4.69921875" style="1598" customWidth="1"/>
    <col min="12295" max="12297" width="6.09765625" style="1598" customWidth="1"/>
    <col min="12298" max="12298" width="5.09765625" style="1598" customWidth="1"/>
    <col min="12299" max="12299" width="4.09765625" style="1598" customWidth="1"/>
    <col min="12300" max="12308" width="6.09765625" style="1598" customWidth="1"/>
    <col min="12309" max="12544" width="9" style="1598"/>
    <col min="12545" max="12545" width="5.69921875" style="1598" customWidth="1"/>
    <col min="12546" max="12546" width="4.59765625" style="1598" customWidth="1"/>
    <col min="12547" max="12547" width="5.09765625" style="1598" customWidth="1"/>
    <col min="12548" max="12548" width="5" style="1598" customWidth="1"/>
    <col min="12549" max="12549" width="5.09765625" style="1598" customWidth="1"/>
    <col min="12550" max="12550" width="4.69921875" style="1598" customWidth="1"/>
    <col min="12551" max="12553" width="6.09765625" style="1598" customWidth="1"/>
    <col min="12554" max="12554" width="5.09765625" style="1598" customWidth="1"/>
    <col min="12555" max="12555" width="4.09765625" style="1598" customWidth="1"/>
    <col min="12556" max="12564" width="6.09765625" style="1598" customWidth="1"/>
    <col min="12565" max="12800" width="9" style="1598"/>
    <col min="12801" max="12801" width="5.69921875" style="1598" customWidth="1"/>
    <col min="12802" max="12802" width="4.59765625" style="1598" customWidth="1"/>
    <col min="12803" max="12803" width="5.09765625" style="1598" customWidth="1"/>
    <col min="12804" max="12804" width="5" style="1598" customWidth="1"/>
    <col min="12805" max="12805" width="5.09765625" style="1598" customWidth="1"/>
    <col min="12806" max="12806" width="4.69921875" style="1598" customWidth="1"/>
    <col min="12807" max="12809" width="6.09765625" style="1598" customWidth="1"/>
    <col min="12810" max="12810" width="5.09765625" style="1598" customWidth="1"/>
    <col min="12811" max="12811" width="4.09765625" style="1598" customWidth="1"/>
    <col min="12812" max="12820" width="6.09765625" style="1598" customWidth="1"/>
    <col min="12821" max="13056" width="9" style="1598"/>
    <col min="13057" max="13057" width="5.69921875" style="1598" customWidth="1"/>
    <col min="13058" max="13058" width="4.59765625" style="1598" customWidth="1"/>
    <col min="13059" max="13059" width="5.09765625" style="1598" customWidth="1"/>
    <col min="13060" max="13060" width="5" style="1598" customWidth="1"/>
    <col min="13061" max="13061" width="5.09765625" style="1598" customWidth="1"/>
    <col min="13062" max="13062" width="4.69921875" style="1598" customWidth="1"/>
    <col min="13063" max="13065" width="6.09765625" style="1598" customWidth="1"/>
    <col min="13066" max="13066" width="5.09765625" style="1598" customWidth="1"/>
    <col min="13067" max="13067" width="4.09765625" style="1598" customWidth="1"/>
    <col min="13068" max="13076" width="6.09765625" style="1598" customWidth="1"/>
    <col min="13077" max="13312" width="9" style="1598"/>
    <col min="13313" max="13313" width="5.69921875" style="1598" customWidth="1"/>
    <col min="13314" max="13314" width="4.59765625" style="1598" customWidth="1"/>
    <col min="13315" max="13315" width="5.09765625" style="1598" customWidth="1"/>
    <col min="13316" max="13316" width="5" style="1598" customWidth="1"/>
    <col min="13317" max="13317" width="5.09765625" style="1598" customWidth="1"/>
    <col min="13318" max="13318" width="4.69921875" style="1598" customWidth="1"/>
    <col min="13319" max="13321" width="6.09765625" style="1598" customWidth="1"/>
    <col min="13322" max="13322" width="5.09765625" style="1598" customWidth="1"/>
    <col min="13323" max="13323" width="4.09765625" style="1598" customWidth="1"/>
    <col min="13324" max="13332" width="6.09765625" style="1598" customWidth="1"/>
    <col min="13333" max="13568" width="9" style="1598"/>
    <col min="13569" max="13569" width="5.69921875" style="1598" customWidth="1"/>
    <col min="13570" max="13570" width="4.59765625" style="1598" customWidth="1"/>
    <col min="13571" max="13571" width="5.09765625" style="1598" customWidth="1"/>
    <col min="13572" max="13572" width="5" style="1598" customWidth="1"/>
    <col min="13573" max="13573" width="5.09765625" style="1598" customWidth="1"/>
    <col min="13574" max="13574" width="4.69921875" style="1598" customWidth="1"/>
    <col min="13575" max="13577" width="6.09765625" style="1598" customWidth="1"/>
    <col min="13578" max="13578" width="5.09765625" style="1598" customWidth="1"/>
    <col min="13579" max="13579" width="4.09765625" style="1598" customWidth="1"/>
    <col min="13580" max="13588" width="6.09765625" style="1598" customWidth="1"/>
    <col min="13589" max="13824" width="9" style="1598"/>
    <col min="13825" max="13825" width="5.69921875" style="1598" customWidth="1"/>
    <col min="13826" max="13826" width="4.59765625" style="1598" customWidth="1"/>
    <col min="13827" max="13827" width="5.09765625" style="1598" customWidth="1"/>
    <col min="13828" max="13828" width="5" style="1598" customWidth="1"/>
    <col min="13829" max="13829" width="5.09765625" style="1598" customWidth="1"/>
    <col min="13830" max="13830" width="4.69921875" style="1598" customWidth="1"/>
    <col min="13831" max="13833" width="6.09765625" style="1598" customWidth="1"/>
    <col min="13834" max="13834" width="5.09765625" style="1598" customWidth="1"/>
    <col min="13835" max="13835" width="4.09765625" style="1598" customWidth="1"/>
    <col min="13836" max="13844" width="6.09765625" style="1598" customWidth="1"/>
    <col min="13845" max="14080" width="9" style="1598"/>
    <col min="14081" max="14081" width="5.69921875" style="1598" customWidth="1"/>
    <col min="14082" max="14082" width="4.59765625" style="1598" customWidth="1"/>
    <col min="14083" max="14083" width="5.09765625" style="1598" customWidth="1"/>
    <col min="14084" max="14084" width="5" style="1598" customWidth="1"/>
    <col min="14085" max="14085" width="5.09765625" style="1598" customWidth="1"/>
    <col min="14086" max="14086" width="4.69921875" style="1598" customWidth="1"/>
    <col min="14087" max="14089" width="6.09765625" style="1598" customWidth="1"/>
    <col min="14090" max="14090" width="5.09765625" style="1598" customWidth="1"/>
    <col min="14091" max="14091" width="4.09765625" style="1598" customWidth="1"/>
    <col min="14092" max="14100" width="6.09765625" style="1598" customWidth="1"/>
    <col min="14101" max="14336" width="9" style="1598"/>
    <col min="14337" max="14337" width="5.69921875" style="1598" customWidth="1"/>
    <col min="14338" max="14338" width="4.59765625" style="1598" customWidth="1"/>
    <col min="14339" max="14339" width="5.09765625" style="1598" customWidth="1"/>
    <col min="14340" max="14340" width="5" style="1598" customWidth="1"/>
    <col min="14341" max="14341" width="5.09765625" style="1598" customWidth="1"/>
    <col min="14342" max="14342" width="4.69921875" style="1598" customWidth="1"/>
    <col min="14343" max="14345" width="6.09765625" style="1598" customWidth="1"/>
    <col min="14346" max="14346" width="5.09765625" style="1598" customWidth="1"/>
    <col min="14347" max="14347" width="4.09765625" style="1598" customWidth="1"/>
    <col min="14348" max="14356" width="6.09765625" style="1598" customWidth="1"/>
    <col min="14357" max="14592" width="9" style="1598"/>
    <col min="14593" max="14593" width="5.69921875" style="1598" customWidth="1"/>
    <col min="14594" max="14594" width="4.59765625" style="1598" customWidth="1"/>
    <col min="14595" max="14595" width="5.09765625" style="1598" customWidth="1"/>
    <col min="14596" max="14596" width="5" style="1598" customWidth="1"/>
    <col min="14597" max="14597" width="5.09765625" style="1598" customWidth="1"/>
    <col min="14598" max="14598" width="4.69921875" style="1598" customWidth="1"/>
    <col min="14599" max="14601" width="6.09765625" style="1598" customWidth="1"/>
    <col min="14602" max="14602" width="5.09765625" style="1598" customWidth="1"/>
    <col min="14603" max="14603" width="4.09765625" style="1598" customWidth="1"/>
    <col min="14604" max="14612" width="6.09765625" style="1598" customWidth="1"/>
    <col min="14613" max="14848" width="9" style="1598"/>
    <col min="14849" max="14849" width="5.69921875" style="1598" customWidth="1"/>
    <col min="14850" max="14850" width="4.59765625" style="1598" customWidth="1"/>
    <col min="14851" max="14851" width="5.09765625" style="1598" customWidth="1"/>
    <col min="14852" max="14852" width="5" style="1598" customWidth="1"/>
    <col min="14853" max="14853" width="5.09765625" style="1598" customWidth="1"/>
    <col min="14854" max="14854" width="4.69921875" style="1598" customWidth="1"/>
    <col min="14855" max="14857" width="6.09765625" style="1598" customWidth="1"/>
    <col min="14858" max="14858" width="5.09765625" style="1598" customWidth="1"/>
    <col min="14859" max="14859" width="4.09765625" style="1598" customWidth="1"/>
    <col min="14860" max="14868" width="6.09765625" style="1598" customWidth="1"/>
    <col min="14869" max="15104" width="9" style="1598"/>
    <col min="15105" max="15105" width="5.69921875" style="1598" customWidth="1"/>
    <col min="15106" max="15106" width="4.59765625" style="1598" customWidth="1"/>
    <col min="15107" max="15107" width="5.09765625" style="1598" customWidth="1"/>
    <col min="15108" max="15108" width="5" style="1598" customWidth="1"/>
    <col min="15109" max="15109" width="5.09765625" style="1598" customWidth="1"/>
    <col min="15110" max="15110" width="4.69921875" style="1598" customWidth="1"/>
    <col min="15111" max="15113" width="6.09765625" style="1598" customWidth="1"/>
    <col min="15114" max="15114" width="5.09765625" style="1598" customWidth="1"/>
    <col min="15115" max="15115" width="4.09765625" style="1598" customWidth="1"/>
    <col min="15116" max="15124" width="6.09765625" style="1598" customWidth="1"/>
    <col min="15125" max="15360" width="9" style="1598"/>
    <col min="15361" max="15361" width="5.69921875" style="1598" customWidth="1"/>
    <col min="15362" max="15362" width="4.59765625" style="1598" customWidth="1"/>
    <col min="15363" max="15363" width="5.09765625" style="1598" customWidth="1"/>
    <col min="15364" max="15364" width="5" style="1598" customWidth="1"/>
    <col min="15365" max="15365" width="5.09765625" style="1598" customWidth="1"/>
    <col min="15366" max="15366" width="4.69921875" style="1598" customWidth="1"/>
    <col min="15367" max="15369" width="6.09765625" style="1598" customWidth="1"/>
    <col min="15370" max="15370" width="5.09765625" style="1598" customWidth="1"/>
    <col min="15371" max="15371" width="4.09765625" style="1598" customWidth="1"/>
    <col min="15372" max="15380" width="6.09765625" style="1598" customWidth="1"/>
    <col min="15381" max="15616" width="9" style="1598"/>
    <col min="15617" max="15617" width="5.69921875" style="1598" customWidth="1"/>
    <col min="15618" max="15618" width="4.59765625" style="1598" customWidth="1"/>
    <col min="15619" max="15619" width="5.09765625" style="1598" customWidth="1"/>
    <col min="15620" max="15620" width="5" style="1598" customWidth="1"/>
    <col min="15621" max="15621" width="5.09765625" style="1598" customWidth="1"/>
    <col min="15622" max="15622" width="4.69921875" style="1598" customWidth="1"/>
    <col min="15623" max="15625" width="6.09765625" style="1598" customWidth="1"/>
    <col min="15626" max="15626" width="5.09765625" style="1598" customWidth="1"/>
    <col min="15627" max="15627" width="4.09765625" style="1598" customWidth="1"/>
    <col min="15628" max="15636" width="6.09765625" style="1598" customWidth="1"/>
    <col min="15637" max="15872" width="9" style="1598"/>
    <col min="15873" max="15873" width="5.69921875" style="1598" customWidth="1"/>
    <col min="15874" max="15874" width="4.59765625" style="1598" customWidth="1"/>
    <col min="15875" max="15875" width="5.09765625" style="1598" customWidth="1"/>
    <col min="15876" max="15876" width="5" style="1598" customWidth="1"/>
    <col min="15877" max="15877" width="5.09765625" style="1598" customWidth="1"/>
    <col min="15878" max="15878" width="4.69921875" style="1598" customWidth="1"/>
    <col min="15879" max="15881" width="6.09765625" style="1598" customWidth="1"/>
    <col min="15882" max="15882" width="5.09765625" style="1598" customWidth="1"/>
    <col min="15883" max="15883" width="4.09765625" style="1598" customWidth="1"/>
    <col min="15884" max="15892" width="6.09765625" style="1598" customWidth="1"/>
    <col min="15893" max="16128" width="9" style="1598"/>
    <col min="16129" max="16129" width="5.69921875" style="1598" customWidth="1"/>
    <col min="16130" max="16130" width="4.59765625" style="1598" customWidth="1"/>
    <col min="16131" max="16131" width="5.09765625" style="1598" customWidth="1"/>
    <col min="16132" max="16132" width="5" style="1598" customWidth="1"/>
    <col min="16133" max="16133" width="5.09765625" style="1598" customWidth="1"/>
    <col min="16134" max="16134" width="4.69921875" style="1598" customWidth="1"/>
    <col min="16135" max="16137" width="6.09765625" style="1598" customWidth="1"/>
    <col min="16138" max="16138" width="5.09765625" style="1598" customWidth="1"/>
    <col min="16139" max="16139" width="4.09765625" style="1598" customWidth="1"/>
    <col min="16140" max="16148" width="6.09765625" style="1598" customWidth="1"/>
    <col min="16149" max="16384" width="9" style="1598"/>
  </cols>
  <sheetData>
    <row r="1" spans="1:24" ht="20.100000000000001" customHeight="1">
      <c r="A1" s="3378" t="s">
        <v>5580</v>
      </c>
      <c r="B1" s="3378"/>
      <c r="C1" s="3378"/>
      <c r="D1" s="3378"/>
      <c r="E1" s="3378"/>
      <c r="F1" s="3378"/>
      <c r="G1" s="3378"/>
      <c r="H1" s="3378"/>
      <c r="I1" s="3378"/>
      <c r="J1" s="3378"/>
      <c r="K1" s="3378"/>
      <c r="L1" s="3378"/>
      <c r="M1" s="3378"/>
      <c r="N1" s="3378"/>
      <c r="O1" s="3378"/>
      <c r="P1" s="3378"/>
      <c r="Q1" s="3378"/>
      <c r="R1" s="3378"/>
      <c r="S1" s="3378"/>
      <c r="T1" s="3378"/>
      <c r="U1" s="1939"/>
    </row>
    <row r="2" spans="1:24" s="1599" customFormat="1" ht="25.5" customHeight="1">
      <c r="A2" s="3379" t="s">
        <v>5581</v>
      </c>
      <c r="B2" s="3379"/>
      <c r="C2" s="3379"/>
      <c r="D2" s="3379"/>
      <c r="E2" s="3379"/>
      <c r="F2" s="3379"/>
      <c r="G2" s="3379"/>
      <c r="H2" s="3379"/>
      <c r="I2" s="3379"/>
      <c r="J2" s="3379"/>
      <c r="K2" s="3379"/>
      <c r="L2" s="3379"/>
      <c r="M2" s="3379"/>
      <c r="N2" s="3379"/>
      <c r="O2" s="3379"/>
      <c r="P2" s="3379"/>
      <c r="Q2" s="3379"/>
      <c r="R2" s="3379"/>
      <c r="S2" s="3379"/>
      <c r="T2" s="3379"/>
      <c r="U2" s="1856"/>
    </row>
    <row r="3" spans="1:24" s="1517" customFormat="1" ht="14.25" customHeight="1">
      <c r="A3" s="3377" t="s">
        <v>1854</v>
      </c>
      <c r="B3" s="3385" t="s">
        <v>5582</v>
      </c>
      <c r="C3" s="3385" t="s">
        <v>5583</v>
      </c>
      <c r="D3" s="3385"/>
      <c r="E3" s="3385"/>
      <c r="F3" s="3385"/>
      <c r="G3" s="3385"/>
      <c r="H3" s="3385"/>
      <c r="I3" s="3385"/>
      <c r="J3" s="3385"/>
      <c r="K3" s="3385"/>
      <c r="L3" s="3383" t="s">
        <v>5584</v>
      </c>
      <c r="M3" s="3383" t="s">
        <v>5585</v>
      </c>
      <c r="N3" s="3452" t="s">
        <v>5586</v>
      </c>
      <c r="O3" s="3453"/>
      <c r="P3" s="3388" t="s">
        <v>5587</v>
      </c>
      <c r="Q3" s="3389"/>
      <c r="R3" s="3389"/>
      <c r="S3" s="3390"/>
      <c r="T3" s="3383" t="s">
        <v>5588</v>
      </c>
      <c r="U3" s="3383" t="s">
        <v>4901</v>
      </c>
      <c r="X3" s="1600"/>
    </row>
    <row r="4" spans="1:24" s="1517" customFormat="1" ht="121.5" customHeight="1">
      <c r="A4" s="3377"/>
      <c r="B4" s="3385"/>
      <c r="C4" s="1866" t="s">
        <v>5589</v>
      </c>
      <c r="D4" s="1866" t="s">
        <v>5590</v>
      </c>
      <c r="E4" s="1866" t="s">
        <v>5591</v>
      </c>
      <c r="F4" s="1866" t="s">
        <v>5592</v>
      </c>
      <c r="G4" s="1866" t="s">
        <v>5593</v>
      </c>
      <c r="H4" s="1866" t="s">
        <v>5594</v>
      </c>
      <c r="I4" s="1866" t="s">
        <v>5595</v>
      </c>
      <c r="J4" s="1866" t="s">
        <v>5596</v>
      </c>
      <c r="K4" s="1866" t="s">
        <v>5597</v>
      </c>
      <c r="L4" s="3387"/>
      <c r="M4" s="3387"/>
      <c r="N4" s="1875" t="s">
        <v>5598</v>
      </c>
      <c r="O4" s="1875" t="s">
        <v>5599</v>
      </c>
      <c r="P4" s="1875" t="s">
        <v>5600</v>
      </c>
      <c r="Q4" s="1875" t="s">
        <v>5601</v>
      </c>
      <c r="R4" s="1875" t="s">
        <v>5602</v>
      </c>
      <c r="S4" s="1875" t="s">
        <v>5603</v>
      </c>
      <c r="T4" s="3387"/>
      <c r="U4" s="3387"/>
    </row>
    <row r="5" spans="1:24" s="1600" customFormat="1" ht="73.5" customHeight="1">
      <c r="A5" s="3377"/>
      <c r="B5" s="1837">
        <v>1</v>
      </c>
      <c r="C5" s="1866">
        <v>2</v>
      </c>
      <c r="D5" s="1866">
        <v>3</v>
      </c>
      <c r="E5" s="1866">
        <v>4</v>
      </c>
      <c r="F5" s="1866">
        <v>5</v>
      </c>
      <c r="G5" s="1866">
        <v>6</v>
      </c>
      <c r="H5" s="1866">
        <v>7</v>
      </c>
      <c r="I5" s="1866">
        <v>8</v>
      </c>
      <c r="J5" s="1866">
        <v>9</v>
      </c>
      <c r="K5" s="1866" t="s">
        <v>5604</v>
      </c>
      <c r="L5" s="1865">
        <v>11</v>
      </c>
      <c r="M5" s="1865" t="s">
        <v>5605</v>
      </c>
      <c r="N5" s="1865" t="s">
        <v>5606</v>
      </c>
      <c r="O5" s="1865" t="s">
        <v>5607</v>
      </c>
      <c r="P5" s="1865">
        <v>15</v>
      </c>
      <c r="Q5" s="1865">
        <v>16</v>
      </c>
      <c r="R5" s="1865">
        <v>17</v>
      </c>
      <c r="S5" s="1865" t="s">
        <v>5608</v>
      </c>
      <c r="T5" s="1865" t="s">
        <v>5609</v>
      </c>
      <c r="U5" s="1959"/>
    </row>
    <row r="6" spans="1:24" s="1517" customFormat="1" ht="14.25" customHeight="1">
      <c r="A6" s="1837">
        <v>1</v>
      </c>
      <c r="B6" s="1877" t="str">
        <f>研发费用加计扣除优惠审核表!B6&amp;""</f>
        <v/>
      </c>
      <c r="C6" s="2074" t="str">
        <f>IF($B6="","",研发费用加计扣除优惠审核表!C6)</f>
        <v/>
      </c>
      <c r="D6" s="2074" t="str">
        <f>IF($B6="","",研发费用加计扣除优惠审核表!D6)</f>
        <v/>
      </c>
      <c r="E6" s="2074" t="str">
        <f>IF($B6="","",研发费用加计扣除优惠审核表!E6)</f>
        <v/>
      </c>
      <c r="F6" s="2074" t="str">
        <f>IF($B6="","",研发费用加计扣除优惠审核表!F6)</f>
        <v/>
      </c>
      <c r="G6" s="2074" t="str">
        <f>IF($B6="","",研发费用加计扣除优惠审核表!G6)</f>
        <v/>
      </c>
      <c r="H6" s="2074" t="str">
        <f>IF($B6="","",研发费用加计扣除优惠审核表!H6)</f>
        <v/>
      </c>
      <c r="I6" s="2074" t="str">
        <f>IF($B6="","",研发费用加计扣除优惠审核表!I6)</f>
        <v/>
      </c>
      <c r="J6" s="2074" t="str">
        <f>IF($B6="","",研发费用加计扣除优惠审核表!J6)</f>
        <v/>
      </c>
      <c r="K6" s="2074" t="str">
        <f>IF($B6="","",研发费用加计扣除优惠审核表!K6)</f>
        <v/>
      </c>
      <c r="L6" s="2074" t="str">
        <f>IF($B6="","",研发费用加计扣除优惠审核表!L6)</f>
        <v/>
      </c>
      <c r="M6" s="2074" t="str">
        <f>IF($B6="","",研发费用加计扣除优惠审核表!M6)</f>
        <v/>
      </c>
      <c r="N6" s="2074" t="str">
        <f>IF($B6="","",研发费用加计扣除优惠审核表!N6)</f>
        <v/>
      </c>
      <c r="O6" s="2074" t="str">
        <f>IF($B6="","",研发费用加计扣除优惠审核表!O6)</f>
        <v/>
      </c>
      <c r="P6" s="2074" t="str">
        <f>IF($B6="","",研发费用加计扣除优惠审核表!P6)</f>
        <v/>
      </c>
      <c r="Q6" s="2074" t="str">
        <f>IF($B6="","",研发费用加计扣除优惠审核表!Q6)</f>
        <v/>
      </c>
      <c r="R6" s="2074" t="str">
        <f>IF($B6="","",研发费用加计扣除优惠审核表!R6)</f>
        <v/>
      </c>
      <c r="S6" s="2074" t="str">
        <f>IF($B6="","",研发费用加计扣除优惠审核表!S6)</f>
        <v/>
      </c>
      <c r="T6" s="2074" t="str">
        <f>IF($B6="","",研发费用加计扣除优惠审核表!T6)</f>
        <v/>
      </c>
      <c r="U6" s="1831"/>
    </row>
    <row r="7" spans="1:24" s="1517" customFormat="1" ht="14.25" customHeight="1">
      <c r="A7" s="1837">
        <v>2</v>
      </c>
      <c r="B7" s="1877" t="str">
        <f>研发费用加计扣除优惠审核表!B7&amp;""</f>
        <v/>
      </c>
      <c r="C7" s="2074" t="str">
        <f>IF($B7="","",研发费用加计扣除优惠审核表!C7)</f>
        <v/>
      </c>
      <c r="D7" s="2074" t="str">
        <f>IF($B7="","",研发费用加计扣除优惠审核表!D7)</f>
        <v/>
      </c>
      <c r="E7" s="2074" t="str">
        <f>IF($B7="","",研发费用加计扣除优惠审核表!E7)</f>
        <v/>
      </c>
      <c r="F7" s="2074" t="str">
        <f>IF($B7="","",研发费用加计扣除优惠审核表!F7)</f>
        <v/>
      </c>
      <c r="G7" s="2074" t="str">
        <f>IF($B7="","",研发费用加计扣除优惠审核表!G7)</f>
        <v/>
      </c>
      <c r="H7" s="2074" t="str">
        <f>IF($B7="","",研发费用加计扣除优惠审核表!H7)</f>
        <v/>
      </c>
      <c r="I7" s="2074" t="str">
        <f>IF($B7="","",研发费用加计扣除优惠审核表!I7)</f>
        <v/>
      </c>
      <c r="J7" s="2074" t="str">
        <f>IF($B7="","",研发费用加计扣除优惠审核表!J7)</f>
        <v/>
      </c>
      <c r="K7" s="2074" t="str">
        <f>IF($B7="","",研发费用加计扣除优惠审核表!K7)</f>
        <v/>
      </c>
      <c r="L7" s="2074" t="str">
        <f>IF($B7="","",研发费用加计扣除优惠审核表!L7)</f>
        <v/>
      </c>
      <c r="M7" s="2074" t="str">
        <f>IF($B7="","",研发费用加计扣除优惠审核表!M7)</f>
        <v/>
      </c>
      <c r="N7" s="2074" t="str">
        <f>IF($B7="","",研发费用加计扣除优惠审核表!N7)</f>
        <v/>
      </c>
      <c r="O7" s="2074" t="str">
        <f>IF($B7="","",研发费用加计扣除优惠审核表!O7)</f>
        <v/>
      </c>
      <c r="P7" s="2074" t="str">
        <f>IF($B7="","",研发费用加计扣除优惠审核表!P7)</f>
        <v/>
      </c>
      <c r="Q7" s="2074" t="str">
        <f>IF($B7="","",研发费用加计扣除优惠审核表!Q7)</f>
        <v/>
      </c>
      <c r="R7" s="2074" t="str">
        <f>IF($B7="","",研发费用加计扣除优惠审核表!R7)</f>
        <v/>
      </c>
      <c r="S7" s="2074" t="str">
        <f>IF($B7="","",研发费用加计扣除优惠审核表!S7)</f>
        <v/>
      </c>
      <c r="T7" s="2074" t="str">
        <f>IF($B7="","",研发费用加计扣除优惠审核表!T7)</f>
        <v/>
      </c>
      <c r="U7" s="1831"/>
    </row>
    <row r="8" spans="1:24" s="1517" customFormat="1" ht="14.25" customHeight="1">
      <c r="A8" s="1837">
        <v>3</v>
      </c>
      <c r="B8" s="1877" t="str">
        <f>研发费用加计扣除优惠审核表!B8&amp;""</f>
        <v/>
      </c>
      <c r="C8" s="2074" t="str">
        <f>IF($B8="","",研发费用加计扣除优惠审核表!C8)</f>
        <v/>
      </c>
      <c r="D8" s="2074" t="str">
        <f>IF($B8="","",研发费用加计扣除优惠审核表!D8)</f>
        <v/>
      </c>
      <c r="E8" s="2074" t="str">
        <f>IF($B8="","",研发费用加计扣除优惠审核表!E8)</f>
        <v/>
      </c>
      <c r="F8" s="2074" t="str">
        <f>IF($B8="","",研发费用加计扣除优惠审核表!F8)</f>
        <v/>
      </c>
      <c r="G8" s="2074" t="str">
        <f>IF($B8="","",研发费用加计扣除优惠审核表!G8)</f>
        <v/>
      </c>
      <c r="H8" s="2074" t="str">
        <f>IF($B8="","",研发费用加计扣除优惠审核表!H8)</f>
        <v/>
      </c>
      <c r="I8" s="2074" t="str">
        <f>IF($B8="","",研发费用加计扣除优惠审核表!I8)</f>
        <v/>
      </c>
      <c r="J8" s="2074" t="str">
        <f>IF($B8="","",研发费用加计扣除优惠审核表!J8)</f>
        <v/>
      </c>
      <c r="K8" s="2074" t="str">
        <f>IF($B8="","",研发费用加计扣除优惠审核表!K8)</f>
        <v/>
      </c>
      <c r="L8" s="2074" t="str">
        <f>IF($B8="","",研发费用加计扣除优惠审核表!L8)</f>
        <v/>
      </c>
      <c r="M8" s="2074" t="str">
        <f>IF($B8="","",研发费用加计扣除优惠审核表!M8)</f>
        <v/>
      </c>
      <c r="N8" s="2074" t="str">
        <f>IF($B8="","",研发费用加计扣除优惠审核表!N8)</f>
        <v/>
      </c>
      <c r="O8" s="2074" t="str">
        <f>IF($B8="","",研发费用加计扣除优惠审核表!O8)</f>
        <v/>
      </c>
      <c r="P8" s="2074" t="str">
        <f>IF($B8="","",研发费用加计扣除优惠审核表!P8)</f>
        <v/>
      </c>
      <c r="Q8" s="2074" t="str">
        <f>IF($B8="","",研发费用加计扣除优惠审核表!Q8)</f>
        <v/>
      </c>
      <c r="R8" s="2074" t="str">
        <f>IF($B8="","",研发费用加计扣除优惠审核表!R8)</f>
        <v/>
      </c>
      <c r="S8" s="2074" t="str">
        <f>IF($B8="","",研发费用加计扣除优惠审核表!S8)</f>
        <v/>
      </c>
      <c r="T8" s="2074" t="str">
        <f>IF($B8="","",研发费用加计扣除优惠审核表!T8)</f>
        <v/>
      </c>
      <c r="U8" s="1831"/>
      <c r="V8" s="1772" t="s">
        <v>6465</v>
      </c>
    </row>
    <row r="9" spans="1:24" s="1517" customFormat="1" ht="14.25" customHeight="1">
      <c r="A9" s="1837">
        <v>4</v>
      </c>
      <c r="B9" s="1877" t="str">
        <f>研发费用加计扣除优惠审核表!B9&amp;""</f>
        <v/>
      </c>
      <c r="C9" s="2074" t="str">
        <f>IF($B9="","",研发费用加计扣除优惠审核表!C9)</f>
        <v/>
      </c>
      <c r="D9" s="2074" t="str">
        <f>IF($B9="","",研发费用加计扣除优惠审核表!D9)</f>
        <v/>
      </c>
      <c r="E9" s="2074" t="str">
        <f>IF($B9="","",研发费用加计扣除优惠审核表!E9)</f>
        <v/>
      </c>
      <c r="F9" s="2074" t="str">
        <f>IF($B9="","",研发费用加计扣除优惠审核表!F9)</f>
        <v/>
      </c>
      <c r="G9" s="2074" t="str">
        <f>IF($B9="","",研发费用加计扣除优惠审核表!G9)</f>
        <v/>
      </c>
      <c r="H9" s="2074" t="str">
        <f>IF($B9="","",研发费用加计扣除优惠审核表!H9)</f>
        <v/>
      </c>
      <c r="I9" s="2074" t="str">
        <f>IF($B9="","",研发费用加计扣除优惠审核表!I9)</f>
        <v/>
      </c>
      <c r="J9" s="2074" t="str">
        <f>IF($B9="","",研发费用加计扣除优惠审核表!J9)</f>
        <v/>
      </c>
      <c r="K9" s="2074" t="str">
        <f>IF($B9="","",研发费用加计扣除优惠审核表!K9)</f>
        <v/>
      </c>
      <c r="L9" s="2074" t="str">
        <f>IF($B9="","",研发费用加计扣除优惠审核表!L9)</f>
        <v/>
      </c>
      <c r="M9" s="2074" t="str">
        <f>IF($B9="","",研发费用加计扣除优惠审核表!M9)</f>
        <v/>
      </c>
      <c r="N9" s="2074" t="str">
        <f>IF($B9="","",研发费用加计扣除优惠审核表!N9)</f>
        <v/>
      </c>
      <c r="O9" s="2074" t="str">
        <f>IF($B9="","",研发费用加计扣除优惠审核表!O9)</f>
        <v/>
      </c>
      <c r="P9" s="2074" t="str">
        <f>IF($B9="","",研发费用加计扣除优惠审核表!P9)</f>
        <v/>
      </c>
      <c r="Q9" s="2074" t="str">
        <f>IF($B9="","",研发费用加计扣除优惠审核表!Q9)</f>
        <v/>
      </c>
      <c r="R9" s="2074" t="str">
        <f>IF($B9="","",研发费用加计扣除优惠审核表!R9)</f>
        <v/>
      </c>
      <c r="S9" s="2074" t="str">
        <f>IF($B9="","",研发费用加计扣除优惠审核表!S9)</f>
        <v/>
      </c>
      <c r="T9" s="2074" t="str">
        <f>IF($B9="","",研发费用加计扣除优惠审核表!T9)</f>
        <v/>
      </c>
      <c r="U9" s="1831"/>
    </row>
    <row r="10" spans="1:24" s="1517" customFormat="1" ht="14.25" customHeight="1">
      <c r="A10" s="1837">
        <v>5</v>
      </c>
      <c r="B10" s="1877" t="str">
        <f>研发费用加计扣除优惠审核表!B10&amp;""</f>
        <v/>
      </c>
      <c r="C10" s="2074" t="str">
        <f>IF($B10="","",研发费用加计扣除优惠审核表!C10)</f>
        <v/>
      </c>
      <c r="D10" s="2074" t="str">
        <f>IF($B10="","",研发费用加计扣除优惠审核表!D10)</f>
        <v/>
      </c>
      <c r="E10" s="2074" t="str">
        <f>IF($B10="","",研发费用加计扣除优惠审核表!E10)</f>
        <v/>
      </c>
      <c r="F10" s="2074" t="str">
        <f>IF($B10="","",研发费用加计扣除优惠审核表!F10)</f>
        <v/>
      </c>
      <c r="G10" s="2074" t="str">
        <f>IF($B10="","",研发费用加计扣除优惠审核表!G10)</f>
        <v/>
      </c>
      <c r="H10" s="2074" t="str">
        <f>IF($B10="","",研发费用加计扣除优惠审核表!H10)</f>
        <v/>
      </c>
      <c r="I10" s="2074" t="str">
        <f>IF($B10="","",研发费用加计扣除优惠审核表!I10)</f>
        <v/>
      </c>
      <c r="J10" s="2074" t="str">
        <f>IF($B10="","",研发费用加计扣除优惠审核表!J10)</f>
        <v/>
      </c>
      <c r="K10" s="2074" t="str">
        <f>IF($B10="","",研发费用加计扣除优惠审核表!K10)</f>
        <v/>
      </c>
      <c r="L10" s="2074" t="str">
        <f>IF($B10="","",研发费用加计扣除优惠审核表!L10)</f>
        <v/>
      </c>
      <c r="M10" s="2074" t="str">
        <f>IF($B10="","",研发费用加计扣除优惠审核表!M10)</f>
        <v/>
      </c>
      <c r="N10" s="2074" t="str">
        <f>IF($B10="","",研发费用加计扣除优惠审核表!N10)</f>
        <v/>
      </c>
      <c r="O10" s="2074" t="str">
        <f>IF($B10="","",研发费用加计扣除优惠审核表!O10)</f>
        <v/>
      </c>
      <c r="P10" s="2074" t="str">
        <f>IF($B10="","",研发费用加计扣除优惠审核表!P10)</f>
        <v/>
      </c>
      <c r="Q10" s="2074" t="str">
        <f>IF($B10="","",研发费用加计扣除优惠审核表!Q10)</f>
        <v/>
      </c>
      <c r="R10" s="2074" t="str">
        <f>IF($B10="","",研发费用加计扣除优惠审核表!R10)</f>
        <v/>
      </c>
      <c r="S10" s="2074" t="str">
        <f>IF($B10="","",研发费用加计扣除优惠审核表!S10)</f>
        <v/>
      </c>
      <c r="T10" s="2074" t="str">
        <f>IF($B10="","",研发费用加计扣除优惠审核表!T10)</f>
        <v/>
      </c>
      <c r="U10" s="1831"/>
    </row>
    <row r="11" spans="1:24" s="1517" customFormat="1" ht="14.25" customHeight="1">
      <c r="A11" s="1837">
        <v>6</v>
      </c>
      <c r="B11" s="1877" t="str">
        <f>研发费用加计扣除优惠审核表!B11&amp;""</f>
        <v/>
      </c>
      <c r="C11" s="2074" t="str">
        <f>IF($B11="","",研发费用加计扣除优惠审核表!C11)</f>
        <v/>
      </c>
      <c r="D11" s="2074" t="str">
        <f>IF($B11="","",研发费用加计扣除优惠审核表!D11)</f>
        <v/>
      </c>
      <c r="E11" s="2074" t="str">
        <f>IF($B11="","",研发费用加计扣除优惠审核表!E11)</f>
        <v/>
      </c>
      <c r="F11" s="2074" t="str">
        <f>IF($B11="","",研发费用加计扣除优惠审核表!F11)</f>
        <v/>
      </c>
      <c r="G11" s="2074" t="str">
        <f>IF($B11="","",研发费用加计扣除优惠审核表!G11)</f>
        <v/>
      </c>
      <c r="H11" s="2074" t="str">
        <f>IF($B11="","",研发费用加计扣除优惠审核表!H11)</f>
        <v/>
      </c>
      <c r="I11" s="2074" t="str">
        <f>IF($B11="","",研发费用加计扣除优惠审核表!I11)</f>
        <v/>
      </c>
      <c r="J11" s="2074" t="str">
        <f>IF($B11="","",研发费用加计扣除优惠审核表!J11)</f>
        <v/>
      </c>
      <c r="K11" s="2074" t="str">
        <f>IF($B11="","",研发费用加计扣除优惠审核表!K11)</f>
        <v/>
      </c>
      <c r="L11" s="2074" t="str">
        <f>IF($B11="","",研发费用加计扣除优惠审核表!L11)</f>
        <v/>
      </c>
      <c r="M11" s="2074" t="str">
        <f>IF($B11="","",研发费用加计扣除优惠审核表!M11)</f>
        <v/>
      </c>
      <c r="N11" s="2074" t="str">
        <f>IF($B11="","",研发费用加计扣除优惠审核表!N11)</f>
        <v/>
      </c>
      <c r="O11" s="2074" t="str">
        <f>IF($B11="","",研发费用加计扣除优惠审核表!O11)</f>
        <v/>
      </c>
      <c r="P11" s="2074" t="str">
        <f>IF($B11="","",研发费用加计扣除优惠审核表!P11)</f>
        <v/>
      </c>
      <c r="Q11" s="2074" t="str">
        <f>IF($B11="","",研发费用加计扣除优惠审核表!Q11)</f>
        <v/>
      </c>
      <c r="R11" s="2074" t="str">
        <f>IF($B11="","",研发费用加计扣除优惠审核表!R11)</f>
        <v/>
      </c>
      <c r="S11" s="2074" t="str">
        <f>IF($B11="","",研发费用加计扣除优惠审核表!S11)</f>
        <v/>
      </c>
      <c r="T11" s="2074" t="str">
        <f>IF($B11="","",研发费用加计扣除优惠审核表!T11)</f>
        <v/>
      </c>
      <c r="U11" s="1831"/>
    </row>
    <row r="12" spans="1:24">
      <c r="A12" s="1837">
        <v>7</v>
      </c>
      <c r="B12" s="1877" t="str">
        <f>研发费用加计扣除优惠审核表!B12&amp;""</f>
        <v/>
      </c>
      <c r="C12" s="2074" t="str">
        <f>IF($B12="","",研发费用加计扣除优惠审核表!C12)</f>
        <v/>
      </c>
      <c r="D12" s="2074" t="str">
        <f>IF($B12="","",研发费用加计扣除优惠审核表!D12)</f>
        <v/>
      </c>
      <c r="E12" s="2074" t="str">
        <f>IF($B12="","",研发费用加计扣除优惠审核表!E12)</f>
        <v/>
      </c>
      <c r="F12" s="2074" t="str">
        <f>IF($B12="","",研发费用加计扣除优惠审核表!F12)</f>
        <v/>
      </c>
      <c r="G12" s="2074" t="str">
        <f>IF($B12="","",研发费用加计扣除优惠审核表!G12)</f>
        <v/>
      </c>
      <c r="H12" s="2074" t="str">
        <f>IF($B12="","",研发费用加计扣除优惠审核表!H12)</f>
        <v/>
      </c>
      <c r="I12" s="2074" t="str">
        <f>IF($B12="","",研发费用加计扣除优惠审核表!I12)</f>
        <v/>
      </c>
      <c r="J12" s="2074" t="str">
        <f>IF($B12="","",研发费用加计扣除优惠审核表!J12)</f>
        <v/>
      </c>
      <c r="K12" s="2074" t="str">
        <f>IF($B12="","",研发费用加计扣除优惠审核表!K12)</f>
        <v/>
      </c>
      <c r="L12" s="2074" t="str">
        <f>IF($B12="","",研发费用加计扣除优惠审核表!L12)</f>
        <v/>
      </c>
      <c r="M12" s="2074" t="str">
        <f>IF($B12="","",研发费用加计扣除优惠审核表!M12)</f>
        <v/>
      </c>
      <c r="N12" s="2074" t="str">
        <f>IF($B12="","",研发费用加计扣除优惠审核表!N12)</f>
        <v/>
      </c>
      <c r="O12" s="2074" t="str">
        <f>IF($B12="","",研发费用加计扣除优惠审核表!O12)</f>
        <v/>
      </c>
      <c r="P12" s="2074" t="str">
        <f>IF($B12="","",研发费用加计扣除优惠审核表!P12)</f>
        <v/>
      </c>
      <c r="Q12" s="2074" t="str">
        <f>IF($B12="","",研发费用加计扣除优惠审核表!Q12)</f>
        <v/>
      </c>
      <c r="R12" s="2074" t="str">
        <f>IF($B12="","",研发费用加计扣除优惠审核表!R12)</f>
        <v/>
      </c>
      <c r="S12" s="2074" t="str">
        <f>IF($B12="","",研发费用加计扣除优惠审核表!S12)</f>
        <v/>
      </c>
      <c r="T12" s="2074" t="str">
        <f>IF($B12="","",研发费用加计扣除优惠审核表!T12)</f>
        <v/>
      </c>
      <c r="U12" s="1943"/>
    </row>
    <row r="13" spans="1:24">
      <c r="A13" s="1837">
        <v>8</v>
      </c>
      <c r="B13" s="1877" t="str">
        <f>研发费用加计扣除优惠审核表!B13&amp;""</f>
        <v/>
      </c>
      <c r="C13" s="2074" t="str">
        <f>IF($B13="","",研发费用加计扣除优惠审核表!C13)</f>
        <v/>
      </c>
      <c r="D13" s="2074" t="str">
        <f>IF($B13="","",研发费用加计扣除优惠审核表!D13)</f>
        <v/>
      </c>
      <c r="E13" s="2074" t="str">
        <f>IF($B13="","",研发费用加计扣除优惠审核表!E13)</f>
        <v/>
      </c>
      <c r="F13" s="2074" t="str">
        <f>IF($B13="","",研发费用加计扣除优惠审核表!F13)</f>
        <v/>
      </c>
      <c r="G13" s="2074" t="str">
        <f>IF($B13="","",研发费用加计扣除优惠审核表!G13)</f>
        <v/>
      </c>
      <c r="H13" s="2074" t="str">
        <f>IF($B13="","",研发费用加计扣除优惠审核表!H13)</f>
        <v/>
      </c>
      <c r="I13" s="2074" t="str">
        <f>IF($B13="","",研发费用加计扣除优惠审核表!I13)</f>
        <v/>
      </c>
      <c r="J13" s="2074" t="str">
        <f>IF($B13="","",研发费用加计扣除优惠审核表!J13)</f>
        <v/>
      </c>
      <c r="K13" s="2074" t="str">
        <f>IF($B13="","",研发费用加计扣除优惠审核表!K13)</f>
        <v/>
      </c>
      <c r="L13" s="2074" t="str">
        <f>IF($B13="","",研发费用加计扣除优惠审核表!L13)</f>
        <v/>
      </c>
      <c r="M13" s="2074" t="str">
        <f>IF($B13="","",研发费用加计扣除优惠审核表!M13)</f>
        <v/>
      </c>
      <c r="N13" s="2074" t="str">
        <f>IF($B13="","",研发费用加计扣除优惠审核表!N13)</f>
        <v/>
      </c>
      <c r="O13" s="2074" t="str">
        <f>IF($B13="","",研发费用加计扣除优惠审核表!O13)</f>
        <v/>
      </c>
      <c r="P13" s="2074" t="str">
        <f>IF($B13="","",研发费用加计扣除优惠审核表!P13)</f>
        <v/>
      </c>
      <c r="Q13" s="2074" t="str">
        <f>IF($B13="","",研发费用加计扣除优惠审核表!Q13)</f>
        <v/>
      </c>
      <c r="R13" s="2074" t="str">
        <f>IF($B13="","",研发费用加计扣除优惠审核表!R13)</f>
        <v/>
      </c>
      <c r="S13" s="2074" t="str">
        <f>IF($B13="","",研发费用加计扣除优惠审核表!S13)</f>
        <v/>
      </c>
      <c r="T13" s="2074" t="str">
        <f>IF($B13="","",研发费用加计扣除优惠审核表!T13)</f>
        <v/>
      </c>
      <c r="U13" s="1943"/>
    </row>
    <row r="14" spans="1:24">
      <c r="A14" s="1837">
        <v>9</v>
      </c>
      <c r="B14" s="1877" t="str">
        <f>研发费用加计扣除优惠审核表!B14&amp;""</f>
        <v/>
      </c>
      <c r="C14" s="2074" t="str">
        <f>IF($B14="","",研发费用加计扣除优惠审核表!C14)</f>
        <v/>
      </c>
      <c r="D14" s="2074" t="str">
        <f>IF($B14="","",研发费用加计扣除优惠审核表!D14)</f>
        <v/>
      </c>
      <c r="E14" s="2074" t="str">
        <f>IF($B14="","",研发费用加计扣除优惠审核表!E14)</f>
        <v/>
      </c>
      <c r="F14" s="2074" t="str">
        <f>IF($B14="","",研发费用加计扣除优惠审核表!F14)</f>
        <v/>
      </c>
      <c r="G14" s="2074" t="str">
        <f>IF($B14="","",研发费用加计扣除优惠审核表!G14)</f>
        <v/>
      </c>
      <c r="H14" s="2074" t="str">
        <f>IF($B14="","",研发费用加计扣除优惠审核表!H14)</f>
        <v/>
      </c>
      <c r="I14" s="2074" t="str">
        <f>IF($B14="","",研发费用加计扣除优惠审核表!I14)</f>
        <v/>
      </c>
      <c r="J14" s="2074" t="str">
        <f>IF($B14="","",研发费用加计扣除优惠审核表!J14)</f>
        <v/>
      </c>
      <c r="K14" s="2074" t="str">
        <f>IF($B14="","",研发费用加计扣除优惠审核表!K14)</f>
        <v/>
      </c>
      <c r="L14" s="2074" t="str">
        <f>IF($B14="","",研发费用加计扣除优惠审核表!L14)</f>
        <v/>
      </c>
      <c r="M14" s="2074" t="str">
        <f>IF($B14="","",研发费用加计扣除优惠审核表!M14)</f>
        <v/>
      </c>
      <c r="N14" s="2074" t="str">
        <f>IF($B14="","",研发费用加计扣除优惠审核表!N14)</f>
        <v/>
      </c>
      <c r="O14" s="2074" t="str">
        <f>IF($B14="","",研发费用加计扣除优惠审核表!O14)</f>
        <v/>
      </c>
      <c r="P14" s="2074" t="str">
        <f>IF($B14="","",研发费用加计扣除优惠审核表!P14)</f>
        <v/>
      </c>
      <c r="Q14" s="2074" t="str">
        <f>IF($B14="","",研发费用加计扣除优惠审核表!Q14)</f>
        <v/>
      </c>
      <c r="R14" s="2074" t="str">
        <f>IF($B14="","",研发费用加计扣除优惠审核表!R14)</f>
        <v/>
      </c>
      <c r="S14" s="2074" t="str">
        <f>IF($B14="","",研发费用加计扣除优惠审核表!S14)</f>
        <v/>
      </c>
      <c r="T14" s="2074" t="str">
        <f>IF($B14="","",研发费用加计扣除优惠审核表!T14)</f>
        <v/>
      </c>
      <c r="U14" s="1943"/>
    </row>
    <row r="15" spans="1:24" ht="58.5" customHeight="1">
      <c r="A15" s="1876" t="s">
        <v>5543</v>
      </c>
      <c r="B15" s="1848" t="s">
        <v>2431</v>
      </c>
      <c r="C15" s="2074">
        <f>研发费用加计扣除优惠审核表!C15</f>
        <v>0</v>
      </c>
      <c r="D15" s="2074">
        <f>研发费用加计扣除优惠审核表!D15</f>
        <v>0</v>
      </c>
      <c r="E15" s="2074">
        <f>研发费用加计扣除优惠审核表!E15</f>
        <v>0</v>
      </c>
      <c r="F15" s="2074">
        <f>研发费用加计扣除优惠审核表!F15</f>
        <v>0</v>
      </c>
      <c r="G15" s="2074">
        <f>研发费用加计扣除优惠审核表!G15</f>
        <v>0</v>
      </c>
      <c r="H15" s="2074">
        <f>研发费用加计扣除优惠审核表!H15</f>
        <v>0</v>
      </c>
      <c r="I15" s="2074">
        <f>研发费用加计扣除优惠审核表!I15</f>
        <v>0</v>
      </c>
      <c r="J15" s="2074">
        <f>研发费用加计扣除优惠审核表!J15</f>
        <v>0</v>
      </c>
      <c r="K15" s="2074">
        <f>研发费用加计扣除优惠审核表!K15</f>
        <v>0</v>
      </c>
      <c r="L15" s="2074">
        <f>研发费用加计扣除优惠审核表!L15</f>
        <v>0</v>
      </c>
      <c r="M15" s="2074">
        <f>研发费用加计扣除优惠审核表!M15</f>
        <v>0</v>
      </c>
      <c r="N15" s="2074">
        <f>研发费用加计扣除优惠审核表!N15</f>
        <v>0</v>
      </c>
      <c r="O15" s="2074">
        <f>研发费用加计扣除优惠审核表!O15</f>
        <v>0</v>
      </c>
      <c r="P15" s="2074">
        <f>研发费用加计扣除优惠审核表!P15</f>
        <v>0</v>
      </c>
      <c r="Q15" s="2074">
        <f>研发费用加计扣除优惠审核表!Q15</f>
        <v>0</v>
      </c>
      <c r="R15" s="2074">
        <f>研发费用加计扣除优惠审核表!R15</f>
        <v>0</v>
      </c>
      <c r="S15" s="2074">
        <f>研发费用加计扣除优惠审核表!S15</f>
        <v>0</v>
      </c>
      <c r="T15" s="2074">
        <f>研发费用加计扣除优惠审核表!T15</f>
        <v>0</v>
      </c>
      <c r="U15" s="1980" t="s">
        <v>5610</v>
      </c>
    </row>
  </sheetData>
  <mergeCells count="11">
    <mergeCell ref="U3:U4"/>
    <mergeCell ref="A1:T1"/>
    <mergeCell ref="A2:T2"/>
    <mergeCell ref="A3:A5"/>
    <mergeCell ref="B3:B4"/>
    <mergeCell ref="C3:K3"/>
    <mergeCell ref="L3:L4"/>
    <mergeCell ref="M3:M4"/>
    <mergeCell ref="N3:O3"/>
    <mergeCell ref="P3:S3"/>
    <mergeCell ref="T3:T4"/>
  </mergeCells>
  <phoneticPr fontId="51" type="noConversion"/>
  <hyperlinks>
    <hyperlink ref="V8" location="研发费用加计扣除优惠审核表!A1" display="研发费用加计扣除优惠审核表!A1"/>
  </hyperlinks>
  <printOptions horizontalCentered="1"/>
  <pageMargins left="0.78740157480314998" right="0.35433070866141703" top="0.511811023622047" bottom="0.11811023622047198" header="0.511811023622047" footer="0.511811023622047"/>
  <pageSetup paperSize="9" orientation="landscape" r:id="rId1"/>
</worksheet>
</file>

<file path=xl/worksheets/sheet15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44">
    <tabColor rgb="FFFFFF00"/>
  </sheetPr>
  <dimension ref="A1:L44"/>
  <sheetViews>
    <sheetView workbookViewId="0">
      <selection activeCell="F44" sqref="F44"/>
    </sheetView>
  </sheetViews>
  <sheetFormatPr defaultColWidth="9.3984375" defaultRowHeight="24" customHeight="1"/>
  <cols>
    <col min="1" max="1" width="5.19921875" style="1605" customWidth="1"/>
    <col min="2" max="2" width="41.59765625" style="1606" customWidth="1"/>
    <col min="3" max="8" width="12.19921875" style="1607" customWidth="1"/>
    <col min="9" max="9" width="12.19921875" style="1605" customWidth="1"/>
    <col min="10" max="10" width="8" style="1605" customWidth="1"/>
    <col min="11" max="256" width="9.3984375" style="1605"/>
    <col min="257" max="257" width="5.19921875" style="1605" customWidth="1"/>
    <col min="258" max="258" width="41.59765625" style="1605" customWidth="1"/>
    <col min="259" max="260" width="9.8984375" style="1605" customWidth="1"/>
    <col min="261" max="261" width="8.19921875" style="1605" customWidth="1"/>
    <col min="262" max="262" width="8.3984375" style="1605" customWidth="1"/>
    <col min="263" max="263" width="7.8984375" style="1605" customWidth="1"/>
    <col min="264" max="264" width="10.8984375" style="1605" customWidth="1"/>
    <col min="265" max="265" width="8.19921875" style="1605" customWidth="1"/>
    <col min="266" max="266" width="11.8984375" style="1605" customWidth="1"/>
    <col min="267" max="512" width="9.3984375" style="1605"/>
    <col min="513" max="513" width="5.19921875" style="1605" customWidth="1"/>
    <col min="514" max="514" width="41.59765625" style="1605" customWidth="1"/>
    <col min="515" max="516" width="9.8984375" style="1605" customWidth="1"/>
    <col min="517" max="517" width="8.19921875" style="1605" customWidth="1"/>
    <col min="518" max="518" width="8.3984375" style="1605" customWidth="1"/>
    <col min="519" max="519" width="7.8984375" style="1605" customWidth="1"/>
    <col min="520" max="520" width="10.8984375" style="1605" customWidth="1"/>
    <col min="521" max="521" width="8.19921875" style="1605" customWidth="1"/>
    <col min="522" max="522" width="11.8984375" style="1605" customWidth="1"/>
    <col min="523" max="768" width="9.3984375" style="1605"/>
    <col min="769" max="769" width="5.19921875" style="1605" customWidth="1"/>
    <col min="770" max="770" width="41.59765625" style="1605" customWidth="1"/>
    <col min="771" max="772" width="9.8984375" style="1605" customWidth="1"/>
    <col min="773" max="773" width="8.19921875" style="1605" customWidth="1"/>
    <col min="774" max="774" width="8.3984375" style="1605" customWidth="1"/>
    <col min="775" max="775" width="7.8984375" style="1605" customWidth="1"/>
    <col min="776" max="776" width="10.8984375" style="1605" customWidth="1"/>
    <col min="777" max="777" width="8.19921875" style="1605" customWidth="1"/>
    <col min="778" max="778" width="11.8984375" style="1605" customWidth="1"/>
    <col min="779" max="1024" width="9.3984375" style="1605"/>
    <col min="1025" max="1025" width="5.19921875" style="1605" customWidth="1"/>
    <col min="1026" max="1026" width="41.59765625" style="1605" customWidth="1"/>
    <col min="1027" max="1028" width="9.8984375" style="1605" customWidth="1"/>
    <col min="1029" max="1029" width="8.19921875" style="1605" customWidth="1"/>
    <col min="1030" max="1030" width="8.3984375" style="1605" customWidth="1"/>
    <col min="1031" max="1031" width="7.8984375" style="1605" customWidth="1"/>
    <col min="1032" max="1032" width="10.8984375" style="1605" customWidth="1"/>
    <col min="1033" max="1033" width="8.19921875" style="1605" customWidth="1"/>
    <col min="1034" max="1034" width="11.8984375" style="1605" customWidth="1"/>
    <col min="1035" max="1280" width="9.3984375" style="1605"/>
    <col min="1281" max="1281" width="5.19921875" style="1605" customWidth="1"/>
    <col min="1282" max="1282" width="41.59765625" style="1605" customWidth="1"/>
    <col min="1283" max="1284" width="9.8984375" style="1605" customWidth="1"/>
    <col min="1285" max="1285" width="8.19921875" style="1605" customWidth="1"/>
    <col min="1286" max="1286" width="8.3984375" style="1605" customWidth="1"/>
    <col min="1287" max="1287" width="7.8984375" style="1605" customWidth="1"/>
    <col min="1288" max="1288" width="10.8984375" style="1605" customWidth="1"/>
    <col min="1289" max="1289" width="8.19921875" style="1605" customWidth="1"/>
    <col min="1290" max="1290" width="11.8984375" style="1605" customWidth="1"/>
    <col min="1291" max="1536" width="9.3984375" style="1605"/>
    <col min="1537" max="1537" width="5.19921875" style="1605" customWidth="1"/>
    <col min="1538" max="1538" width="41.59765625" style="1605" customWidth="1"/>
    <col min="1539" max="1540" width="9.8984375" style="1605" customWidth="1"/>
    <col min="1541" max="1541" width="8.19921875" style="1605" customWidth="1"/>
    <col min="1542" max="1542" width="8.3984375" style="1605" customWidth="1"/>
    <col min="1543" max="1543" width="7.8984375" style="1605" customWidth="1"/>
    <col min="1544" max="1544" width="10.8984375" style="1605" customWidth="1"/>
    <col min="1545" max="1545" width="8.19921875" style="1605" customWidth="1"/>
    <col min="1546" max="1546" width="11.8984375" style="1605" customWidth="1"/>
    <col min="1547" max="1792" width="9.3984375" style="1605"/>
    <col min="1793" max="1793" width="5.19921875" style="1605" customWidth="1"/>
    <col min="1794" max="1794" width="41.59765625" style="1605" customWidth="1"/>
    <col min="1795" max="1796" width="9.8984375" style="1605" customWidth="1"/>
    <col min="1797" max="1797" width="8.19921875" style="1605" customWidth="1"/>
    <col min="1798" max="1798" width="8.3984375" style="1605" customWidth="1"/>
    <col min="1799" max="1799" width="7.8984375" style="1605" customWidth="1"/>
    <col min="1800" max="1800" width="10.8984375" style="1605" customWidth="1"/>
    <col min="1801" max="1801" width="8.19921875" style="1605" customWidth="1"/>
    <col min="1802" max="1802" width="11.8984375" style="1605" customWidth="1"/>
    <col min="1803" max="2048" width="9.3984375" style="1605"/>
    <col min="2049" max="2049" width="5.19921875" style="1605" customWidth="1"/>
    <col min="2050" max="2050" width="41.59765625" style="1605" customWidth="1"/>
    <col min="2051" max="2052" width="9.8984375" style="1605" customWidth="1"/>
    <col min="2053" max="2053" width="8.19921875" style="1605" customWidth="1"/>
    <col min="2054" max="2054" width="8.3984375" style="1605" customWidth="1"/>
    <col min="2055" max="2055" width="7.8984375" style="1605" customWidth="1"/>
    <col min="2056" max="2056" width="10.8984375" style="1605" customWidth="1"/>
    <col min="2057" max="2057" width="8.19921875" style="1605" customWidth="1"/>
    <col min="2058" max="2058" width="11.8984375" style="1605" customWidth="1"/>
    <col min="2059" max="2304" width="9.3984375" style="1605"/>
    <col min="2305" max="2305" width="5.19921875" style="1605" customWidth="1"/>
    <col min="2306" max="2306" width="41.59765625" style="1605" customWidth="1"/>
    <col min="2307" max="2308" width="9.8984375" style="1605" customWidth="1"/>
    <col min="2309" max="2309" width="8.19921875" style="1605" customWidth="1"/>
    <col min="2310" max="2310" width="8.3984375" style="1605" customWidth="1"/>
    <col min="2311" max="2311" width="7.8984375" style="1605" customWidth="1"/>
    <col min="2312" max="2312" width="10.8984375" style="1605" customWidth="1"/>
    <col min="2313" max="2313" width="8.19921875" style="1605" customWidth="1"/>
    <col min="2314" max="2314" width="11.8984375" style="1605" customWidth="1"/>
    <col min="2315" max="2560" width="9.3984375" style="1605"/>
    <col min="2561" max="2561" width="5.19921875" style="1605" customWidth="1"/>
    <col min="2562" max="2562" width="41.59765625" style="1605" customWidth="1"/>
    <col min="2563" max="2564" width="9.8984375" style="1605" customWidth="1"/>
    <col min="2565" max="2565" width="8.19921875" style="1605" customWidth="1"/>
    <col min="2566" max="2566" width="8.3984375" style="1605" customWidth="1"/>
    <col min="2567" max="2567" width="7.8984375" style="1605" customWidth="1"/>
    <col min="2568" max="2568" width="10.8984375" style="1605" customWidth="1"/>
    <col min="2569" max="2569" width="8.19921875" style="1605" customWidth="1"/>
    <col min="2570" max="2570" width="11.8984375" style="1605" customWidth="1"/>
    <col min="2571" max="2816" width="9.3984375" style="1605"/>
    <col min="2817" max="2817" width="5.19921875" style="1605" customWidth="1"/>
    <col min="2818" max="2818" width="41.59765625" style="1605" customWidth="1"/>
    <col min="2819" max="2820" width="9.8984375" style="1605" customWidth="1"/>
    <col min="2821" max="2821" width="8.19921875" style="1605" customWidth="1"/>
    <col min="2822" max="2822" width="8.3984375" style="1605" customWidth="1"/>
    <col min="2823" max="2823" width="7.8984375" style="1605" customWidth="1"/>
    <col min="2824" max="2824" width="10.8984375" style="1605" customWidth="1"/>
    <col min="2825" max="2825" width="8.19921875" style="1605" customWidth="1"/>
    <col min="2826" max="2826" width="11.8984375" style="1605" customWidth="1"/>
    <col min="2827" max="3072" width="9.3984375" style="1605"/>
    <col min="3073" max="3073" width="5.19921875" style="1605" customWidth="1"/>
    <col min="3074" max="3074" width="41.59765625" style="1605" customWidth="1"/>
    <col min="3075" max="3076" width="9.8984375" style="1605" customWidth="1"/>
    <col min="3077" max="3077" width="8.19921875" style="1605" customWidth="1"/>
    <col min="3078" max="3078" width="8.3984375" style="1605" customWidth="1"/>
    <col min="3079" max="3079" width="7.8984375" style="1605" customWidth="1"/>
    <col min="3080" max="3080" width="10.8984375" style="1605" customWidth="1"/>
    <col min="3081" max="3081" width="8.19921875" style="1605" customWidth="1"/>
    <col min="3082" max="3082" width="11.8984375" style="1605" customWidth="1"/>
    <col min="3083" max="3328" width="9.3984375" style="1605"/>
    <col min="3329" max="3329" width="5.19921875" style="1605" customWidth="1"/>
    <col min="3330" max="3330" width="41.59765625" style="1605" customWidth="1"/>
    <col min="3331" max="3332" width="9.8984375" style="1605" customWidth="1"/>
    <col min="3333" max="3333" width="8.19921875" style="1605" customWidth="1"/>
    <col min="3334" max="3334" width="8.3984375" style="1605" customWidth="1"/>
    <col min="3335" max="3335" width="7.8984375" style="1605" customWidth="1"/>
    <col min="3336" max="3336" width="10.8984375" style="1605" customWidth="1"/>
    <col min="3337" max="3337" width="8.19921875" style="1605" customWidth="1"/>
    <col min="3338" max="3338" width="11.8984375" style="1605" customWidth="1"/>
    <col min="3339" max="3584" width="9.3984375" style="1605"/>
    <col min="3585" max="3585" width="5.19921875" style="1605" customWidth="1"/>
    <col min="3586" max="3586" width="41.59765625" style="1605" customWidth="1"/>
    <col min="3587" max="3588" width="9.8984375" style="1605" customWidth="1"/>
    <col min="3589" max="3589" width="8.19921875" style="1605" customWidth="1"/>
    <col min="3590" max="3590" width="8.3984375" style="1605" customWidth="1"/>
    <col min="3591" max="3591" width="7.8984375" style="1605" customWidth="1"/>
    <col min="3592" max="3592" width="10.8984375" style="1605" customWidth="1"/>
    <col min="3593" max="3593" width="8.19921875" style="1605" customWidth="1"/>
    <col min="3594" max="3594" width="11.8984375" style="1605" customWidth="1"/>
    <col min="3595" max="3840" width="9.3984375" style="1605"/>
    <col min="3841" max="3841" width="5.19921875" style="1605" customWidth="1"/>
    <col min="3842" max="3842" width="41.59765625" style="1605" customWidth="1"/>
    <col min="3843" max="3844" width="9.8984375" style="1605" customWidth="1"/>
    <col min="3845" max="3845" width="8.19921875" style="1605" customWidth="1"/>
    <col min="3846" max="3846" width="8.3984375" style="1605" customWidth="1"/>
    <col min="3847" max="3847" width="7.8984375" style="1605" customWidth="1"/>
    <col min="3848" max="3848" width="10.8984375" style="1605" customWidth="1"/>
    <col min="3849" max="3849" width="8.19921875" style="1605" customWidth="1"/>
    <col min="3850" max="3850" width="11.8984375" style="1605" customWidth="1"/>
    <col min="3851" max="4096" width="9.3984375" style="1605"/>
    <col min="4097" max="4097" width="5.19921875" style="1605" customWidth="1"/>
    <col min="4098" max="4098" width="41.59765625" style="1605" customWidth="1"/>
    <col min="4099" max="4100" width="9.8984375" style="1605" customWidth="1"/>
    <col min="4101" max="4101" width="8.19921875" style="1605" customWidth="1"/>
    <col min="4102" max="4102" width="8.3984375" style="1605" customWidth="1"/>
    <col min="4103" max="4103" width="7.8984375" style="1605" customWidth="1"/>
    <col min="4104" max="4104" width="10.8984375" style="1605" customWidth="1"/>
    <col min="4105" max="4105" width="8.19921875" style="1605" customWidth="1"/>
    <col min="4106" max="4106" width="11.8984375" style="1605" customWidth="1"/>
    <col min="4107" max="4352" width="9.3984375" style="1605"/>
    <col min="4353" max="4353" width="5.19921875" style="1605" customWidth="1"/>
    <col min="4354" max="4354" width="41.59765625" style="1605" customWidth="1"/>
    <col min="4355" max="4356" width="9.8984375" style="1605" customWidth="1"/>
    <col min="4357" max="4357" width="8.19921875" style="1605" customWidth="1"/>
    <col min="4358" max="4358" width="8.3984375" style="1605" customWidth="1"/>
    <col min="4359" max="4359" width="7.8984375" style="1605" customWidth="1"/>
    <col min="4360" max="4360" width="10.8984375" style="1605" customWidth="1"/>
    <col min="4361" max="4361" width="8.19921875" style="1605" customWidth="1"/>
    <col min="4362" max="4362" width="11.8984375" style="1605" customWidth="1"/>
    <col min="4363" max="4608" width="9.3984375" style="1605"/>
    <col min="4609" max="4609" width="5.19921875" style="1605" customWidth="1"/>
    <col min="4610" max="4610" width="41.59765625" style="1605" customWidth="1"/>
    <col min="4611" max="4612" width="9.8984375" style="1605" customWidth="1"/>
    <col min="4613" max="4613" width="8.19921875" style="1605" customWidth="1"/>
    <col min="4614" max="4614" width="8.3984375" style="1605" customWidth="1"/>
    <col min="4615" max="4615" width="7.8984375" style="1605" customWidth="1"/>
    <col min="4616" max="4616" width="10.8984375" style="1605" customWidth="1"/>
    <col min="4617" max="4617" width="8.19921875" style="1605" customWidth="1"/>
    <col min="4618" max="4618" width="11.8984375" style="1605" customWidth="1"/>
    <col min="4619" max="4864" width="9.3984375" style="1605"/>
    <col min="4865" max="4865" width="5.19921875" style="1605" customWidth="1"/>
    <col min="4866" max="4866" width="41.59765625" style="1605" customWidth="1"/>
    <col min="4867" max="4868" width="9.8984375" style="1605" customWidth="1"/>
    <col min="4869" max="4869" width="8.19921875" style="1605" customWidth="1"/>
    <col min="4870" max="4870" width="8.3984375" style="1605" customWidth="1"/>
    <col min="4871" max="4871" width="7.8984375" style="1605" customWidth="1"/>
    <col min="4872" max="4872" width="10.8984375" style="1605" customWidth="1"/>
    <col min="4873" max="4873" width="8.19921875" style="1605" customWidth="1"/>
    <col min="4874" max="4874" width="11.8984375" style="1605" customWidth="1"/>
    <col min="4875" max="5120" width="9.3984375" style="1605"/>
    <col min="5121" max="5121" width="5.19921875" style="1605" customWidth="1"/>
    <col min="5122" max="5122" width="41.59765625" style="1605" customWidth="1"/>
    <col min="5123" max="5124" width="9.8984375" style="1605" customWidth="1"/>
    <col min="5125" max="5125" width="8.19921875" style="1605" customWidth="1"/>
    <col min="5126" max="5126" width="8.3984375" style="1605" customWidth="1"/>
    <col min="5127" max="5127" width="7.8984375" style="1605" customWidth="1"/>
    <col min="5128" max="5128" width="10.8984375" style="1605" customWidth="1"/>
    <col min="5129" max="5129" width="8.19921875" style="1605" customWidth="1"/>
    <col min="5130" max="5130" width="11.8984375" style="1605" customWidth="1"/>
    <col min="5131" max="5376" width="9.3984375" style="1605"/>
    <col min="5377" max="5377" width="5.19921875" style="1605" customWidth="1"/>
    <col min="5378" max="5378" width="41.59765625" style="1605" customWidth="1"/>
    <col min="5379" max="5380" width="9.8984375" style="1605" customWidth="1"/>
    <col min="5381" max="5381" width="8.19921875" style="1605" customWidth="1"/>
    <col min="5382" max="5382" width="8.3984375" style="1605" customWidth="1"/>
    <col min="5383" max="5383" width="7.8984375" style="1605" customWidth="1"/>
    <col min="5384" max="5384" width="10.8984375" style="1605" customWidth="1"/>
    <col min="5385" max="5385" width="8.19921875" style="1605" customWidth="1"/>
    <col min="5386" max="5386" width="11.8984375" style="1605" customWidth="1"/>
    <col min="5387" max="5632" width="9.3984375" style="1605"/>
    <col min="5633" max="5633" width="5.19921875" style="1605" customWidth="1"/>
    <col min="5634" max="5634" width="41.59765625" style="1605" customWidth="1"/>
    <col min="5635" max="5636" width="9.8984375" style="1605" customWidth="1"/>
    <col min="5637" max="5637" width="8.19921875" style="1605" customWidth="1"/>
    <col min="5638" max="5638" width="8.3984375" style="1605" customWidth="1"/>
    <col min="5639" max="5639" width="7.8984375" style="1605" customWidth="1"/>
    <col min="5640" max="5640" width="10.8984375" style="1605" customWidth="1"/>
    <col min="5641" max="5641" width="8.19921875" style="1605" customWidth="1"/>
    <col min="5642" max="5642" width="11.8984375" style="1605" customWidth="1"/>
    <col min="5643" max="5888" width="9.3984375" style="1605"/>
    <col min="5889" max="5889" width="5.19921875" style="1605" customWidth="1"/>
    <col min="5890" max="5890" width="41.59765625" style="1605" customWidth="1"/>
    <col min="5891" max="5892" width="9.8984375" style="1605" customWidth="1"/>
    <col min="5893" max="5893" width="8.19921875" style="1605" customWidth="1"/>
    <col min="5894" max="5894" width="8.3984375" style="1605" customWidth="1"/>
    <col min="5895" max="5895" width="7.8984375" style="1605" customWidth="1"/>
    <col min="5896" max="5896" width="10.8984375" style="1605" customWidth="1"/>
    <col min="5897" max="5897" width="8.19921875" style="1605" customWidth="1"/>
    <col min="5898" max="5898" width="11.8984375" style="1605" customWidth="1"/>
    <col min="5899" max="6144" width="9.3984375" style="1605"/>
    <col min="6145" max="6145" width="5.19921875" style="1605" customWidth="1"/>
    <col min="6146" max="6146" width="41.59765625" style="1605" customWidth="1"/>
    <col min="6147" max="6148" width="9.8984375" style="1605" customWidth="1"/>
    <col min="6149" max="6149" width="8.19921875" style="1605" customWidth="1"/>
    <col min="6150" max="6150" width="8.3984375" style="1605" customWidth="1"/>
    <col min="6151" max="6151" width="7.8984375" style="1605" customWidth="1"/>
    <col min="6152" max="6152" width="10.8984375" style="1605" customWidth="1"/>
    <col min="6153" max="6153" width="8.19921875" style="1605" customWidth="1"/>
    <col min="6154" max="6154" width="11.8984375" style="1605" customWidth="1"/>
    <col min="6155" max="6400" width="9.3984375" style="1605"/>
    <col min="6401" max="6401" width="5.19921875" style="1605" customWidth="1"/>
    <col min="6402" max="6402" width="41.59765625" style="1605" customWidth="1"/>
    <col min="6403" max="6404" width="9.8984375" style="1605" customWidth="1"/>
    <col min="6405" max="6405" width="8.19921875" style="1605" customWidth="1"/>
    <col min="6406" max="6406" width="8.3984375" style="1605" customWidth="1"/>
    <col min="6407" max="6407" width="7.8984375" style="1605" customWidth="1"/>
    <col min="6408" max="6408" width="10.8984375" style="1605" customWidth="1"/>
    <col min="6409" max="6409" width="8.19921875" style="1605" customWidth="1"/>
    <col min="6410" max="6410" width="11.8984375" style="1605" customWidth="1"/>
    <col min="6411" max="6656" width="9.3984375" style="1605"/>
    <col min="6657" max="6657" width="5.19921875" style="1605" customWidth="1"/>
    <col min="6658" max="6658" width="41.59765625" style="1605" customWidth="1"/>
    <col min="6659" max="6660" width="9.8984375" style="1605" customWidth="1"/>
    <col min="6661" max="6661" width="8.19921875" style="1605" customWidth="1"/>
    <col min="6662" max="6662" width="8.3984375" style="1605" customWidth="1"/>
    <col min="6663" max="6663" width="7.8984375" style="1605" customWidth="1"/>
    <col min="6664" max="6664" width="10.8984375" style="1605" customWidth="1"/>
    <col min="6665" max="6665" width="8.19921875" style="1605" customWidth="1"/>
    <col min="6666" max="6666" width="11.8984375" style="1605" customWidth="1"/>
    <col min="6667" max="6912" width="9.3984375" style="1605"/>
    <col min="6913" max="6913" width="5.19921875" style="1605" customWidth="1"/>
    <col min="6914" max="6914" width="41.59765625" style="1605" customWidth="1"/>
    <col min="6915" max="6916" width="9.8984375" style="1605" customWidth="1"/>
    <col min="6917" max="6917" width="8.19921875" style="1605" customWidth="1"/>
    <col min="6918" max="6918" width="8.3984375" style="1605" customWidth="1"/>
    <col min="6919" max="6919" width="7.8984375" style="1605" customWidth="1"/>
    <col min="6920" max="6920" width="10.8984375" style="1605" customWidth="1"/>
    <col min="6921" max="6921" width="8.19921875" style="1605" customWidth="1"/>
    <col min="6922" max="6922" width="11.8984375" style="1605" customWidth="1"/>
    <col min="6923" max="7168" width="9.3984375" style="1605"/>
    <col min="7169" max="7169" width="5.19921875" style="1605" customWidth="1"/>
    <col min="7170" max="7170" width="41.59765625" style="1605" customWidth="1"/>
    <col min="7171" max="7172" width="9.8984375" style="1605" customWidth="1"/>
    <col min="7173" max="7173" width="8.19921875" style="1605" customWidth="1"/>
    <col min="7174" max="7174" width="8.3984375" style="1605" customWidth="1"/>
    <col min="7175" max="7175" width="7.8984375" style="1605" customWidth="1"/>
    <col min="7176" max="7176" width="10.8984375" style="1605" customWidth="1"/>
    <col min="7177" max="7177" width="8.19921875" style="1605" customWidth="1"/>
    <col min="7178" max="7178" width="11.8984375" style="1605" customWidth="1"/>
    <col min="7179" max="7424" width="9.3984375" style="1605"/>
    <col min="7425" max="7425" width="5.19921875" style="1605" customWidth="1"/>
    <col min="7426" max="7426" width="41.59765625" style="1605" customWidth="1"/>
    <col min="7427" max="7428" width="9.8984375" style="1605" customWidth="1"/>
    <col min="7429" max="7429" width="8.19921875" style="1605" customWidth="1"/>
    <col min="7430" max="7430" width="8.3984375" style="1605" customWidth="1"/>
    <col min="7431" max="7431" width="7.8984375" style="1605" customWidth="1"/>
    <col min="7432" max="7432" width="10.8984375" style="1605" customWidth="1"/>
    <col min="7433" max="7433" width="8.19921875" style="1605" customWidth="1"/>
    <col min="7434" max="7434" width="11.8984375" style="1605" customWidth="1"/>
    <col min="7435" max="7680" width="9.3984375" style="1605"/>
    <col min="7681" max="7681" width="5.19921875" style="1605" customWidth="1"/>
    <col min="7682" max="7682" width="41.59765625" style="1605" customWidth="1"/>
    <col min="7683" max="7684" width="9.8984375" style="1605" customWidth="1"/>
    <col min="7685" max="7685" width="8.19921875" style="1605" customWidth="1"/>
    <col min="7686" max="7686" width="8.3984375" style="1605" customWidth="1"/>
    <col min="7687" max="7687" width="7.8984375" style="1605" customWidth="1"/>
    <col min="7688" max="7688" width="10.8984375" style="1605" customWidth="1"/>
    <col min="7689" max="7689" width="8.19921875" style="1605" customWidth="1"/>
    <col min="7690" max="7690" width="11.8984375" style="1605" customWidth="1"/>
    <col min="7691" max="7936" width="9.3984375" style="1605"/>
    <col min="7937" max="7937" width="5.19921875" style="1605" customWidth="1"/>
    <col min="7938" max="7938" width="41.59765625" style="1605" customWidth="1"/>
    <col min="7939" max="7940" width="9.8984375" style="1605" customWidth="1"/>
    <col min="7941" max="7941" width="8.19921875" style="1605" customWidth="1"/>
    <col min="7942" max="7942" width="8.3984375" style="1605" customWidth="1"/>
    <col min="7943" max="7943" width="7.8984375" style="1605" customWidth="1"/>
    <col min="7944" max="7944" width="10.8984375" style="1605" customWidth="1"/>
    <col min="7945" max="7945" width="8.19921875" style="1605" customWidth="1"/>
    <col min="7946" max="7946" width="11.8984375" style="1605" customWidth="1"/>
    <col min="7947" max="8192" width="9.3984375" style="1605"/>
    <col min="8193" max="8193" width="5.19921875" style="1605" customWidth="1"/>
    <col min="8194" max="8194" width="41.59765625" style="1605" customWidth="1"/>
    <col min="8195" max="8196" width="9.8984375" style="1605" customWidth="1"/>
    <col min="8197" max="8197" width="8.19921875" style="1605" customWidth="1"/>
    <col min="8198" max="8198" width="8.3984375" style="1605" customWidth="1"/>
    <col min="8199" max="8199" width="7.8984375" style="1605" customWidth="1"/>
    <col min="8200" max="8200" width="10.8984375" style="1605" customWidth="1"/>
    <col min="8201" max="8201" width="8.19921875" style="1605" customWidth="1"/>
    <col min="8202" max="8202" width="11.8984375" style="1605" customWidth="1"/>
    <col min="8203" max="8448" width="9.3984375" style="1605"/>
    <col min="8449" max="8449" width="5.19921875" style="1605" customWidth="1"/>
    <col min="8450" max="8450" width="41.59765625" style="1605" customWidth="1"/>
    <col min="8451" max="8452" width="9.8984375" style="1605" customWidth="1"/>
    <col min="8453" max="8453" width="8.19921875" style="1605" customWidth="1"/>
    <col min="8454" max="8454" width="8.3984375" style="1605" customWidth="1"/>
    <col min="8455" max="8455" width="7.8984375" style="1605" customWidth="1"/>
    <col min="8456" max="8456" width="10.8984375" style="1605" customWidth="1"/>
    <col min="8457" max="8457" width="8.19921875" style="1605" customWidth="1"/>
    <col min="8458" max="8458" width="11.8984375" style="1605" customWidth="1"/>
    <col min="8459" max="8704" width="9.3984375" style="1605"/>
    <col min="8705" max="8705" width="5.19921875" style="1605" customWidth="1"/>
    <col min="8706" max="8706" width="41.59765625" style="1605" customWidth="1"/>
    <col min="8707" max="8708" width="9.8984375" style="1605" customWidth="1"/>
    <col min="8709" max="8709" width="8.19921875" style="1605" customWidth="1"/>
    <col min="8710" max="8710" width="8.3984375" style="1605" customWidth="1"/>
    <col min="8711" max="8711" width="7.8984375" style="1605" customWidth="1"/>
    <col min="8712" max="8712" width="10.8984375" style="1605" customWidth="1"/>
    <col min="8713" max="8713" width="8.19921875" style="1605" customWidth="1"/>
    <col min="8714" max="8714" width="11.8984375" style="1605" customWidth="1"/>
    <col min="8715" max="8960" width="9.3984375" style="1605"/>
    <col min="8961" max="8961" width="5.19921875" style="1605" customWidth="1"/>
    <col min="8962" max="8962" width="41.59765625" style="1605" customWidth="1"/>
    <col min="8963" max="8964" width="9.8984375" style="1605" customWidth="1"/>
    <col min="8965" max="8965" width="8.19921875" style="1605" customWidth="1"/>
    <col min="8966" max="8966" width="8.3984375" style="1605" customWidth="1"/>
    <col min="8967" max="8967" width="7.8984375" style="1605" customWidth="1"/>
    <col min="8968" max="8968" width="10.8984375" style="1605" customWidth="1"/>
    <col min="8969" max="8969" width="8.19921875" style="1605" customWidth="1"/>
    <col min="8970" max="8970" width="11.8984375" style="1605" customWidth="1"/>
    <col min="8971" max="9216" width="9.3984375" style="1605"/>
    <col min="9217" max="9217" width="5.19921875" style="1605" customWidth="1"/>
    <col min="9218" max="9218" width="41.59765625" style="1605" customWidth="1"/>
    <col min="9219" max="9220" width="9.8984375" style="1605" customWidth="1"/>
    <col min="9221" max="9221" width="8.19921875" style="1605" customWidth="1"/>
    <col min="9222" max="9222" width="8.3984375" style="1605" customWidth="1"/>
    <col min="9223" max="9223" width="7.8984375" style="1605" customWidth="1"/>
    <col min="9224" max="9224" width="10.8984375" style="1605" customWidth="1"/>
    <col min="9225" max="9225" width="8.19921875" style="1605" customWidth="1"/>
    <col min="9226" max="9226" width="11.8984375" style="1605" customWidth="1"/>
    <col min="9227" max="9472" width="9.3984375" style="1605"/>
    <col min="9473" max="9473" width="5.19921875" style="1605" customWidth="1"/>
    <col min="9474" max="9474" width="41.59765625" style="1605" customWidth="1"/>
    <col min="9475" max="9476" width="9.8984375" style="1605" customWidth="1"/>
    <col min="9477" max="9477" width="8.19921875" style="1605" customWidth="1"/>
    <col min="9478" max="9478" width="8.3984375" style="1605" customWidth="1"/>
    <col min="9479" max="9479" width="7.8984375" style="1605" customWidth="1"/>
    <col min="9480" max="9480" width="10.8984375" style="1605" customWidth="1"/>
    <col min="9481" max="9481" width="8.19921875" style="1605" customWidth="1"/>
    <col min="9482" max="9482" width="11.8984375" style="1605" customWidth="1"/>
    <col min="9483" max="9728" width="9.3984375" style="1605"/>
    <col min="9729" max="9729" width="5.19921875" style="1605" customWidth="1"/>
    <col min="9730" max="9730" width="41.59765625" style="1605" customWidth="1"/>
    <col min="9731" max="9732" width="9.8984375" style="1605" customWidth="1"/>
    <col min="9733" max="9733" width="8.19921875" style="1605" customWidth="1"/>
    <col min="9734" max="9734" width="8.3984375" style="1605" customWidth="1"/>
    <col min="9735" max="9735" width="7.8984375" style="1605" customWidth="1"/>
    <col min="9736" max="9736" width="10.8984375" style="1605" customWidth="1"/>
    <col min="9737" max="9737" width="8.19921875" style="1605" customWidth="1"/>
    <col min="9738" max="9738" width="11.8984375" style="1605" customWidth="1"/>
    <col min="9739" max="9984" width="9.3984375" style="1605"/>
    <col min="9985" max="9985" width="5.19921875" style="1605" customWidth="1"/>
    <col min="9986" max="9986" width="41.59765625" style="1605" customWidth="1"/>
    <col min="9987" max="9988" width="9.8984375" style="1605" customWidth="1"/>
    <col min="9989" max="9989" width="8.19921875" style="1605" customWidth="1"/>
    <col min="9990" max="9990" width="8.3984375" style="1605" customWidth="1"/>
    <col min="9991" max="9991" width="7.8984375" style="1605" customWidth="1"/>
    <col min="9992" max="9992" width="10.8984375" style="1605" customWidth="1"/>
    <col min="9993" max="9993" width="8.19921875" style="1605" customWidth="1"/>
    <col min="9994" max="9994" width="11.8984375" style="1605" customWidth="1"/>
    <col min="9995" max="10240" width="9.3984375" style="1605"/>
    <col min="10241" max="10241" width="5.19921875" style="1605" customWidth="1"/>
    <col min="10242" max="10242" width="41.59765625" style="1605" customWidth="1"/>
    <col min="10243" max="10244" width="9.8984375" style="1605" customWidth="1"/>
    <col min="10245" max="10245" width="8.19921875" style="1605" customWidth="1"/>
    <col min="10246" max="10246" width="8.3984375" style="1605" customWidth="1"/>
    <col min="10247" max="10247" width="7.8984375" style="1605" customWidth="1"/>
    <col min="10248" max="10248" width="10.8984375" style="1605" customWidth="1"/>
    <col min="10249" max="10249" width="8.19921875" style="1605" customWidth="1"/>
    <col min="10250" max="10250" width="11.8984375" style="1605" customWidth="1"/>
    <col min="10251" max="10496" width="9.3984375" style="1605"/>
    <col min="10497" max="10497" width="5.19921875" style="1605" customWidth="1"/>
    <col min="10498" max="10498" width="41.59765625" style="1605" customWidth="1"/>
    <col min="10499" max="10500" width="9.8984375" style="1605" customWidth="1"/>
    <col min="10501" max="10501" width="8.19921875" style="1605" customWidth="1"/>
    <col min="10502" max="10502" width="8.3984375" style="1605" customWidth="1"/>
    <col min="10503" max="10503" width="7.8984375" style="1605" customWidth="1"/>
    <col min="10504" max="10504" width="10.8984375" style="1605" customWidth="1"/>
    <col min="10505" max="10505" width="8.19921875" style="1605" customWidth="1"/>
    <col min="10506" max="10506" width="11.8984375" style="1605" customWidth="1"/>
    <col min="10507" max="10752" width="9.3984375" style="1605"/>
    <col min="10753" max="10753" width="5.19921875" style="1605" customWidth="1"/>
    <col min="10754" max="10754" width="41.59765625" style="1605" customWidth="1"/>
    <col min="10755" max="10756" width="9.8984375" style="1605" customWidth="1"/>
    <col min="10757" max="10757" width="8.19921875" style="1605" customWidth="1"/>
    <col min="10758" max="10758" width="8.3984375" style="1605" customWidth="1"/>
    <col min="10759" max="10759" width="7.8984375" style="1605" customWidth="1"/>
    <col min="10760" max="10760" width="10.8984375" style="1605" customWidth="1"/>
    <col min="10761" max="10761" width="8.19921875" style="1605" customWidth="1"/>
    <col min="10762" max="10762" width="11.8984375" style="1605" customWidth="1"/>
    <col min="10763" max="11008" width="9.3984375" style="1605"/>
    <col min="11009" max="11009" width="5.19921875" style="1605" customWidth="1"/>
    <col min="11010" max="11010" width="41.59765625" style="1605" customWidth="1"/>
    <col min="11011" max="11012" width="9.8984375" style="1605" customWidth="1"/>
    <col min="11013" max="11013" width="8.19921875" style="1605" customWidth="1"/>
    <col min="11014" max="11014" width="8.3984375" style="1605" customWidth="1"/>
    <col min="11015" max="11015" width="7.8984375" style="1605" customWidth="1"/>
    <col min="11016" max="11016" width="10.8984375" style="1605" customWidth="1"/>
    <col min="11017" max="11017" width="8.19921875" style="1605" customWidth="1"/>
    <col min="11018" max="11018" width="11.8984375" style="1605" customWidth="1"/>
    <col min="11019" max="11264" width="9.3984375" style="1605"/>
    <col min="11265" max="11265" width="5.19921875" style="1605" customWidth="1"/>
    <col min="11266" max="11266" width="41.59765625" style="1605" customWidth="1"/>
    <col min="11267" max="11268" width="9.8984375" style="1605" customWidth="1"/>
    <col min="11269" max="11269" width="8.19921875" style="1605" customWidth="1"/>
    <col min="11270" max="11270" width="8.3984375" style="1605" customWidth="1"/>
    <col min="11271" max="11271" width="7.8984375" style="1605" customWidth="1"/>
    <col min="11272" max="11272" width="10.8984375" style="1605" customWidth="1"/>
    <col min="11273" max="11273" width="8.19921875" style="1605" customWidth="1"/>
    <col min="11274" max="11274" width="11.8984375" style="1605" customWidth="1"/>
    <col min="11275" max="11520" width="9.3984375" style="1605"/>
    <col min="11521" max="11521" width="5.19921875" style="1605" customWidth="1"/>
    <col min="11522" max="11522" width="41.59765625" style="1605" customWidth="1"/>
    <col min="11523" max="11524" width="9.8984375" style="1605" customWidth="1"/>
    <col min="11525" max="11525" width="8.19921875" style="1605" customWidth="1"/>
    <col min="11526" max="11526" width="8.3984375" style="1605" customWidth="1"/>
    <col min="11527" max="11527" width="7.8984375" style="1605" customWidth="1"/>
    <col min="11528" max="11528" width="10.8984375" style="1605" customWidth="1"/>
    <col min="11529" max="11529" width="8.19921875" style="1605" customWidth="1"/>
    <col min="11530" max="11530" width="11.8984375" style="1605" customWidth="1"/>
    <col min="11531" max="11776" width="9.3984375" style="1605"/>
    <col min="11777" max="11777" width="5.19921875" style="1605" customWidth="1"/>
    <col min="11778" max="11778" width="41.59765625" style="1605" customWidth="1"/>
    <col min="11779" max="11780" width="9.8984375" style="1605" customWidth="1"/>
    <col min="11781" max="11781" width="8.19921875" style="1605" customWidth="1"/>
    <col min="11782" max="11782" width="8.3984375" style="1605" customWidth="1"/>
    <col min="11783" max="11783" width="7.8984375" style="1605" customWidth="1"/>
    <col min="11784" max="11784" width="10.8984375" style="1605" customWidth="1"/>
    <col min="11785" max="11785" width="8.19921875" style="1605" customWidth="1"/>
    <col min="11786" max="11786" width="11.8984375" style="1605" customWidth="1"/>
    <col min="11787" max="12032" width="9.3984375" style="1605"/>
    <col min="12033" max="12033" width="5.19921875" style="1605" customWidth="1"/>
    <col min="12034" max="12034" width="41.59765625" style="1605" customWidth="1"/>
    <col min="12035" max="12036" width="9.8984375" style="1605" customWidth="1"/>
    <col min="12037" max="12037" width="8.19921875" style="1605" customWidth="1"/>
    <col min="12038" max="12038" width="8.3984375" style="1605" customWidth="1"/>
    <col min="12039" max="12039" width="7.8984375" style="1605" customWidth="1"/>
    <col min="12040" max="12040" width="10.8984375" style="1605" customWidth="1"/>
    <col min="12041" max="12041" width="8.19921875" style="1605" customWidth="1"/>
    <col min="12042" max="12042" width="11.8984375" style="1605" customWidth="1"/>
    <col min="12043" max="12288" width="9.3984375" style="1605"/>
    <col min="12289" max="12289" width="5.19921875" style="1605" customWidth="1"/>
    <col min="12290" max="12290" width="41.59765625" style="1605" customWidth="1"/>
    <col min="12291" max="12292" width="9.8984375" style="1605" customWidth="1"/>
    <col min="12293" max="12293" width="8.19921875" style="1605" customWidth="1"/>
    <col min="12294" max="12294" width="8.3984375" style="1605" customWidth="1"/>
    <col min="12295" max="12295" width="7.8984375" style="1605" customWidth="1"/>
    <col min="12296" max="12296" width="10.8984375" style="1605" customWidth="1"/>
    <col min="12297" max="12297" width="8.19921875" style="1605" customWidth="1"/>
    <col min="12298" max="12298" width="11.8984375" style="1605" customWidth="1"/>
    <col min="12299" max="12544" width="9.3984375" style="1605"/>
    <col min="12545" max="12545" width="5.19921875" style="1605" customWidth="1"/>
    <col min="12546" max="12546" width="41.59765625" style="1605" customWidth="1"/>
    <col min="12547" max="12548" width="9.8984375" style="1605" customWidth="1"/>
    <col min="12549" max="12549" width="8.19921875" style="1605" customWidth="1"/>
    <col min="12550" max="12550" width="8.3984375" style="1605" customWidth="1"/>
    <col min="12551" max="12551" width="7.8984375" style="1605" customWidth="1"/>
    <col min="12552" max="12552" width="10.8984375" style="1605" customWidth="1"/>
    <col min="12553" max="12553" width="8.19921875" style="1605" customWidth="1"/>
    <col min="12554" max="12554" width="11.8984375" style="1605" customWidth="1"/>
    <col min="12555" max="12800" width="9.3984375" style="1605"/>
    <col min="12801" max="12801" width="5.19921875" style="1605" customWidth="1"/>
    <col min="12802" max="12802" width="41.59765625" style="1605" customWidth="1"/>
    <col min="12803" max="12804" width="9.8984375" style="1605" customWidth="1"/>
    <col min="12805" max="12805" width="8.19921875" style="1605" customWidth="1"/>
    <col min="12806" max="12806" width="8.3984375" style="1605" customWidth="1"/>
    <col min="12807" max="12807" width="7.8984375" style="1605" customWidth="1"/>
    <col min="12808" max="12808" width="10.8984375" style="1605" customWidth="1"/>
    <col min="12809" max="12809" width="8.19921875" style="1605" customWidth="1"/>
    <col min="12810" max="12810" width="11.8984375" style="1605" customWidth="1"/>
    <col min="12811" max="13056" width="9.3984375" style="1605"/>
    <col min="13057" max="13057" width="5.19921875" style="1605" customWidth="1"/>
    <col min="13058" max="13058" width="41.59765625" style="1605" customWidth="1"/>
    <col min="13059" max="13060" width="9.8984375" style="1605" customWidth="1"/>
    <col min="13061" max="13061" width="8.19921875" style="1605" customWidth="1"/>
    <col min="13062" max="13062" width="8.3984375" style="1605" customWidth="1"/>
    <col min="13063" max="13063" width="7.8984375" style="1605" customWidth="1"/>
    <col min="13064" max="13064" width="10.8984375" style="1605" customWidth="1"/>
    <col min="13065" max="13065" width="8.19921875" style="1605" customWidth="1"/>
    <col min="13066" max="13066" width="11.8984375" style="1605" customWidth="1"/>
    <col min="13067" max="13312" width="9.3984375" style="1605"/>
    <col min="13313" max="13313" width="5.19921875" style="1605" customWidth="1"/>
    <col min="13314" max="13314" width="41.59765625" style="1605" customWidth="1"/>
    <col min="13315" max="13316" width="9.8984375" style="1605" customWidth="1"/>
    <col min="13317" max="13317" width="8.19921875" style="1605" customWidth="1"/>
    <col min="13318" max="13318" width="8.3984375" style="1605" customWidth="1"/>
    <col min="13319" max="13319" width="7.8984375" style="1605" customWidth="1"/>
    <col min="13320" max="13320" width="10.8984375" style="1605" customWidth="1"/>
    <col min="13321" max="13321" width="8.19921875" style="1605" customWidth="1"/>
    <col min="13322" max="13322" width="11.8984375" style="1605" customWidth="1"/>
    <col min="13323" max="13568" width="9.3984375" style="1605"/>
    <col min="13569" max="13569" width="5.19921875" style="1605" customWidth="1"/>
    <col min="13570" max="13570" width="41.59765625" style="1605" customWidth="1"/>
    <col min="13571" max="13572" width="9.8984375" style="1605" customWidth="1"/>
    <col min="13573" max="13573" width="8.19921875" style="1605" customWidth="1"/>
    <col min="13574" max="13574" width="8.3984375" style="1605" customWidth="1"/>
    <col min="13575" max="13575" width="7.8984375" style="1605" customWidth="1"/>
    <col min="13576" max="13576" width="10.8984375" style="1605" customWidth="1"/>
    <col min="13577" max="13577" width="8.19921875" style="1605" customWidth="1"/>
    <col min="13578" max="13578" width="11.8984375" style="1605" customWidth="1"/>
    <col min="13579" max="13824" width="9.3984375" style="1605"/>
    <col min="13825" max="13825" width="5.19921875" style="1605" customWidth="1"/>
    <col min="13826" max="13826" width="41.59765625" style="1605" customWidth="1"/>
    <col min="13827" max="13828" width="9.8984375" style="1605" customWidth="1"/>
    <col min="13829" max="13829" width="8.19921875" style="1605" customWidth="1"/>
    <col min="13830" max="13830" width="8.3984375" style="1605" customWidth="1"/>
    <col min="13831" max="13831" width="7.8984375" style="1605" customWidth="1"/>
    <col min="13832" max="13832" width="10.8984375" style="1605" customWidth="1"/>
    <col min="13833" max="13833" width="8.19921875" style="1605" customWidth="1"/>
    <col min="13834" max="13834" width="11.8984375" style="1605" customWidth="1"/>
    <col min="13835" max="14080" width="9.3984375" style="1605"/>
    <col min="14081" max="14081" width="5.19921875" style="1605" customWidth="1"/>
    <col min="14082" max="14082" width="41.59765625" style="1605" customWidth="1"/>
    <col min="14083" max="14084" width="9.8984375" style="1605" customWidth="1"/>
    <col min="14085" max="14085" width="8.19921875" style="1605" customWidth="1"/>
    <col min="14086" max="14086" width="8.3984375" style="1605" customWidth="1"/>
    <col min="14087" max="14087" width="7.8984375" style="1605" customWidth="1"/>
    <col min="14088" max="14088" width="10.8984375" style="1605" customWidth="1"/>
    <col min="14089" max="14089" width="8.19921875" style="1605" customWidth="1"/>
    <col min="14090" max="14090" width="11.8984375" style="1605" customWidth="1"/>
    <col min="14091" max="14336" width="9.3984375" style="1605"/>
    <col min="14337" max="14337" width="5.19921875" style="1605" customWidth="1"/>
    <col min="14338" max="14338" width="41.59765625" style="1605" customWidth="1"/>
    <col min="14339" max="14340" width="9.8984375" style="1605" customWidth="1"/>
    <col min="14341" max="14341" width="8.19921875" style="1605" customWidth="1"/>
    <col min="14342" max="14342" width="8.3984375" style="1605" customWidth="1"/>
    <col min="14343" max="14343" width="7.8984375" style="1605" customWidth="1"/>
    <col min="14344" max="14344" width="10.8984375" style="1605" customWidth="1"/>
    <col min="14345" max="14345" width="8.19921875" style="1605" customWidth="1"/>
    <col min="14346" max="14346" width="11.8984375" style="1605" customWidth="1"/>
    <col min="14347" max="14592" width="9.3984375" style="1605"/>
    <col min="14593" max="14593" width="5.19921875" style="1605" customWidth="1"/>
    <col min="14594" max="14594" width="41.59765625" style="1605" customWidth="1"/>
    <col min="14595" max="14596" width="9.8984375" style="1605" customWidth="1"/>
    <col min="14597" max="14597" width="8.19921875" style="1605" customWidth="1"/>
    <col min="14598" max="14598" width="8.3984375" style="1605" customWidth="1"/>
    <col min="14599" max="14599" width="7.8984375" style="1605" customWidth="1"/>
    <col min="14600" max="14600" width="10.8984375" style="1605" customWidth="1"/>
    <col min="14601" max="14601" width="8.19921875" style="1605" customWidth="1"/>
    <col min="14602" max="14602" width="11.8984375" style="1605" customWidth="1"/>
    <col min="14603" max="14848" width="9.3984375" style="1605"/>
    <col min="14849" max="14849" width="5.19921875" style="1605" customWidth="1"/>
    <col min="14850" max="14850" width="41.59765625" style="1605" customWidth="1"/>
    <col min="14851" max="14852" width="9.8984375" style="1605" customWidth="1"/>
    <col min="14853" max="14853" width="8.19921875" style="1605" customWidth="1"/>
    <col min="14854" max="14854" width="8.3984375" style="1605" customWidth="1"/>
    <col min="14855" max="14855" width="7.8984375" style="1605" customWidth="1"/>
    <col min="14856" max="14856" width="10.8984375" style="1605" customWidth="1"/>
    <col min="14857" max="14857" width="8.19921875" style="1605" customWidth="1"/>
    <col min="14858" max="14858" width="11.8984375" style="1605" customWidth="1"/>
    <col min="14859" max="15104" width="9.3984375" style="1605"/>
    <col min="15105" max="15105" width="5.19921875" style="1605" customWidth="1"/>
    <col min="15106" max="15106" width="41.59765625" style="1605" customWidth="1"/>
    <col min="15107" max="15108" width="9.8984375" style="1605" customWidth="1"/>
    <col min="15109" max="15109" width="8.19921875" style="1605" customWidth="1"/>
    <col min="15110" max="15110" width="8.3984375" style="1605" customWidth="1"/>
    <col min="15111" max="15111" width="7.8984375" style="1605" customWidth="1"/>
    <col min="15112" max="15112" width="10.8984375" style="1605" customWidth="1"/>
    <col min="15113" max="15113" width="8.19921875" style="1605" customWidth="1"/>
    <col min="15114" max="15114" width="11.8984375" style="1605" customWidth="1"/>
    <col min="15115" max="15360" width="9.3984375" style="1605"/>
    <col min="15361" max="15361" width="5.19921875" style="1605" customWidth="1"/>
    <col min="15362" max="15362" width="41.59765625" style="1605" customWidth="1"/>
    <col min="15363" max="15364" width="9.8984375" style="1605" customWidth="1"/>
    <col min="15365" max="15365" width="8.19921875" style="1605" customWidth="1"/>
    <col min="15366" max="15366" width="8.3984375" style="1605" customWidth="1"/>
    <col min="15367" max="15367" width="7.8984375" style="1605" customWidth="1"/>
    <col min="15368" max="15368" width="10.8984375" style="1605" customWidth="1"/>
    <col min="15369" max="15369" width="8.19921875" style="1605" customWidth="1"/>
    <col min="15370" max="15370" width="11.8984375" style="1605" customWidth="1"/>
    <col min="15371" max="15616" width="9.3984375" style="1605"/>
    <col min="15617" max="15617" width="5.19921875" style="1605" customWidth="1"/>
    <col min="15618" max="15618" width="41.59765625" style="1605" customWidth="1"/>
    <col min="15619" max="15620" width="9.8984375" style="1605" customWidth="1"/>
    <col min="15621" max="15621" width="8.19921875" style="1605" customWidth="1"/>
    <col min="15622" max="15622" width="8.3984375" style="1605" customWidth="1"/>
    <col min="15623" max="15623" width="7.8984375" style="1605" customWidth="1"/>
    <col min="15624" max="15624" width="10.8984375" style="1605" customWidth="1"/>
    <col min="15625" max="15625" width="8.19921875" style="1605" customWidth="1"/>
    <col min="15626" max="15626" width="11.8984375" style="1605" customWidth="1"/>
    <col min="15627" max="15872" width="9.3984375" style="1605"/>
    <col min="15873" max="15873" width="5.19921875" style="1605" customWidth="1"/>
    <col min="15874" max="15874" width="41.59765625" style="1605" customWidth="1"/>
    <col min="15875" max="15876" width="9.8984375" style="1605" customWidth="1"/>
    <col min="15877" max="15877" width="8.19921875" style="1605" customWidth="1"/>
    <col min="15878" max="15878" width="8.3984375" style="1605" customWidth="1"/>
    <col min="15879" max="15879" width="7.8984375" style="1605" customWidth="1"/>
    <col min="15880" max="15880" width="10.8984375" style="1605" customWidth="1"/>
    <col min="15881" max="15881" width="8.19921875" style="1605" customWidth="1"/>
    <col min="15882" max="15882" width="11.8984375" style="1605" customWidth="1"/>
    <col min="15883" max="16128" width="9.3984375" style="1605"/>
    <col min="16129" max="16129" width="5.19921875" style="1605" customWidth="1"/>
    <col min="16130" max="16130" width="41.59765625" style="1605" customWidth="1"/>
    <col min="16131" max="16132" width="9.8984375" style="1605" customWidth="1"/>
    <col min="16133" max="16133" width="8.19921875" style="1605" customWidth="1"/>
    <col min="16134" max="16134" width="8.3984375" style="1605" customWidth="1"/>
    <col min="16135" max="16135" width="7.8984375" style="1605" customWidth="1"/>
    <col min="16136" max="16136" width="10.8984375" style="1605" customWidth="1"/>
    <col min="16137" max="16137" width="8.19921875" style="1605" customWidth="1"/>
    <col min="16138" max="16138" width="11.8984375" style="1605" customWidth="1"/>
    <col min="16139" max="16384" width="9.3984375" style="1605"/>
  </cols>
  <sheetData>
    <row r="1" spans="1:12" s="1583" customFormat="1" ht="20.100000000000001" customHeight="1">
      <c r="A1" s="3378" t="s">
        <v>5611</v>
      </c>
      <c r="B1" s="3378"/>
      <c r="C1" s="3378"/>
      <c r="D1" s="3378"/>
      <c r="E1" s="3378"/>
      <c r="F1" s="3378"/>
      <c r="G1" s="3378"/>
      <c r="H1" s="3378"/>
      <c r="I1" s="3378"/>
      <c r="J1" s="2023"/>
    </row>
    <row r="2" spans="1:12" s="1589" customFormat="1" ht="25.5" customHeight="1">
      <c r="A2" s="3379" t="s">
        <v>5612</v>
      </c>
      <c r="B2" s="3379"/>
      <c r="C2" s="3379"/>
      <c r="D2" s="3379"/>
      <c r="E2" s="3379"/>
      <c r="F2" s="3379"/>
      <c r="G2" s="3379"/>
      <c r="H2" s="3379"/>
      <c r="I2" s="3379"/>
      <c r="J2" s="1867"/>
    </row>
    <row r="3" spans="1:12" s="1603" customFormat="1" ht="28.5" customHeight="1">
      <c r="A3" s="3380" t="s">
        <v>1854</v>
      </c>
      <c r="B3" s="3383" t="s">
        <v>4975</v>
      </c>
      <c r="C3" s="1865" t="s">
        <v>5613</v>
      </c>
      <c r="D3" s="1865" t="s">
        <v>5614</v>
      </c>
      <c r="E3" s="1865" t="s">
        <v>5615</v>
      </c>
      <c r="F3" s="1865" t="s">
        <v>5616</v>
      </c>
      <c r="G3" s="1865" t="s">
        <v>1523</v>
      </c>
      <c r="H3" s="1839" t="s">
        <v>5617</v>
      </c>
      <c r="I3" s="1865" t="s">
        <v>5618</v>
      </c>
      <c r="J3" s="1865" t="s">
        <v>4901</v>
      </c>
    </row>
    <row r="4" spans="1:12" s="1603" customFormat="1" ht="12.75" customHeight="1">
      <c r="A4" s="3382"/>
      <c r="B4" s="3384"/>
      <c r="C4" s="1837">
        <v>1</v>
      </c>
      <c r="D4" s="1837">
        <v>2</v>
      </c>
      <c r="E4" s="1837">
        <v>3</v>
      </c>
      <c r="F4" s="1837">
        <v>4</v>
      </c>
      <c r="G4" s="1837">
        <v>5</v>
      </c>
      <c r="H4" s="1837" t="s">
        <v>5619</v>
      </c>
      <c r="I4" s="1837">
        <v>7</v>
      </c>
      <c r="J4" s="1838"/>
      <c r="L4" s="1604"/>
    </row>
    <row r="5" spans="1:12" s="1603" customFormat="1" ht="12.75" customHeight="1">
      <c r="A5" s="1837">
        <v>1</v>
      </c>
      <c r="B5" s="1841" t="s">
        <v>5620</v>
      </c>
      <c r="C5" s="2074">
        <f>所得减免优惠审核表!C5</f>
        <v>0</v>
      </c>
      <c r="D5" s="2074">
        <f>所得减免优惠审核表!D5</f>
        <v>0</v>
      </c>
      <c r="E5" s="2074">
        <f>所得减免优惠审核表!E5</f>
        <v>0</v>
      </c>
      <c r="F5" s="2074">
        <f>所得减免优惠审核表!F5</f>
        <v>0</v>
      </c>
      <c r="G5" s="2074">
        <f>所得减免优惠审核表!G5</f>
        <v>0</v>
      </c>
      <c r="H5" s="2074">
        <f>所得减免优惠审核表!H5</f>
        <v>0</v>
      </c>
      <c r="I5" s="2074">
        <f>所得减免优惠审核表!I5</f>
        <v>0</v>
      </c>
      <c r="J5" s="1838"/>
    </row>
    <row r="6" spans="1:12" s="1603" customFormat="1" ht="12.75" customHeight="1">
      <c r="A6" s="1837">
        <v>2</v>
      </c>
      <c r="B6" s="1841" t="s">
        <v>5621</v>
      </c>
      <c r="C6" s="2074">
        <f>所得减免优惠审核表!C6</f>
        <v>0</v>
      </c>
      <c r="D6" s="2074">
        <f>所得减免优惠审核表!D6</f>
        <v>0</v>
      </c>
      <c r="E6" s="2074">
        <f>所得减免优惠审核表!E6</f>
        <v>0</v>
      </c>
      <c r="F6" s="2074">
        <f>所得减免优惠审核表!F6</f>
        <v>0</v>
      </c>
      <c r="G6" s="2074">
        <f>所得减免优惠审核表!G6</f>
        <v>0</v>
      </c>
      <c r="H6" s="2074">
        <f>所得减免优惠审核表!H6</f>
        <v>0</v>
      </c>
      <c r="I6" s="2074">
        <f>所得减免优惠审核表!I6</f>
        <v>0</v>
      </c>
      <c r="J6" s="1838"/>
    </row>
    <row r="7" spans="1:12" s="1603" customFormat="1" ht="25.5" customHeight="1">
      <c r="A7" s="1839">
        <v>3</v>
      </c>
      <c r="B7" s="1840" t="s">
        <v>5622</v>
      </c>
      <c r="C7" s="2074">
        <f>所得减免优惠审核表!C7</f>
        <v>0</v>
      </c>
      <c r="D7" s="2074">
        <f>所得减免优惠审核表!D7</f>
        <v>0</v>
      </c>
      <c r="E7" s="2074">
        <f>所得减免优惠审核表!E7</f>
        <v>0</v>
      </c>
      <c r="F7" s="2074">
        <f>所得减免优惠审核表!F7</f>
        <v>0</v>
      </c>
      <c r="G7" s="2074">
        <f>所得减免优惠审核表!G7</f>
        <v>0</v>
      </c>
      <c r="H7" s="2074">
        <f>所得减免优惠审核表!H7</f>
        <v>0</v>
      </c>
      <c r="I7" s="2074">
        <f>所得减免优惠审核表!I7</f>
        <v>0</v>
      </c>
      <c r="J7" s="1983"/>
    </row>
    <row r="8" spans="1:12" s="1603" customFormat="1" ht="12.75" customHeight="1">
      <c r="A8" s="1837">
        <v>4</v>
      </c>
      <c r="B8" s="1841" t="s">
        <v>5623</v>
      </c>
      <c r="C8" s="2074">
        <f>所得减免优惠审核表!C8</f>
        <v>0</v>
      </c>
      <c r="D8" s="2074">
        <f>所得减免优惠审核表!D8</f>
        <v>0</v>
      </c>
      <c r="E8" s="2074">
        <f>所得减免优惠审核表!E8</f>
        <v>0</v>
      </c>
      <c r="F8" s="2074">
        <f>所得减免优惠审核表!F8</f>
        <v>0</v>
      </c>
      <c r="G8" s="2074">
        <f>所得减免优惠审核表!G8</f>
        <v>0</v>
      </c>
      <c r="H8" s="2074">
        <f>所得减免优惠审核表!H8</f>
        <v>0</v>
      </c>
      <c r="I8" s="2074">
        <f>所得减免优惠审核表!I8</f>
        <v>0</v>
      </c>
      <c r="J8" s="1838"/>
    </row>
    <row r="9" spans="1:12" s="1603" customFormat="1" ht="12.75" customHeight="1">
      <c r="A9" s="1837">
        <v>5</v>
      </c>
      <c r="B9" s="1841" t="s">
        <v>5624</v>
      </c>
      <c r="C9" s="2074">
        <f>所得减免优惠审核表!C9</f>
        <v>0</v>
      </c>
      <c r="D9" s="2074">
        <f>所得减免优惠审核表!D9</f>
        <v>0</v>
      </c>
      <c r="E9" s="2074">
        <f>所得减免优惠审核表!E9</f>
        <v>0</v>
      </c>
      <c r="F9" s="2074">
        <f>所得减免优惠审核表!F9</f>
        <v>0</v>
      </c>
      <c r="G9" s="2074">
        <f>所得减免优惠审核表!G9</f>
        <v>0</v>
      </c>
      <c r="H9" s="2074">
        <f>所得减免优惠审核表!H9</f>
        <v>0</v>
      </c>
      <c r="I9" s="2074">
        <f>所得减免优惠审核表!I9</f>
        <v>0</v>
      </c>
      <c r="J9" s="1838"/>
    </row>
    <row r="10" spans="1:12" s="1603" customFormat="1" ht="12.75" customHeight="1">
      <c r="A10" s="1837">
        <v>6</v>
      </c>
      <c r="B10" s="1841" t="s">
        <v>5625</v>
      </c>
      <c r="C10" s="2074">
        <f>所得减免优惠审核表!C10</f>
        <v>0</v>
      </c>
      <c r="D10" s="2074">
        <f>所得减免优惠审核表!D10</f>
        <v>0</v>
      </c>
      <c r="E10" s="2074">
        <f>所得减免优惠审核表!E10</f>
        <v>0</v>
      </c>
      <c r="F10" s="2074">
        <f>所得减免优惠审核表!F10</f>
        <v>0</v>
      </c>
      <c r="G10" s="2074">
        <f>所得减免优惠审核表!G10</f>
        <v>0</v>
      </c>
      <c r="H10" s="2074">
        <f>所得减免优惠审核表!H10</f>
        <v>0</v>
      </c>
      <c r="I10" s="2074">
        <f>所得减免优惠审核表!I10</f>
        <v>0</v>
      </c>
      <c r="J10" s="1838"/>
    </row>
    <row r="11" spans="1:12" s="1603" customFormat="1" ht="12.75" customHeight="1">
      <c r="A11" s="1837">
        <v>7</v>
      </c>
      <c r="B11" s="1841" t="s">
        <v>5626</v>
      </c>
      <c r="C11" s="2074">
        <f>所得减免优惠审核表!C11</f>
        <v>0</v>
      </c>
      <c r="D11" s="2074">
        <f>所得减免优惠审核表!D11</f>
        <v>0</v>
      </c>
      <c r="E11" s="2074">
        <f>所得减免优惠审核表!E11</f>
        <v>0</v>
      </c>
      <c r="F11" s="2074">
        <f>所得减免优惠审核表!F11</f>
        <v>0</v>
      </c>
      <c r="G11" s="2074">
        <f>所得减免优惠审核表!G11</f>
        <v>0</v>
      </c>
      <c r="H11" s="2074">
        <f>所得减免优惠审核表!H11</f>
        <v>0</v>
      </c>
      <c r="I11" s="2074">
        <f>所得减免优惠审核表!I11</f>
        <v>0</v>
      </c>
      <c r="J11" s="1838"/>
      <c r="K11" s="1772" t="s">
        <v>6467</v>
      </c>
    </row>
    <row r="12" spans="1:12" s="1603" customFormat="1" ht="12.75" customHeight="1">
      <c r="A12" s="1837">
        <v>8</v>
      </c>
      <c r="B12" s="1841" t="s">
        <v>5627</v>
      </c>
      <c r="C12" s="2074">
        <f>所得减免优惠审核表!C12</f>
        <v>0</v>
      </c>
      <c r="D12" s="2074">
        <f>所得减免优惠审核表!D12</f>
        <v>0</v>
      </c>
      <c r="E12" s="2074">
        <f>所得减免优惠审核表!E12</f>
        <v>0</v>
      </c>
      <c r="F12" s="2074">
        <f>所得减免优惠审核表!F12</f>
        <v>0</v>
      </c>
      <c r="G12" s="2074">
        <f>所得减免优惠审核表!G12</f>
        <v>0</v>
      </c>
      <c r="H12" s="2074">
        <f>所得减免优惠审核表!H12</f>
        <v>0</v>
      </c>
      <c r="I12" s="2074">
        <f>所得减免优惠审核表!I12</f>
        <v>0</v>
      </c>
      <c r="J12" s="1838"/>
    </row>
    <row r="13" spans="1:12" s="1603" customFormat="1" ht="28.5" customHeight="1">
      <c r="A13" s="1839">
        <v>9</v>
      </c>
      <c r="B13" s="1840" t="s">
        <v>5628</v>
      </c>
      <c r="C13" s="2074">
        <f>所得减免优惠审核表!C13</f>
        <v>0</v>
      </c>
      <c r="D13" s="2074">
        <f>所得减免优惠审核表!D13</f>
        <v>0</v>
      </c>
      <c r="E13" s="2074">
        <f>所得减免优惠审核表!E13</f>
        <v>0</v>
      </c>
      <c r="F13" s="2074">
        <f>所得减免优惠审核表!F13</f>
        <v>0</v>
      </c>
      <c r="G13" s="2074">
        <f>所得减免优惠审核表!G13</f>
        <v>0</v>
      </c>
      <c r="H13" s="2074">
        <f>所得减免优惠审核表!H13</f>
        <v>0</v>
      </c>
      <c r="I13" s="2074">
        <f>所得减免优惠审核表!I13</f>
        <v>0</v>
      </c>
      <c r="J13" s="1983"/>
    </row>
    <row r="14" spans="1:12" s="1603" customFormat="1" ht="12.75" customHeight="1">
      <c r="A14" s="1837">
        <v>10</v>
      </c>
      <c r="B14" s="1841" t="s">
        <v>5629</v>
      </c>
      <c r="C14" s="2074">
        <f>所得减免优惠审核表!C14</f>
        <v>0</v>
      </c>
      <c r="D14" s="2074">
        <f>所得减免优惠审核表!D14</f>
        <v>0</v>
      </c>
      <c r="E14" s="2074">
        <f>所得减免优惠审核表!E14</f>
        <v>0</v>
      </c>
      <c r="F14" s="2074">
        <f>所得减免优惠审核表!F14</f>
        <v>0</v>
      </c>
      <c r="G14" s="2074">
        <f>所得减免优惠审核表!G14</f>
        <v>0</v>
      </c>
      <c r="H14" s="2074">
        <f>所得减免优惠审核表!H14</f>
        <v>0</v>
      </c>
      <c r="I14" s="2074">
        <f>所得减免优惠审核表!I14</f>
        <v>0</v>
      </c>
      <c r="J14" s="1838"/>
    </row>
    <row r="15" spans="1:12" s="1603" customFormat="1" ht="12.75" customHeight="1">
      <c r="A15" s="1837">
        <v>11</v>
      </c>
      <c r="B15" s="1841" t="s">
        <v>5630</v>
      </c>
      <c r="C15" s="2074">
        <f>所得减免优惠审核表!C15</f>
        <v>0</v>
      </c>
      <c r="D15" s="2074">
        <f>所得减免优惠审核表!D15</f>
        <v>0</v>
      </c>
      <c r="E15" s="2074">
        <f>所得减免优惠审核表!E15</f>
        <v>0</v>
      </c>
      <c r="F15" s="2074">
        <f>所得减免优惠审核表!F15</f>
        <v>0</v>
      </c>
      <c r="G15" s="2074">
        <f>所得减免优惠审核表!G15</f>
        <v>0</v>
      </c>
      <c r="H15" s="2074">
        <f>所得减免优惠审核表!H15</f>
        <v>0</v>
      </c>
      <c r="I15" s="2074">
        <f>所得减免优惠审核表!I15</f>
        <v>0</v>
      </c>
      <c r="J15" s="1838"/>
    </row>
    <row r="16" spans="1:12" s="1603" customFormat="1" ht="12.75" customHeight="1">
      <c r="A16" s="1837">
        <v>12</v>
      </c>
      <c r="B16" s="1841" t="s">
        <v>5505</v>
      </c>
      <c r="C16" s="2074">
        <f>所得减免优惠审核表!C16</f>
        <v>0</v>
      </c>
      <c r="D16" s="2074">
        <f>所得减免优惠审核表!D16</f>
        <v>0</v>
      </c>
      <c r="E16" s="2074">
        <f>所得减免优惠审核表!E16</f>
        <v>0</v>
      </c>
      <c r="F16" s="2074">
        <f>所得减免优惠审核表!F16</f>
        <v>0</v>
      </c>
      <c r="G16" s="2074">
        <f>所得减免优惠审核表!G16</f>
        <v>0</v>
      </c>
      <c r="H16" s="2074">
        <f>所得减免优惠审核表!H16</f>
        <v>0</v>
      </c>
      <c r="I16" s="2074">
        <f>所得减免优惠审核表!I16</f>
        <v>0</v>
      </c>
      <c r="J16" s="1838"/>
    </row>
    <row r="17" spans="1:10" s="1603" customFormat="1" ht="12.75" customHeight="1">
      <c r="A17" s="1837">
        <v>13</v>
      </c>
      <c r="B17" s="1841" t="s">
        <v>5631</v>
      </c>
      <c r="C17" s="2074">
        <f>所得减免优惠审核表!C17</f>
        <v>0</v>
      </c>
      <c r="D17" s="2074">
        <f>所得减免优惠审核表!D17</f>
        <v>0</v>
      </c>
      <c r="E17" s="2074">
        <f>所得减免优惠审核表!E17</f>
        <v>0</v>
      </c>
      <c r="F17" s="2074">
        <f>所得减免优惠审核表!F17</f>
        <v>0</v>
      </c>
      <c r="G17" s="2074">
        <f>所得减免优惠审核表!G17</f>
        <v>0</v>
      </c>
      <c r="H17" s="2074">
        <f>所得减免优惠审核表!H17</f>
        <v>0</v>
      </c>
      <c r="I17" s="2074">
        <f>所得减免优惠审核表!I17</f>
        <v>0</v>
      </c>
      <c r="J17" s="1838"/>
    </row>
    <row r="18" spans="1:10" s="1603" customFormat="1" ht="12.75" customHeight="1">
      <c r="A18" s="1837">
        <v>14</v>
      </c>
      <c r="B18" s="1841" t="s">
        <v>5632</v>
      </c>
      <c r="C18" s="2074">
        <f>所得减免优惠审核表!C18</f>
        <v>0</v>
      </c>
      <c r="D18" s="2074">
        <f>所得减免优惠审核表!D18</f>
        <v>0</v>
      </c>
      <c r="E18" s="2074">
        <f>所得减免优惠审核表!E18</f>
        <v>0</v>
      </c>
      <c r="F18" s="2074">
        <f>所得减免优惠审核表!F18</f>
        <v>0</v>
      </c>
      <c r="G18" s="2074">
        <f>所得减免优惠审核表!G18</f>
        <v>0</v>
      </c>
      <c r="H18" s="2074">
        <f>所得减免优惠审核表!H18</f>
        <v>0</v>
      </c>
      <c r="I18" s="2074">
        <f>所得减免优惠审核表!I18</f>
        <v>0</v>
      </c>
      <c r="J18" s="1838"/>
    </row>
    <row r="19" spans="1:10" s="1603" customFormat="1" ht="12.75" customHeight="1">
      <c r="A19" s="1837">
        <v>15</v>
      </c>
      <c r="B19" s="1841" t="s">
        <v>5633</v>
      </c>
      <c r="C19" s="2074">
        <f>所得减免优惠审核表!C19</f>
        <v>0</v>
      </c>
      <c r="D19" s="2074">
        <f>所得减免优惠审核表!D19</f>
        <v>0</v>
      </c>
      <c r="E19" s="2074">
        <f>所得减免优惠审核表!E19</f>
        <v>0</v>
      </c>
      <c r="F19" s="2074">
        <f>所得减免优惠审核表!F19</f>
        <v>0</v>
      </c>
      <c r="G19" s="2074">
        <f>所得减免优惠审核表!G19</f>
        <v>0</v>
      </c>
      <c r="H19" s="2074">
        <f>所得减免优惠审核表!H19</f>
        <v>0</v>
      </c>
      <c r="I19" s="2074">
        <f>所得减免优惠审核表!I19</f>
        <v>0</v>
      </c>
      <c r="J19" s="1838"/>
    </row>
    <row r="20" spans="1:10" s="1603" customFormat="1" ht="12.75" customHeight="1">
      <c r="A20" s="1837">
        <v>16</v>
      </c>
      <c r="B20" s="1841" t="s">
        <v>5513</v>
      </c>
      <c r="C20" s="2074">
        <f>所得减免优惠审核表!C20</f>
        <v>0</v>
      </c>
      <c r="D20" s="2074">
        <f>所得减免优惠审核表!D20</f>
        <v>0</v>
      </c>
      <c r="E20" s="2074">
        <f>所得减免优惠审核表!E20</f>
        <v>0</v>
      </c>
      <c r="F20" s="2074">
        <f>所得减免优惠审核表!F20</f>
        <v>0</v>
      </c>
      <c r="G20" s="2074">
        <f>所得减免优惠审核表!G20</f>
        <v>0</v>
      </c>
      <c r="H20" s="2074">
        <f>所得减免优惠审核表!H20</f>
        <v>0</v>
      </c>
      <c r="I20" s="2074">
        <f>所得减免优惠审核表!I20</f>
        <v>0</v>
      </c>
      <c r="J20" s="1838"/>
    </row>
    <row r="21" spans="1:10" s="1603" customFormat="1" ht="26.25" customHeight="1">
      <c r="A21" s="1839">
        <v>17</v>
      </c>
      <c r="B21" s="1840" t="s">
        <v>5634</v>
      </c>
      <c r="C21" s="2074">
        <f>所得减免优惠审核表!C21</f>
        <v>0</v>
      </c>
      <c r="D21" s="2074">
        <f>所得减免优惠审核表!D21</f>
        <v>0</v>
      </c>
      <c r="E21" s="2074">
        <f>所得减免优惠审核表!E21</f>
        <v>0</v>
      </c>
      <c r="F21" s="2074">
        <f>所得减免优惠审核表!F21</f>
        <v>0</v>
      </c>
      <c r="G21" s="2074">
        <f>所得减免优惠审核表!G21</f>
        <v>0</v>
      </c>
      <c r="H21" s="2074">
        <f>所得减免优惠审核表!H21</f>
        <v>0</v>
      </c>
      <c r="I21" s="2074">
        <f>所得减免优惠审核表!I21</f>
        <v>0</v>
      </c>
      <c r="J21" s="1983"/>
    </row>
    <row r="22" spans="1:10" s="1603" customFormat="1" ht="12.75" customHeight="1">
      <c r="A22" s="1837">
        <v>18</v>
      </c>
      <c r="B22" s="1841" t="s">
        <v>5635</v>
      </c>
      <c r="C22" s="2074">
        <f>所得减免优惠审核表!C22</f>
        <v>0</v>
      </c>
      <c r="D22" s="2074">
        <f>所得减免优惠审核表!D22</f>
        <v>0</v>
      </c>
      <c r="E22" s="2074">
        <f>所得减免优惠审核表!E22</f>
        <v>0</v>
      </c>
      <c r="F22" s="2074">
        <f>所得减免优惠审核表!F22</f>
        <v>0</v>
      </c>
      <c r="G22" s="2074">
        <f>所得减免优惠审核表!G22</f>
        <v>0</v>
      </c>
      <c r="H22" s="2074">
        <f>所得减免优惠审核表!H22</f>
        <v>0</v>
      </c>
      <c r="I22" s="2074">
        <f>所得减免优惠审核表!I22</f>
        <v>0</v>
      </c>
      <c r="J22" s="1838"/>
    </row>
    <row r="23" spans="1:10" s="1603" customFormat="1" ht="12.75" customHeight="1">
      <c r="A23" s="1837">
        <v>19</v>
      </c>
      <c r="B23" s="1841" t="s">
        <v>5636</v>
      </c>
      <c r="C23" s="2074">
        <f>所得减免优惠审核表!C23</f>
        <v>0</v>
      </c>
      <c r="D23" s="2074">
        <f>所得减免优惠审核表!D23</f>
        <v>0</v>
      </c>
      <c r="E23" s="2074">
        <f>所得减免优惠审核表!E23</f>
        <v>0</v>
      </c>
      <c r="F23" s="2074">
        <f>所得减免优惠审核表!F23</f>
        <v>0</v>
      </c>
      <c r="G23" s="2074">
        <f>所得减免优惠审核表!G23</f>
        <v>0</v>
      </c>
      <c r="H23" s="2074">
        <f>所得减免优惠审核表!H23</f>
        <v>0</v>
      </c>
      <c r="I23" s="2074">
        <f>所得减免优惠审核表!I23</f>
        <v>0</v>
      </c>
      <c r="J23" s="1838"/>
    </row>
    <row r="24" spans="1:10" s="1603" customFormat="1" ht="12.75" customHeight="1">
      <c r="A24" s="1837">
        <v>20</v>
      </c>
      <c r="B24" s="1841" t="s">
        <v>5637</v>
      </c>
      <c r="C24" s="2074">
        <f>所得减免优惠审核表!C24</f>
        <v>0</v>
      </c>
      <c r="D24" s="2074">
        <f>所得减免优惠审核表!D24</f>
        <v>0</v>
      </c>
      <c r="E24" s="2074">
        <f>所得减免优惠审核表!E24</f>
        <v>0</v>
      </c>
      <c r="F24" s="2074">
        <f>所得减免优惠审核表!F24</f>
        <v>0</v>
      </c>
      <c r="G24" s="2074">
        <f>所得减免优惠审核表!G24</f>
        <v>0</v>
      </c>
      <c r="H24" s="2074">
        <f>所得减免优惠审核表!H24</f>
        <v>0</v>
      </c>
      <c r="I24" s="2074">
        <f>所得减免优惠审核表!I24</f>
        <v>0</v>
      </c>
      <c r="J24" s="1838"/>
    </row>
    <row r="25" spans="1:10" s="1603" customFormat="1" ht="12.75" customHeight="1">
      <c r="A25" s="1837">
        <v>21</v>
      </c>
      <c r="B25" s="1841" t="s">
        <v>5638</v>
      </c>
      <c r="C25" s="2074">
        <f>所得减免优惠审核表!C25</f>
        <v>0</v>
      </c>
      <c r="D25" s="2074">
        <f>所得减免优惠审核表!D25</f>
        <v>0</v>
      </c>
      <c r="E25" s="2074">
        <f>所得减免优惠审核表!E25</f>
        <v>0</v>
      </c>
      <c r="F25" s="2074">
        <f>所得减免优惠审核表!F25</f>
        <v>0</v>
      </c>
      <c r="G25" s="2074">
        <f>所得减免优惠审核表!G25</f>
        <v>0</v>
      </c>
      <c r="H25" s="2074">
        <f>所得减免优惠审核表!H25</f>
        <v>0</v>
      </c>
      <c r="I25" s="2074">
        <f>所得减免优惠审核表!I25</f>
        <v>0</v>
      </c>
      <c r="J25" s="1838"/>
    </row>
    <row r="26" spans="1:10" s="1603" customFormat="1" ht="12.75" customHeight="1">
      <c r="A26" s="1837">
        <v>22</v>
      </c>
      <c r="B26" s="1841" t="s">
        <v>5639</v>
      </c>
      <c r="C26" s="2074">
        <f>所得减免优惠审核表!C26</f>
        <v>0</v>
      </c>
      <c r="D26" s="2074">
        <f>所得减免优惠审核表!D26</f>
        <v>0</v>
      </c>
      <c r="E26" s="2074">
        <f>所得减免优惠审核表!E26</f>
        <v>0</v>
      </c>
      <c r="F26" s="2074">
        <f>所得减免优惠审核表!F26</f>
        <v>0</v>
      </c>
      <c r="G26" s="2074">
        <f>所得减免优惠审核表!G26</f>
        <v>0</v>
      </c>
      <c r="H26" s="2074">
        <f>所得减免优惠审核表!H26</f>
        <v>0</v>
      </c>
      <c r="I26" s="2074">
        <f>所得减免优惠审核表!I26</f>
        <v>0</v>
      </c>
      <c r="J26" s="1838"/>
    </row>
    <row r="27" spans="1:10" s="1603" customFormat="1" ht="12.75" customHeight="1">
      <c r="A27" s="1837">
        <v>23</v>
      </c>
      <c r="B27" s="1841" t="s">
        <v>5640</v>
      </c>
      <c r="C27" s="2074">
        <f>所得减免优惠审核表!C27</f>
        <v>0</v>
      </c>
      <c r="D27" s="2074">
        <f>所得减免优惠审核表!D27</f>
        <v>0</v>
      </c>
      <c r="E27" s="2074">
        <f>所得减免优惠审核表!E27</f>
        <v>0</v>
      </c>
      <c r="F27" s="2074">
        <f>所得减免优惠审核表!F27</f>
        <v>0</v>
      </c>
      <c r="G27" s="2074">
        <f>所得减免优惠审核表!G27</f>
        <v>0</v>
      </c>
      <c r="H27" s="2074">
        <f>所得减免优惠审核表!H27</f>
        <v>0</v>
      </c>
      <c r="I27" s="2074">
        <f>所得减免优惠审核表!I27</f>
        <v>0</v>
      </c>
      <c r="J27" s="1838"/>
    </row>
    <row r="28" spans="1:10" s="1603" customFormat="1" ht="12.75" customHeight="1">
      <c r="A28" s="1837">
        <v>24</v>
      </c>
      <c r="B28" s="1841" t="s">
        <v>5641</v>
      </c>
      <c r="C28" s="2074">
        <f>所得减免优惠审核表!C28</f>
        <v>0</v>
      </c>
      <c r="D28" s="2074">
        <f>所得减免优惠审核表!D28</f>
        <v>0</v>
      </c>
      <c r="E28" s="2074">
        <f>所得减免优惠审核表!E28</f>
        <v>0</v>
      </c>
      <c r="F28" s="2074">
        <f>所得减免优惠审核表!F28</f>
        <v>0</v>
      </c>
      <c r="G28" s="2074">
        <f>所得减免优惠审核表!G28</f>
        <v>0</v>
      </c>
      <c r="H28" s="2074">
        <f>所得减免优惠审核表!H28</f>
        <v>0</v>
      </c>
      <c r="I28" s="2074">
        <f>所得减免优惠审核表!I28</f>
        <v>0</v>
      </c>
      <c r="J28" s="1838"/>
    </row>
    <row r="29" spans="1:10" s="1603" customFormat="1" ht="12.75" customHeight="1">
      <c r="A29" s="1837">
        <v>25</v>
      </c>
      <c r="B29" s="1841" t="s">
        <v>5642</v>
      </c>
      <c r="C29" s="2074">
        <f>所得减免优惠审核表!C29</f>
        <v>0</v>
      </c>
      <c r="D29" s="2074">
        <f>所得减免优惠审核表!D29</f>
        <v>0</v>
      </c>
      <c r="E29" s="2074">
        <f>所得减免优惠审核表!E29</f>
        <v>0</v>
      </c>
      <c r="F29" s="2074">
        <f>所得减免优惠审核表!F29</f>
        <v>0</v>
      </c>
      <c r="G29" s="2074">
        <f>所得减免优惠审核表!G29</f>
        <v>0</v>
      </c>
      <c r="H29" s="2074">
        <f>所得减免优惠审核表!H29</f>
        <v>0</v>
      </c>
      <c r="I29" s="2074">
        <f>所得减免优惠审核表!I29</f>
        <v>0</v>
      </c>
      <c r="J29" s="1838"/>
    </row>
    <row r="30" spans="1:10" s="1603" customFormat="1" ht="29.25" customHeight="1">
      <c r="A30" s="1837">
        <v>26</v>
      </c>
      <c r="B30" s="1841" t="s">
        <v>5643</v>
      </c>
      <c r="C30" s="2074">
        <f>所得减免优惠审核表!C30</f>
        <v>0</v>
      </c>
      <c r="D30" s="2074">
        <f>所得减免优惠审核表!D30</f>
        <v>0</v>
      </c>
      <c r="E30" s="2074">
        <f>所得减免优惠审核表!E30</f>
        <v>0</v>
      </c>
      <c r="F30" s="2074">
        <f>所得减免优惠审核表!F30</f>
        <v>0</v>
      </c>
      <c r="G30" s="2074">
        <f>所得减免优惠审核表!G30</f>
        <v>0</v>
      </c>
      <c r="H30" s="2074">
        <f>所得减免优惠审核表!H30</f>
        <v>0</v>
      </c>
      <c r="I30" s="2074">
        <f>所得减免优惠审核表!I30</f>
        <v>0</v>
      </c>
      <c r="J30" s="1838"/>
    </row>
    <row r="31" spans="1:10" s="1603" customFormat="1" ht="12.75" customHeight="1">
      <c r="A31" s="1837">
        <v>27</v>
      </c>
      <c r="B31" s="1841" t="s">
        <v>5644</v>
      </c>
      <c r="C31" s="2074">
        <f>所得减免优惠审核表!C31</f>
        <v>0</v>
      </c>
      <c r="D31" s="2074">
        <f>所得减免优惠审核表!D31</f>
        <v>0</v>
      </c>
      <c r="E31" s="2074">
        <f>所得减免优惠审核表!E31</f>
        <v>0</v>
      </c>
      <c r="F31" s="2074">
        <f>所得减免优惠审核表!F31</f>
        <v>0</v>
      </c>
      <c r="G31" s="2074">
        <f>所得减免优惠审核表!G31</f>
        <v>0</v>
      </c>
      <c r="H31" s="2074">
        <f>所得减免优惠审核表!H31</f>
        <v>0</v>
      </c>
      <c r="I31" s="2074">
        <f>所得减免优惠审核表!I31</f>
        <v>0</v>
      </c>
      <c r="J31" s="1838"/>
    </row>
    <row r="32" spans="1:10" s="1603" customFormat="1" ht="12.75" customHeight="1">
      <c r="A32" s="1837">
        <v>28</v>
      </c>
      <c r="B32" s="1841" t="s">
        <v>5645</v>
      </c>
      <c r="C32" s="2074">
        <f>所得减免优惠审核表!C32</f>
        <v>0</v>
      </c>
      <c r="D32" s="2074">
        <f>所得减免优惠审核表!D32</f>
        <v>0</v>
      </c>
      <c r="E32" s="2074">
        <f>所得减免优惠审核表!E32</f>
        <v>0</v>
      </c>
      <c r="F32" s="2074">
        <f>所得减免优惠审核表!F32</f>
        <v>0</v>
      </c>
      <c r="G32" s="2074">
        <f>所得减免优惠审核表!G32</f>
        <v>0</v>
      </c>
      <c r="H32" s="2074">
        <f>所得减免优惠审核表!H32</f>
        <v>0</v>
      </c>
      <c r="I32" s="2074">
        <f>所得减免优惠审核表!I32</f>
        <v>0</v>
      </c>
      <c r="J32" s="1838"/>
    </row>
    <row r="33" spans="1:10" s="1603" customFormat="1" ht="12.75" customHeight="1">
      <c r="A33" s="1837">
        <v>29</v>
      </c>
      <c r="B33" s="1841" t="s">
        <v>5646</v>
      </c>
      <c r="C33" s="2074">
        <f>所得减免优惠审核表!C33</f>
        <v>0</v>
      </c>
      <c r="D33" s="2074">
        <f>所得减免优惠审核表!D33</f>
        <v>0</v>
      </c>
      <c r="E33" s="2074">
        <f>所得减免优惠审核表!E33</f>
        <v>0</v>
      </c>
      <c r="F33" s="2074">
        <f>所得减免优惠审核表!F33</f>
        <v>0</v>
      </c>
      <c r="G33" s="2074">
        <f>所得减免优惠审核表!G33</f>
        <v>0</v>
      </c>
      <c r="H33" s="2074">
        <f>所得减免优惠审核表!H33</f>
        <v>0</v>
      </c>
      <c r="I33" s="2074">
        <f>所得减免优惠审核表!I33</f>
        <v>0</v>
      </c>
      <c r="J33" s="1838"/>
    </row>
    <row r="34" spans="1:10" s="1603" customFormat="1" ht="12.75" customHeight="1">
      <c r="A34" s="1837">
        <v>30</v>
      </c>
      <c r="B34" s="1841" t="s">
        <v>5647</v>
      </c>
      <c r="C34" s="2074">
        <f>所得减免优惠审核表!C34</f>
        <v>0</v>
      </c>
      <c r="D34" s="2074">
        <f>所得减免优惠审核表!D34</f>
        <v>0</v>
      </c>
      <c r="E34" s="2074">
        <f>所得减免优惠审核表!E34</f>
        <v>0</v>
      </c>
      <c r="F34" s="2074">
        <f>所得减免优惠审核表!F34</f>
        <v>0</v>
      </c>
      <c r="G34" s="2074">
        <f>所得减免优惠审核表!G34</f>
        <v>0</v>
      </c>
      <c r="H34" s="2074">
        <f>所得减免优惠审核表!H34</f>
        <v>0</v>
      </c>
      <c r="I34" s="2074">
        <f>所得减免优惠审核表!I34</f>
        <v>0</v>
      </c>
      <c r="J34" s="1838"/>
    </row>
    <row r="35" spans="1:10" s="1603" customFormat="1" ht="12.75" customHeight="1">
      <c r="A35" s="1837">
        <v>31</v>
      </c>
      <c r="B35" s="1841" t="s">
        <v>5648</v>
      </c>
      <c r="C35" s="2074">
        <f>所得减免优惠审核表!C35</f>
        <v>0</v>
      </c>
      <c r="D35" s="2074">
        <f>所得减免优惠审核表!D35</f>
        <v>0</v>
      </c>
      <c r="E35" s="2074">
        <f>所得减免优惠审核表!E35</f>
        <v>0</v>
      </c>
      <c r="F35" s="2074">
        <f>所得减免优惠审核表!F35</f>
        <v>0</v>
      </c>
      <c r="G35" s="2074">
        <f>所得减免优惠审核表!G35</f>
        <v>0</v>
      </c>
      <c r="H35" s="2074">
        <f>所得减免优惠审核表!H35</f>
        <v>0</v>
      </c>
      <c r="I35" s="2074">
        <f>所得减免优惠审核表!I35</f>
        <v>0</v>
      </c>
      <c r="J35" s="1838"/>
    </row>
    <row r="36" spans="1:10" s="1603" customFormat="1" ht="12.75" customHeight="1">
      <c r="A36" s="1837">
        <v>32</v>
      </c>
      <c r="B36" s="1841" t="s">
        <v>5649</v>
      </c>
      <c r="C36" s="2074">
        <f>所得减免优惠审核表!C36</f>
        <v>0</v>
      </c>
      <c r="D36" s="2074">
        <f>所得减免优惠审核表!D36</f>
        <v>0</v>
      </c>
      <c r="E36" s="2074">
        <f>所得减免优惠审核表!E36</f>
        <v>0</v>
      </c>
      <c r="F36" s="2074">
        <f>所得减免优惠审核表!F36</f>
        <v>0</v>
      </c>
      <c r="G36" s="2074">
        <f>所得减免优惠审核表!G36</f>
        <v>0</v>
      </c>
      <c r="H36" s="2074">
        <f>所得减免优惠审核表!H36</f>
        <v>0</v>
      </c>
      <c r="I36" s="2074">
        <f>所得减免优惠审核表!I36</f>
        <v>0</v>
      </c>
      <c r="J36" s="1838"/>
    </row>
    <row r="37" spans="1:10" s="1603" customFormat="1" ht="12.75" customHeight="1">
      <c r="A37" s="1837">
        <v>33</v>
      </c>
      <c r="B37" s="1841" t="s">
        <v>5650</v>
      </c>
      <c r="C37" s="2074">
        <f>所得减免优惠审核表!C37</f>
        <v>0</v>
      </c>
      <c r="D37" s="2074">
        <f>所得减免优惠审核表!D37</f>
        <v>0</v>
      </c>
      <c r="E37" s="2074">
        <f>所得减免优惠审核表!E37</f>
        <v>0</v>
      </c>
      <c r="F37" s="2074">
        <f>所得减免优惠审核表!F37</f>
        <v>0</v>
      </c>
      <c r="G37" s="1984" t="s">
        <v>5544</v>
      </c>
      <c r="H37" s="2074">
        <f>所得减免优惠审核表!H37</f>
        <v>0</v>
      </c>
      <c r="I37" s="2074">
        <f>所得减免优惠审核表!I37</f>
        <v>0</v>
      </c>
      <c r="J37" s="1838"/>
    </row>
    <row r="38" spans="1:10" s="1603" customFormat="1" ht="12.75" customHeight="1">
      <c r="A38" s="1837">
        <v>34</v>
      </c>
      <c r="B38" s="1841" t="s">
        <v>5651</v>
      </c>
      <c r="C38" s="1984" t="s">
        <v>5544</v>
      </c>
      <c r="D38" s="1984" t="s">
        <v>5544</v>
      </c>
      <c r="E38" s="1984" t="s">
        <v>5544</v>
      </c>
      <c r="F38" s="1984" t="s">
        <v>5544</v>
      </c>
      <c r="G38" s="1984" t="s">
        <v>5544</v>
      </c>
      <c r="H38" s="1984" t="s">
        <v>5544</v>
      </c>
      <c r="I38" s="2074">
        <f>所得减免优惠审核表!I38</f>
        <v>0</v>
      </c>
      <c r="J38" s="1838"/>
    </row>
    <row r="39" spans="1:10" s="1603" customFormat="1" ht="12.75" customHeight="1">
      <c r="A39" s="1837">
        <v>35</v>
      </c>
      <c r="B39" s="1841" t="s">
        <v>5652</v>
      </c>
      <c r="C39" s="1984" t="s">
        <v>5544</v>
      </c>
      <c r="D39" s="1984" t="s">
        <v>5544</v>
      </c>
      <c r="E39" s="1984" t="s">
        <v>5544</v>
      </c>
      <c r="F39" s="1984" t="s">
        <v>5544</v>
      </c>
      <c r="G39" s="1984" t="s">
        <v>5544</v>
      </c>
      <c r="H39" s="1984" t="s">
        <v>5544</v>
      </c>
      <c r="I39" s="2074">
        <f>所得减免优惠审核表!I39</f>
        <v>0</v>
      </c>
      <c r="J39" s="1838"/>
    </row>
    <row r="40" spans="1:10" s="1603" customFormat="1" ht="12.75" customHeight="1">
      <c r="A40" s="1837">
        <v>36</v>
      </c>
      <c r="B40" s="1841" t="s">
        <v>5653</v>
      </c>
      <c r="C40" s="2074">
        <f>所得减免优惠审核表!C40</f>
        <v>0</v>
      </c>
      <c r="D40" s="2074">
        <f>所得减免优惠审核表!D40</f>
        <v>0</v>
      </c>
      <c r="E40" s="2074">
        <f>所得减免优惠审核表!E40</f>
        <v>0</v>
      </c>
      <c r="F40" s="2074">
        <f>所得减免优惠审核表!F40</f>
        <v>0</v>
      </c>
      <c r="G40" s="2074">
        <f>所得减免优惠审核表!G40</f>
        <v>0</v>
      </c>
      <c r="H40" s="2074">
        <f>所得减免优惠审核表!H40</f>
        <v>0</v>
      </c>
      <c r="I40" s="2074">
        <f>所得减免优惠审核表!I40</f>
        <v>0</v>
      </c>
      <c r="J40" s="1838"/>
    </row>
    <row r="41" spans="1:10" s="1603" customFormat="1" ht="12.75" customHeight="1">
      <c r="A41" s="1837">
        <v>37</v>
      </c>
      <c r="B41" s="1841" t="s">
        <v>5654</v>
      </c>
      <c r="C41" s="2074">
        <f>所得减免优惠审核表!C41</f>
        <v>0</v>
      </c>
      <c r="D41" s="2074">
        <f>所得减免优惠审核表!D41</f>
        <v>0</v>
      </c>
      <c r="E41" s="2074">
        <f>所得减免优惠审核表!E41</f>
        <v>0</v>
      </c>
      <c r="F41" s="2074">
        <f>所得减免优惠审核表!F41</f>
        <v>0</v>
      </c>
      <c r="G41" s="2074">
        <f>所得减免优惠审核表!G41</f>
        <v>0</v>
      </c>
      <c r="H41" s="2074">
        <f>所得减免优惠审核表!H41</f>
        <v>0</v>
      </c>
      <c r="I41" s="2074">
        <f>所得减免优惠审核表!I41</f>
        <v>0</v>
      </c>
      <c r="J41" s="1838"/>
    </row>
    <row r="42" spans="1:10" s="1603" customFormat="1" ht="24" customHeight="1">
      <c r="A42" s="1837">
        <v>38</v>
      </c>
      <c r="B42" s="1841" t="s">
        <v>5655</v>
      </c>
      <c r="C42" s="2074">
        <f>所得减免优惠审核表!C42</f>
        <v>0</v>
      </c>
      <c r="D42" s="2074">
        <f>所得减免优惠审核表!D42</f>
        <v>0</v>
      </c>
      <c r="E42" s="2074">
        <f>所得减免优惠审核表!E42</f>
        <v>0</v>
      </c>
      <c r="F42" s="2074">
        <f>所得减免优惠审核表!F42</f>
        <v>0</v>
      </c>
      <c r="G42" s="2074">
        <f>所得减免优惠审核表!G42</f>
        <v>0</v>
      </c>
      <c r="H42" s="2074">
        <f>所得减免优惠审核表!H42</f>
        <v>0</v>
      </c>
      <c r="I42" s="2074">
        <f>所得减免优惠审核表!I42</f>
        <v>0</v>
      </c>
      <c r="J42" s="1838"/>
    </row>
    <row r="43" spans="1:10" s="1603" customFormat="1" ht="12.75" customHeight="1">
      <c r="A43" s="1837">
        <v>39</v>
      </c>
      <c r="B43" s="1841" t="s">
        <v>5656</v>
      </c>
      <c r="C43" s="2074">
        <f>所得减免优惠审核表!C43</f>
        <v>0</v>
      </c>
      <c r="D43" s="2074">
        <f>所得减免优惠审核表!D43</f>
        <v>0</v>
      </c>
      <c r="E43" s="2074">
        <f>所得减免优惠审核表!E43</f>
        <v>0</v>
      </c>
      <c r="F43" s="2074">
        <f>所得减免优惠审核表!F43</f>
        <v>0</v>
      </c>
      <c r="G43" s="2074">
        <f>所得减免优惠审核表!G43</f>
        <v>0</v>
      </c>
      <c r="H43" s="2074">
        <f>所得减免优惠审核表!H43</f>
        <v>0</v>
      </c>
      <c r="I43" s="2074">
        <f>所得减免优惠审核表!I43</f>
        <v>0</v>
      </c>
      <c r="J43" s="1838"/>
    </row>
    <row r="44" spans="1:10" s="1603" customFormat="1" ht="40.5" customHeight="1">
      <c r="A44" s="1837">
        <v>40</v>
      </c>
      <c r="B44" s="1841" t="s">
        <v>5657</v>
      </c>
      <c r="C44" s="2074">
        <f>所得减免优惠审核表!C44</f>
        <v>0</v>
      </c>
      <c r="D44" s="2074">
        <f>所得减免优惠审核表!D44</f>
        <v>0</v>
      </c>
      <c r="E44" s="2074">
        <f>所得减免优惠审核表!E44</f>
        <v>0</v>
      </c>
      <c r="F44" s="2074">
        <f>所得减免优惠审核表!F44</f>
        <v>0</v>
      </c>
      <c r="G44" s="2074">
        <f>所得减免优惠审核表!G44</f>
        <v>0</v>
      </c>
      <c r="H44" s="2074">
        <f>所得减免优惠审核表!H44</f>
        <v>0</v>
      </c>
      <c r="I44" s="2074">
        <f>所得减免优惠审核表!I44</f>
        <v>0</v>
      </c>
      <c r="J44" s="1841" t="s">
        <v>5658</v>
      </c>
    </row>
  </sheetData>
  <mergeCells count="4">
    <mergeCell ref="A1:I1"/>
    <mergeCell ref="A2:I2"/>
    <mergeCell ref="A3:A4"/>
    <mergeCell ref="B3:B4"/>
  </mergeCells>
  <phoneticPr fontId="51" type="noConversion"/>
  <hyperlinks>
    <hyperlink ref="K11" location="所得减免优惠审核表!A1" display="所得减免优惠审核表!A1"/>
  </hyperlinks>
  <printOptions horizontalCentered="1"/>
  <pageMargins left="0.78740157480314998" right="0.35433070866141703" top="0.511811023622047" bottom="0.11811023622047198" header="0.511811023622047" footer="0.511811023622047"/>
  <pageSetup paperSize="9" orientation="landscape" r:id="rId1"/>
</worksheet>
</file>

<file path=xl/worksheets/sheet15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45">
    <tabColor rgb="FFFFFF00"/>
  </sheetPr>
  <dimension ref="A1:F21"/>
  <sheetViews>
    <sheetView workbookViewId="0">
      <selection activeCell="C18" sqref="C18"/>
    </sheetView>
  </sheetViews>
  <sheetFormatPr defaultRowHeight="15.6"/>
  <cols>
    <col min="1" max="1" width="5.19921875" style="1608" customWidth="1"/>
    <col min="2" max="2" width="56.3984375" style="1608" customWidth="1"/>
    <col min="3" max="3" width="19.19921875" style="1608" customWidth="1"/>
    <col min="4" max="4" width="11.8984375" style="1608" customWidth="1"/>
    <col min="5" max="5" width="9" style="1608"/>
    <col min="6" max="6" width="41.5" style="1608" customWidth="1"/>
    <col min="7" max="256" width="9" style="1608"/>
    <col min="257" max="257" width="5.19921875" style="1608" customWidth="1"/>
    <col min="258" max="258" width="56.3984375" style="1608" customWidth="1"/>
    <col min="259" max="259" width="19.19921875" style="1608" customWidth="1"/>
    <col min="260" max="260" width="11.8984375" style="1608" customWidth="1"/>
    <col min="261" max="261" width="9" style="1608"/>
    <col min="262" max="262" width="41.5" style="1608" customWidth="1"/>
    <col min="263" max="512" width="9" style="1608"/>
    <col min="513" max="513" width="5.19921875" style="1608" customWidth="1"/>
    <col min="514" max="514" width="56.3984375" style="1608" customWidth="1"/>
    <col min="515" max="515" width="19.19921875" style="1608" customWidth="1"/>
    <col min="516" max="516" width="11.8984375" style="1608" customWidth="1"/>
    <col min="517" max="517" width="9" style="1608"/>
    <col min="518" max="518" width="41.5" style="1608" customWidth="1"/>
    <col min="519" max="768" width="9" style="1608"/>
    <col min="769" max="769" width="5.19921875" style="1608" customWidth="1"/>
    <col min="770" max="770" width="56.3984375" style="1608" customWidth="1"/>
    <col min="771" max="771" width="19.19921875" style="1608" customWidth="1"/>
    <col min="772" max="772" width="11.8984375" style="1608" customWidth="1"/>
    <col min="773" max="773" width="9" style="1608"/>
    <col min="774" max="774" width="41.5" style="1608" customWidth="1"/>
    <col min="775" max="1024" width="9" style="1608"/>
    <col min="1025" max="1025" width="5.19921875" style="1608" customWidth="1"/>
    <col min="1026" max="1026" width="56.3984375" style="1608" customWidth="1"/>
    <col min="1027" max="1027" width="19.19921875" style="1608" customWidth="1"/>
    <col min="1028" max="1028" width="11.8984375" style="1608" customWidth="1"/>
    <col min="1029" max="1029" width="9" style="1608"/>
    <col min="1030" max="1030" width="41.5" style="1608" customWidth="1"/>
    <col min="1031" max="1280" width="9" style="1608"/>
    <col min="1281" max="1281" width="5.19921875" style="1608" customWidth="1"/>
    <col min="1282" max="1282" width="56.3984375" style="1608" customWidth="1"/>
    <col min="1283" max="1283" width="19.19921875" style="1608" customWidth="1"/>
    <col min="1284" max="1284" width="11.8984375" style="1608" customWidth="1"/>
    <col min="1285" max="1285" width="9" style="1608"/>
    <col min="1286" max="1286" width="41.5" style="1608" customWidth="1"/>
    <col min="1287" max="1536" width="9" style="1608"/>
    <col min="1537" max="1537" width="5.19921875" style="1608" customWidth="1"/>
    <col min="1538" max="1538" width="56.3984375" style="1608" customWidth="1"/>
    <col min="1539" max="1539" width="19.19921875" style="1608" customWidth="1"/>
    <col min="1540" max="1540" width="11.8984375" style="1608" customWidth="1"/>
    <col min="1541" max="1541" width="9" style="1608"/>
    <col min="1542" max="1542" width="41.5" style="1608" customWidth="1"/>
    <col min="1543" max="1792" width="9" style="1608"/>
    <col min="1793" max="1793" width="5.19921875" style="1608" customWidth="1"/>
    <col min="1794" max="1794" width="56.3984375" style="1608" customWidth="1"/>
    <col min="1795" max="1795" width="19.19921875" style="1608" customWidth="1"/>
    <col min="1796" max="1796" width="11.8984375" style="1608" customWidth="1"/>
    <col min="1797" max="1797" width="9" style="1608"/>
    <col min="1798" max="1798" width="41.5" style="1608" customWidth="1"/>
    <col min="1799" max="2048" width="9" style="1608"/>
    <col min="2049" max="2049" width="5.19921875" style="1608" customWidth="1"/>
    <col min="2050" max="2050" width="56.3984375" style="1608" customWidth="1"/>
    <col min="2051" max="2051" width="19.19921875" style="1608" customWidth="1"/>
    <col min="2052" max="2052" width="11.8984375" style="1608" customWidth="1"/>
    <col min="2053" max="2053" width="9" style="1608"/>
    <col min="2054" max="2054" width="41.5" style="1608" customWidth="1"/>
    <col min="2055" max="2304" width="9" style="1608"/>
    <col min="2305" max="2305" width="5.19921875" style="1608" customWidth="1"/>
    <col min="2306" max="2306" width="56.3984375" style="1608" customWidth="1"/>
    <col min="2307" max="2307" width="19.19921875" style="1608" customWidth="1"/>
    <col min="2308" max="2308" width="11.8984375" style="1608" customWidth="1"/>
    <col min="2309" max="2309" width="9" style="1608"/>
    <col min="2310" max="2310" width="41.5" style="1608" customWidth="1"/>
    <col min="2311" max="2560" width="9" style="1608"/>
    <col min="2561" max="2561" width="5.19921875" style="1608" customWidth="1"/>
    <col min="2562" max="2562" width="56.3984375" style="1608" customWidth="1"/>
    <col min="2563" max="2563" width="19.19921875" style="1608" customWidth="1"/>
    <col min="2564" max="2564" width="11.8984375" style="1608" customWidth="1"/>
    <col min="2565" max="2565" width="9" style="1608"/>
    <col min="2566" max="2566" width="41.5" style="1608" customWidth="1"/>
    <col min="2567" max="2816" width="9" style="1608"/>
    <col min="2817" max="2817" width="5.19921875" style="1608" customWidth="1"/>
    <col min="2818" max="2818" width="56.3984375" style="1608" customWidth="1"/>
    <col min="2819" max="2819" width="19.19921875" style="1608" customWidth="1"/>
    <col min="2820" max="2820" width="11.8984375" style="1608" customWidth="1"/>
    <col min="2821" max="2821" width="9" style="1608"/>
    <col min="2822" max="2822" width="41.5" style="1608" customWidth="1"/>
    <col min="2823" max="3072" width="9" style="1608"/>
    <col min="3073" max="3073" width="5.19921875" style="1608" customWidth="1"/>
    <col min="3074" max="3074" width="56.3984375" style="1608" customWidth="1"/>
    <col min="3075" max="3075" width="19.19921875" style="1608" customWidth="1"/>
    <col min="3076" max="3076" width="11.8984375" style="1608" customWidth="1"/>
    <col min="3077" max="3077" width="9" style="1608"/>
    <col min="3078" max="3078" width="41.5" style="1608" customWidth="1"/>
    <col min="3079" max="3328" width="9" style="1608"/>
    <col min="3329" max="3329" width="5.19921875" style="1608" customWidth="1"/>
    <col min="3330" max="3330" width="56.3984375" style="1608" customWidth="1"/>
    <col min="3331" max="3331" width="19.19921875" style="1608" customWidth="1"/>
    <col min="3332" max="3332" width="11.8984375" style="1608" customWidth="1"/>
    <col min="3333" max="3333" width="9" style="1608"/>
    <col min="3334" max="3334" width="41.5" style="1608" customWidth="1"/>
    <col min="3335" max="3584" width="9" style="1608"/>
    <col min="3585" max="3585" width="5.19921875" style="1608" customWidth="1"/>
    <col min="3586" max="3586" width="56.3984375" style="1608" customWidth="1"/>
    <col min="3587" max="3587" width="19.19921875" style="1608" customWidth="1"/>
    <col min="3588" max="3588" width="11.8984375" style="1608" customWidth="1"/>
    <col min="3589" max="3589" width="9" style="1608"/>
    <col min="3590" max="3590" width="41.5" style="1608" customWidth="1"/>
    <col min="3591" max="3840" width="9" style="1608"/>
    <col min="3841" max="3841" width="5.19921875" style="1608" customWidth="1"/>
    <col min="3842" max="3842" width="56.3984375" style="1608" customWidth="1"/>
    <col min="3843" max="3843" width="19.19921875" style="1608" customWidth="1"/>
    <col min="3844" max="3844" width="11.8984375" style="1608" customWidth="1"/>
    <col min="3845" max="3845" width="9" style="1608"/>
    <col min="3846" max="3846" width="41.5" style="1608" customWidth="1"/>
    <col min="3847" max="4096" width="9" style="1608"/>
    <col min="4097" max="4097" width="5.19921875" style="1608" customWidth="1"/>
    <col min="4098" max="4098" width="56.3984375" style="1608" customWidth="1"/>
    <col min="4099" max="4099" width="19.19921875" style="1608" customWidth="1"/>
    <col min="4100" max="4100" width="11.8984375" style="1608" customWidth="1"/>
    <col min="4101" max="4101" width="9" style="1608"/>
    <col min="4102" max="4102" width="41.5" style="1608" customWidth="1"/>
    <col min="4103" max="4352" width="9" style="1608"/>
    <col min="4353" max="4353" width="5.19921875" style="1608" customWidth="1"/>
    <col min="4354" max="4354" width="56.3984375" style="1608" customWidth="1"/>
    <col min="4355" max="4355" width="19.19921875" style="1608" customWidth="1"/>
    <col min="4356" max="4356" width="11.8984375" style="1608" customWidth="1"/>
    <col min="4357" max="4357" width="9" style="1608"/>
    <col min="4358" max="4358" width="41.5" style="1608" customWidth="1"/>
    <col min="4359" max="4608" width="9" style="1608"/>
    <col min="4609" max="4609" width="5.19921875" style="1608" customWidth="1"/>
    <col min="4610" max="4610" width="56.3984375" style="1608" customWidth="1"/>
    <col min="4611" max="4611" width="19.19921875" style="1608" customWidth="1"/>
    <col min="4612" max="4612" width="11.8984375" style="1608" customWidth="1"/>
    <col min="4613" max="4613" width="9" style="1608"/>
    <col min="4614" max="4614" width="41.5" style="1608" customWidth="1"/>
    <col min="4615" max="4864" width="9" style="1608"/>
    <col min="4865" max="4865" width="5.19921875" style="1608" customWidth="1"/>
    <col min="4866" max="4866" width="56.3984375" style="1608" customWidth="1"/>
    <col min="4867" max="4867" width="19.19921875" style="1608" customWidth="1"/>
    <col min="4868" max="4868" width="11.8984375" style="1608" customWidth="1"/>
    <col min="4869" max="4869" width="9" style="1608"/>
    <col min="4870" max="4870" width="41.5" style="1608" customWidth="1"/>
    <col min="4871" max="5120" width="9" style="1608"/>
    <col min="5121" max="5121" width="5.19921875" style="1608" customWidth="1"/>
    <col min="5122" max="5122" width="56.3984375" style="1608" customWidth="1"/>
    <col min="5123" max="5123" width="19.19921875" style="1608" customWidth="1"/>
    <col min="5124" max="5124" width="11.8984375" style="1608" customWidth="1"/>
    <col min="5125" max="5125" width="9" style="1608"/>
    <col min="5126" max="5126" width="41.5" style="1608" customWidth="1"/>
    <col min="5127" max="5376" width="9" style="1608"/>
    <col min="5377" max="5377" width="5.19921875" style="1608" customWidth="1"/>
    <col min="5378" max="5378" width="56.3984375" style="1608" customWidth="1"/>
    <col min="5379" max="5379" width="19.19921875" style="1608" customWidth="1"/>
    <col min="5380" max="5380" width="11.8984375" style="1608" customWidth="1"/>
    <col min="5381" max="5381" width="9" style="1608"/>
    <col min="5382" max="5382" width="41.5" style="1608" customWidth="1"/>
    <col min="5383" max="5632" width="9" style="1608"/>
    <col min="5633" max="5633" width="5.19921875" style="1608" customWidth="1"/>
    <col min="5634" max="5634" width="56.3984375" style="1608" customWidth="1"/>
    <col min="5635" max="5635" width="19.19921875" style="1608" customWidth="1"/>
    <col min="5636" max="5636" width="11.8984375" style="1608" customWidth="1"/>
    <col min="5637" max="5637" width="9" style="1608"/>
    <col min="5638" max="5638" width="41.5" style="1608" customWidth="1"/>
    <col min="5639" max="5888" width="9" style="1608"/>
    <col min="5889" max="5889" width="5.19921875" style="1608" customWidth="1"/>
    <col min="5890" max="5890" width="56.3984375" style="1608" customWidth="1"/>
    <col min="5891" max="5891" width="19.19921875" style="1608" customWidth="1"/>
    <col min="5892" max="5892" width="11.8984375" style="1608" customWidth="1"/>
    <col min="5893" max="5893" width="9" style="1608"/>
    <col min="5894" max="5894" width="41.5" style="1608" customWidth="1"/>
    <col min="5895" max="6144" width="9" style="1608"/>
    <col min="6145" max="6145" width="5.19921875" style="1608" customWidth="1"/>
    <col min="6146" max="6146" width="56.3984375" style="1608" customWidth="1"/>
    <col min="6147" max="6147" width="19.19921875" style="1608" customWidth="1"/>
    <col min="6148" max="6148" width="11.8984375" style="1608" customWidth="1"/>
    <col min="6149" max="6149" width="9" style="1608"/>
    <col min="6150" max="6150" width="41.5" style="1608" customWidth="1"/>
    <col min="6151" max="6400" width="9" style="1608"/>
    <col min="6401" max="6401" width="5.19921875" style="1608" customWidth="1"/>
    <col min="6402" max="6402" width="56.3984375" style="1608" customWidth="1"/>
    <col min="6403" max="6403" width="19.19921875" style="1608" customWidth="1"/>
    <col min="6404" max="6404" width="11.8984375" style="1608" customWidth="1"/>
    <col min="6405" max="6405" width="9" style="1608"/>
    <col min="6406" max="6406" width="41.5" style="1608" customWidth="1"/>
    <col min="6407" max="6656" width="9" style="1608"/>
    <col min="6657" max="6657" width="5.19921875" style="1608" customWidth="1"/>
    <col min="6658" max="6658" width="56.3984375" style="1608" customWidth="1"/>
    <col min="6659" max="6659" width="19.19921875" style="1608" customWidth="1"/>
    <col min="6660" max="6660" width="11.8984375" style="1608" customWidth="1"/>
    <col min="6661" max="6661" width="9" style="1608"/>
    <col min="6662" max="6662" width="41.5" style="1608" customWidth="1"/>
    <col min="6663" max="6912" width="9" style="1608"/>
    <col min="6913" max="6913" width="5.19921875" style="1608" customWidth="1"/>
    <col min="6914" max="6914" width="56.3984375" style="1608" customWidth="1"/>
    <col min="6915" max="6915" width="19.19921875" style="1608" customWidth="1"/>
    <col min="6916" max="6916" width="11.8984375" style="1608" customWidth="1"/>
    <col min="6917" max="6917" width="9" style="1608"/>
    <col min="6918" max="6918" width="41.5" style="1608" customWidth="1"/>
    <col min="6919" max="7168" width="9" style="1608"/>
    <col min="7169" max="7169" width="5.19921875" style="1608" customWidth="1"/>
    <col min="7170" max="7170" width="56.3984375" style="1608" customWidth="1"/>
    <col min="7171" max="7171" width="19.19921875" style="1608" customWidth="1"/>
    <col min="7172" max="7172" width="11.8984375" style="1608" customWidth="1"/>
    <col min="7173" max="7173" width="9" style="1608"/>
    <col min="7174" max="7174" width="41.5" style="1608" customWidth="1"/>
    <col min="7175" max="7424" width="9" style="1608"/>
    <col min="7425" max="7425" width="5.19921875" style="1608" customWidth="1"/>
    <col min="7426" max="7426" width="56.3984375" style="1608" customWidth="1"/>
    <col min="7427" max="7427" width="19.19921875" style="1608" customWidth="1"/>
    <col min="7428" max="7428" width="11.8984375" style="1608" customWidth="1"/>
    <col min="7429" max="7429" width="9" style="1608"/>
    <col min="7430" max="7430" width="41.5" style="1608" customWidth="1"/>
    <col min="7431" max="7680" width="9" style="1608"/>
    <col min="7681" max="7681" width="5.19921875" style="1608" customWidth="1"/>
    <col min="7682" max="7682" width="56.3984375" style="1608" customWidth="1"/>
    <col min="7683" max="7683" width="19.19921875" style="1608" customWidth="1"/>
    <col min="7684" max="7684" width="11.8984375" style="1608" customWidth="1"/>
    <col min="7685" max="7685" width="9" style="1608"/>
    <col min="7686" max="7686" width="41.5" style="1608" customWidth="1"/>
    <col min="7687" max="7936" width="9" style="1608"/>
    <col min="7937" max="7937" width="5.19921875" style="1608" customWidth="1"/>
    <col min="7938" max="7938" width="56.3984375" style="1608" customWidth="1"/>
    <col min="7939" max="7939" width="19.19921875" style="1608" customWidth="1"/>
    <col min="7940" max="7940" width="11.8984375" style="1608" customWidth="1"/>
    <col min="7941" max="7941" width="9" style="1608"/>
    <col min="7942" max="7942" width="41.5" style="1608" customWidth="1"/>
    <col min="7943" max="8192" width="9" style="1608"/>
    <col min="8193" max="8193" width="5.19921875" style="1608" customWidth="1"/>
    <col min="8194" max="8194" width="56.3984375" style="1608" customWidth="1"/>
    <col min="8195" max="8195" width="19.19921875" style="1608" customWidth="1"/>
    <col min="8196" max="8196" width="11.8984375" style="1608" customWidth="1"/>
    <col min="8197" max="8197" width="9" style="1608"/>
    <col min="8198" max="8198" width="41.5" style="1608" customWidth="1"/>
    <col min="8199" max="8448" width="9" style="1608"/>
    <col min="8449" max="8449" width="5.19921875" style="1608" customWidth="1"/>
    <col min="8450" max="8450" width="56.3984375" style="1608" customWidth="1"/>
    <col min="8451" max="8451" width="19.19921875" style="1608" customWidth="1"/>
    <col min="8452" max="8452" width="11.8984375" style="1608" customWidth="1"/>
    <col min="8453" max="8453" width="9" style="1608"/>
    <col min="8454" max="8454" width="41.5" style="1608" customWidth="1"/>
    <col min="8455" max="8704" width="9" style="1608"/>
    <col min="8705" max="8705" width="5.19921875" style="1608" customWidth="1"/>
    <col min="8706" max="8706" width="56.3984375" style="1608" customWidth="1"/>
    <col min="8707" max="8707" width="19.19921875" style="1608" customWidth="1"/>
    <col min="8708" max="8708" width="11.8984375" style="1608" customWidth="1"/>
    <col min="8709" max="8709" width="9" style="1608"/>
    <col min="8710" max="8710" width="41.5" style="1608" customWidth="1"/>
    <col min="8711" max="8960" width="9" style="1608"/>
    <col min="8961" max="8961" width="5.19921875" style="1608" customWidth="1"/>
    <col min="8962" max="8962" width="56.3984375" style="1608" customWidth="1"/>
    <col min="8963" max="8963" width="19.19921875" style="1608" customWidth="1"/>
    <col min="8964" max="8964" width="11.8984375" style="1608" customWidth="1"/>
    <col min="8965" max="8965" width="9" style="1608"/>
    <col min="8966" max="8966" width="41.5" style="1608" customWidth="1"/>
    <col min="8967" max="9216" width="9" style="1608"/>
    <col min="9217" max="9217" width="5.19921875" style="1608" customWidth="1"/>
    <col min="9218" max="9218" width="56.3984375" style="1608" customWidth="1"/>
    <col min="9219" max="9219" width="19.19921875" style="1608" customWidth="1"/>
    <col min="9220" max="9220" width="11.8984375" style="1608" customWidth="1"/>
    <col min="9221" max="9221" width="9" style="1608"/>
    <col min="9222" max="9222" width="41.5" style="1608" customWidth="1"/>
    <col min="9223" max="9472" width="9" style="1608"/>
    <col min="9473" max="9473" width="5.19921875" style="1608" customWidth="1"/>
    <col min="9474" max="9474" width="56.3984375" style="1608" customWidth="1"/>
    <col min="9475" max="9475" width="19.19921875" style="1608" customWidth="1"/>
    <col min="9476" max="9476" width="11.8984375" style="1608" customWidth="1"/>
    <col min="9477" max="9477" width="9" style="1608"/>
    <col min="9478" max="9478" width="41.5" style="1608" customWidth="1"/>
    <col min="9479" max="9728" width="9" style="1608"/>
    <col min="9729" max="9729" width="5.19921875" style="1608" customWidth="1"/>
    <col min="9730" max="9730" width="56.3984375" style="1608" customWidth="1"/>
    <col min="9731" max="9731" width="19.19921875" style="1608" customWidth="1"/>
    <col min="9732" max="9732" width="11.8984375" style="1608" customWidth="1"/>
    <col min="9733" max="9733" width="9" style="1608"/>
    <col min="9734" max="9734" width="41.5" style="1608" customWidth="1"/>
    <col min="9735" max="9984" width="9" style="1608"/>
    <col min="9985" max="9985" width="5.19921875" style="1608" customWidth="1"/>
    <col min="9986" max="9986" width="56.3984375" style="1608" customWidth="1"/>
    <col min="9987" max="9987" width="19.19921875" style="1608" customWidth="1"/>
    <col min="9988" max="9988" width="11.8984375" style="1608" customWidth="1"/>
    <col min="9989" max="9989" width="9" style="1608"/>
    <col min="9990" max="9990" width="41.5" style="1608" customWidth="1"/>
    <col min="9991" max="10240" width="9" style="1608"/>
    <col min="10241" max="10241" width="5.19921875" style="1608" customWidth="1"/>
    <col min="10242" max="10242" width="56.3984375" style="1608" customWidth="1"/>
    <col min="10243" max="10243" width="19.19921875" style="1608" customWidth="1"/>
    <col min="10244" max="10244" width="11.8984375" style="1608" customWidth="1"/>
    <col min="10245" max="10245" width="9" style="1608"/>
    <col min="10246" max="10246" width="41.5" style="1608" customWidth="1"/>
    <col min="10247" max="10496" width="9" style="1608"/>
    <col min="10497" max="10497" width="5.19921875" style="1608" customWidth="1"/>
    <col min="10498" max="10498" width="56.3984375" style="1608" customWidth="1"/>
    <col min="10499" max="10499" width="19.19921875" style="1608" customWidth="1"/>
    <col min="10500" max="10500" width="11.8984375" style="1608" customWidth="1"/>
    <col min="10501" max="10501" width="9" style="1608"/>
    <col min="10502" max="10502" width="41.5" style="1608" customWidth="1"/>
    <col min="10503" max="10752" width="9" style="1608"/>
    <col min="10753" max="10753" width="5.19921875" style="1608" customWidth="1"/>
    <col min="10754" max="10754" width="56.3984375" style="1608" customWidth="1"/>
    <col min="10755" max="10755" width="19.19921875" style="1608" customWidth="1"/>
    <col min="10756" max="10756" width="11.8984375" style="1608" customWidth="1"/>
    <col min="10757" max="10757" width="9" style="1608"/>
    <col min="10758" max="10758" width="41.5" style="1608" customWidth="1"/>
    <col min="10759" max="11008" width="9" style="1608"/>
    <col min="11009" max="11009" width="5.19921875" style="1608" customWidth="1"/>
    <col min="11010" max="11010" width="56.3984375" style="1608" customWidth="1"/>
    <col min="11011" max="11011" width="19.19921875" style="1608" customWidth="1"/>
    <col min="11012" max="11012" width="11.8984375" style="1608" customWidth="1"/>
    <col min="11013" max="11013" width="9" style="1608"/>
    <col min="11014" max="11014" width="41.5" style="1608" customWidth="1"/>
    <col min="11015" max="11264" width="9" style="1608"/>
    <col min="11265" max="11265" width="5.19921875" style="1608" customWidth="1"/>
    <col min="11266" max="11266" width="56.3984375" style="1608" customWidth="1"/>
    <col min="11267" max="11267" width="19.19921875" style="1608" customWidth="1"/>
    <col min="11268" max="11268" width="11.8984375" style="1608" customWidth="1"/>
    <col min="11269" max="11269" width="9" style="1608"/>
    <col min="11270" max="11270" width="41.5" style="1608" customWidth="1"/>
    <col min="11271" max="11520" width="9" style="1608"/>
    <col min="11521" max="11521" width="5.19921875" style="1608" customWidth="1"/>
    <col min="11522" max="11522" width="56.3984375" style="1608" customWidth="1"/>
    <col min="11523" max="11523" width="19.19921875" style="1608" customWidth="1"/>
    <col min="11524" max="11524" width="11.8984375" style="1608" customWidth="1"/>
    <col min="11525" max="11525" width="9" style="1608"/>
    <col min="11526" max="11526" width="41.5" style="1608" customWidth="1"/>
    <col min="11527" max="11776" width="9" style="1608"/>
    <col min="11777" max="11777" width="5.19921875" style="1608" customWidth="1"/>
    <col min="11778" max="11778" width="56.3984375" style="1608" customWidth="1"/>
    <col min="11779" max="11779" width="19.19921875" style="1608" customWidth="1"/>
    <col min="11780" max="11780" width="11.8984375" style="1608" customWidth="1"/>
    <col min="11781" max="11781" width="9" style="1608"/>
    <col min="11782" max="11782" width="41.5" style="1608" customWidth="1"/>
    <col min="11783" max="12032" width="9" style="1608"/>
    <col min="12033" max="12033" width="5.19921875" style="1608" customWidth="1"/>
    <col min="12034" max="12034" width="56.3984375" style="1608" customWidth="1"/>
    <col min="12035" max="12035" width="19.19921875" style="1608" customWidth="1"/>
    <col min="12036" max="12036" width="11.8984375" style="1608" customWidth="1"/>
    <col min="12037" max="12037" width="9" style="1608"/>
    <col min="12038" max="12038" width="41.5" style="1608" customWidth="1"/>
    <col min="12039" max="12288" width="9" style="1608"/>
    <col min="12289" max="12289" width="5.19921875" style="1608" customWidth="1"/>
    <col min="12290" max="12290" width="56.3984375" style="1608" customWidth="1"/>
    <col min="12291" max="12291" width="19.19921875" style="1608" customWidth="1"/>
    <col min="12292" max="12292" width="11.8984375" style="1608" customWidth="1"/>
    <col min="12293" max="12293" width="9" style="1608"/>
    <col min="12294" max="12294" width="41.5" style="1608" customWidth="1"/>
    <col min="12295" max="12544" width="9" style="1608"/>
    <col min="12545" max="12545" width="5.19921875" style="1608" customWidth="1"/>
    <col min="12546" max="12546" width="56.3984375" style="1608" customWidth="1"/>
    <col min="12547" max="12547" width="19.19921875" style="1608" customWidth="1"/>
    <col min="12548" max="12548" width="11.8984375" style="1608" customWidth="1"/>
    <col min="12549" max="12549" width="9" style="1608"/>
    <col min="12550" max="12550" width="41.5" style="1608" customWidth="1"/>
    <col min="12551" max="12800" width="9" style="1608"/>
    <col min="12801" max="12801" width="5.19921875" style="1608" customWidth="1"/>
    <col min="12802" max="12802" width="56.3984375" style="1608" customWidth="1"/>
    <col min="12803" max="12803" width="19.19921875" style="1608" customWidth="1"/>
    <col min="12804" max="12804" width="11.8984375" style="1608" customWidth="1"/>
    <col min="12805" max="12805" width="9" style="1608"/>
    <col min="12806" max="12806" width="41.5" style="1608" customWidth="1"/>
    <col min="12807" max="13056" width="9" style="1608"/>
    <col min="13057" max="13057" width="5.19921875" style="1608" customWidth="1"/>
    <col min="13058" max="13058" width="56.3984375" style="1608" customWidth="1"/>
    <col min="13059" max="13059" width="19.19921875" style="1608" customWidth="1"/>
    <col min="13060" max="13060" width="11.8984375" style="1608" customWidth="1"/>
    <col min="13061" max="13061" width="9" style="1608"/>
    <col min="13062" max="13062" width="41.5" style="1608" customWidth="1"/>
    <col min="13063" max="13312" width="9" style="1608"/>
    <col min="13313" max="13313" width="5.19921875" style="1608" customWidth="1"/>
    <col min="13314" max="13314" width="56.3984375" style="1608" customWidth="1"/>
    <col min="13315" max="13315" width="19.19921875" style="1608" customWidth="1"/>
    <col min="13316" max="13316" width="11.8984375" style="1608" customWidth="1"/>
    <col min="13317" max="13317" width="9" style="1608"/>
    <col min="13318" max="13318" width="41.5" style="1608" customWidth="1"/>
    <col min="13319" max="13568" width="9" style="1608"/>
    <col min="13569" max="13569" width="5.19921875" style="1608" customWidth="1"/>
    <col min="13570" max="13570" width="56.3984375" style="1608" customWidth="1"/>
    <col min="13571" max="13571" width="19.19921875" style="1608" customWidth="1"/>
    <col min="13572" max="13572" width="11.8984375" style="1608" customWidth="1"/>
    <col min="13573" max="13573" width="9" style="1608"/>
    <col min="13574" max="13574" width="41.5" style="1608" customWidth="1"/>
    <col min="13575" max="13824" width="9" style="1608"/>
    <col min="13825" max="13825" width="5.19921875" style="1608" customWidth="1"/>
    <col min="13826" max="13826" width="56.3984375" style="1608" customWidth="1"/>
    <col min="13827" max="13827" width="19.19921875" style="1608" customWidth="1"/>
    <col min="13828" max="13828" width="11.8984375" style="1608" customWidth="1"/>
    <col min="13829" max="13829" width="9" style="1608"/>
    <col min="13830" max="13830" width="41.5" style="1608" customWidth="1"/>
    <col min="13831" max="14080" width="9" style="1608"/>
    <col min="14081" max="14081" width="5.19921875" style="1608" customWidth="1"/>
    <col min="14082" max="14082" width="56.3984375" style="1608" customWidth="1"/>
    <col min="14083" max="14083" width="19.19921875" style="1608" customWidth="1"/>
    <col min="14084" max="14084" width="11.8984375" style="1608" customWidth="1"/>
    <col min="14085" max="14085" width="9" style="1608"/>
    <col min="14086" max="14086" width="41.5" style="1608" customWidth="1"/>
    <col min="14087" max="14336" width="9" style="1608"/>
    <col min="14337" max="14337" width="5.19921875" style="1608" customWidth="1"/>
    <col min="14338" max="14338" width="56.3984375" style="1608" customWidth="1"/>
    <col min="14339" max="14339" width="19.19921875" style="1608" customWidth="1"/>
    <col min="14340" max="14340" width="11.8984375" style="1608" customWidth="1"/>
    <col min="14341" max="14341" width="9" style="1608"/>
    <col min="14342" max="14342" width="41.5" style="1608" customWidth="1"/>
    <col min="14343" max="14592" width="9" style="1608"/>
    <col min="14593" max="14593" width="5.19921875" style="1608" customWidth="1"/>
    <col min="14594" max="14594" width="56.3984375" style="1608" customWidth="1"/>
    <col min="14595" max="14595" width="19.19921875" style="1608" customWidth="1"/>
    <col min="14596" max="14596" width="11.8984375" style="1608" customWidth="1"/>
    <col min="14597" max="14597" width="9" style="1608"/>
    <col min="14598" max="14598" width="41.5" style="1608" customWidth="1"/>
    <col min="14599" max="14848" width="9" style="1608"/>
    <col min="14849" max="14849" width="5.19921875" style="1608" customWidth="1"/>
    <col min="14850" max="14850" width="56.3984375" style="1608" customWidth="1"/>
    <col min="14851" max="14851" width="19.19921875" style="1608" customWidth="1"/>
    <col min="14852" max="14852" width="11.8984375" style="1608" customWidth="1"/>
    <col min="14853" max="14853" width="9" style="1608"/>
    <col min="14854" max="14854" width="41.5" style="1608" customWidth="1"/>
    <col min="14855" max="15104" width="9" style="1608"/>
    <col min="15105" max="15105" width="5.19921875" style="1608" customWidth="1"/>
    <col min="15106" max="15106" width="56.3984375" style="1608" customWidth="1"/>
    <col min="15107" max="15107" width="19.19921875" style="1608" customWidth="1"/>
    <col min="15108" max="15108" width="11.8984375" style="1608" customWidth="1"/>
    <col min="15109" max="15109" width="9" style="1608"/>
    <col min="15110" max="15110" width="41.5" style="1608" customWidth="1"/>
    <col min="15111" max="15360" width="9" style="1608"/>
    <col min="15361" max="15361" width="5.19921875" style="1608" customWidth="1"/>
    <col min="15362" max="15362" width="56.3984375" style="1608" customWidth="1"/>
    <col min="15363" max="15363" width="19.19921875" style="1608" customWidth="1"/>
    <col min="15364" max="15364" width="11.8984375" style="1608" customWidth="1"/>
    <col min="15365" max="15365" width="9" style="1608"/>
    <col min="15366" max="15366" width="41.5" style="1608" customWidth="1"/>
    <col min="15367" max="15616" width="9" style="1608"/>
    <col min="15617" max="15617" width="5.19921875" style="1608" customWidth="1"/>
    <col min="15618" max="15618" width="56.3984375" style="1608" customWidth="1"/>
    <col min="15619" max="15619" width="19.19921875" style="1608" customWidth="1"/>
    <col min="15620" max="15620" width="11.8984375" style="1608" customWidth="1"/>
    <col min="15621" max="15621" width="9" style="1608"/>
    <col min="15622" max="15622" width="41.5" style="1608" customWidth="1"/>
    <col min="15623" max="15872" width="9" style="1608"/>
    <col min="15873" max="15873" width="5.19921875" style="1608" customWidth="1"/>
    <col min="15874" max="15874" width="56.3984375" style="1608" customWidth="1"/>
    <col min="15875" max="15875" width="19.19921875" style="1608" customWidth="1"/>
    <col min="15876" max="15876" width="11.8984375" style="1608" customWidth="1"/>
    <col min="15877" max="15877" width="9" style="1608"/>
    <col min="15878" max="15878" width="41.5" style="1608" customWidth="1"/>
    <col min="15879" max="16128" width="9" style="1608"/>
    <col min="16129" max="16129" width="5.19921875" style="1608" customWidth="1"/>
    <col min="16130" max="16130" width="56.3984375" style="1608" customWidth="1"/>
    <col min="16131" max="16131" width="19.19921875" style="1608" customWidth="1"/>
    <col min="16132" max="16132" width="11.8984375" style="1608" customWidth="1"/>
    <col min="16133" max="16133" width="9" style="1608"/>
    <col min="16134" max="16134" width="41.5" style="1608" customWidth="1"/>
    <col min="16135" max="16384" width="9" style="1608"/>
  </cols>
  <sheetData>
    <row r="1" spans="1:6" ht="20.100000000000001" customHeight="1">
      <c r="A1" s="3438" t="s">
        <v>5659</v>
      </c>
      <c r="B1" s="3438"/>
      <c r="C1" s="3438"/>
      <c r="D1" s="2021"/>
    </row>
    <row r="2" spans="1:6" s="1609" customFormat="1" ht="25.5" customHeight="1">
      <c r="A2" s="3379" t="s">
        <v>5660</v>
      </c>
      <c r="B2" s="3379"/>
      <c r="C2" s="3439"/>
      <c r="D2" s="1878"/>
    </row>
    <row r="3" spans="1:6" s="1610" customFormat="1" ht="14.25" customHeight="1">
      <c r="A3" s="1879" t="s">
        <v>1854</v>
      </c>
      <c r="B3" s="1879" t="s">
        <v>666</v>
      </c>
      <c r="C3" s="1879" t="s">
        <v>2354</v>
      </c>
      <c r="D3" s="1879" t="s">
        <v>4901</v>
      </c>
      <c r="F3" s="1611"/>
    </row>
    <row r="4" spans="1:6" s="1610" customFormat="1" ht="14.25" customHeight="1">
      <c r="A4" s="3454" t="s">
        <v>6831</v>
      </c>
      <c r="B4" s="3455"/>
      <c r="C4" s="3455"/>
      <c r="D4" s="3456"/>
    </row>
    <row r="5" spans="1:6" s="1610" customFormat="1" ht="14.25" customHeight="1">
      <c r="A5" s="1879">
        <v>1</v>
      </c>
      <c r="B5" s="1881" t="s">
        <v>5661</v>
      </c>
      <c r="C5" s="2242">
        <f>抵扣应纳税所得额审核表!C5</f>
        <v>0</v>
      </c>
      <c r="D5" s="1985"/>
    </row>
    <row r="6" spans="1:6" s="1610" customFormat="1" ht="14.25" customHeight="1">
      <c r="A6" s="1879">
        <v>2</v>
      </c>
      <c r="B6" s="1880" t="s">
        <v>5662</v>
      </c>
      <c r="C6" s="2287">
        <f>抵扣应纳税所得额审核表!C6</f>
        <v>0.7</v>
      </c>
      <c r="D6" s="1985"/>
    </row>
    <row r="7" spans="1:6" s="1610" customFormat="1" ht="14.25" customHeight="1">
      <c r="A7" s="1879">
        <v>3</v>
      </c>
      <c r="B7" s="1880" t="s">
        <v>6832</v>
      </c>
      <c r="C7" s="2242">
        <f>抵扣应纳税所得额审核表!C7</f>
        <v>0</v>
      </c>
      <c r="D7" s="1985"/>
    </row>
    <row r="8" spans="1:6" s="1610" customFormat="1" ht="14.25" customHeight="1">
      <c r="A8" s="1879">
        <v>4</v>
      </c>
      <c r="B8" s="1880" t="s">
        <v>5663</v>
      </c>
      <c r="C8" s="2242">
        <f>抵扣应纳税所得额审核表!C8</f>
        <v>0</v>
      </c>
      <c r="D8" s="1985"/>
    </row>
    <row r="9" spans="1:6" s="1610" customFormat="1" ht="16.5" customHeight="1">
      <c r="A9" s="1879">
        <v>5</v>
      </c>
      <c r="B9" s="1880" t="s">
        <v>6833</v>
      </c>
      <c r="C9" s="2242">
        <f>抵扣应纳税所得额审核表!C9</f>
        <v>0</v>
      </c>
      <c r="D9" s="1985"/>
    </row>
    <row r="10" spans="1:6" s="1610" customFormat="1" ht="16.5" customHeight="1">
      <c r="A10" s="1879">
        <v>6</v>
      </c>
      <c r="B10" s="1880" t="s">
        <v>5664</v>
      </c>
      <c r="C10" s="2242">
        <f ca="1">抵扣应纳税所得额审核表!C10</f>
        <v>0</v>
      </c>
      <c r="D10" s="2286" t="s">
        <v>7664</v>
      </c>
    </row>
    <row r="11" spans="1:6" s="1610" customFormat="1" ht="16.5" customHeight="1">
      <c r="A11" s="1879">
        <v>7</v>
      </c>
      <c r="B11" s="1880" t="s">
        <v>6834</v>
      </c>
      <c r="C11" s="2242">
        <f ca="1">抵扣应纳税所得额审核表!C11</f>
        <v>0</v>
      </c>
      <c r="D11" s="1985"/>
    </row>
    <row r="12" spans="1:6" s="1610" customFormat="1" ht="16.5" customHeight="1">
      <c r="A12" s="1879">
        <v>8</v>
      </c>
      <c r="B12" s="1880" t="s">
        <v>5667</v>
      </c>
      <c r="C12" s="2242">
        <f ca="1">抵扣应纳税所得额审核表!C12</f>
        <v>0</v>
      </c>
      <c r="D12" s="1985"/>
    </row>
    <row r="13" spans="1:6" s="1610" customFormat="1" ht="16.5" customHeight="1">
      <c r="A13" s="3454" t="s">
        <v>6835</v>
      </c>
      <c r="B13" s="3455"/>
      <c r="C13" s="3455"/>
      <c r="D13" s="3456"/>
    </row>
    <row r="14" spans="1:6" s="1610" customFormat="1" ht="16.5" customHeight="1">
      <c r="A14" s="1879">
        <v>9</v>
      </c>
      <c r="B14" s="1880" t="s">
        <v>6837</v>
      </c>
      <c r="C14" s="2242">
        <f>抵扣应纳税所得额审核表!C14</f>
        <v>0</v>
      </c>
      <c r="D14" s="1985"/>
    </row>
    <row r="15" spans="1:6" s="1610" customFormat="1" ht="16.5" customHeight="1">
      <c r="A15" s="1879">
        <v>10</v>
      </c>
      <c r="B15" s="1880" t="s">
        <v>6838</v>
      </c>
      <c r="C15" s="2242">
        <f>抵扣应纳税所得额审核表!C15</f>
        <v>0</v>
      </c>
      <c r="D15" s="1985"/>
    </row>
    <row r="16" spans="1:6" s="1610" customFormat="1" ht="16.5" customHeight="1">
      <c r="A16" s="1879">
        <v>11</v>
      </c>
      <c r="B16" s="1880" t="s">
        <v>6839</v>
      </c>
      <c r="C16" s="2242">
        <f>抵扣应纳税所得额审核表!C16</f>
        <v>0</v>
      </c>
      <c r="D16" s="1985"/>
    </row>
    <row r="17" spans="1:5" s="1610" customFormat="1" ht="16.5" customHeight="1">
      <c r="A17" s="1879">
        <v>12</v>
      </c>
      <c r="B17" s="1880" t="s">
        <v>6840</v>
      </c>
      <c r="C17" s="2242">
        <f>抵扣应纳税所得额审核表!C17</f>
        <v>0</v>
      </c>
      <c r="D17" s="1985"/>
    </row>
    <row r="18" spans="1:5" s="1610" customFormat="1" ht="38.25" customHeight="1">
      <c r="A18" s="1879">
        <v>13</v>
      </c>
      <c r="B18" s="1880" t="s">
        <v>6841</v>
      </c>
      <c r="C18" s="2242">
        <f ca="1">抵扣应纳税所得额审核表!C18</f>
        <v>0</v>
      </c>
      <c r="D18" s="1986"/>
    </row>
    <row r="19" spans="1:5" s="1610" customFormat="1" ht="30" customHeight="1">
      <c r="A19" s="1879">
        <v>14</v>
      </c>
      <c r="B19" s="1880" t="s">
        <v>6842</v>
      </c>
      <c r="C19" s="2242">
        <f>抵扣应纳税所得额审核表!C19</f>
        <v>0</v>
      </c>
      <c r="D19" s="1987"/>
    </row>
    <row r="20" spans="1:5" s="1610" customFormat="1" ht="14.25" customHeight="1">
      <c r="A20" s="3454" t="s">
        <v>6836</v>
      </c>
      <c r="B20" s="3455"/>
      <c r="C20" s="3455"/>
      <c r="D20" s="3456"/>
      <c r="E20" s="1675" t="s">
        <v>6469</v>
      </c>
    </row>
    <row r="21" spans="1:5">
      <c r="A21" s="1879">
        <v>15</v>
      </c>
      <c r="B21" s="1880" t="s">
        <v>6843</v>
      </c>
      <c r="C21" s="2242">
        <f ca="1">抵扣应纳税所得额审核表!C21</f>
        <v>0</v>
      </c>
      <c r="D21" s="1985" t="s">
        <v>7663</v>
      </c>
    </row>
  </sheetData>
  <mergeCells count="5">
    <mergeCell ref="A1:C1"/>
    <mergeCell ref="A2:C2"/>
    <mergeCell ref="A4:D4"/>
    <mergeCell ref="A13:D13"/>
    <mergeCell ref="A20:D20"/>
  </mergeCells>
  <phoneticPr fontId="51" type="noConversion"/>
  <hyperlinks>
    <hyperlink ref="E20" location="抵扣应纳税所得额审核表!A1" display="抵扣应纳税所得额审核表!A1"/>
  </hyperlinks>
  <printOptions horizontalCentered="1"/>
  <pageMargins left="0.78740157480314998" right="0.35433070866141703" top="0.511811023622047" bottom="0.11811023622047198" header="0.511811023622047" footer="0.511811023622047"/>
  <pageSetup paperSize="9" orientation="landscape" r:id="rId1"/>
</worksheet>
</file>

<file path=xl/worksheets/sheet15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46">
    <tabColor rgb="FFFFFF00"/>
  </sheetPr>
  <dimension ref="A1:J53"/>
  <sheetViews>
    <sheetView workbookViewId="0">
      <selection activeCell="J16" sqref="J16"/>
    </sheetView>
  </sheetViews>
  <sheetFormatPr defaultRowHeight="15.6"/>
  <cols>
    <col min="1" max="1" width="5.19921875" style="1605" customWidth="1"/>
    <col min="2" max="2" width="48.09765625" style="1605" customWidth="1"/>
    <col min="3" max="3" width="13.09765625" style="1605" customWidth="1"/>
    <col min="4" max="4" width="12.3984375" style="1605" customWidth="1"/>
    <col min="5" max="5" width="20.19921875" style="1605" customWidth="1"/>
    <col min="6" max="6" width="9" style="1605"/>
    <col min="7" max="7" width="17.59765625" style="1605" customWidth="1"/>
    <col min="8" max="257" width="9" style="1605"/>
    <col min="258" max="258" width="5.19921875" style="1605" customWidth="1"/>
    <col min="259" max="259" width="48.09765625" style="1605" customWidth="1"/>
    <col min="260" max="260" width="7.8984375" style="1605" customWidth="1"/>
    <col min="261" max="261" width="20.19921875" style="1605" customWidth="1"/>
    <col min="262" max="262" width="9" style="1605"/>
    <col min="263" max="263" width="17.59765625" style="1605" customWidth="1"/>
    <col min="264" max="513" width="9" style="1605"/>
    <col min="514" max="514" width="5.19921875" style="1605" customWidth="1"/>
    <col min="515" max="515" width="48.09765625" style="1605" customWidth="1"/>
    <col min="516" max="516" width="7.8984375" style="1605" customWidth="1"/>
    <col min="517" max="517" width="20.19921875" style="1605" customWidth="1"/>
    <col min="518" max="518" width="9" style="1605"/>
    <col min="519" max="519" width="17.59765625" style="1605" customWidth="1"/>
    <col min="520" max="769" width="9" style="1605"/>
    <col min="770" max="770" width="5.19921875" style="1605" customWidth="1"/>
    <col min="771" max="771" width="48.09765625" style="1605" customWidth="1"/>
    <col min="772" max="772" width="7.8984375" style="1605" customWidth="1"/>
    <col min="773" max="773" width="20.19921875" style="1605" customWidth="1"/>
    <col min="774" max="774" width="9" style="1605"/>
    <col min="775" max="775" width="17.59765625" style="1605" customWidth="1"/>
    <col min="776" max="1025" width="9" style="1605"/>
    <col min="1026" max="1026" width="5.19921875" style="1605" customWidth="1"/>
    <col min="1027" max="1027" width="48.09765625" style="1605" customWidth="1"/>
    <col min="1028" max="1028" width="7.8984375" style="1605" customWidth="1"/>
    <col min="1029" max="1029" width="20.19921875" style="1605" customWidth="1"/>
    <col min="1030" max="1030" width="9" style="1605"/>
    <col min="1031" max="1031" width="17.59765625" style="1605" customWidth="1"/>
    <col min="1032" max="1281" width="9" style="1605"/>
    <col min="1282" max="1282" width="5.19921875" style="1605" customWidth="1"/>
    <col min="1283" max="1283" width="48.09765625" style="1605" customWidth="1"/>
    <col min="1284" max="1284" width="7.8984375" style="1605" customWidth="1"/>
    <col min="1285" max="1285" width="20.19921875" style="1605" customWidth="1"/>
    <col min="1286" max="1286" width="9" style="1605"/>
    <col min="1287" max="1287" width="17.59765625" style="1605" customWidth="1"/>
    <col min="1288" max="1537" width="9" style="1605"/>
    <col min="1538" max="1538" width="5.19921875" style="1605" customWidth="1"/>
    <col min="1539" max="1539" width="48.09765625" style="1605" customWidth="1"/>
    <col min="1540" max="1540" width="7.8984375" style="1605" customWidth="1"/>
    <col min="1541" max="1541" width="20.19921875" style="1605" customWidth="1"/>
    <col min="1542" max="1542" width="9" style="1605"/>
    <col min="1543" max="1543" width="17.59765625" style="1605" customWidth="1"/>
    <col min="1544" max="1793" width="9" style="1605"/>
    <col min="1794" max="1794" width="5.19921875" style="1605" customWidth="1"/>
    <col min="1795" max="1795" width="48.09765625" style="1605" customWidth="1"/>
    <col min="1796" max="1796" width="7.8984375" style="1605" customWidth="1"/>
    <col min="1797" max="1797" width="20.19921875" style="1605" customWidth="1"/>
    <col min="1798" max="1798" width="9" style="1605"/>
    <col min="1799" max="1799" width="17.59765625" style="1605" customWidth="1"/>
    <col min="1800" max="2049" width="9" style="1605"/>
    <col min="2050" max="2050" width="5.19921875" style="1605" customWidth="1"/>
    <col min="2051" max="2051" width="48.09765625" style="1605" customWidth="1"/>
    <col min="2052" max="2052" width="7.8984375" style="1605" customWidth="1"/>
    <col min="2053" max="2053" width="20.19921875" style="1605" customWidth="1"/>
    <col min="2054" max="2054" width="9" style="1605"/>
    <col min="2055" max="2055" width="17.59765625" style="1605" customWidth="1"/>
    <col min="2056" max="2305" width="9" style="1605"/>
    <col min="2306" max="2306" width="5.19921875" style="1605" customWidth="1"/>
    <col min="2307" max="2307" width="48.09765625" style="1605" customWidth="1"/>
    <col min="2308" max="2308" width="7.8984375" style="1605" customWidth="1"/>
    <col min="2309" max="2309" width="20.19921875" style="1605" customWidth="1"/>
    <col min="2310" max="2310" width="9" style="1605"/>
    <col min="2311" max="2311" width="17.59765625" style="1605" customWidth="1"/>
    <col min="2312" max="2561" width="9" style="1605"/>
    <col min="2562" max="2562" width="5.19921875" style="1605" customWidth="1"/>
    <col min="2563" max="2563" width="48.09765625" style="1605" customWidth="1"/>
    <col min="2564" max="2564" width="7.8984375" style="1605" customWidth="1"/>
    <col min="2565" max="2565" width="20.19921875" style="1605" customWidth="1"/>
    <col min="2566" max="2566" width="9" style="1605"/>
    <col min="2567" max="2567" width="17.59765625" style="1605" customWidth="1"/>
    <col min="2568" max="2817" width="9" style="1605"/>
    <col min="2818" max="2818" width="5.19921875" style="1605" customWidth="1"/>
    <col min="2819" max="2819" width="48.09765625" style="1605" customWidth="1"/>
    <col min="2820" max="2820" width="7.8984375" style="1605" customWidth="1"/>
    <col min="2821" max="2821" width="20.19921875" style="1605" customWidth="1"/>
    <col min="2822" max="2822" width="9" style="1605"/>
    <col min="2823" max="2823" width="17.59765625" style="1605" customWidth="1"/>
    <col min="2824" max="3073" width="9" style="1605"/>
    <col min="3074" max="3074" width="5.19921875" style="1605" customWidth="1"/>
    <col min="3075" max="3075" width="48.09765625" style="1605" customWidth="1"/>
    <col min="3076" max="3076" width="7.8984375" style="1605" customWidth="1"/>
    <col min="3077" max="3077" width="20.19921875" style="1605" customWidth="1"/>
    <col min="3078" max="3078" width="9" style="1605"/>
    <col min="3079" max="3079" width="17.59765625" style="1605" customWidth="1"/>
    <col min="3080" max="3329" width="9" style="1605"/>
    <col min="3330" max="3330" width="5.19921875" style="1605" customWidth="1"/>
    <col min="3331" max="3331" width="48.09765625" style="1605" customWidth="1"/>
    <col min="3332" max="3332" width="7.8984375" style="1605" customWidth="1"/>
    <col min="3333" max="3333" width="20.19921875" style="1605" customWidth="1"/>
    <col min="3334" max="3334" width="9" style="1605"/>
    <col min="3335" max="3335" width="17.59765625" style="1605" customWidth="1"/>
    <col min="3336" max="3585" width="9" style="1605"/>
    <col min="3586" max="3586" width="5.19921875" style="1605" customWidth="1"/>
    <col min="3587" max="3587" width="48.09765625" style="1605" customWidth="1"/>
    <col min="3588" max="3588" width="7.8984375" style="1605" customWidth="1"/>
    <col min="3589" max="3589" width="20.19921875" style="1605" customWidth="1"/>
    <col min="3590" max="3590" width="9" style="1605"/>
    <col min="3591" max="3591" width="17.59765625" style="1605" customWidth="1"/>
    <col min="3592" max="3841" width="9" style="1605"/>
    <col min="3842" max="3842" width="5.19921875" style="1605" customWidth="1"/>
    <col min="3843" max="3843" width="48.09765625" style="1605" customWidth="1"/>
    <col min="3844" max="3844" width="7.8984375" style="1605" customWidth="1"/>
    <col min="3845" max="3845" width="20.19921875" style="1605" customWidth="1"/>
    <col min="3846" max="3846" width="9" style="1605"/>
    <col min="3847" max="3847" width="17.59765625" style="1605" customWidth="1"/>
    <col min="3848" max="4097" width="9" style="1605"/>
    <col min="4098" max="4098" width="5.19921875" style="1605" customWidth="1"/>
    <col min="4099" max="4099" width="48.09765625" style="1605" customWidth="1"/>
    <col min="4100" max="4100" width="7.8984375" style="1605" customWidth="1"/>
    <col min="4101" max="4101" width="20.19921875" style="1605" customWidth="1"/>
    <col min="4102" max="4102" width="9" style="1605"/>
    <col min="4103" max="4103" width="17.59765625" style="1605" customWidth="1"/>
    <col min="4104" max="4353" width="9" style="1605"/>
    <col min="4354" max="4354" width="5.19921875" style="1605" customWidth="1"/>
    <col min="4355" max="4355" width="48.09765625" style="1605" customWidth="1"/>
    <col min="4356" max="4356" width="7.8984375" style="1605" customWidth="1"/>
    <col min="4357" max="4357" width="20.19921875" style="1605" customWidth="1"/>
    <col min="4358" max="4358" width="9" style="1605"/>
    <col min="4359" max="4359" width="17.59765625" style="1605" customWidth="1"/>
    <col min="4360" max="4609" width="9" style="1605"/>
    <col min="4610" max="4610" width="5.19921875" style="1605" customWidth="1"/>
    <col min="4611" max="4611" width="48.09765625" style="1605" customWidth="1"/>
    <col min="4612" max="4612" width="7.8984375" style="1605" customWidth="1"/>
    <col min="4613" max="4613" width="20.19921875" style="1605" customWidth="1"/>
    <col min="4614" max="4614" width="9" style="1605"/>
    <col min="4615" max="4615" width="17.59765625" style="1605" customWidth="1"/>
    <col min="4616" max="4865" width="9" style="1605"/>
    <col min="4866" max="4866" width="5.19921875" style="1605" customWidth="1"/>
    <col min="4867" max="4867" width="48.09765625" style="1605" customWidth="1"/>
    <col min="4868" max="4868" width="7.8984375" style="1605" customWidth="1"/>
    <col min="4869" max="4869" width="20.19921875" style="1605" customWidth="1"/>
    <col min="4870" max="4870" width="9" style="1605"/>
    <col min="4871" max="4871" width="17.59765625" style="1605" customWidth="1"/>
    <col min="4872" max="5121" width="9" style="1605"/>
    <col min="5122" max="5122" width="5.19921875" style="1605" customWidth="1"/>
    <col min="5123" max="5123" width="48.09765625" style="1605" customWidth="1"/>
    <col min="5124" max="5124" width="7.8984375" style="1605" customWidth="1"/>
    <col min="5125" max="5125" width="20.19921875" style="1605" customWidth="1"/>
    <col min="5126" max="5126" width="9" style="1605"/>
    <col min="5127" max="5127" width="17.59765625" style="1605" customWidth="1"/>
    <col min="5128" max="5377" width="9" style="1605"/>
    <col min="5378" max="5378" width="5.19921875" style="1605" customWidth="1"/>
    <col min="5379" max="5379" width="48.09765625" style="1605" customWidth="1"/>
    <col min="5380" max="5380" width="7.8984375" style="1605" customWidth="1"/>
    <col min="5381" max="5381" width="20.19921875" style="1605" customWidth="1"/>
    <col min="5382" max="5382" width="9" style="1605"/>
    <col min="5383" max="5383" width="17.59765625" style="1605" customWidth="1"/>
    <col min="5384" max="5633" width="9" style="1605"/>
    <col min="5634" max="5634" width="5.19921875" style="1605" customWidth="1"/>
    <col min="5635" max="5635" width="48.09765625" style="1605" customWidth="1"/>
    <col min="5636" max="5636" width="7.8984375" style="1605" customWidth="1"/>
    <col min="5637" max="5637" width="20.19921875" style="1605" customWidth="1"/>
    <col min="5638" max="5638" width="9" style="1605"/>
    <col min="5639" max="5639" width="17.59765625" style="1605" customWidth="1"/>
    <col min="5640" max="5889" width="9" style="1605"/>
    <col min="5890" max="5890" width="5.19921875" style="1605" customWidth="1"/>
    <col min="5891" max="5891" width="48.09765625" style="1605" customWidth="1"/>
    <col min="5892" max="5892" width="7.8984375" style="1605" customWidth="1"/>
    <col min="5893" max="5893" width="20.19921875" style="1605" customWidth="1"/>
    <col min="5894" max="5894" width="9" style="1605"/>
    <col min="5895" max="5895" width="17.59765625" style="1605" customWidth="1"/>
    <col min="5896" max="6145" width="9" style="1605"/>
    <col min="6146" max="6146" width="5.19921875" style="1605" customWidth="1"/>
    <col min="6147" max="6147" width="48.09765625" style="1605" customWidth="1"/>
    <col min="6148" max="6148" width="7.8984375" style="1605" customWidth="1"/>
    <col min="6149" max="6149" width="20.19921875" style="1605" customWidth="1"/>
    <col min="6150" max="6150" width="9" style="1605"/>
    <col min="6151" max="6151" width="17.59765625" style="1605" customWidth="1"/>
    <col min="6152" max="6401" width="9" style="1605"/>
    <col min="6402" max="6402" width="5.19921875" style="1605" customWidth="1"/>
    <col min="6403" max="6403" width="48.09765625" style="1605" customWidth="1"/>
    <col min="6404" max="6404" width="7.8984375" style="1605" customWidth="1"/>
    <col min="6405" max="6405" width="20.19921875" style="1605" customWidth="1"/>
    <col min="6406" max="6406" width="9" style="1605"/>
    <col min="6407" max="6407" width="17.59765625" style="1605" customWidth="1"/>
    <col min="6408" max="6657" width="9" style="1605"/>
    <col min="6658" max="6658" width="5.19921875" style="1605" customWidth="1"/>
    <col min="6659" max="6659" width="48.09765625" style="1605" customWidth="1"/>
    <col min="6660" max="6660" width="7.8984375" style="1605" customWidth="1"/>
    <col min="6661" max="6661" width="20.19921875" style="1605" customWidth="1"/>
    <col min="6662" max="6662" width="9" style="1605"/>
    <col min="6663" max="6663" width="17.59765625" style="1605" customWidth="1"/>
    <col min="6664" max="6913" width="9" style="1605"/>
    <col min="6914" max="6914" width="5.19921875" style="1605" customWidth="1"/>
    <col min="6915" max="6915" width="48.09765625" style="1605" customWidth="1"/>
    <col min="6916" max="6916" width="7.8984375" style="1605" customWidth="1"/>
    <col min="6917" max="6917" width="20.19921875" style="1605" customWidth="1"/>
    <col min="6918" max="6918" width="9" style="1605"/>
    <col min="6919" max="6919" width="17.59765625" style="1605" customWidth="1"/>
    <col min="6920" max="7169" width="9" style="1605"/>
    <col min="7170" max="7170" width="5.19921875" style="1605" customWidth="1"/>
    <col min="7171" max="7171" width="48.09765625" style="1605" customWidth="1"/>
    <col min="7172" max="7172" width="7.8984375" style="1605" customWidth="1"/>
    <col min="7173" max="7173" width="20.19921875" style="1605" customWidth="1"/>
    <col min="7174" max="7174" width="9" style="1605"/>
    <col min="7175" max="7175" width="17.59765625" style="1605" customWidth="1"/>
    <col min="7176" max="7425" width="9" style="1605"/>
    <col min="7426" max="7426" width="5.19921875" style="1605" customWidth="1"/>
    <col min="7427" max="7427" width="48.09765625" style="1605" customWidth="1"/>
    <col min="7428" max="7428" width="7.8984375" style="1605" customWidth="1"/>
    <col min="7429" max="7429" width="20.19921875" style="1605" customWidth="1"/>
    <col min="7430" max="7430" width="9" style="1605"/>
    <col min="7431" max="7431" width="17.59765625" style="1605" customWidth="1"/>
    <col min="7432" max="7681" width="9" style="1605"/>
    <col min="7682" max="7682" width="5.19921875" style="1605" customWidth="1"/>
    <col min="7683" max="7683" width="48.09765625" style="1605" customWidth="1"/>
    <col min="7684" max="7684" width="7.8984375" style="1605" customWidth="1"/>
    <col min="7685" max="7685" width="20.19921875" style="1605" customWidth="1"/>
    <col min="7686" max="7686" width="9" style="1605"/>
    <col min="7687" max="7687" width="17.59765625" style="1605" customWidth="1"/>
    <col min="7688" max="7937" width="9" style="1605"/>
    <col min="7938" max="7938" width="5.19921875" style="1605" customWidth="1"/>
    <col min="7939" max="7939" width="48.09765625" style="1605" customWidth="1"/>
    <col min="7940" max="7940" width="7.8984375" style="1605" customWidth="1"/>
    <col min="7941" max="7941" width="20.19921875" style="1605" customWidth="1"/>
    <col min="7942" max="7942" width="9" style="1605"/>
    <col min="7943" max="7943" width="17.59765625" style="1605" customWidth="1"/>
    <col min="7944" max="8193" width="9" style="1605"/>
    <col min="8194" max="8194" width="5.19921875" style="1605" customWidth="1"/>
    <col min="8195" max="8195" width="48.09765625" style="1605" customWidth="1"/>
    <col min="8196" max="8196" width="7.8984375" style="1605" customWidth="1"/>
    <col min="8197" max="8197" width="20.19921875" style="1605" customWidth="1"/>
    <col min="8198" max="8198" width="9" style="1605"/>
    <col min="8199" max="8199" width="17.59765625" style="1605" customWidth="1"/>
    <col min="8200" max="8449" width="9" style="1605"/>
    <col min="8450" max="8450" width="5.19921875" style="1605" customWidth="1"/>
    <col min="8451" max="8451" width="48.09765625" style="1605" customWidth="1"/>
    <col min="8452" max="8452" width="7.8984375" style="1605" customWidth="1"/>
    <col min="8453" max="8453" width="20.19921875" style="1605" customWidth="1"/>
    <col min="8454" max="8454" width="9" style="1605"/>
    <col min="8455" max="8455" width="17.59765625" style="1605" customWidth="1"/>
    <col min="8456" max="8705" width="9" style="1605"/>
    <col min="8706" max="8706" width="5.19921875" style="1605" customWidth="1"/>
    <col min="8707" max="8707" width="48.09765625" style="1605" customWidth="1"/>
    <col min="8708" max="8708" width="7.8984375" style="1605" customWidth="1"/>
    <col min="8709" max="8709" width="20.19921875" style="1605" customWidth="1"/>
    <col min="8710" max="8710" width="9" style="1605"/>
    <col min="8711" max="8711" width="17.59765625" style="1605" customWidth="1"/>
    <col min="8712" max="8961" width="9" style="1605"/>
    <col min="8962" max="8962" width="5.19921875" style="1605" customWidth="1"/>
    <col min="8963" max="8963" width="48.09765625" style="1605" customWidth="1"/>
    <col min="8964" max="8964" width="7.8984375" style="1605" customWidth="1"/>
    <col min="8965" max="8965" width="20.19921875" style="1605" customWidth="1"/>
    <col min="8966" max="8966" width="9" style="1605"/>
    <col min="8967" max="8967" width="17.59765625" style="1605" customWidth="1"/>
    <col min="8968" max="9217" width="9" style="1605"/>
    <col min="9218" max="9218" width="5.19921875" style="1605" customWidth="1"/>
    <col min="9219" max="9219" width="48.09765625" style="1605" customWidth="1"/>
    <col min="9220" max="9220" width="7.8984375" style="1605" customWidth="1"/>
    <col min="9221" max="9221" width="20.19921875" style="1605" customWidth="1"/>
    <col min="9222" max="9222" width="9" style="1605"/>
    <col min="9223" max="9223" width="17.59765625" style="1605" customWidth="1"/>
    <col min="9224" max="9473" width="9" style="1605"/>
    <col min="9474" max="9474" width="5.19921875" style="1605" customWidth="1"/>
    <col min="9475" max="9475" width="48.09765625" style="1605" customWidth="1"/>
    <col min="9476" max="9476" width="7.8984375" style="1605" customWidth="1"/>
    <col min="9477" max="9477" width="20.19921875" style="1605" customWidth="1"/>
    <col min="9478" max="9478" width="9" style="1605"/>
    <col min="9479" max="9479" width="17.59765625" style="1605" customWidth="1"/>
    <col min="9480" max="9729" width="9" style="1605"/>
    <col min="9730" max="9730" width="5.19921875" style="1605" customWidth="1"/>
    <col min="9731" max="9731" width="48.09765625" style="1605" customWidth="1"/>
    <col min="9732" max="9732" width="7.8984375" style="1605" customWidth="1"/>
    <col min="9733" max="9733" width="20.19921875" style="1605" customWidth="1"/>
    <col min="9734" max="9734" width="9" style="1605"/>
    <col min="9735" max="9735" width="17.59765625" style="1605" customWidth="1"/>
    <col min="9736" max="9985" width="9" style="1605"/>
    <col min="9986" max="9986" width="5.19921875" style="1605" customWidth="1"/>
    <col min="9987" max="9987" width="48.09765625" style="1605" customWidth="1"/>
    <col min="9988" max="9988" width="7.8984375" style="1605" customWidth="1"/>
    <col min="9989" max="9989" width="20.19921875" style="1605" customWidth="1"/>
    <col min="9990" max="9990" width="9" style="1605"/>
    <col min="9991" max="9991" width="17.59765625" style="1605" customWidth="1"/>
    <col min="9992" max="10241" width="9" style="1605"/>
    <col min="10242" max="10242" width="5.19921875" style="1605" customWidth="1"/>
    <col min="10243" max="10243" width="48.09765625" style="1605" customWidth="1"/>
    <col min="10244" max="10244" width="7.8984375" style="1605" customWidth="1"/>
    <col min="10245" max="10245" width="20.19921875" style="1605" customWidth="1"/>
    <col min="10246" max="10246" width="9" style="1605"/>
    <col min="10247" max="10247" width="17.59765625" style="1605" customWidth="1"/>
    <col min="10248" max="10497" width="9" style="1605"/>
    <col min="10498" max="10498" width="5.19921875" style="1605" customWidth="1"/>
    <col min="10499" max="10499" width="48.09765625" style="1605" customWidth="1"/>
    <col min="10500" max="10500" width="7.8984375" style="1605" customWidth="1"/>
    <col min="10501" max="10501" width="20.19921875" style="1605" customWidth="1"/>
    <col min="10502" max="10502" width="9" style="1605"/>
    <col min="10503" max="10503" width="17.59765625" style="1605" customWidth="1"/>
    <col min="10504" max="10753" width="9" style="1605"/>
    <col min="10754" max="10754" width="5.19921875" style="1605" customWidth="1"/>
    <col min="10755" max="10755" width="48.09765625" style="1605" customWidth="1"/>
    <col min="10756" max="10756" width="7.8984375" style="1605" customWidth="1"/>
    <col min="10757" max="10757" width="20.19921875" style="1605" customWidth="1"/>
    <col min="10758" max="10758" width="9" style="1605"/>
    <col min="10759" max="10759" width="17.59765625" style="1605" customWidth="1"/>
    <col min="10760" max="11009" width="9" style="1605"/>
    <col min="11010" max="11010" width="5.19921875" style="1605" customWidth="1"/>
    <col min="11011" max="11011" width="48.09765625" style="1605" customWidth="1"/>
    <col min="11012" max="11012" width="7.8984375" style="1605" customWidth="1"/>
    <col min="11013" max="11013" width="20.19921875" style="1605" customWidth="1"/>
    <col min="11014" max="11014" width="9" style="1605"/>
    <col min="11015" max="11015" width="17.59765625" style="1605" customWidth="1"/>
    <col min="11016" max="11265" width="9" style="1605"/>
    <col min="11266" max="11266" width="5.19921875" style="1605" customWidth="1"/>
    <col min="11267" max="11267" width="48.09765625" style="1605" customWidth="1"/>
    <col min="11268" max="11268" width="7.8984375" style="1605" customWidth="1"/>
    <col min="11269" max="11269" width="20.19921875" style="1605" customWidth="1"/>
    <col min="11270" max="11270" width="9" style="1605"/>
    <col min="11271" max="11271" width="17.59765625" style="1605" customWidth="1"/>
    <col min="11272" max="11521" width="9" style="1605"/>
    <col min="11522" max="11522" width="5.19921875" style="1605" customWidth="1"/>
    <col min="11523" max="11523" width="48.09765625" style="1605" customWidth="1"/>
    <col min="11524" max="11524" width="7.8984375" style="1605" customWidth="1"/>
    <col min="11525" max="11525" width="20.19921875" style="1605" customWidth="1"/>
    <col min="11526" max="11526" width="9" style="1605"/>
    <col min="11527" max="11527" width="17.59765625" style="1605" customWidth="1"/>
    <col min="11528" max="11777" width="9" style="1605"/>
    <col min="11778" max="11778" width="5.19921875" style="1605" customWidth="1"/>
    <col min="11779" max="11779" width="48.09765625" style="1605" customWidth="1"/>
    <col min="11780" max="11780" width="7.8984375" style="1605" customWidth="1"/>
    <col min="11781" max="11781" width="20.19921875" style="1605" customWidth="1"/>
    <col min="11782" max="11782" width="9" style="1605"/>
    <col min="11783" max="11783" width="17.59765625" style="1605" customWidth="1"/>
    <col min="11784" max="12033" width="9" style="1605"/>
    <col min="12034" max="12034" width="5.19921875" style="1605" customWidth="1"/>
    <col min="12035" max="12035" width="48.09765625" style="1605" customWidth="1"/>
    <col min="12036" max="12036" width="7.8984375" style="1605" customWidth="1"/>
    <col min="12037" max="12037" width="20.19921875" style="1605" customWidth="1"/>
    <col min="12038" max="12038" width="9" style="1605"/>
    <col min="12039" max="12039" width="17.59765625" style="1605" customWidth="1"/>
    <col min="12040" max="12289" width="9" style="1605"/>
    <col min="12290" max="12290" width="5.19921875" style="1605" customWidth="1"/>
    <col min="12291" max="12291" width="48.09765625" style="1605" customWidth="1"/>
    <col min="12292" max="12292" width="7.8984375" style="1605" customWidth="1"/>
    <col min="12293" max="12293" width="20.19921875" style="1605" customWidth="1"/>
    <col min="12294" max="12294" width="9" style="1605"/>
    <col min="12295" max="12295" width="17.59765625" style="1605" customWidth="1"/>
    <col min="12296" max="12545" width="9" style="1605"/>
    <col min="12546" max="12546" width="5.19921875" style="1605" customWidth="1"/>
    <col min="12547" max="12547" width="48.09765625" style="1605" customWidth="1"/>
    <col min="12548" max="12548" width="7.8984375" style="1605" customWidth="1"/>
    <col min="12549" max="12549" width="20.19921875" style="1605" customWidth="1"/>
    <col min="12550" max="12550" width="9" style="1605"/>
    <col min="12551" max="12551" width="17.59765625" style="1605" customWidth="1"/>
    <col min="12552" max="12801" width="9" style="1605"/>
    <col min="12802" max="12802" width="5.19921875" style="1605" customWidth="1"/>
    <col min="12803" max="12803" width="48.09765625" style="1605" customWidth="1"/>
    <col min="12804" max="12804" width="7.8984375" style="1605" customWidth="1"/>
    <col min="12805" max="12805" width="20.19921875" style="1605" customWidth="1"/>
    <col min="12806" max="12806" width="9" style="1605"/>
    <col min="12807" max="12807" width="17.59765625" style="1605" customWidth="1"/>
    <col min="12808" max="13057" width="9" style="1605"/>
    <col min="13058" max="13058" width="5.19921875" style="1605" customWidth="1"/>
    <col min="13059" max="13059" width="48.09765625" style="1605" customWidth="1"/>
    <col min="13060" max="13060" width="7.8984375" style="1605" customWidth="1"/>
    <col min="13061" max="13061" width="20.19921875" style="1605" customWidth="1"/>
    <col min="13062" max="13062" width="9" style="1605"/>
    <col min="13063" max="13063" width="17.59765625" style="1605" customWidth="1"/>
    <col min="13064" max="13313" width="9" style="1605"/>
    <col min="13314" max="13314" width="5.19921875" style="1605" customWidth="1"/>
    <col min="13315" max="13315" width="48.09765625" style="1605" customWidth="1"/>
    <col min="13316" max="13316" width="7.8984375" style="1605" customWidth="1"/>
    <col min="13317" max="13317" width="20.19921875" style="1605" customWidth="1"/>
    <col min="13318" max="13318" width="9" style="1605"/>
    <col min="13319" max="13319" width="17.59765625" style="1605" customWidth="1"/>
    <col min="13320" max="13569" width="9" style="1605"/>
    <col min="13570" max="13570" width="5.19921875" style="1605" customWidth="1"/>
    <col min="13571" max="13571" width="48.09765625" style="1605" customWidth="1"/>
    <col min="13572" max="13572" width="7.8984375" style="1605" customWidth="1"/>
    <col min="13573" max="13573" width="20.19921875" style="1605" customWidth="1"/>
    <col min="13574" max="13574" width="9" style="1605"/>
    <col min="13575" max="13575" width="17.59765625" style="1605" customWidth="1"/>
    <col min="13576" max="13825" width="9" style="1605"/>
    <col min="13826" max="13826" width="5.19921875" style="1605" customWidth="1"/>
    <col min="13827" max="13827" width="48.09765625" style="1605" customWidth="1"/>
    <col min="13828" max="13828" width="7.8984375" style="1605" customWidth="1"/>
    <col min="13829" max="13829" width="20.19921875" style="1605" customWidth="1"/>
    <col min="13830" max="13830" width="9" style="1605"/>
    <col min="13831" max="13831" width="17.59765625" style="1605" customWidth="1"/>
    <col min="13832" max="14081" width="9" style="1605"/>
    <col min="14082" max="14082" width="5.19921875" style="1605" customWidth="1"/>
    <col min="14083" max="14083" width="48.09765625" style="1605" customWidth="1"/>
    <col min="14084" max="14084" width="7.8984375" style="1605" customWidth="1"/>
    <col min="14085" max="14085" width="20.19921875" style="1605" customWidth="1"/>
    <col min="14086" max="14086" width="9" style="1605"/>
    <col min="14087" max="14087" width="17.59765625" style="1605" customWidth="1"/>
    <col min="14088" max="14337" width="9" style="1605"/>
    <col min="14338" max="14338" width="5.19921875" style="1605" customWidth="1"/>
    <col min="14339" max="14339" width="48.09765625" style="1605" customWidth="1"/>
    <col min="14340" max="14340" width="7.8984375" style="1605" customWidth="1"/>
    <col min="14341" max="14341" width="20.19921875" style="1605" customWidth="1"/>
    <col min="14342" max="14342" width="9" style="1605"/>
    <col min="14343" max="14343" width="17.59765625" style="1605" customWidth="1"/>
    <col min="14344" max="14593" width="9" style="1605"/>
    <col min="14594" max="14594" width="5.19921875" style="1605" customWidth="1"/>
    <col min="14595" max="14595" width="48.09765625" style="1605" customWidth="1"/>
    <col min="14596" max="14596" width="7.8984375" style="1605" customWidth="1"/>
    <col min="14597" max="14597" width="20.19921875" style="1605" customWidth="1"/>
    <col min="14598" max="14598" width="9" style="1605"/>
    <col min="14599" max="14599" width="17.59765625" style="1605" customWidth="1"/>
    <col min="14600" max="14849" width="9" style="1605"/>
    <col min="14850" max="14850" width="5.19921875" style="1605" customWidth="1"/>
    <col min="14851" max="14851" width="48.09765625" style="1605" customWidth="1"/>
    <col min="14852" max="14852" width="7.8984375" style="1605" customWidth="1"/>
    <col min="14853" max="14853" width="20.19921875" style="1605" customWidth="1"/>
    <col min="14854" max="14854" width="9" style="1605"/>
    <col min="14855" max="14855" width="17.59765625" style="1605" customWidth="1"/>
    <col min="14856" max="15105" width="9" style="1605"/>
    <col min="15106" max="15106" width="5.19921875" style="1605" customWidth="1"/>
    <col min="15107" max="15107" width="48.09765625" style="1605" customWidth="1"/>
    <col min="15108" max="15108" width="7.8984375" style="1605" customWidth="1"/>
    <col min="15109" max="15109" width="20.19921875" style="1605" customWidth="1"/>
    <col min="15110" max="15110" width="9" style="1605"/>
    <col min="15111" max="15111" width="17.59765625" style="1605" customWidth="1"/>
    <col min="15112" max="15361" width="9" style="1605"/>
    <col min="15362" max="15362" width="5.19921875" style="1605" customWidth="1"/>
    <col min="15363" max="15363" width="48.09765625" style="1605" customWidth="1"/>
    <col min="15364" max="15364" width="7.8984375" style="1605" customWidth="1"/>
    <col min="15365" max="15365" width="20.19921875" style="1605" customWidth="1"/>
    <col min="15366" max="15366" width="9" style="1605"/>
    <col min="15367" max="15367" width="17.59765625" style="1605" customWidth="1"/>
    <col min="15368" max="15617" width="9" style="1605"/>
    <col min="15618" max="15618" width="5.19921875" style="1605" customWidth="1"/>
    <col min="15619" max="15619" width="48.09765625" style="1605" customWidth="1"/>
    <col min="15620" max="15620" width="7.8984375" style="1605" customWidth="1"/>
    <col min="15621" max="15621" width="20.19921875" style="1605" customWidth="1"/>
    <col min="15622" max="15622" width="9" style="1605"/>
    <col min="15623" max="15623" width="17.59765625" style="1605" customWidth="1"/>
    <col min="15624" max="15873" width="9" style="1605"/>
    <col min="15874" max="15874" width="5.19921875" style="1605" customWidth="1"/>
    <col min="15875" max="15875" width="48.09765625" style="1605" customWidth="1"/>
    <col min="15876" max="15876" width="7.8984375" style="1605" customWidth="1"/>
    <col min="15877" max="15877" width="20.19921875" style="1605" customWidth="1"/>
    <col min="15878" max="15878" width="9" style="1605"/>
    <col min="15879" max="15879" width="17.59765625" style="1605" customWidth="1"/>
    <col min="15880" max="16129" width="9" style="1605"/>
    <col min="16130" max="16130" width="5.19921875" style="1605" customWidth="1"/>
    <col min="16131" max="16131" width="48.09765625" style="1605" customWidth="1"/>
    <col min="16132" max="16132" width="7.8984375" style="1605" customWidth="1"/>
    <col min="16133" max="16133" width="20.19921875" style="1605" customWidth="1"/>
    <col min="16134" max="16134" width="9" style="1605"/>
    <col min="16135" max="16135" width="17.59765625" style="1605" customWidth="1"/>
    <col min="16136" max="16384" width="9" style="1605"/>
  </cols>
  <sheetData>
    <row r="1" spans="1:10" s="1583" customFormat="1" ht="20.100000000000001" customHeight="1">
      <c r="A1" s="3938" t="s">
        <v>5668</v>
      </c>
      <c r="B1" s="3938"/>
      <c r="C1" s="3938"/>
      <c r="D1" s="3938"/>
      <c r="E1" s="3938"/>
    </row>
    <row r="2" spans="1:10" s="1589" customFormat="1" ht="25.5" customHeight="1">
      <c r="A2" s="3379" t="s">
        <v>5669</v>
      </c>
      <c r="B2" s="3379"/>
      <c r="C2" s="3379"/>
      <c r="D2" s="3379"/>
      <c r="E2" s="3386"/>
    </row>
    <row r="3" spans="1:10" s="1603" customFormat="1" ht="14.25" customHeight="1">
      <c r="A3" s="1837" t="s">
        <v>1854</v>
      </c>
      <c r="B3" s="3388" t="s">
        <v>1628</v>
      </c>
      <c r="C3" s="3390"/>
      <c r="D3" s="1837" t="s">
        <v>5016</v>
      </c>
      <c r="E3" s="1837" t="s">
        <v>4901</v>
      </c>
      <c r="J3" s="1604"/>
    </row>
    <row r="4" spans="1:10" s="1603" customFormat="1" ht="14.25" customHeight="1">
      <c r="A4" s="2241">
        <v>1</v>
      </c>
      <c r="B4" s="3939" t="s">
        <v>6847</v>
      </c>
      <c r="C4" s="3940"/>
      <c r="D4" s="2242">
        <f>减免所得税优惠审核表!C4</f>
        <v>0</v>
      </c>
      <c r="E4" s="2241"/>
    </row>
    <row r="5" spans="1:10" s="1603" customFormat="1" ht="14.25" customHeight="1">
      <c r="A5" s="2241">
        <v>2</v>
      </c>
      <c r="B5" s="3939" t="s">
        <v>6848</v>
      </c>
      <c r="C5" s="3940"/>
      <c r="D5" s="2242">
        <f>减免所得税优惠审核表!C5</f>
        <v>0</v>
      </c>
      <c r="E5" s="1979"/>
    </row>
    <row r="6" spans="1:10" s="1603" customFormat="1" ht="14.25" customHeight="1">
      <c r="A6" s="2241">
        <v>3</v>
      </c>
      <c r="B6" s="3939" t="s">
        <v>6849</v>
      </c>
      <c r="C6" s="3940"/>
      <c r="D6" s="2242">
        <f>减免所得税优惠审核表!C6</f>
        <v>0</v>
      </c>
      <c r="E6" s="2562" t="s">
        <v>7665</v>
      </c>
    </row>
    <row r="7" spans="1:10" s="1603" customFormat="1" ht="14.25" customHeight="1">
      <c r="A7" s="2288">
        <v>4</v>
      </c>
      <c r="B7" s="3939" t="s">
        <v>6850</v>
      </c>
      <c r="C7" s="3940"/>
      <c r="D7" s="2242">
        <f>减免所得税优惠审核表!C7</f>
        <v>0</v>
      </c>
      <c r="E7" s="2290" t="s">
        <v>6882</v>
      </c>
    </row>
    <row r="8" spans="1:10" s="1603" customFormat="1" ht="14.25" customHeight="1">
      <c r="A8" s="2241">
        <v>5</v>
      </c>
      <c r="B8" s="3939" t="s">
        <v>6851</v>
      </c>
      <c r="C8" s="3940"/>
      <c r="D8" s="2242">
        <f>减免所得税优惠审核表!C8</f>
        <v>0</v>
      </c>
      <c r="E8" s="2290" t="s">
        <v>6882</v>
      </c>
    </row>
    <row r="9" spans="1:10" s="1603" customFormat="1" ht="14.25" customHeight="1">
      <c r="A9" s="2241">
        <v>6</v>
      </c>
      <c r="B9" s="3939" t="s">
        <v>6852</v>
      </c>
      <c r="C9" s="3940"/>
      <c r="D9" s="2242">
        <f>减免所得税优惠审核表!C9</f>
        <v>0</v>
      </c>
      <c r="E9" s="1838"/>
    </row>
    <row r="10" spans="1:10" s="1603" customFormat="1" ht="14.25" customHeight="1">
      <c r="A10" s="2241">
        <v>7</v>
      </c>
      <c r="B10" s="3939" t="s">
        <v>6853</v>
      </c>
      <c r="C10" s="3940"/>
      <c r="D10" s="2242">
        <f>减免所得税优惠审核表!C10</f>
        <v>0</v>
      </c>
      <c r="E10" s="1838"/>
    </row>
    <row r="11" spans="1:10" s="1603" customFormat="1" ht="14.25" customHeight="1">
      <c r="A11" s="2241">
        <v>7.1</v>
      </c>
      <c r="B11" s="3939" t="s">
        <v>6881</v>
      </c>
      <c r="C11" s="3940"/>
      <c r="D11" s="2242">
        <f>减免所得税优惠审核表!C11</f>
        <v>0</v>
      </c>
      <c r="E11" s="1838"/>
    </row>
    <row r="12" spans="1:10" s="1603" customFormat="1" ht="14.25" customHeight="1">
      <c r="A12" s="2241">
        <v>7.2</v>
      </c>
      <c r="B12" s="3939" t="s">
        <v>6880</v>
      </c>
      <c r="C12" s="3940"/>
      <c r="D12" s="2242">
        <f>减免所得税优惠审核表!C12</f>
        <v>0</v>
      </c>
      <c r="E12" s="1838"/>
      <c r="F12" s="1772" t="s">
        <v>6471</v>
      </c>
    </row>
    <row r="13" spans="1:10" s="1603" customFormat="1" ht="14.25" customHeight="1">
      <c r="A13" s="2241">
        <v>7.3</v>
      </c>
      <c r="B13" s="3939" t="s">
        <v>6879</v>
      </c>
      <c r="C13" s="3940"/>
      <c r="D13" s="2242">
        <f>减免所得税优惠审核表!C13</f>
        <v>0</v>
      </c>
      <c r="E13" s="1838"/>
    </row>
    <row r="14" spans="1:10" s="1603" customFormat="1" ht="14.25" customHeight="1">
      <c r="A14" s="2241">
        <v>8</v>
      </c>
      <c r="B14" s="3939" t="s">
        <v>6854</v>
      </c>
      <c r="C14" s="3940"/>
      <c r="D14" s="2242">
        <f>减免所得税优惠审核表!C14</f>
        <v>0</v>
      </c>
      <c r="E14" s="1838"/>
    </row>
    <row r="15" spans="1:10" s="1603" customFormat="1" ht="14.25" customHeight="1">
      <c r="A15" s="2241">
        <v>8.1</v>
      </c>
      <c r="B15" s="3939" t="s">
        <v>6881</v>
      </c>
      <c r="C15" s="3940"/>
      <c r="D15" s="2242">
        <f>减免所得税优惠审核表!C15</f>
        <v>0</v>
      </c>
      <c r="E15" s="1838"/>
    </row>
    <row r="16" spans="1:10" s="1603" customFormat="1" ht="14.25" customHeight="1">
      <c r="A16" s="2241">
        <v>8.1999999999999993</v>
      </c>
      <c r="B16" s="3939" t="s">
        <v>6880</v>
      </c>
      <c r="C16" s="3940"/>
      <c r="D16" s="2242">
        <f>减免所得税优惠审核表!C16</f>
        <v>0</v>
      </c>
      <c r="E16" s="1838"/>
    </row>
    <row r="17" spans="1:5" s="1603" customFormat="1" ht="14.25" customHeight="1">
      <c r="A17" s="2241">
        <v>8.3000000000000007</v>
      </c>
      <c r="B17" s="3939" t="s">
        <v>6879</v>
      </c>
      <c r="C17" s="3940"/>
      <c r="D17" s="2242">
        <f>减免所得税优惠审核表!C17</f>
        <v>0</v>
      </c>
      <c r="E17" s="1838"/>
    </row>
    <row r="18" spans="1:5" s="1603" customFormat="1" ht="14.25" customHeight="1">
      <c r="A18" s="2241">
        <v>9</v>
      </c>
      <c r="B18" s="3939" t="s">
        <v>6855</v>
      </c>
      <c r="C18" s="3940"/>
      <c r="D18" s="2242">
        <f>减免所得税优惠审核表!C18</f>
        <v>0</v>
      </c>
      <c r="E18" s="1838"/>
    </row>
    <row r="19" spans="1:5" s="1603" customFormat="1" ht="14.25" customHeight="1">
      <c r="A19" s="2241">
        <v>9.1</v>
      </c>
      <c r="B19" s="3939" t="s">
        <v>6883</v>
      </c>
      <c r="C19" s="3940"/>
      <c r="D19" s="2242">
        <f>减免所得税优惠审核表!C19</f>
        <v>0</v>
      </c>
      <c r="E19" s="1838"/>
    </row>
    <row r="20" spans="1:5" s="1603" customFormat="1" ht="14.25" customHeight="1">
      <c r="A20" s="2241">
        <v>9.1999999999999993</v>
      </c>
      <c r="B20" s="3939" t="s">
        <v>6880</v>
      </c>
      <c r="C20" s="3940"/>
      <c r="D20" s="2242">
        <f>减免所得税优惠审核表!C20</f>
        <v>0</v>
      </c>
      <c r="E20" s="1838"/>
    </row>
    <row r="21" spans="1:5" s="1603" customFormat="1" ht="14.25" customHeight="1">
      <c r="A21" s="2241">
        <v>9.3000000000000007</v>
      </c>
      <c r="B21" s="3939" t="s">
        <v>6879</v>
      </c>
      <c r="C21" s="3940"/>
      <c r="D21" s="2242">
        <f>减免所得税优惠审核表!C21</f>
        <v>0</v>
      </c>
      <c r="E21" s="1838"/>
    </row>
    <row r="22" spans="1:5" s="1603" customFormat="1" ht="14.25" customHeight="1">
      <c r="A22" s="2241">
        <v>10</v>
      </c>
      <c r="B22" s="3939" t="s">
        <v>6856</v>
      </c>
      <c r="C22" s="3940"/>
      <c r="D22" s="2242">
        <f>减免所得税优惠审核表!C22</f>
        <v>0</v>
      </c>
      <c r="E22" s="1838"/>
    </row>
    <row r="23" spans="1:5" s="1603" customFormat="1" ht="14.25" customHeight="1">
      <c r="A23" s="2241">
        <v>10.1</v>
      </c>
      <c r="B23" s="3939" t="s">
        <v>6884</v>
      </c>
      <c r="C23" s="3940"/>
      <c r="D23" s="2242">
        <f>减免所得税优惠审核表!C23</f>
        <v>0</v>
      </c>
      <c r="E23" s="1838"/>
    </row>
    <row r="24" spans="1:5" s="1603" customFormat="1" ht="14.25" customHeight="1">
      <c r="A24" s="2241">
        <v>10.199999999999999</v>
      </c>
      <c r="B24" s="3939" t="s">
        <v>6857</v>
      </c>
      <c r="C24" s="3940"/>
      <c r="D24" s="2242">
        <f>减免所得税优惠审核表!C24</f>
        <v>0</v>
      </c>
      <c r="E24" s="1838"/>
    </row>
    <row r="25" spans="1:5" s="1603" customFormat="1" ht="14.25" customHeight="1">
      <c r="A25" s="2241">
        <v>10.3</v>
      </c>
      <c r="B25" s="3939" t="s">
        <v>6858</v>
      </c>
      <c r="C25" s="3940"/>
      <c r="D25" s="2242">
        <f>减免所得税优惠审核表!C25</f>
        <v>0</v>
      </c>
      <c r="E25" s="1838"/>
    </row>
    <row r="26" spans="1:5" s="1603" customFormat="1" ht="14.25" customHeight="1">
      <c r="A26" s="2241">
        <v>11</v>
      </c>
      <c r="B26" s="3939" t="s">
        <v>6859</v>
      </c>
      <c r="C26" s="3940"/>
      <c r="D26" s="2242">
        <f>减免所得税优惠审核表!C26</f>
        <v>0</v>
      </c>
      <c r="E26" s="1838"/>
    </row>
    <row r="27" spans="1:5" s="1603" customFormat="1" ht="14.25" customHeight="1">
      <c r="A27" s="2241">
        <v>12</v>
      </c>
      <c r="B27" s="3939" t="s">
        <v>6860</v>
      </c>
      <c r="C27" s="3940"/>
      <c r="D27" s="2242">
        <f>减免所得税优惠审核表!C27</f>
        <v>0</v>
      </c>
      <c r="E27" s="1838"/>
    </row>
    <row r="28" spans="1:5" s="1603" customFormat="1" ht="14.25" customHeight="1">
      <c r="A28" s="2241">
        <v>13</v>
      </c>
      <c r="B28" s="3939" t="s">
        <v>6861</v>
      </c>
      <c r="C28" s="3940"/>
      <c r="D28" s="2242">
        <f>减免所得税优惠审核表!C28</f>
        <v>0</v>
      </c>
      <c r="E28" s="1838"/>
    </row>
    <row r="29" spans="1:5" s="1603" customFormat="1" ht="14.25" customHeight="1">
      <c r="A29" s="2241">
        <v>14</v>
      </c>
      <c r="B29" s="3939" t="s">
        <v>6862</v>
      </c>
      <c r="C29" s="3940"/>
      <c r="D29" s="2242">
        <f>减免所得税优惠审核表!C29</f>
        <v>0</v>
      </c>
      <c r="E29" s="1838"/>
    </row>
    <row r="30" spans="1:5" s="1603" customFormat="1" ht="14.25" customHeight="1">
      <c r="A30" s="2241">
        <v>14.1</v>
      </c>
      <c r="B30" s="3939" t="s">
        <v>6885</v>
      </c>
      <c r="C30" s="3940"/>
      <c r="D30" s="2242">
        <f>减免所得税优惠审核表!C30</f>
        <v>0</v>
      </c>
      <c r="E30" s="1838"/>
    </row>
    <row r="31" spans="1:5" s="1603" customFormat="1" ht="14.25" customHeight="1">
      <c r="A31" s="2241">
        <v>14.2</v>
      </c>
      <c r="B31" s="3939" t="s">
        <v>6886</v>
      </c>
      <c r="C31" s="3940"/>
      <c r="D31" s="2242">
        <f>减免所得税优惠审核表!C31</f>
        <v>0</v>
      </c>
      <c r="E31" s="1838"/>
    </row>
    <row r="32" spans="1:5" s="1603" customFormat="1" ht="14.25" customHeight="1">
      <c r="A32" s="2241">
        <v>15</v>
      </c>
      <c r="B32" s="3939" t="s">
        <v>6863</v>
      </c>
      <c r="C32" s="3940"/>
      <c r="D32" s="2242">
        <f>减免所得税优惠审核表!C32</f>
        <v>0</v>
      </c>
      <c r="E32" s="1838"/>
    </row>
    <row r="33" spans="1:6" s="1603" customFormat="1" ht="14.25" customHeight="1">
      <c r="A33" s="2241">
        <v>15.1</v>
      </c>
      <c r="B33" s="3939" t="s">
        <v>6887</v>
      </c>
      <c r="C33" s="3940"/>
      <c r="D33" s="2242">
        <f>减免所得税优惠审核表!C33</f>
        <v>0</v>
      </c>
      <c r="E33" s="1838"/>
    </row>
    <row r="34" spans="1:6" s="1603" customFormat="1" ht="14.25" customHeight="1">
      <c r="A34" s="2241">
        <v>15.2</v>
      </c>
      <c r="B34" s="3939" t="s">
        <v>6888</v>
      </c>
      <c r="C34" s="3940"/>
      <c r="D34" s="2242">
        <f>减免所得税优惠审核表!C34</f>
        <v>0</v>
      </c>
      <c r="E34" s="1838"/>
    </row>
    <row r="35" spans="1:6" s="1603" customFormat="1" ht="14.25" customHeight="1">
      <c r="A35" s="2241">
        <v>16</v>
      </c>
      <c r="B35" s="3939" t="s">
        <v>6864</v>
      </c>
      <c r="C35" s="3940"/>
      <c r="D35" s="2242">
        <f>减免所得税优惠审核表!C35</f>
        <v>0</v>
      </c>
      <c r="E35" s="1838"/>
    </row>
    <row r="36" spans="1:6" s="1603" customFormat="1" ht="14.25" customHeight="1">
      <c r="A36" s="2241">
        <v>17</v>
      </c>
      <c r="B36" s="3939" t="s">
        <v>6865</v>
      </c>
      <c r="C36" s="3940"/>
      <c r="D36" s="2242">
        <f>减免所得税优惠审核表!C36</f>
        <v>0</v>
      </c>
      <c r="E36" s="1838"/>
    </row>
    <row r="37" spans="1:6" s="1603" customFormat="1" ht="14.25" customHeight="1">
      <c r="A37" s="2241">
        <v>18</v>
      </c>
      <c r="B37" s="3939" t="s">
        <v>6866</v>
      </c>
      <c r="C37" s="3940"/>
      <c r="D37" s="2242">
        <f>减免所得税优惠审核表!C37</f>
        <v>0</v>
      </c>
      <c r="E37" s="1838"/>
    </row>
    <row r="38" spans="1:6" s="1603" customFormat="1" ht="14.25" customHeight="1">
      <c r="A38" s="2241">
        <v>19</v>
      </c>
      <c r="B38" s="3939" t="s">
        <v>6867</v>
      </c>
      <c r="C38" s="3940"/>
      <c r="D38" s="2242">
        <f>减免所得税优惠审核表!C38</f>
        <v>0</v>
      </c>
      <c r="E38" s="1838"/>
    </row>
    <row r="39" spans="1:6" s="1603" customFormat="1" ht="14.25" customHeight="1">
      <c r="A39" s="2241">
        <v>20</v>
      </c>
      <c r="B39" s="3939" t="s">
        <v>6868</v>
      </c>
      <c r="C39" s="3940"/>
      <c r="D39" s="2242">
        <f>减免所得税优惠审核表!C39</f>
        <v>0</v>
      </c>
      <c r="E39" s="1838"/>
    </row>
    <row r="40" spans="1:6" s="1603" customFormat="1" ht="14.25" customHeight="1">
      <c r="A40" s="2241">
        <v>21</v>
      </c>
      <c r="B40" s="3939" t="s">
        <v>6869</v>
      </c>
      <c r="C40" s="3940"/>
      <c r="D40" s="2242">
        <f>减免所得税优惠审核表!C40</f>
        <v>0</v>
      </c>
      <c r="E40" s="1838"/>
    </row>
    <row r="41" spans="1:6" s="1603" customFormat="1" ht="14.25" customHeight="1">
      <c r="A41" s="2241">
        <v>22</v>
      </c>
      <c r="B41" s="3939" t="s">
        <v>6870</v>
      </c>
      <c r="C41" s="3940"/>
      <c r="D41" s="2242">
        <f>减免所得税优惠审核表!C41</f>
        <v>0</v>
      </c>
      <c r="E41" s="1838"/>
    </row>
    <row r="42" spans="1:6" s="1603" customFormat="1" ht="14.25" customHeight="1">
      <c r="A42" s="2241">
        <v>23</v>
      </c>
      <c r="B42" s="3939" t="s">
        <v>6871</v>
      </c>
      <c r="C42" s="3940"/>
      <c r="D42" s="2242">
        <f>减免所得税优惠审核表!C42</f>
        <v>0</v>
      </c>
      <c r="E42" s="1838"/>
    </row>
    <row r="43" spans="1:6" s="1603" customFormat="1" ht="14.25" customHeight="1">
      <c r="A43" s="2241">
        <v>24</v>
      </c>
      <c r="B43" s="3939" t="s">
        <v>5670</v>
      </c>
      <c r="C43" s="3940"/>
      <c r="D43" s="2242">
        <f>减免所得税优惠审核表!C43</f>
        <v>0</v>
      </c>
      <c r="E43" s="1838"/>
    </row>
    <row r="44" spans="1:6" s="1603" customFormat="1" ht="14.25" customHeight="1">
      <c r="A44" s="2241">
        <v>25</v>
      </c>
      <c r="B44" s="3939" t="s">
        <v>6872</v>
      </c>
      <c r="C44" s="3940"/>
      <c r="D44" s="2242">
        <f>减免所得税优惠审核表!C44</f>
        <v>0</v>
      </c>
      <c r="E44" s="1838"/>
      <c r="F44" s="1613"/>
    </row>
    <row r="45" spans="1:6" s="1603" customFormat="1" ht="14.25" customHeight="1">
      <c r="A45" s="2241">
        <v>26</v>
      </c>
      <c r="B45" s="3939" t="s">
        <v>6873</v>
      </c>
      <c r="C45" s="3940"/>
      <c r="D45" s="2242">
        <f>减免所得税优惠审核表!C45</f>
        <v>0</v>
      </c>
      <c r="E45" s="1838"/>
    </row>
    <row r="46" spans="1:6" s="1603" customFormat="1" ht="14.25" customHeight="1">
      <c r="A46" s="2241">
        <v>27</v>
      </c>
      <c r="B46" s="3939" t="s">
        <v>6874</v>
      </c>
      <c r="C46" s="3940"/>
      <c r="D46" s="2242">
        <f>减免所得税优惠审核表!C46</f>
        <v>0</v>
      </c>
      <c r="E46" s="1838"/>
    </row>
    <row r="47" spans="1:6" s="1603" customFormat="1" ht="14.25" customHeight="1">
      <c r="A47" s="2241">
        <v>28</v>
      </c>
      <c r="B47" s="3939" t="s">
        <v>6875</v>
      </c>
      <c r="C47" s="3940"/>
      <c r="D47" s="2242">
        <f>减免所得税优惠审核表!C47</f>
        <v>0</v>
      </c>
      <c r="E47" s="1838"/>
    </row>
    <row r="48" spans="1:6" s="1603" customFormat="1" ht="14.25" customHeight="1">
      <c r="A48" s="2241">
        <v>29</v>
      </c>
      <c r="B48" s="3939" t="s">
        <v>6889</v>
      </c>
      <c r="C48" s="3940"/>
      <c r="D48" s="2242">
        <f>减免所得税优惠审核表!C48</f>
        <v>0</v>
      </c>
      <c r="E48" s="1838"/>
    </row>
    <row r="49" spans="1:5" s="1603" customFormat="1" ht="14.25" customHeight="1">
      <c r="A49" s="2241">
        <v>30</v>
      </c>
      <c r="B49" s="3939" t="s">
        <v>6890</v>
      </c>
      <c r="C49" s="3940"/>
      <c r="D49" s="2242">
        <f>减免所得税优惠审核表!C49</f>
        <v>0</v>
      </c>
      <c r="E49" s="1838"/>
    </row>
    <row r="50" spans="1:5" s="1603" customFormat="1" ht="14.25" customHeight="1">
      <c r="A50" s="2241">
        <v>31</v>
      </c>
      <c r="B50" s="3939" t="s">
        <v>6891</v>
      </c>
      <c r="C50" s="3940"/>
      <c r="D50" s="2242">
        <f>减免所得税优惠审核表!C50</f>
        <v>0</v>
      </c>
      <c r="E50" s="1838"/>
    </row>
    <row r="51" spans="1:5" s="1603" customFormat="1" ht="14.25" customHeight="1">
      <c r="A51" s="2241">
        <v>32</v>
      </c>
      <c r="B51" s="3939" t="s">
        <v>6876</v>
      </c>
      <c r="C51" s="3940"/>
      <c r="D51" s="2242">
        <f>减免所得税优惠审核表!C51</f>
        <v>0</v>
      </c>
      <c r="E51" s="1838"/>
    </row>
    <row r="52" spans="1:5" s="1603" customFormat="1" ht="14.25" customHeight="1">
      <c r="A52" s="2241">
        <v>33</v>
      </c>
      <c r="B52" s="3939" t="s">
        <v>6877</v>
      </c>
      <c r="C52" s="3940"/>
      <c r="D52" s="2242">
        <f>减免所得税优惠审核表!C52</f>
        <v>0</v>
      </c>
      <c r="E52" s="1838"/>
    </row>
    <row r="53" spans="1:5" s="1603" customFormat="1" ht="14.25" customHeight="1">
      <c r="A53" s="2241">
        <v>34</v>
      </c>
      <c r="B53" s="3939" t="s">
        <v>6878</v>
      </c>
      <c r="C53" s="3940"/>
      <c r="D53" s="2242">
        <f>减免所得税优惠审核表!C53</f>
        <v>0</v>
      </c>
      <c r="E53" s="2293" t="s">
        <v>6893</v>
      </c>
    </row>
  </sheetData>
  <mergeCells count="53">
    <mergeCell ref="B51:C51"/>
    <mergeCell ref="B52:C52"/>
    <mergeCell ref="B53:C53"/>
    <mergeCell ref="B46:C46"/>
    <mergeCell ref="B47:C47"/>
    <mergeCell ref="B48:C48"/>
    <mergeCell ref="B49:C49"/>
    <mergeCell ref="B50:C50"/>
    <mergeCell ref="B41:C41"/>
    <mergeCell ref="B42:C42"/>
    <mergeCell ref="B43:C43"/>
    <mergeCell ref="B44:C44"/>
    <mergeCell ref="B45:C45"/>
    <mergeCell ref="B36:C36"/>
    <mergeCell ref="B37:C37"/>
    <mergeCell ref="B38:C38"/>
    <mergeCell ref="B39:C39"/>
    <mergeCell ref="B40:C40"/>
    <mergeCell ref="B31:C31"/>
    <mergeCell ref="B32:C32"/>
    <mergeCell ref="B33:C33"/>
    <mergeCell ref="B34:C34"/>
    <mergeCell ref="B35:C35"/>
    <mergeCell ref="B26:C26"/>
    <mergeCell ref="B27:C27"/>
    <mergeCell ref="B28:C28"/>
    <mergeCell ref="B29:C29"/>
    <mergeCell ref="B30:C30"/>
    <mergeCell ref="B21:C21"/>
    <mergeCell ref="B22:C22"/>
    <mergeCell ref="B23:C23"/>
    <mergeCell ref="B24:C24"/>
    <mergeCell ref="B25:C25"/>
    <mergeCell ref="B16:C16"/>
    <mergeCell ref="B17:C17"/>
    <mergeCell ref="B18:C18"/>
    <mergeCell ref="B19:C19"/>
    <mergeCell ref="B20:C20"/>
    <mergeCell ref="B11:C11"/>
    <mergeCell ref="B12:C12"/>
    <mergeCell ref="B13:C13"/>
    <mergeCell ref="B14:C14"/>
    <mergeCell ref="B15:C15"/>
    <mergeCell ref="B6:C6"/>
    <mergeCell ref="B7:C7"/>
    <mergeCell ref="B8:C8"/>
    <mergeCell ref="B9:C9"/>
    <mergeCell ref="B10:C10"/>
    <mergeCell ref="A1:E1"/>
    <mergeCell ref="A2:E2"/>
    <mergeCell ref="B3:C3"/>
    <mergeCell ref="B4:C4"/>
    <mergeCell ref="B5:C5"/>
  </mergeCells>
  <phoneticPr fontId="51" type="noConversion"/>
  <hyperlinks>
    <hyperlink ref="F12" location="减免所得税优惠审核表!A1" display="减免所得税优惠审核表!A1"/>
  </hyperlinks>
  <printOptions horizontalCentered="1"/>
  <pageMargins left="0.78740157480314998" right="0.35433070866141703" top="0.511811023622047" bottom="0.11811023622047198" header="0.511811023622047" footer="0.511811023622047"/>
  <pageSetup paperSize="9" orientation="portrait" r:id="rId1"/>
</worksheet>
</file>

<file path=xl/worksheets/sheet15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47">
    <tabColor rgb="FFFFFF00"/>
  </sheetPr>
  <dimension ref="A1:I34"/>
  <sheetViews>
    <sheetView workbookViewId="0">
      <selection activeCell="D28" sqref="D28"/>
    </sheetView>
  </sheetViews>
  <sheetFormatPr defaultColWidth="22.8984375" defaultRowHeight="15.6"/>
  <cols>
    <col min="1" max="1" width="5.19921875" style="1614" customWidth="1"/>
    <col min="2" max="2" width="5.19921875" style="1532" customWidth="1"/>
    <col min="3" max="3" width="50.3984375" style="1532" customWidth="1"/>
    <col min="4" max="5" width="26.19921875" style="1532" customWidth="1"/>
    <col min="6" max="256" width="22.8984375" style="1532"/>
    <col min="257" max="258" width="5.19921875" style="1532" customWidth="1"/>
    <col min="259" max="259" width="50.3984375" style="1532" customWidth="1"/>
    <col min="260" max="261" width="26.19921875" style="1532" customWidth="1"/>
    <col min="262" max="512" width="22.8984375" style="1532"/>
    <col min="513" max="514" width="5.19921875" style="1532" customWidth="1"/>
    <col min="515" max="515" width="50.3984375" style="1532" customWidth="1"/>
    <col min="516" max="517" width="26.19921875" style="1532" customWidth="1"/>
    <col min="518" max="768" width="22.8984375" style="1532"/>
    <col min="769" max="770" width="5.19921875" style="1532" customWidth="1"/>
    <col min="771" max="771" width="50.3984375" style="1532" customWidth="1"/>
    <col min="772" max="773" width="26.19921875" style="1532" customWidth="1"/>
    <col min="774" max="1024" width="22.8984375" style="1532"/>
    <col min="1025" max="1026" width="5.19921875" style="1532" customWidth="1"/>
    <col min="1027" max="1027" width="50.3984375" style="1532" customWidth="1"/>
    <col min="1028" max="1029" width="26.19921875" style="1532" customWidth="1"/>
    <col min="1030" max="1280" width="22.8984375" style="1532"/>
    <col min="1281" max="1282" width="5.19921875" style="1532" customWidth="1"/>
    <col min="1283" max="1283" width="50.3984375" style="1532" customWidth="1"/>
    <col min="1284" max="1285" width="26.19921875" style="1532" customWidth="1"/>
    <col min="1286" max="1536" width="22.8984375" style="1532"/>
    <col min="1537" max="1538" width="5.19921875" style="1532" customWidth="1"/>
    <col min="1539" max="1539" width="50.3984375" style="1532" customWidth="1"/>
    <col min="1540" max="1541" width="26.19921875" style="1532" customWidth="1"/>
    <col min="1542" max="1792" width="22.8984375" style="1532"/>
    <col min="1793" max="1794" width="5.19921875" style="1532" customWidth="1"/>
    <col min="1795" max="1795" width="50.3984375" style="1532" customWidth="1"/>
    <col min="1796" max="1797" width="26.19921875" style="1532" customWidth="1"/>
    <col min="1798" max="2048" width="22.8984375" style="1532"/>
    <col min="2049" max="2050" width="5.19921875" style="1532" customWidth="1"/>
    <col min="2051" max="2051" width="50.3984375" style="1532" customWidth="1"/>
    <col min="2052" max="2053" width="26.19921875" style="1532" customWidth="1"/>
    <col min="2054" max="2304" width="22.8984375" style="1532"/>
    <col min="2305" max="2306" width="5.19921875" style="1532" customWidth="1"/>
    <col min="2307" max="2307" width="50.3984375" style="1532" customWidth="1"/>
    <col min="2308" max="2309" width="26.19921875" style="1532" customWidth="1"/>
    <col min="2310" max="2560" width="22.8984375" style="1532"/>
    <col min="2561" max="2562" width="5.19921875" style="1532" customWidth="1"/>
    <col min="2563" max="2563" width="50.3984375" style="1532" customWidth="1"/>
    <col min="2564" max="2565" width="26.19921875" style="1532" customWidth="1"/>
    <col min="2566" max="2816" width="22.8984375" style="1532"/>
    <col min="2817" max="2818" width="5.19921875" style="1532" customWidth="1"/>
    <col min="2819" max="2819" width="50.3984375" style="1532" customWidth="1"/>
    <col min="2820" max="2821" width="26.19921875" style="1532" customWidth="1"/>
    <col min="2822" max="3072" width="22.8984375" style="1532"/>
    <col min="3073" max="3074" width="5.19921875" style="1532" customWidth="1"/>
    <col min="3075" max="3075" width="50.3984375" style="1532" customWidth="1"/>
    <col min="3076" max="3077" width="26.19921875" style="1532" customWidth="1"/>
    <col min="3078" max="3328" width="22.8984375" style="1532"/>
    <col min="3329" max="3330" width="5.19921875" style="1532" customWidth="1"/>
    <col min="3331" max="3331" width="50.3984375" style="1532" customWidth="1"/>
    <col min="3332" max="3333" width="26.19921875" style="1532" customWidth="1"/>
    <col min="3334" max="3584" width="22.8984375" style="1532"/>
    <col min="3585" max="3586" width="5.19921875" style="1532" customWidth="1"/>
    <col min="3587" max="3587" width="50.3984375" style="1532" customWidth="1"/>
    <col min="3588" max="3589" width="26.19921875" style="1532" customWidth="1"/>
    <col min="3590" max="3840" width="22.8984375" style="1532"/>
    <col min="3841" max="3842" width="5.19921875" style="1532" customWidth="1"/>
    <col min="3843" max="3843" width="50.3984375" style="1532" customWidth="1"/>
    <col min="3844" max="3845" width="26.19921875" style="1532" customWidth="1"/>
    <col min="3846" max="4096" width="22.8984375" style="1532"/>
    <col min="4097" max="4098" width="5.19921875" style="1532" customWidth="1"/>
    <col min="4099" max="4099" width="50.3984375" style="1532" customWidth="1"/>
    <col min="4100" max="4101" width="26.19921875" style="1532" customWidth="1"/>
    <col min="4102" max="4352" width="22.8984375" style="1532"/>
    <col min="4353" max="4354" width="5.19921875" style="1532" customWidth="1"/>
    <col min="4355" max="4355" width="50.3984375" style="1532" customWidth="1"/>
    <col min="4356" max="4357" width="26.19921875" style="1532" customWidth="1"/>
    <col min="4358" max="4608" width="22.8984375" style="1532"/>
    <col min="4609" max="4610" width="5.19921875" style="1532" customWidth="1"/>
    <col min="4611" max="4611" width="50.3984375" style="1532" customWidth="1"/>
    <col min="4612" max="4613" width="26.19921875" style="1532" customWidth="1"/>
    <col min="4614" max="4864" width="22.8984375" style="1532"/>
    <col min="4865" max="4866" width="5.19921875" style="1532" customWidth="1"/>
    <col min="4867" max="4867" width="50.3984375" style="1532" customWidth="1"/>
    <col min="4868" max="4869" width="26.19921875" style="1532" customWidth="1"/>
    <col min="4870" max="5120" width="22.8984375" style="1532"/>
    <col min="5121" max="5122" width="5.19921875" style="1532" customWidth="1"/>
    <col min="5123" max="5123" width="50.3984375" style="1532" customWidth="1"/>
    <col min="5124" max="5125" width="26.19921875" style="1532" customWidth="1"/>
    <col min="5126" max="5376" width="22.8984375" style="1532"/>
    <col min="5377" max="5378" width="5.19921875" style="1532" customWidth="1"/>
    <col min="5379" max="5379" width="50.3984375" style="1532" customWidth="1"/>
    <col min="5380" max="5381" width="26.19921875" style="1532" customWidth="1"/>
    <col min="5382" max="5632" width="22.8984375" style="1532"/>
    <col min="5633" max="5634" width="5.19921875" style="1532" customWidth="1"/>
    <col min="5635" max="5635" width="50.3984375" style="1532" customWidth="1"/>
    <col min="5636" max="5637" width="26.19921875" style="1532" customWidth="1"/>
    <col min="5638" max="5888" width="22.8984375" style="1532"/>
    <col min="5889" max="5890" width="5.19921875" style="1532" customWidth="1"/>
    <col min="5891" max="5891" width="50.3984375" style="1532" customWidth="1"/>
    <col min="5892" max="5893" width="26.19921875" style="1532" customWidth="1"/>
    <col min="5894" max="6144" width="22.8984375" style="1532"/>
    <col min="6145" max="6146" width="5.19921875" style="1532" customWidth="1"/>
    <col min="6147" max="6147" width="50.3984375" style="1532" customWidth="1"/>
    <col min="6148" max="6149" width="26.19921875" style="1532" customWidth="1"/>
    <col min="6150" max="6400" width="22.8984375" style="1532"/>
    <col min="6401" max="6402" width="5.19921875" style="1532" customWidth="1"/>
    <col min="6403" max="6403" width="50.3984375" style="1532" customWidth="1"/>
    <col min="6404" max="6405" width="26.19921875" style="1532" customWidth="1"/>
    <col min="6406" max="6656" width="22.8984375" style="1532"/>
    <col min="6657" max="6658" width="5.19921875" style="1532" customWidth="1"/>
    <col min="6659" max="6659" width="50.3984375" style="1532" customWidth="1"/>
    <col min="6660" max="6661" width="26.19921875" style="1532" customWidth="1"/>
    <col min="6662" max="6912" width="22.8984375" style="1532"/>
    <col min="6913" max="6914" width="5.19921875" style="1532" customWidth="1"/>
    <col min="6915" max="6915" width="50.3984375" style="1532" customWidth="1"/>
    <col min="6916" max="6917" width="26.19921875" style="1532" customWidth="1"/>
    <col min="6918" max="7168" width="22.8984375" style="1532"/>
    <col min="7169" max="7170" width="5.19921875" style="1532" customWidth="1"/>
    <col min="7171" max="7171" width="50.3984375" style="1532" customWidth="1"/>
    <col min="7172" max="7173" width="26.19921875" style="1532" customWidth="1"/>
    <col min="7174" max="7424" width="22.8984375" style="1532"/>
    <col min="7425" max="7426" width="5.19921875" style="1532" customWidth="1"/>
    <col min="7427" max="7427" width="50.3984375" style="1532" customWidth="1"/>
    <col min="7428" max="7429" width="26.19921875" style="1532" customWidth="1"/>
    <col min="7430" max="7680" width="22.8984375" style="1532"/>
    <col min="7681" max="7682" width="5.19921875" style="1532" customWidth="1"/>
    <col min="7683" max="7683" width="50.3984375" style="1532" customWidth="1"/>
    <col min="7684" max="7685" width="26.19921875" style="1532" customWidth="1"/>
    <col min="7686" max="7936" width="22.8984375" style="1532"/>
    <col min="7937" max="7938" width="5.19921875" style="1532" customWidth="1"/>
    <col min="7939" max="7939" width="50.3984375" style="1532" customWidth="1"/>
    <col min="7940" max="7941" width="26.19921875" style="1532" customWidth="1"/>
    <col min="7942" max="8192" width="22.8984375" style="1532"/>
    <col min="8193" max="8194" width="5.19921875" style="1532" customWidth="1"/>
    <col min="8195" max="8195" width="50.3984375" style="1532" customWidth="1"/>
    <col min="8196" max="8197" width="26.19921875" style="1532" customWidth="1"/>
    <col min="8198" max="8448" width="22.8984375" style="1532"/>
    <col min="8449" max="8450" width="5.19921875" style="1532" customWidth="1"/>
    <col min="8451" max="8451" width="50.3984375" style="1532" customWidth="1"/>
    <col min="8452" max="8453" width="26.19921875" style="1532" customWidth="1"/>
    <col min="8454" max="8704" width="22.8984375" style="1532"/>
    <col min="8705" max="8706" width="5.19921875" style="1532" customWidth="1"/>
    <col min="8707" max="8707" width="50.3984375" style="1532" customWidth="1"/>
    <col min="8708" max="8709" width="26.19921875" style="1532" customWidth="1"/>
    <col min="8710" max="8960" width="22.8984375" style="1532"/>
    <col min="8961" max="8962" width="5.19921875" style="1532" customWidth="1"/>
    <col min="8963" max="8963" width="50.3984375" style="1532" customWidth="1"/>
    <col min="8964" max="8965" width="26.19921875" style="1532" customWidth="1"/>
    <col min="8966" max="9216" width="22.8984375" style="1532"/>
    <col min="9217" max="9218" width="5.19921875" style="1532" customWidth="1"/>
    <col min="9219" max="9219" width="50.3984375" style="1532" customWidth="1"/>
    <col min="9220" max="9221" width="26.19921875" style="1532" customWidth="1"/>
    <col min="9222" max="9472" width="22.8984375" style="1532"/>
    <col min="9473" max="9474" width="5.19921875" style="1532" customWidth="1"/>
    <col min="9475" max="9475" width="50.3984375" style="1532" customWidth="1"/>
    <col min="9476" max="9477" width="26.19921875" style="1532" customWidth="1"/>
    <col min="9478" max="9728" width="22.8984375" style="1532"/>
    <col min="9729" max="9730" width="5.19921875" style="1532" customWidth="1"/>
    <col min="9731" max="9731" width="50.3984375" style="1532" customWidth="1"/>
    <col min="9732" max="9733" width="26.19921875" style="1532" customWidth="1"/>
    <col min="9734" max="9984" width="22.8984375" style="1532"/>
    <col min="9985" max="9986" width="5.19921875" style="1532" customWidth="1"/>
    <col min="9987" max="9987" width="50.3984375" style="1532" customWidth="1"/>
    <col min="9988" max="9989" width="26.19921875" style="1532" customWidth="1"/>
    <col min="9990" max="10240" width="22.8984375" style="1532"/>
    <col min="10241" max="10242" width="5.19921875" style="1532" customWidth="1"/>
    <col min="10243" max="10243" width="50.3984375" style="1532" customWidth="1"/>
    <col min="10244" max="10245" width="26.19921875" style="1532" customWidth="1"/>
    <col min="10246" max="10496" width="22.8984375" style="1532"/>
    <col min="10497" max="10498" width="5.19921875" style="1532" customWidth="1"/>
    <col min="10499" max="10499" width="50.3984375" style="1532" customWidth="1"/>
    <col min="10500" max="10501" width="26.19921875" style="1532" customWidth="1"/>
    <col min="10502" max="10752" width="22.8984375" style="1532"/>
    <col min="10753" max="10754" width="5.19921875" style="1532" customWidth="1"/>
    <col min="10755" max="10755" width="50.3984375" style="1532" customWidth="1"/>
    <col min="10756" max="10757" width="26.19921875" style="1532" customWidth="1"/>
    <col min="10758" max="11008" width="22.8984375" style="1532"/>
    <col min="11009" max="11010" width="5.19921875" style="1532" customWidth="1"/>
    <col min="11011" max="11011" width="50.3984375" style="1532" customWidth="1"/>
    <col min="11012" max="11013" width="26.19921875" style="1532" customWidth="1"/>
    <col min="11014" max="11264" width="22.8984375" style="1532"/>
    <col min="11265" max="11266" width="5.19921875" style="1532" customWidth="1"/>
    <col min="11267" max="11267" width="50.3984375" style="1532" customWidth="1"/>
    <col min="11268" max="11269" width="26.19921875" style="1532" customWidth="1"/>
    <col min="11270" max="11520" width="22.8984375" style="1532"/>
    <col min="11521" max="11522" width="5.19921875" style="1532" customWidth="1"/>
    <col min="11523" max="11523" width="50.3984375" style="1532" customWidth="1"/>
    <col min="11524" max="11525" width="26.19921875" style="1532" customWidth="1"/>
    <col min="11526" max="11776" width="22.8984375" style="1532"/>
    <col min="11777" max="11778" width="5.19921875" style="1532" customWidth="1"/>
    <col min="11779" max="11779" width="50.3984375" style="1532" customWidth="1"/>
    <col min="11780" max="11781" width="26.19921875" style="1532" customWidth="1"/>
    <col min="11782" max="12032" width="22.8984375" style="1532"/>
    <col min="12033" max="12034" width="5.19921875" style="1532" customWidth="1"/>
    <col min="12035" max="12035" width="50.3984375" style="1532" customWidth="1"/>
    <col min="12036" max="12037" width="26.19921875" style="1532" customWidth="1"/>
    <col min="12038" max="12288" width="22.8984375" style="1532"/>
    <col min="12289" max="12290" width="5.19921875" style="1532" customWidth="1"/>
    <col min="12291" max="12291" width="50.3984375" style="1532" customWidth="1"/>
    <col min="12292" max="12293" width="26.19921875" style="1532" customWidth="1"/>
    <col min="12294" max="12544" width="22.8984375" style="1532"/>
    <col min="12545" max="12546" width="5.19921875" style="1532" customWidth="1"/>
    <col min="12547" max="12547" width="50.3984375" style="1532" customWidth="1"/>
    <col min="12548" max="12549" width="26.19921875" style="1532" customWidth="1"/>
    <col min="12550" max="12800" width="22.8984375" style="1532"/>
    <col min="12801" max="12802" width="5.19921875" style="1532" customWidth="1"/>
    <col min="12803" max="12803" width="50.3984375" style="1532" customWidth="1"/>
    <col min="12804" max="12805" width="26.19921875" style="1532" customWidth="1"/>
    <col min="12806" max="13056" width="22.8984375" style="1532"/>
    <col min="13057" max="13058" width="5.19921875" style="1532" customWidth="1"/>
    <col min="13059" max="13059" width="50.3984375" style="1532" customWidth="1"/>
    <col min="13060" max="13061" width="26.19921875" style="1532" customWidth="1"/>
    <col min="13062" max="13312" width="22.8984375" style="1532"/>
    <col min="13313" max="13314" width="5.19921875" style="1532" customWidth="1"/>
    <col min="13315" max="13315" width="50.3984375" style="1532" customWidth="1"/>
    <col min="13316" max="13317" width="26.19921875" style="1532" customWidth="1"/>
    <col min="13318" max="13568" width="22.8984375" style="1532"/>
    <col min="13569" max="13570" width="5.19921875" style="1532" customWidth="1"/>
    <col min="13571" max="13571" width="50.3984375" style="1532" customWidth="1"/>
    <col min="13572" max="13573" width="26.19921875" style="1532" customWidth="1"/>
    <col min="13574" max="13824" width="22.8984375" style="1532"/>
    <col min="13825" max="13826" width="5.19921875" style="1532" customWidth="1"/>
    <col min="13827" max="13827" width="50.3984375" style="1532" customWidth="1"/>
    <col min="13828" max="13829" width="26.19921875" style="1532" customWidth="1"/>
    <col min="13830" max="14080" width="22.8984375" style="1532"/>
    <col min="14081" max="14082" width="5.19921875" style="1532" customWidth="1"/>
    <col min="14083" max="14083" width="50.3984375" style="1532" customWidth="1"/>
    <col min="14084" max="14085" width="26.19921875" style="1532" customWidth="1"/>
    <col min="14086" max="14336" width="22.8984375" style="1532"/>
    <col min="14337" max="14338" width="5.19921875" style="1532" customWidth="1"/>
    <col min="14339" max="14339" width="50.3984375" style="1532" customWidth="1"/>
    <col min="14340" max="14341" width="26.19921875" style="1532" customWidth="1"/>
    <col min="14342" max="14592" width="22.8984375" style="1532"/>
    <col min="14593" max="14594" width="5.19921875" style="1532" customWidth="1"/>
    <col min="14595" max="14595" width="50.3984375" style="1532" customWidth="1"/>
    <col min="14596" max="14597" width="26.19921875" style="1532" customWidth="1"/>
    <col min="14598" max="14848" width="22.8984375" style="1532"/>
    <col min="14849" max="14850" width="5.19921875" style="1532" customWidth="1"/>
    <col min="14851" max="14851" width="50.3984375" style="1532" customWidth="1"/>
    <col min="14852" max="14853" width="26.19921875" style="1532" customWidth="1"/>
    <col min="14854" max="15104" width="22.8984375" style="1532"/>
    <col min="15105" max="15106" width="5.19921875" style="1532" customWidth="1"/>
    <col min="15107" max="15107" width="50.3984375" style="1532" customWidth="1"/>
    <col min="15108" max="15109" width="26.19921875" style="1532" customWidth="1"/>
    <col min="15110" max="15360" width="22.8984375" style="1532"/>
    <col min="15361" max="15362" width="5.19921875" style="1532" customWidth="1"/>
    <col min="15363" max="15363" width="50.3984375" style="1532" customWidth="1"/>
    <col min="15364" max="15365" width="26.19921875" style="1532" customWidth="1"/>
    <col min="15366" max="15616" width="22.8984375" style="1532"/>
    <col min="15617" max="15618" width="5.19921875" style="1532" customWidth="1"/>
    <col min="15619" max="15619" width="50.3984375" style="1532" customWidth="1"/>
    <col min="15620" max="15621" width="26.19921875" style="1532" customWidth="1"/>
    <col min="15622" max="15872" width="22.8984375" style="1532"/>
    <col min="15873" max="15874" width="5.19921875" style="1532" customWidth="1"/>
    <col min="15875" max="15875" width="50.3984375" style="1532" customWidth="1"/>
    <col min="15876" max="15877" width="26.19921875" style="1532" customWidth="1"/>
    <col min="15878" max="16128" width="22.8984375" style="1532"/>
    <col min="16129" max="16130" width="5.19921875" style="1532" customWidth="1"/>
    <col min="16131" max="16131" width="50.3984375" style="1532" customWidth="1"/>
    <col min="16132" max="16133" width="26.19921875" style="1532" customWidth="1"/>
    <col min="16134" max="16384" width="22.8984375" style="1532"/>
  </cols>
  <sheetData>
    <row r="1" spans="1:9" ht="20.100000000000001" customHeight="1">
      <c r="A1" s="3440" t="s">
        <v>5671</v>
      </c>
      <c r="B1" s="3440"/>
      <c r="C1" s="3440"/>
      <c r="D1" s="3440"/>
      <c r="E1" s="1939"/>
    </row>
    <row r="2" spans="1:9" ht="25.5" customHeight="1">
      <c r="A2" s="3379" t="s">
        <v>5672</v>
      </c>
      <c r="B2" s="3379"/>
      <c r="C2" s="3379"/>
      <c r="D2" s="3379"/>
      <c r="E2" s="1856"/>
    </row>
    <row r="3" spans="1:9" ht="14.25" customHeight="1">
      <c r="A3" s="1831" t="s">
        <v>5673</v>
      </c>
      <c r="B3" s="3385" t="s">
        <v>5674</v>
      </c>
      <c r="C3" s="3385"/>
      <c r="D3" s="3385"/>
      <c r="E3" s="1848" t="s">
        <v>4901</v>
      </c>
      <c r="F3" s="1537"/>
      <c r="G3" s="1565"/>
      <c r="H3" s="1537"/>
      <c r="I3" s="1537"/>
    </row>
    <row r="4" spans="1:9" ht="15" customHeight="1">
      <c r="A4" s="1849">
        <v>1</v>
      </c>
      <c r="B4" s="3383" t="s">
        <v>5674</v>
      </c>
      <c r="C4" s="1884" t="s">
        <v>5675</v>
      </c>
      <c r="D4" s="2090">
        <f>高新技术企业优惠情况审核表!D4</f>
        <v>0</v>
      </c>
      <c r="E4" s="1988"/>
    </row>
    <row r="5" spans="1:9" ht="19.5" customHeight="1">
      <c r="A5" s="1849"/>
      <c r="B5" s="3387"/>
      <c r="C5" s="1884" t="s">
        <v>5676</v>
      </c>
      <c r="D5" s="2090" t="str">
        <f>IF(高新技术企业优惠情况审核表!D5="","",TEXT(高新技术企业优惠情况审核表!D5,"yyyy-mm-dd"))</f>
        <v/>
      </c>
      <c r="E5" s="1957"/>
    </row>
    <row r="6" spans="1:9" ht="27" customHeight="1">
      <c r="A6" s="1849" t="s">
        <v>7666</v>
      </c>
      <c r="B6" s="3387"/>
      <c r="C6" s="1885" t="s">
        <v>5677</v>
      </c>
      <c r="D6" s="2090">
        <f>高新技术企业优惠情况审核表!D6</f>
        <v>0</v>
      </c>
      <c r="E6" s="1957"/>
    </row>
    <row r="7" spans="1:9" ht="18" customHeight="1">
      <c r="A7" s="1849"/>
      <c r="B7" s="3387"/>
      <c r="C7" s="1884" t="s">
        <v>5678</v>
      </c>
      <c r="D7" s="2090">
        <f>高新技术企业优惠情况审核表!D7</f>
        <v>0</v>
      </c>
      <c r="E7" s="1957"/>
    </row>
    <row r="8" spans="1:9" ht="18.75" customHeight="1">
      <c r="A8" s="1849" t="s">
        <v>7667</v>
      </c>
      <c r="B8" s="3387"/>
      <c r="C8" s="1884" t="s">
        <v>5679</v>
      </c>
      <c r="D8" s="2090">
        <f>高新技术企业优惠情况审核表!D8</f>
        <v>0</v>
      </c>
      <c r="E8" s="1957"/>
    </row>
    <row r="9" spans="1:9" ht="18" customHeight="1">
      <c r="A9" s="1849" t="s">
        <v>7668</v>
      </c>
      <c r="B9" s="3384"/>
      <c r="C9" s="1886" t="s">
        <v>5680</v>
      </c>
      <c r="D9" s="2090">
        <f>高新技术企业优惠情况审核表!D9</f>
        <v>0</v>
      </c>
      <c r="E9" s="1957"/>
    </row>
    <row r="10" spans="1:9" ht="14.25" customHeight="1">
      <c r="A10" s="1849" t="s">
        <v>7669</v>
      </c>
      <c r="B10" s="3385" t="s">
        <v>5681</v>
      </c>
      <c r="C10" s="1887" t="s">
        <v>5682</v>
      </c>
      <c r="D10" s="2075">
        <f>高新技术企业优惠情况审核表!D10</f>
        <v>0</v>
      </c>
      <c r="E10" s="1943"/>
    </row>
    <row r="11" spans="1:9" ht="14.25" customHeight="1">
      <c r="A11" s="2557" t="s">
        <v>7670</v>
      </c>
      <c r="B11" s="3385"/>
      <c r="C11" s="1887" t="s">
        <v>5683</v>
      </c>
      <c r="D11" s="2075">
        <f>高新技术企业优惠情况审核表!D11</f>
        <v>0</v>
      </c>
      <c r="E11" s="1943"/>
    </row>
    <row r="12" spans="1:9" ht="14.25" customHeight="1">
      <c r="A12" s="2557" t="s">
        <v>7671</v>
      </c>
      <c r="B12" s="3385"/>
      <c r="C12" s="1887" t="s">
        <v>5684</v>
      </c>
      <c r="D12" s="2075">
        <f>高新技术企业优惠情况审核表!D12</f>
        <v>0</v>
      </c>
      <c r="E12" s="1943"/>
    </row>
    <row r="13" spans="1:9" ht="14.25" customHeight="1">
      <c r="A13" s="2557" t="s">
        <v>7672</v>
      </c>
      <c r="B13" s="3385"/>
      <c r="C13" s="1887" t="s">
        <v>5685</v>
      </c>
      <c r="D13" s="2075">
        <f>高新技术企业优惠情况审核表!D13</f>
        <v>0</v>
      </c>
      <c r="E13" s="1943"/>
      <c r="F13" s="1675" t="s">
        <v>6473</v>
      </c>
    </row>
    <row r="14" spans="1:9" ht="23.25" customHeight="1">
      <c r="A14" s="2557" t="s">
        <v>7673</v>
      </c>
      <c r="B14" s="3385"/>
      <c r="C14" s="1888" t="s">
        <v>5686</v>
      </c>
      <c r="D14" s="2075">
        <f>高新技术企业优惠情况审核表!D14</f>
        <v>0</v>
      </c>
      <c r="E14" s="1943"/>
    </row>
    <row r="15" spans="1:9" ht="14.25" customHeight="1">
      <c r="A15" s="2557" t="s">
        <v>6267</v>
      </c>
      <c r="B15" s="3385" t="s">
        <v>5687</v>
      </c>
      <c r="C15" s="1889" t="s">
        <v>5688</v>
      </c>
      <c r="D15" s="2075">
        <f>高新技术企业优惠情况审核表!D15</f>
        <v>0</v>
      </c>
      <c r="E15" s="1943"/>
    </row>
    <row r="16" spans="1:9" ht="14.25" customHeight="1">
      <c r="A16" s="2557" t="s">
        <v>6268</v>
      </c>
      <c r="B16" s="3385"/>
      <c r="C16" s="1889" t="s">
        <v>5689</v>
      </c>
      <c r="D16" s="2075">
        <f>高新技术企业优惠情况审核表!D16</f>
        <v>0</v>
      </c>
      <c r="E16" s="1943"/>
    </row>
    <row r="17" spans="1:5" ht="14.25" customHeight="1">
      <c r="A17" s="2557" t="s">
        <v>6269</v>
      </c>
      <c r="B17" s="3385"/>
      <c r="C17" s="1887" t="s">
        <v>5690</v>
      </c>
      <c r="D17" s="2075">
        <f>高新技术企业优惠情况审核表!D17</f>
        <v>0</v>
      </c>
      <c r="E17" s="1943"/>
    </row>
    <row r="18" spans="1:5" ht="24" customHeight="1">
      <c r="A18" s="2557" t="s">
        <v>6270</v>
      </c>
      <c r="B18" s="3385"/>
      <c r="C18" s="1888" t="s">
        <v>5691</v>
      </c>
      <c r="D18" s="2075">
        <f>高新技术企业优惠情况审核表!D18</f>
        <v>0</v>
      </c>
      <c r="E18" s="1988"/>
    </row>
    <row r="19" spans="1:5" ht="14.25" customHeight="1">
      <c r="A19" s="2557" t="s">
        <v>6271</v>
      </c>
      <c r="B19" s="3385"/>
      <c r="C19" s="1890" t="s">
        <v>5692</v>
      </c>
      <c r="D19" s="2075">
        <f>高新技术企业优惠情况审核表!D19</f>
        <v>0</v>
      </c>
      <c r="E19" s="1943"/>
    </row>
    <row r="20" spans="1:5" ht="14.25" customHeight="1">
      <c r="A20" s="2557" t="s">
        <v>6272</v>
      </c>
      <c r="B20" s="3385" t="s">
        <v>5693</v>
      </c>
      <c r="C20" s="1889" t="s">
        <v>5694</v>
      </c>
      <c r="D20" s="2075">
        <f>高新技术企业优惠情况审核表!D20</f>
        <v>0</v>
      </c>
      <c r="E20" s="1943"/>
    </row>
    <row r="21" spans="1:5" ht="14.25" customHeight="1">
      <c r="A21" s="2557" t="s">
        <v>6273</v>
      </c>
      <c r="B21" s="3385"/>
      <c r="C21" s="1891" t="s">
        <v>6408</v>
      </c>
      <c r="D21" s="2075">
        <f>高新技术企业优惠情况审核表!D21</f>
        <v>0</v>
      </c>
      <c r="E21" s="1943"/>
    </row>
    <row r="22" spans="1:5" ht="14.25" customHeight="1">
      <c r="A22" s="2557" t="s">
        <v>6274</v>
      </c>
      <c r="B22" s="3385"/>
      <c r="C22" s="1891" t="s">
        <v>5696</v>
      </c>
      <c r="D22" s="2075">
        <f>高新技术企业优惠情况审核表!D22</f>
        <v>0</v>
      </c>
      <c r="E22" s="1943"/>
    </row>
    <row r="23" spans="1:5" ht="14.25" customHeight="1">
      <c r="A23" s="2557" t="s">
        <v>6275</v>
      </c>
      <c r="B23" s="3385"/>
      <c r="C23" s="1891" t="s">
        <v>5697</v>
      </c>
      <c r="D23" s="2075">
        <f>高新技术企业优惠情况审核表!D23</f>
        <v>0</v>
      </c>
      <c r="E23" s="1943"/>
    </row>
    <row r="24" spans="1:5" ht="14.25" customHeight="1">
      <c r="A24" s="2557" t="s">
        <v>6276</v>
      </c>
      <c r="B24" s="3385"/>
      <c r="C24" s="1891" t="s">
        <v>5698</v>
      </c>
      <c r="D24" s="2075">
        <f>高新技术企业优惠情况审核表!D24</f>
        <v>0</v>
      </c>
      <c r="E24" s="1943"/>
    </row>
    <row r="25" spans="1:5" ht="14.25" customHeight="1">
      <c r="A25" s="2557" t="s">
        <v>6277</v>
      </c>
      <c r="B25" s="3385"/>
      <c r="C25" s="1891" t="s">
        <v>5699</v>
      </c>
      <c r="D25" s="2075">
        <f>高新技术企业优惠情况审核表!D25</f>
        <v>0</v>
      </c>
      <c r="E25" s="1943"/>
    </row>
    <row r="26" spans="1:5" ht="14.25" customHeight="1">
      <c r="A26" s="2557" t="s">
        <v>6278</v>
      </c>
      <c r="B26" s="3385"/>
      <c r="C26" s="1891" t="s">
        <v>5700</v>
      </c>
      <c r="D26" s="2075">
        <f>高新技术企业优惠情况审核表!D26</f>
        <v>0</v>
      </c>
      <c r="E26" s="1943"/>
    </row>
    <row r="27" spans="1:5" ht="14.25" customHeight="1">
      <c r="A27" s="2557" t="s">
        <v>7674</v>
      </c>
      <c r="B27" s="3385"/>
      <c r="C27" s="1891" t="s">
        <v>5701</v>
      </c>
      <c r="D27" s="2075">
        <f>高新技术企业优惠情况审核表!D27</f>
        <v>0</v>
      </c>
      <c r="E27" s="1943"/>
    </row>
    <row r="28" spans="1:5" ht="14.25" customHeight="1">
      <c r="A28" s="2557" t="s">
        <v>7675</v>
      </c>
      <c r="B28" s="3385"/>
      <c r="C28" s="1891" t="s">
        <v>5702</v>
      </c>
      <c r="D28" s="2075">
        <f>高新技术企业优惠情况审核表!D28</f>
        <v>0</v>
      </c>
      <c r="E28" s="1943"/>
    </row>
    <row r="29" spans="1:5" ht="14.25" customHeight="1">
      <c r="A29" s="2557" t="s">
        <v>7676</v>
      </c>
      <c r="B29" s="3385"/>
      <c r="C29" s="1891" t="s">
        <v>5703</v>
      </c>
      <c r="D29" s="2075">
        <f>高新技术企业优惠情况审核表!D29</f>
        <v>0</v>
      </c>
      <c r="E29" s="1943"/>
    </row>
    <row r="30" spans="1:5" ht="14.25" customHeight="1">
      <c r="A30" s="2557" t="s">
        <v>7677</v>
      </c>
      <c r="B30" s="3385"/>
      <c r="C30" s="1891" t="s">
        <v>5704</v>
      </c>
      <c r="D30" s="2075">
        <f>高新技术企业优惠情况审核表!D30</f>
        <v>0</v>
      </c>
      <c r="E30" s="1943"/>
    </row>
    <row r="31" spans="1:5" ht="14.25" customHeight="1">
      <c r="A31" s="2557" t="s">
        <v>7678</v>
      </c>
      <c r="B31" s="3385"/>
      <c r="C31" s="1891" t="s">
        <v>5705</v>
      </c>
      <c r="D31" s="2075">
        <f>高新技术企业优惠情况审核表!D31</f>
        <v>0</v>
      </c>
      <c r="E31" s="1943"/>
    </row>
    <row r="32" spans="1:5" ht="14.25" customHeight="1">
      <c r="A32" s="2557" t="s">
        <v>7679</v>
      </c>
      <c r="B32" s="3385"/>
      <c r="C32" s="1891" t="s">
        <v>5706</v>
      </c>
      <c r="D32" s="2075">
        <f>高新技术企业优惠情况审核表!D32</f>
        <v>0</v>
      </c>
      <c r="E32" s="1943"/>
    </row>
    <row r="33" spans="1:5" ht="14.25" customHeight="1">
      <c r="A33" s="2557" t="s">
        <v>7680</v>
      </c>
      <c r="B33" s="3385"/>
      <c r="C33" s="1891" t="s">
        <v>5707</v>
      </c>
      <c r="D33" s="2075">
        <f>高新技术企业优惠情况审核表!D33</f>
        <v>0</v>
      </c>
      <c r="E33" s="1943"/>
    </row>
    <row r="34" spans="1:5">
      <c r="A34" s="2558" t="s">
        <v>7681</v>
      </c>
      <c r="B34" s="3463" t="s">
        <v>5708</v>
      </c>
      <c r="C34" s="3464"/>
      <c r="D34" s="2074">
        <f>高新技术企业优惠情况审核表!D34</f>
        <v>0</v>
      </c>
      <c r="E34" s="1831" t="s">
        <v>6892</v>
      </c>
    </row>
  </sheetData>
  <mergeCells count="8">
    <mergeCell ref="B20:B33"/>
    <mergeCell ref="B34:C34"/>
    <mergeCell ref="A1:D1"/>
    <mergeCell ref="A2:D2"/>
    <mergeCell ref="B3:D3"/>
    <mergeCell ref="B4:B9"/>
    <mergeCell ref="B10:B14"/>
    <mergeCell ref="B15:B19"/>
  </mergeCells>
  <phoneticPr fontId="51" type="noConversion"/>
  <dataValidations count="1">
    <dataValidation type="list" allowBlank="1" showInputMessage="1" showErrorMessage="1" sqref="WVL982926:WVL982928 IZ7:IZ9 SV7:SV9 ACR7:ACR9 AMN7:AMN9 AWJ7:AWJ9 BGF7:BGF9 BQB7:BQB9 BZX7:BZX9 CJT7:CJT9 CTP7:CTP9 DDL7:DDL9 DNH7:DNH9 DXD7:DXD9 EGZ7:EGZ9 EQV7:EQV9 FAR7:FAR9 FKN7:FKN9 FUJ7:FUJ9 GEF7:GEF9 GOB7:GOB9 GXX7:GXX9 HHT7:HHT9 HRP7:HRP9 IBL7:IBL9 ILH7:ILH9 IVD7:IVD9 JEZ7:JEZ9 JOV7:JOV9 JYR7:JYR9 KIN7:KIN9 KSJ7:KSJ9 LCF7:LCF9 LMB7:LMB9 LVX7:LVX9 MFT7:MFT9 MPP7:MPP9 MZL7:MZL9 NJH7:NJH9 NTD7:NTD9 OCZ7:OCZ9 OMV7:OMV9 OWR7:OWR9 PGN7:PGN9 PQJ7:PQJ9 QAF7:QAF9 QKB7:QKB9 QTX7:QTX9 RDT7:RDT9 RNP7:RNP9 RXL7:RXL9 SHH7:SHH9 SRD7:SRD9 TAZ7:TAZ9 TKV7:TKV9 TUR7:TUR9 UEN7:UEN9 UOJ7:UOJ9 UYF7:UYF9 VIB7:VIB9 VRX7:VRX9 WBT7:WBT9 WLP7:WLP9 WVL7:WVL9 D65422:D65424 IZ65422:IZ65424 SV65422:SV65424 ACR65422:ACR65424 AMN65422:AMN65424 AWJ65422:AWJ65424 BGF65422:BGF65424 BQB65422:BQB65424 BZX65422:BZX65424 CJT65422:CJT65424 CTP65422:CTP65424 DDL65422:DDL65424 DNH65422:DNH65424 DXD65422:DXD65424 EGZ65422:EGZ65424 EQV65422:EQV65424 FAR65422:FAR65424 FKN65422:FKN65424 FUJ65422:FUJ65424 GEF65422:GEF65424 GOB65422:GOB65424 GXX65422:GXX65424 HHT65422:HHT65424 HRP65422:HRP65424 IBL65422:IBL65424 ILH65422:ILH65424 IVD65422:IVD65424 JEZ65422:JEZ65424 JOV65422:JOV65424 JYR65422:JYR65424 KIN65422:KIN65424 KSJ65422:KSJ65424 LCF65422:LCF65424 LMB65422:LMB65424 LVX65422:LVX65424 MFT65422:MFT65424 MPP65422:MPP65424 MZL65422:MZL65424 NJH65422:NJH65424 NTD65422:NTD65424 OCZ65422:OCZ65424 OMV65422:OMV65424 OWR65422:OWR65424 PGN65422:PGN65424 PQJ65422:PQJ65424 QAF65422:QAF65424 QKB65422:QKB65424 QTX65422:QTX65424 RDT65422:RDT65424 RNP65422:RNP65424 RXL65422:RXL65424 SHH65422:SHH65424 SRD65422:SRD65424 TAZ65422:TAZ65424 TKV65422:TKV65424 TUR65422:TUR65424 UEN65422:UEN65424 UOJ65422:UOJ65424 UYF65422:UYF65424 VIB65422:VIB65424 VRX65422:VRX65424 WBT65422:WBT65424 WLP65422:WLP65424 WVL65422:WVL65424 D130958:D130960 IZ130958:IZ130960 SV130958:SV130960 ACR130958:ACR130960 AMN130958:AMN130960 AWJ130958:AWJ130960 BGF130958:BGF130960 BQB130958:BQB130960 BZX130958:BZX130960 CJT130958:CJT130960 CTP130958:CTP130960 DDL130958:DDL130960 DNH130958:DNH130960 DXD130958:DXD130960 EGZ130958:EGZ130960 EQV130958:EQV130960 FAR130958:FAR130960 FKN130958:FKN130960 FUJ130958:FUJ130960 GEF130958:GEF130960 GOB130958:GOB130960 GXX130958:GXX130960 HHT130958:HHT130960 HRP130958:HRP130960 IBL130958:IBL130960 ILH130958:ILH130960 IVD130958:IVD130960 JEZ130958:JEZ130960 JOV130958:JOV130960 JYR130958:JYR130960 KIN130958:KIN130960 KSJ130958:KSJ130960 LCF130958:LCF130960 LMB130958:LMB130960 LVX130958:LVX130960 MFT130958:MFT130960 MPP130958:MPP130960 MZL130958:MZL130960 NJH130958:NJH130960 NTD130958:NTD130960 OCZ130958:OCZ130960 OMV130958:OMV130960 OWR130958:OWR130960 PGN130958:PGN130960 PQJ130958:PQJ130960 QAF130958:QAF130960 QKB130958:QKB130960 QTX130958:QTX130960 RDT130958:RDT130960 RNP130958:RNP130960 RXL130958:RXL130960 SHH130958:SHH130960 SRD130958:SRD130960 TAZ130958:TAZ130960 TKV130958:TKV130960 TUR130958:TUR130960 UEN130958:UEN130960 UOJ130958:UOJ130960 UYF130958:UYF130960 VIB130958:VIB130960 VRX130958:VRX130960 WBT130958:WBT130960 WLP130958:WLP130960 WVL130958:WVL130960 D196494:D196496 IZ196494:IZ196496 SV196494:SV196496 ACR196494:ACR196496 AMN196494:AMN196496 AWJ196494:AWJ196496 BGF196494:BGF196496 BQB196494:BQB196496 BZX196494:BZX196496 CJT196494:CJT196496 CTP196494:CTP196496 DDL196494:DDL196496 DNH196494:DNH196496 DXD196494:DXD196496 EGZ196494:EGZ196496 EQV196494:EQV196496 FAR196494:FAR196496 FKN196494:FKN196496 FUJ196494:FUJ196496 GEF196494:GEF196496 GOB196494:GOB196496 GXX196494:GXX196496 HHT196494:HHT196496 HRP196494:HRP196496 IBL196494:IBL196496 ILH196494:ILH196496 IVD196494:IVD196496 JEZ196494:JEZ196496 JOV196494:JOV196496 JYR196494:JYR196496 KIN196494:KIN196496 KSJ196494:KSJ196496 LCF196494:LCF196496 LMB196494:LMB196496 LVX196494:LVX196496 MFT196494:MFT196496 MPP196494:MPP196496 MZL196494:MZL196496 NJH196494:NJH196496 NTD196494:NTD196496 OCZ196494:OCZ196496 OMV196494:OMV196496 OWR196494:OWR196496 PGN196494:PGN196496 PQJ196494:PQJ196496 QAF196494:QAF196496 QKB196494:QKB196496 QTX196494:QTX196496 RDT196494:RDT196496 RNP196494:RNP196496 RXL196494:RXL196496 SHH196494:SHH196496 SRD196494:SRD196496 TAZ196494:TAZ196496 TKV196494:TKV196496 TUR196494:TUR196496 UEN196494:UEN196496 UOJ196494:UOJ196496 UYF196494:UYF196496 VIB196494:VIB196496 VRX196494:VRX196496 WBT196494:WBT196496 WLP196494:WLP196496 WVL196494:WVL196496 D262030:D262032 IZ262030:IZ262032 SV262030:SV262032 ACR262030:ACR262032 AMN262030:AMN262032 AWJ262030:AWJ262032 BGF262030:BGF262032 BQB262030:BQB262032 BZX262030:BZX262032 CJT262030:CJT262032 CTP262030:CTP262032 DDL262030:DDL262032 DNH262030:DNH262032 DXD262030:DXD262032 EGZ262030:EGZ262032 EQV262030:EQV262032 FAR262030:FAR262032 FKN262030:FKN262032 FUJ262030:FUJ262032 GEF262030:GEF262032 GOB262030:GOB262032 GXX262030:GXX262032 HHT262030:HHT262032 HRP262030:HRP262032 IBL262030:IBL262032 ILH262030:ILH262032 IVD262030:IVD262032 JEZ262030:JEZ262032 JOV262030:JOV262032 JYR262030:JYR262032 KIN262030:KIN262032 KSJ262030:KSJ262032 LCF262030:LCF262032 LMB262030:LMB262032 LVX262030:LVX262032 MFT262030:MFT262032 MPP262030:MPP262032 MZL262030:MZL262032 NJH262030:NJH262032 NTD262030:NTD262032 OCZ262030:OCZ262032 OMV262030:OMV262032 OWR262030:OWR262032 PGN262030:PGN262032 PQJ262030:PQJ262032 QAF262030:QAF262032 QKB262030:QKB262032 QTX262030:QTX262032 RDT262030:RDT262032 RNP262030:RNP262032 RXL262030:RXL262032 SHH262030:SHH262032 SRD262030:SRD262032 TAZ262030:TAZ262032 TKV262030:TKV262032 TUR262030:TUR262032 UEN262030:UEN262032 UOJ262030:UOJ262032 UYF262030:UYF262032 VIB262030:VIB262032 VRX262030:VRX262032 WBT262030:WBT262032 WLP262030:WLP262032 WVL262030:WVL262032 D327566:D327568 IZ327566:IZ327568 SV327566:SV327568 ACR327566:ACR327568 AMN327566:AMN327568 AWJ327566:AWJ327568 BGF327566:BGF327568 BQB327566:BQB327568 BZX327566:BZX327568 CJT327566:CJT327568 CTP327566:CTP327568 DDL327566:DDL327568 DNH327566:DNH327568 DXD327566:DXD327568 EGZ327566:EGZ327568 EQV327566:EQV327568 FAR327566:FAR327568 FKN327566:FKN327568 FUJ327566:FUJ327568 GEF327566:GEF327568 GOB327566:GOB327568 GXX327566:GXX327568 HHT327566:HHT327568 HRP327566:HRP327568 IBL327566:IBL327568 ILH327566:ILH327568 IVD327566:IVD327568 JEZ327566:JEZ327568 JOV327566:JOV327568 JYR327566:JYR327568 KIN327566:KIN327568 KSJ327566:KSJ327568 LCF327566:LCF327568 LMB327566:LMB327568 LVX327566:LVX327568 MFT327566:MFT327568 MPP327566:MPP327568 MZL327566:MZL327568 NJH327566:NJH327568 NTD327566:NTD327568 OCZ327566:OCZ327568 OMV327566:OMV327568 OWR327566:OWR327568 PGN327566:PGN327568 PQJ327566:PQJ327568 QAF327566:QAF327568 QKB327566:QKB327568 QTX327566:QTX327568 RDT327566:RDT327568 RNP327566:RNP327568 RXL327566:RXL327568 SHH327566:SHH327568 SRD327566:SRD327568 TAZ327566:TAZ327568 TKV327566:TKV327568 TUR327566:TUR327568 UEN327566:UEN327568 UOJ327566:UOJ327568 UYF327566:UYF327568 VIB327566:VIB327568 VRX327566:VRX327568 WBT327566:WBT327568 WLP327566:WLP327568 WVL327566:WVL327568 D393102:D393104 IZ393102:IZ393104 SV393102:SV393104 ACR393102:ACR393104 AMN393102:AMN393104 AWJ393102:AWJ393104 BGF393102:BGF393104 BQB393102:BQB393104 BZX393102:BZX393104 CJT393102:CJT393104 CTP393102:CTP393104 DDL393102:DDL393104 DNH393102:DNH393104 DXD393102:DXD393104 EGZ393102:EGZ393104 EQV393102:EQV393104 FAR393102:FAR393104 FKN393102:FKN393104 FUJ393102:FUJ393104 GEF393102:GEF393104 GOB393102:GOB393104 GXX393102:GXX393104 HHT393102:HHT393104 HRP393102:HRP393104 IBL393102:IBL393104 ILH393102:ILH393104 IVD393102:IVD393104 JEZ393102:JEZ393104 JOV393102:JOV393104 JYR393102:JYR393104 KIN393102:KIN393104 KSJ393102:KSJ393104 LCF393102:LCF393104 LMB393102:LMB393104 LVX393102:LVX393104 MFT393102:MFT393104 MPP393102:MPP393104 MZL393102:MZL393104 NJH393102:NJH393104 NTD393102:NTD393104 OCZ393102:OCZ393104 OMV393102:OMV393104 OWR393102:OWR393104 PGN393102:PGN393104 PQJ393102:PQJ393104 QAF393102:QAF393104 QKB393102:QKB393104 QTX393102:QTX393104 RDT393102:RDT393104 RNP393102:RNP393104 RXL393102:RXL393104 SHH393102:SHH393104 SRD393102:SRD393104 TAZ393102:TAZ393104 TKV393102:TKV393104 TUR393102:TUR393104 UEN393102:UEN393104 UOJ393102:UOJ393104 UYF393102:UYF393104 VIB393102:VIB393104 VRX393102:VRX393104 WBT393102:WBT393104 WLP393102:WLP393104 WVL393102:WVL393104 D458638:D458640 IZ458638:IZ458640 SV458638:SV458640 ACR458638:ACR458640 AMN458638:AMN458640 AWJ458638:AWJ458640 BGF458638:BGF458640 BQB458638:BQB458640 BZX458638:BZX458640 CJT458638:CJT458640 CTP458638:CTP458640 DDL458638:DDL458640 DNH458638:DNH458640 DXD458638:DXD458640 EGZ458638:EGZ458640 EQV458638:EQV458640 FAR458638:FAR458640 FKN458638:FKN458640 FUJ458638:FUJ458640 GEF458638:GEF458640 GOB458638:GOB458640 GXX458638:GXX458640 HHT458638:HHT458640 HRP458638:HRP458640 IBL458638:IBL458640 ILH458638:ILH458640 IVD458638:IVD458640 JEZ458638:JEZ458640 JOV458638:JOV458640 JYR458638:JYR458640 KIN458638:KIN458640 KSJ458638:KSJ458640 LCF458638:LCF458640 LMB458638:LMB458640 LVX458638:LVX458640 MFT458638:MFT458640 MPP458638:MPP458640 MZL458638:MZL458640 NJH458638:NJH458640 NTD458638:NTD458640 OCZ458638:OCZ458640 OMV458638:OMV458640 OWR458638:OWR458640 PGN458638:PGN458640 PQJ458638:PQJ458640 QAF458638:QAF458640 QKB458638:QKB458640 QTX458638:QTX458640 RDT458638:RDT458640 RNP458638:RNP458640 RXL458638:RXL458640 SHH458638:SHH458640 SRD458638:SRD458640 TAZ458638:TAZ458640 TKV458638:TKV458640 TUR458638:TUR458640 UEN458638:UEN458640 UOJ458638:UOJ458640 UYF458638:UYF458640 VIB458638:VIB458640 VRX458638:VRX458640 WBT458638:WBT458640 WLP458638:WLP458640 WVL458638:WVL458640 D524174:D524176 IZ524174:IZ524176 SV524174:SV524176 ACR524174:ACR524176 AMN524174:AMN524176 AWJ524174:AWJ524176 BGF524174:BGF524176 BQB524174:BQB524176 BZX524174:BZX524176 CJT524174:CJT524176 CTP524174:CTP524176 DDL524174:DDL524176 DNH524174:DNH524176 DXD524174:DXD524176 EGZ524174:EGZ524176 EQV524174:EQV524176 FAR524174:FAR524176 FKN524174:FKN524176 FUJ524174:FUJ524176 GEF524174:GEF524176 GOB524174:GOB524176 GXX524174:GXX524176 HHT524174:HHT524176 HRP524174:HRP524176 IBL524174:IBL524176 ILH524174:ILH524176 IVD524174:IVD524176 JEZ524174:JEZ524176 JOV524174:JOV524176 JYR524174:JYR524176 KIN524174:KIN524176 KSJ524174:KSJ524176 LCF524174:LCF524176 LMB524174:LMB524176 LVX524174:LVX524176 MFT524174:MFT524176 MPP524174:MPP524176 MZL524174:MZL524176 NJH524174:NJH524176 NTD524174:NTD524176 OCZ524174:OCZ524176 OMV524174:OMV524176 OWR524174:OWR524176 PGN524174:PGN524176 PQJ524174:PQJ524176 QAF524174:QAF524176 QKB524174:QKB524176 QTX524174:QTX524176 RDT524174:RDT524176 RNP524174:RNP524176 RXL524174:RXL524176 SHH524174:SHH524176 SRD524174:SRD524176 TAZ524174:TAZ524176 TKV524174:TKV524176 TUR524174:TUR524176 UEN524174:UEN524176 UOJ524174:UOJ524176 UYF524174:UYF524176 VIB524174:VIB524176 VRX524174:VRX524176 WBT524174:WBT524176 WLP524174:WLP524176 WVL524174:WVL524176 D589710:D589712 IZ589710:IZ589712 SV589710:SV589712 ACR589710:ACR589712 AMN589710:AMN589712 AWJ589710:AWJ589712 BGF589710:BGF589712 BQB589710:BQB589712 BZX589710:BZX589712 CJT589710:CJT589712 CTP589710:CTP589712 DDL589710:DDL589712 DNH589710:DNH589712 DXD589710:DXD589712 EGZ589710:EGZ589712 EQV589710:EQV589712 FAR589710:FAR589712 FKN589710:FKN589712 FUJ589710:FUJ589712 GEF589710:GEF589712 GOB589710:GOB589712 GXX589710:GXX589712 HHT589710:HHT589712 HRP589710:HRP589712 IBL589710:IBL589712 ILH589710:ILH589712 IVD589710:IVD589712 JEZ589710:JEZ589712 JOV589710:JOV589712 JYR589710:JYR589712 KIN589710:KIN589712 KSJ589710:KSJ589712 LCF589710:LCF589712 LMB589710:LMB589712 LVX589710:LVX589712 MFT589710:MFT589712 MPP589710:MPP589712 MZL589710:MZL589712 NJH589710:NJH589712 NTD589710:NTD589712 OCZ589710:OCZ589712 OMV589710:OMV589712 OWR589710:OWR589712 PGN589710:PGN589712 PQJ589710:PQJ589712 QAF589710:QAF589712 QKB589710:QKB589712 QTX589710:QTX589712 RDT589710:RDT589712 RNP589710:RNP589712 RXL589710:RXL589712 SHH589710:SHH589712 SRD589710:SRD589712 TAZ589710:TAZ589712 TKV589710:TKV589712 TUR589710:TUR589712 UEN589710:UEN589712 UOJ589710:UOJ589712 UYF589710:UYF589712 VIB589710:VIB589712 VRX589710:VRX589712 WBT589710:WBT589712 WLP589710:WLP589712 WVL589710:WVL589712 D655246:D655248 IZ655246:IZ655248 SV655246:SV655248 ACR655246:ACR655248 AMN655246:AMN655248 AWJ655246:AWJ655248 BGF655246:BGF655248 BQB655246:BQB655248 BZX655246:BZX655248 CJT655246:CJT655248 CTP655246:CTP655248 DDL655246:DDL655248 DNH655246:DNH655248 DXD655246:DXD655248 EGZ655246:EGZ655248 EQV655246:EQV655248 FAR655246:FAR655248 FKN655246:FKN655248 FUJ655246:FUJ655248 GEF655246:GEF655248 GOB655246:GOB655248 GXX655246:GXX655248 HHT655246:HHT655248 HRP655246:HRP655248 IBL655246:IBL655248 ILH655246:ILH655248 IVD655246:IVD655248 JEZ655246:JEZ655248 JOV655246:JOV655248 JYR655246:JYR655248 KIN655246:KIN655248 KSJ655246:KSJ655248 LCF655246:LCF655248 LMB655246:LMB655248 LVX655246:LVX655248 MFT655246:MFT655248 MPP655246:MPP655248 MZL655246:MZL655248 NJH655246:NJH655248 NTD655246:NTD655248 OCZ655246:OCZ655248 OMV655246:OMV655248 OWR655246:OWR655248 PGN655246:PGN655248 PQJ655246:PQJ655248 QAF655246:QAF655248 QKB655246:QKB655248 QTX655246:QTX655248 RDT655246:RDT655248 RNP655246:RNP655248 RXL655246:RXL655248 SHH655246:SHH655248 SRD655246:SRD655248 TAZ655246:TAZ655248 TKV655246:TKV655248 TUR655246:TUR655248 UEN655246:UEN655248 UOJ655246:UOJ655248 UYF655246:UYF655248 VIB655246:VIB655248 VRX655246:VRX655248 WBT655246:WBT655248 WLP655246:WLP655248 WVL655246:WVL655248 D720782:D720784 IZ720782:IZ720784 SV720782:SV720784 ACR720782:ACR720784 AMN720782:AMN720784 AWJ720782:AWJ720784 BGF720782:BGF720784 BQB720782:BQB720784 BZX720782:BZX720784 CJT720782:CJT720784 CTP720782:CTP720784 DDL720782:DDL720784 DNH720782:DNH720784 DXD720782:DXD720784 EGZ720782:EGZ720784 EQV720782:EQV720784 FAR720782:FAR720784 FKN720782:FKN720784 FUJ720782:FUJ720784 GEF720782:GEF720784 GOB720782:GOB720784 GXX720782:GXX720784 HHT720782:HHT720784 HRP720782:HRP720784 IBL720782:IBL720784 ILH720782:ILH720784 IVD720782:IVD720784 JEZ720782:JEZ720784 JOV720782:JOV720784 JYR720782:JYR720784 KIN720782:KIN720784 KSJ720782:KSJ720784 LCF720782:LCF720784 LMB720782:LMB720784 LVX720782:LVX720784 MFT720782:MFT720784 MPP720782:MPP720784 MZL720782:MZL720784 NJH720782:NJH720784 NTD720782:NTD720784 OCZ720782:OCZ720784 OMV720782:OMV720784 OWR720782:OWR720784 PGN720782:PGN720784 PQJ720782:PQJ720784 QAF720782:QAF720784 QKB720782:QKB720784 QTX720782:QTX720784 RDT720782:RDT720784 RNP720782:RNP720784 RXL720782:RXL720784 SHH720782:SHH720784 SRD720782:SRD720784 TAZ720782:TAZ720784 TKV720782:TKV720784 TUR720782:TUR720784 UEN720782:UEN720784 UOJ720782:UOJ720784 UYF720782:UYF720784 VIB720782:VIB720784 VRX720782:VRX720784 WBT720782:WBT720784 WLP720782:WLP720784 WVL720782:WVL720784 D786318:D786320 IZ786318:IZ786320 SV786318:SV786320 ACR786318:ACR786320 AMN786318:AMN786320 AWJ786318:AWJ786320 BGF786318:BGF786320 BQB786318:BQB786320 BZX786318:BZX786320 CJT786318:CJT786320 CTP786318:CTP786320 DDL786318:DDL786320 DNH786318:DNH786320 DXD786318:DXD786320 EGZ786318:EGZ786320 EQV786318:EQV786320 FAR786318:FAR786320 FKN786318:FKN786320 FUJ786318:FUJ786320 GEF786318:GEF786320 GOB786318:GOB786320 GXX786318:GXX786320 HHT786318:HHT786320 HRP786318:HRP786320 IBL786318:IBL786320 ILH786318:ILH786320 IVD786318:IVD786320 JEZ786318:JEZ786320 JOV786318:JOV786320 JYR786318:JYR786320 KIN786318:KIN786320 KSJ786318:KSJ786320 LCF786318:LCF786320 LMB786318:LMB786320 LVX786318:LVX786320 MFT786318:MFT786320 MPP786318:MPP786320 MZL786318:MZL786320 NJH786318:NJH786320 NTD786318:NTD786320 OCZ786318:OCZ786320 OMV786318:OMV786320 OWR786318:OWR786320 PGN786318:PGN786320 PQJ786318:PQJ786320 QAF786318:QAF786320 QKB786318:QKB786320 QTX786318:QTX786320 RDT786318:RDT786320 RNP786318:RNP786320 RXL786318:RXL786320 SHH786318:SHH786320 SRD786318:SRD786320 TAZ786318:TAZ786320 TKV786318:TKV786320 TUR786318:TUR786320 UEN786318:UEN786320 UOJ786318:UOJ786320 UYF786318:UYF786320 VIB786318:VIB786320 VRX786318:VRX786320 WBT786318:WBT786320 WLP786318:WLP786320 WVL786318:WVL786320 D851854:D851856 IZ851854:IZ851856 SV851854:SV851856 ACR851854:ACR851856 AMN851854:AMN851856 AWJ851854:AWJ851856 BGF851854:BGF851856 BQB851854:BQB851856 BZX851854:BZX851856 CJT851854:CJT851856 CTP851854:CTP851856 DDL851854:DDL851856 DNH851854:DNH851856 DXD851854:DXD851856 EGZ851854:EGZ851856 EQV851854:EQV851856 FAR851854:FAR851856 FKN851854:FKN851856 FUJ851854:FUJ851856 GEF851854:GEF851856 GOB851854:GOB851856 GXX851854:GXX851856 HHT851854:HHT851856 HRP851854:HRP851856 IBL851854:IBL851856 ILH851854:ILH851856 IVD851854:IVD851856 JEZ851854:JEZ851856 JOV851854:JOV851856 JYR851854:JYR851856 KIN851854:KIN851856 KSJ851854:KSJ851856 LCF851854:LCF851856 LMB851854:LMB851856 LVX851854:LVX851856 MFT851854:MFT851856 MPP851854:MPP851856 MZL851854:MZL851856 NJH851854:NJH851856 NTD851854:NTD851856 OCZ851854:OCZ851856 OMV851854:OMV851856 OWR851854:OWR851856 PGN851854:PGN851856 PQJ851854:PQJ851856 QAF851854:QAF851856 QKB851854:QKB851856 QTX851854:QTX851856 RDT851854:RDT851856 RNP851854:RNP851856 RXL851854:RXL851856 SHH851854:SHH851856 SRD851854:SRD851856 TAZ851854:TAZ851856 TKV851854:TKV851856 TUR851854:TUR851856 UEN851854:UEN851856 UOJ851854:UOJ851856 UYF851854:UYF851856 VIB851854:VIB851856 VRX851854:VRX851856 WBT851854:WBT851856 WLP851854:WLP851856 WVL851854:WVL851856 D917390:D917392 IZ917390:IZ917392 SV917390:SV917392 ACR917390:ACR917392 AMN917390:AMN917392 AWJ917390:AWJ917392 BGF917390:BGF917392 BQB917390:BQB917392 BZX917390:BZX917392 CJT917390:CJT917392 CTP917390:CTP917392 DDL917390:DDL917392 DNH917390:DNH917392 DXD917390:DXD917392 EGZ917390:EGZ917392 EQV917390:EQV917392 FAR917390:FAR917392 FKN917390:FKN917392 FUJ917390:FUJ917392 GEF917390:GEF917392 GOB917390:GOB917392 GXX917390:GXX917392 HHT917390:HHT917392 HRP917390:HRP917392 IBL917390:IBL917392 ILH917390:ILH917392 IVD917390:IVD917392 JEZ917390:JEZ917392 JOV917390:JOV917392 JYR917390:JYR917392 KIN917390:KIN917392 KSJ917390:KSJ917392 LCF917390:LCF917392 LMB917390:LMB917392 LVX917390:LVX917392 MFT917390:MFT917392 MPP917390:MPP917392 MZL917390:MZL917392 NJH917390:NJH917392 NTD917390:NTD917392 OCZ917390:OCZ917392 OMV917390:OMV917392 OWR917390:OWR917392 PGN917390:PGN917392 PQJ917390:PQJ917392 QAF917390:QAF917392 QKB917390:QKB917392 QTX917390:QTX917392 RDT917390:RDT917392 RNP917390:RNP917392 RXL917390:RXL917392 SHH917390:SHH917392 SRD917390:SRD917392 TAZ917390:TAZ917392 TKV917390:TKV917392 TUR917390:TUR917392 UEN917390:UEN917392 UOJ917390:UOJ917392 UYF917390:UYF917392 VIB917390:VIB917392 VRX917390:VRX917392 WBT917390:WBT917392 WLP917390:WLP917392 WVL917390:WVL917392 D982926:D982928 IZ982926:IZ982928 SV982926:SV982928 ACR982926:ACR982928 AMN982926:AMN982928 AWJ982926:AWJ982928 BGF982926:BGF982928 BQB982926:BQB982928 BZX982926:BZX982928 CJT982926:CJT982928 CTP982926:CTP982928 DDL982926:DDL982928 DNH982926:DNH982928 DXD982926:DXD982928 EGZ982926:EGZ982928 EQV982926:EQV982928 FAR982926:FAR982928 FKN982926:FKN982928 FUJ982926:FUJ982928 GEF982926:GEF982928 GOB982926:GOB982928 GXX982926:GXX982928 HHT982926:HHT982928 HRP982926:HRP982928 IBL982926:IBL982928 ILH982926:ILH982928 IVD982926:IVD982928 JEZ982926:JEZ982928 JOV982926:JOV982928 JYR982926:JYR982928 KIN982926:KIN982928 KSJ982926:KSJ982928 LCF982926:LCF982928 LMB982926:LMB982928 LVX982926:LVX982928 MFT982926:MFT982928 MPP982926:MPP982928 MZL982926:MZL982928 NJH982926:NJH982928 NTD982926:NTD982928 OCZ982926:OCZ982928 OMV982926:OMV982928 OWR982926:OWR982928 PGN982926:PGN982928 PQJ982926:PQJ982928 QAF982926:QAF982928 QKB982926:QKB982928 QTX982926:QTX982928 RDT982926:RDT982928 RNP982926:RNP982928 RXL982926:RXL982928 SHH982926:SHH982928 SRD982926:SRD982928 TAZ982926:TAZ982928 TKV982926:TKV982928 TUR982926:TUR982928 UEN982926:UEN982928 UOJ982926:UOJ982928 UYF982926:UYF982928 VIB982926:VIB982928 VRX982926:VRX982928 WBT982926:WBT982928 WLP982926:WLP982928">
      <formula1>"是,否"</formula1>
    </dataValidation>
  </dataValidations>
  <hyperlinks>
    <hyperlink ref="F13" location="高新技术企业优惠情况审核表!A1" display="高新技术企业优惠情况审核表!A1"/>
  </hyperlinks>
  <printOptions horizontalCentered="1"/>
  <pageMargins left="0.78740157480314998" right="0.35433070866141703" top="0.511811023622047" bottom="0.11811023622047198" header="0.511811023622047" footer="0.511811023622047"/>
  <pageSetup paperSize="9" orientation="portrait" r:id="rId1"/>
</worksheet>
</file>

<file path=xl/worksheets/sheet15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48">
    <tabColor rgb="FFFFFF00"/>
  </sheetPr>
  <dimension ref="A1:L46"/>
  <sheetViews>
    <sheetView workbookViewId="0">
      <selection activeCell="E14" sqref="E14"/>
    </sheetView>
  </sheetViews>
  <sheetFormatPr defaultRowHeight="15.6"/>
  <cols>
    <col min="1" max="1" width="4.69921875" style="1532" customWidth="1"/>
    <col min="2" max="2" width="5.19921875" style="1614" customWidth="1"/>
    <col min="3" max="3" width="5.69921875" style="1532" customWidth="1"/>
    <col min="4" max="4" width="79.8984375" style="1532" customWidth="1"/>
    <col min="5" max="5" width="16.19921875" style="1532" customWidth="1"/>
    <col min="6" max="6" width="13.3984375" style="1532" customWidth="1"/>
    <col min="7" max="256" width="9" style="1532"/>
    <col min="257" max="257" width="4.69921875" style="1532" customWidth="1"/>
    <col min="258" max="258" width="5.19921875" style="1532" customWidth="1"/>
    <col min="259" max="259" width="5.69921875" style="1532" customWidth="1"/>
    <col min="260" max="260" width="79.8984375" style="1532" customWidth="1"/>
    <col min="261" max="261" width="16.19921875" style="1532" customWidth="1"/>
    <col min="262" max="262" width="13.3984375" style="1532" customWidth="1"/>
    <col min="263" max="512" width="9" style="1532"/>
    <col min="513" max="513" width="4.69921875" style="1532" customWidth="1"/>
    <col min="514" max="514" width="5.19921875" style="1532" customWidth="1"/>
    <col min="515" max="515" width="5.69921875" style="1532" customWidth="1"/>
    <col min="516" max="516" width="79.8984375" style="1532" customWidth="1"/>
    <col min="517" max="517" width="16.19921875" style="1532" customWidth="1"/>
    <col min="518" max="518" width="13.3984375" style="1532" customWidth="1"/>
    <col min="519" max="768" width="9" style="1532"/>
    <col min="769" max="769" width="4.69921875" style="1532" customWidth="1"/>
    <col min="770" max="770" width="5.19921875" style="1532" customWidth="1"/>
    <col min="771" max="771" width="5.69921875" style="1532" customWidth="1"/>
    <col min="772" max="772" width="79.8984375" style="1532" customWidth="1"/>
    <col min="773" max="773" width="16.19921875" style="1532" customWidth="1"/>
    <col min="774" max="774" width="13.3984375" style="1532" customWidth="1"/>
    <col min="775" max="1024" width="9" style="1532"/>
    <col min="1025" max="1025" width="4.69921875" style="1532" customWidth="1"/>
    <col min="1026" max="1026" width="5.19921875" style="1532" customWidth="1"/>
    <col min="1027" max="1027" width="5.69921875" style="1532" customWidth="1"/>
    <col min="1028" max="1028" width="79.8984375" style="1532" customWidth="1"/>
    <col min="1029" max="1029" width="16.19921875" style="1532" customWidth="1"/>
    <col min="1030" max="1030" width="13.3984375" style="1532" customWidth="1"/>
    <col min="1031" max="1280" width="9" style="1532"/>
    <col min="1281" max="1281" width="4.69921875" style="1532" customWidth="1"/>
    <col min="1282" max="1282" width="5.19921875" style="1532" customWidth="1"/>
    <col min="1283" max="1283" width="5.69921875" style="1532" customWidth="1"/>
    <col min="1284" max="1284" width="79.8984375" style="1532" customWidth="1"/>
    <col min="1285" max="1285" width="16.19921875" style="1532" customWidth="1"/>
    <col min="1286" max="1286" width="13.3984375" style="1532" customWidth="1"/>
    <col min="1287" max="1536" width="9" style="1532"/>
    <col min="1537" max="1537" width="4.69921875" style="1532" customWidth="1"/>
    <col min="1538" max="1538" width="5.19921875" style="1532" customWidth="1"/>
    <col min="1539" max="1539" width="5.69921875" style="1532" customWidth="1"/>
    <col min="1540" max="1540" width="79.8984375" style="1532" customWidth="1"/>
    <col min="1541" max="1541" width="16.19921875" style="1532" customWidth="1"/>
    <col min="1542" max="1542" width="13.3984375" style="1532" customWidth="1"/>
    <col min="1543" max="1792" width="9" style="1532"/>
    <col min="1793" max="1793" width="4.69921875" style="1532" customWidth="1"/>
    <col min="1794" max="1794" width="5.19921875" style="1532" customWidth="1"/>
    <col min="1795" max="1795" width="5.69921875" style="1532" customWidth="1"/>
    <col min="1796" max="1796" width="79.8984375" style="1532" customWidth="1"/>
    <col min="1797" max="1797" width="16.19921875" style="1532" customWidth="1"/>
    <col min="1798" max="1798" width="13.3984375" style="1532" customWidth="1"/>
    <col min="1799" max="2048" width="9" style="1532"/>
    <col min="2049" max="2049" width="4.69921875" style="1532" customWidth="1"/>
    <col min="2050" max="2050" width="5.19921875" style="1532" customWidth="1"/>
    <col min="2051" max="2051" width="5.69921875" style="1532" customWidth="1"/>
    <col min="2052" max="2052" width="79.8984375" style="1532" customWidth="1"/>
    <col min="2053" max="2053" width="16.19921875" style="1532" customWidth="1"/>
    <col min="2054" max="2054" width="13.3984375" style="1532" customWidth="1"/>
    <col min="2055" max="2304" width="9" style="1532"/>
    <col min="2305" max="2305" width="4.69921875" style="1532" customWidth="1"/>
    <col min="2306" max="2306" width="5.19921875" style="1532" customWidth="1"/>
    <col min="2307" max="2307" width="5.69921875" style="1532" customWidth="1"/>
    <col min="2308" max="2308" width="79.8984375" style="1532" customWidth="1"/>
    <col min="2309" max="2309" width="16.19921875" style="1532" customWidth="1"/>
    <col min="2310" max="2310" width="13.3984375" style="1532" customWidth="1"/>
    <col min="2311" max="2560" width="9" style="1532"/>
    <col min="2561" max="2561" width="4.69921875" style="1532" customWidth="1"/>
    <col min="2562" max="2562" width="5.19921875" style="1532" customWidth="1"/>
    <col min="2563" max="2563" width="5.69921875" style="1532" customWidth="1"/>
    <col min="2564" max="2564" width="79.8984375" style="1532" customWidth="1"/>
    <col min="2565" max="2565" width="16.19921875" style="1532" customWidth="1"/>
    <col min="2566" max="2566" width="13.3984375" style="1532" customWidth="1"/>
    <col min="2567" max="2816" width="9" style="1532"/>
    <col min="2817" max="2817" width="4.69921875" style="1532" customWidth="1"/>
    <col min="2818" max="2818" width="5.19921875" style="1532" customWidth="1"/>
    <col min="2819" max="2819" width="5.69921875" style="1532" customWidth="1"/>
    <col min="2820" max="2820" width="79.8984375" style="1532" customWidth="1"/>
    <col min="2821" max="2821" width="16.19921875" style="1532" customWidth="1"/>
    <col min="2822" max="2822" width="13.3984375" style="1532" customWidth="1"/>
    <col min="2823" max="3072" width="9" style="1532"/>
    <col min="3073" max="3073" width="4.69921875" style="1532" customWidth="1"/>
    <col min="3074" max="3074" width="5.19921875" style="1532" customWidth="1"/>
    <col min="3075" max="3075" width="5.69921875" style="1532" customWidth="1"/>
    <col min="3076" max="3076" width="79.8984375" style="1532" customWidth="1"/>
    <col min="3077" max="3077" width="16.19921875" style="1532" customWidth="1"/>
    <col min="3078" max="3078" width="13.3984375" style="1532" customWidth="1"/>
    <col min="3079" max="3328" width="9" style="1532"/>
    <col min="3329" max="3329" width="4.69921875" style="1532" customWidth="1"/>
    <col min="3330" max="3330" width="5.19921875" style="1532" customWidth="1"/>
    <col min="3331" max="3331" width="5.69921875" style="1532" customWidth="1"/>
    <col min="3332" max="3332" width="79.8984375" style="1532" customWidth="1"/>
    <col min="3333" max="3333" width="16.19921875" style="1532" customWidth="1"/>
    <col min="3334" max="3334" width="13.3984375" style="1532" customWidth="1"/>
    <col min="3335" max="3584" width="9" style="1532"/>
    <col min="3585" max="3585" width="4.69921875" style="1532" customWidth="1"/>
    <col min="3586" max="3586" width="5.19921875" style="1532" customWidth="1"/>
    <col min="3587" max="3587" width="5.69921875" style="1532" customWidth="1"/>
    <col min="3588" max="3588" width="79.8984375" style="1532" customWidth="1"/>
    <col min="3589" max="3589" width="16.19921875" style="1532" customWidth="1"/>
    <col min="3590" max="3590" width="13.3984375" style="1532" customWidth="1"/>
    <col min="3591" max="3840" width="9" style="1532"/>
    <col min="3841" max="3841" width="4.69921875" style="1532" customWidth="1"/>
    <col min="3842" max="3842" width="5.19921875" style="1532" customWidth="1"/>
    <col min="3843" max="3843" width="5.69921875" style="1532" customWidth="1"/>
    <col min="3844" max="3844" width="79.8984375" style="1532" customWidth="1"/>
    <col min="3845" max="3845" width="16.19921875" style="1532" customWidth="1"/>
    <col min="3846" max="3846" width="13.3984375" style="1532" customWidth="1"/>
    <col min="3847" max="4096" width="9" style="1532"/>
    <col min="4097" max="4097" width="4.69921875" style="1532" customWidth="1"/>
    <col min="4098" max="4098" width="5.19921875" style="1532" customWidth="1"/>
    <col min="4099" max="4099" width="5.69921875" style="1532" customWidth="1"/>
    <col min="4100" max="4100" width="79.8984375" style="1532" customWidth="1"/>
    <col min="4101" max="4101" width="16.19921875" style="1532" customWidth="1"/>
    <col min="4102" max="4102" width="13.3984375" style="1532" customWidth="1"/>
    <col min="4103" max="4352" width="9" style="1532"/>
    <col min="4353" max="4353" width="4.69921875" style="1532" customWidth="1"/>
    <col min="4354" max="4354" width="5.19921875" style="1532" customWidth="1"/>
    <col min="4355" max="4355" width="5.69921875" style="1532" customWidth="1"/>
    <col min="4356" max="4356" width="79.8984375" style="1532" customWidth="1"/>
    <col min="4357" max="4357" width="16.19921875" style="1532" customWidth="1"/>
    <col min="4358" max="4358" width="13.3984375" style="1532" customWidth="1"/>
    <col min="4359" max="4608" width="9" style="1532"/>
    <col min="4609" max="4609" width="4.69921875" style="1532" customWidth="1"/>
    <col min="4610" max="4610" width="5.19921875" style="1532" customWidth="1"/>
    <col min="4611" max="4611" width="5.69921875" style="1532" customWidth="1"/>
    <col min="4612" max="4612" width="79.8984375" style="1532" customWidth="1"/>
    <col min="4613" max="4613" width="16.19921875" style="1532" customWidth="1"/>
    <col min="4614" max="4614" width="13.3984375" style="1532" customWidth="1"/>
    <col min="4615" max="4864" width="9" style="1532"/>
    <col min="4865" max="4865" width="4.69921875" style="1532" customWidth="1"/>
    <col min="4866" max="4866" width="5.19921875" style="1532" customWidth="1"/>
    <col min="4867" max="4867" width="5.69921875" style="1532" customWidth="1"/>
    <col min="4868" max="4868" width="79.8984375" style="1532" customWidth="1"/>
    <col min="4869" max="4869" width="16.19921875" style="1532" customWidth="1"/>
    <col min="4870" max="4870" width="13.3984375" style="1532" customWidth="1"/>
    <col min="4871" max="5120" width="9" style="1532"/>
    <col min="5121" max="5121" width="4.69921875" style="1532" customWidth="1"/>
    <col min="5122" max="5122" width="5.19921875" style="1532" customWidth="1"/>
    <col min="5123" max="5123" width="5.69921875" style="1532" customWidth="1"/>
    <col min="5124" max="5124" width="79.8984375" style="1532" customWidth="1"/>
    <col min="5125" max="5125" width="16.19921875" style="1532" customWidth="1"/>
    <col min="5126" max="5126" width="13.3984375" style="1532" customWidth="1"/>
    <col min="5127" max="5376" width="9" style="1532"/>
    <col min="5377" max="5377" width="4.69921875" style="1532" customWidth="1"/>
    <col min="5378" max="5378" width="5.19921875" style="1532" customWidth="1"/>
    <col min="5379" max="5379" width="5.69921875" style="1532" customWidth="1"/>
    <col min="5380" max="5380" width="79.8984375" style="1532" customWidth="1"/>
    <col min="5381" max="5381" width="16.19921875" style="1532" customWidth="1"/>
    <col min="5382" max="5382" width="13.3984375" style="1532" customWidth="1"/>
    <col min="5383" max="5632" width="9" style="1532"/>
    <col min="5633" max="5633" width="4.69921875" style="1532" customWidth="1"/>
    <col min="5634" max="5634" width="5.19921875" style="1532" customWidth="1"/>
    <col min="5635" max="5635" width="5.69921875" style="1532" customWidth="1"/>
    <col min="5636" max="5636" width="79.8984375" style="1532" customWidth="1"/>
    <col min="5637" max="5637" width="16.19921875" style="1532" customWidth="1"/>
    <col min="5638" max="5638" width="13.3984375" style="1532" customWidth="1"/>
    <col min="5639" max="5888" width="9" style="1532"/>
    <col min="5889" max="5889" width="4.69921875" style="1532" customWidth="1"/>
    <col min="5890" max="5890" width="5.19921875" style="1532" customWidth="1"/>
    <col min="5891" max="5891" width="5.69921875" style="1532" customWidth="1"/>
    <col min="5892" max="5892" width="79.8984375" style="1532" customWidth="1"/>
    <col min="5893" max="5893" width="16.19921875" style="1532" customWidth="1"/>
    <col min="5894" max="5894" width="13.3984375" style="1532" customWidth="1"/>
    <col min="5895" max="6144" width="9" style="1532"/>
    <col min="6145" max="6145" width="4.69921875" style="1532" customWidth="1"/>
    <col min="6146" max="6146" width="5.19921875" style="1532" customWidth="1"/>
    <col min="6147" max="6147" width="5.69921875" style="1532" customWidth="1"/>
    <col min="6148" max="6148" width="79.8984375" style="1532" customWidth="1"/>
    <col min="6149" max="6149" width="16.19921875" style="1532" customWidth="1"/>
    <col min="6150" max="6150" width="13.3984375" style="1532" customWidth="1"/>
    <col min="6151" max="6400" width="9" style="1532"/>
    <col min="6401" max="6401" width="4.69921875" style="1532" customWidth="1"/>
    <col min="6402" max="6402" width="5.19921875" style="1532" customWidth="1"/>
    <col min="6403" max="6403" width="5.69921875" style="1532" customWidth="1"/>
    <col min="6404" max="6404" width="79.8984375" style="1532" customWidth="1"/>
    <col min="6405" max="6405" width="16.19921875" style="1532" customWidth="1"/>
    <col min="6406" max="6406" width="13.3984375" style="1532" customWidth="1"/>
    <col min="6407" max="6656" width="9" style="1532"/>
    <col min="6657" max="6657" width="4.69921875" style="1532" customWidth="1"/>
    <col min="6658" max="6658" width="5.19921875" style="1532" customWidth="1"/>
    <col min="6659" max="6659" width="5.69921875" style="1532" customWidth="1"/>
    <col min="6660" max="6660" width="79.8984375" style="1532" customWidth="1"/>
    <col min="6661" max="6661" width="16.19921875" style="1532" customWidth="1"/>
    <col min="6662" max="6662" width="13.3984375" style="1532" customWidth="1"/>
    <col min="6663" max="6912" width="9" style="1532"/>
    <col min="6913" max="6913" width="4.69921875" style="1532" customWidth="1"/>
    <col min="6914" max="6914" width="5.19921875" style="1532" customWidth="1"/>
    <col min="6915" max="6915" width="5.69921875" style="1532" customWidth="1"/>
    <col min="6916" max="6916" width="79.8984375" style="1532" customWidth="1"/>
    <col min="6917" max="6917" width="16.19921875" style="1532" customWidth="1"/>
    <col min="6918" max="6918" width="13.3984375" style="1532" customWidth="1"/>
    <col min="6919" max="7168" width="9" style="1532"/>
    <col min="7169" max="7169" width="4.69921875" style="1532" customWidth="1"/>
    <col min="7170" max="7170" width="5.19921875" style="1532" customWidth="1"/>
    <col min="7171" max="7171" width="5.69921875" style="1532" customWidth="1"/>
    <col min="7172" max="7172" width="79.8984375" style="1532" customWidth="1"/>
    <col min="7173" max="7173" width="16.19921875" style="1532" customWidth="1"/>
    <col min="7174" max="7174" width="13.3984375" style="1532" customWidth="1"/>
    <col min="7175" max="7424" width="9" style="1532"/>
    <col min="7425" max="7425" width="4.69921875" style="1532" customWidth="1"/>
    <col min="7426" max="7426" width="5.19921875" style="1532" customWidth="1"/>
    <col min="7427" max="7427" width="5.69921875" style="1532" customWidth="1"/>
    <col min="7428" max="7428" width="79.8984375" style="1532" customWidth="1"/>
    <col min="7429" max="7429" width="16.19921875" style="1532" customWidth="1"/>
    <col min="7430" max="7430" width="13.3984375" style="1532" customWidth="1"/>
    <col min="7431" max="7680" width="9" style="1532"/>
    <col min="7681" max="7681" width="4.69921875" style="1532" customWidth="1"/>
    <col min="7682" max="7682" width="5.19921875" style="1532" customWidth="1"/>
    <col min="7683" max="7683" width="5.69921875" style="1532" customWidth="1"/>
    <col min="7684" max="7684" width="79.8984375" style="1532" customWidth="1"/>
    <col min="7685" max="7685" width="16.19921875" style="1532" customWidth="1"/>
    <col min="7686" max="7686" width="13.3984375" style="1532" customWidth="1"/>
    <col min="7687" max="7936" width="9" style="1532"/>
    <col min="7937" max="7937" width="4.69921875" style="1532" customWidth="1"/>
    <col min="7938" max="7938" width="5.19921875" style="1532" customWidth="1"/>
    <col min="7939" max="7939" width="5.69921875" style="1532" customWidth="1"/>
    <col min="7940" max="7940" width="79.8984375" style="1532" customWidth="1"/>
    <col min="7941" max="7941" width="16.19921875" style="1532" customWidth="1"/>
    <col min="7942" max="7942" width="13.3984375" style="1532" customWidth="1"/>
    <col min="7943" max="8192" width="9" style="1532"/>
    <col min="8193" max="8193" width="4.69921875" style="1532" customWidth="1"/>
    <col min="8194" max="8194" width="5.19921875" style="1532" customWidth="1"/>
    <col min="8195" max="8195" width="5.69921875" style="1532" customWidth="1"/>
    <col min="8196" max="8196" width="79.8984375" style="1532" customWidth="1"/>
    <col min="8197" max="8197" width="16.19921875" style="1532" customWidth="1"/>
    <col min="8198" max="8198" width="13.3984375" style="1532" customWidth="1"/>
    <col min="8199" max="8448" width="9" style="1532"/>
    <col min="8449" max="8449" width="4.69921875" style="1532" customWidth="1"/>
    <col min="8450" max="8450" width="5.19921875" style="1532" customWidth="1"/>
    <col min="8451" max="8451" width="5.69921875" style="1532" customWidth="1"/>
    <col min="8452" max="8452" width="79.8984375" style="1532" customWidth="1"/>
    <col min="8453" max="8453" width="16.19921875" style="1532" customWidth="1"/>
    <col min="8454" max="8454" width="13.3984375" style="1532" customWidth="1"/>
    <col min="8455" max="8704" width="9" style="1532"/>
    <col min="8705" max="8705" width="4.69921875" style="1532" customWidth="1"/>
    <col min="8706" max="8706" width="5.19921875" style="1532" customWidth="1"/>
    <col min="8707" max="8707" width="5.69921875" style="1532" customWidth="1"/>
    <col min="8708" max="8708" width="79.8984375" style="1532" customWidth="1"/>
    <col min="8709" max="8709" width="16.19921875" style="1532" customWidth="1"/>
    <col min="8710" max="8710" width="13.3984375" style="1532" customWidth="1"/>
    <col min="8711" max="8960" width="9" style="1532"/>
    <col min="8961" max="8961" width="4.69921875" style="1532" customWidth="1"/>
    <col min="8962" max="8962" width="5.19921875" style="1532" customWidth="1"/>
    <col min="8963" max="8963" width="5.69921875" style="1532" customWidth="1"/>
    <col min="8964" max="8964" width="79.8984375" style="1532" customWidth="1"/>
    <col min="8965" max="8965" width="16.19921875" style="1532" customWidth="1"/>
    <col min="8966" max="8966" width="13.3984375" style="1532" customWidth="1"/>
    <col min="8967" max="9216" width="9" style="1532"/>
    <col min="9217" max="9217" width="4.69921875" style="1532" customWidth="1"/>
    <col min="9218" max="9218" width="5.19921875" style="1532" customWidth="1"/>
    <col min="9219" max="9219" width="5.69921875" style="1532" customWidth="1"/>
    <col min="9220" max="9220" width="79.8984375" style="1532" customWidth="1"/>
    <col min="9221" max="9221" width="16.19921875" style="1532" customWidth="1"/>
    <col min="9222" max="9222" width="13.3984375" style="1532" customWidth="1"/>
    <col min="9223" max="9472" width="9" style="1532"/>
    <col min="9473" max="9473" width="4.69921875" style="1532" customWidth="1"/>
    <col min="9474" max="9474" width="5.19921875" style="1532" customWidth="1"/>
    <col min="9475" max="9475" width="5.69921875" style="1532" customWidth="1"/>
    <col min="9476" max="9476" width="79.8984375" style="1532" customWidth="1"/>
    <col min="9477" max="9477" width="16.19921875" style="1532" customWidth="1"/>
    <col min="9478" max="9478" width="13.3984375" style="1532" customWidth="1"/>
    <col min="9479" max="9728" width="9" style="1532"/>
    <col min="9729" max="9729" width="4.69921875" style="1532" customWidth="1"/>
    <col min="9730" max="9730" width="5.19921875" style="1532" customWidth="1"/>
    <col min="9731" max="9731" width="5.69921875" style="1532" customWidth="1"/>
    <col min="9732" max="9732" width="79.8984375" style="1532" customWidth="1"/>
    <col min="9733" max="9733" width="16.19921875" style="1532" customWidth="1"/>
    <col min="9734" max="9734" width="13.3984375" style="1532" customWidth="1"/>
    <col min="9735" max="9984" width="9" style="1532"/>
    <col min="9985" max="9985" width="4.69921875" style="1532" customWidth="1"/>
    <col min="9986" max="9986" width="5.19921875" style="1532" customWidth="1"/>
    <col min="9987" max="9987" width="5.69921875" style="1532" customWidth="1"/>
    <col min="9988" max="9988" width="79.8984375" style="1532" customWidth="1"/>
    <col min="9989" max="9989" width="16.19921875" style="1532" customWidth="1"/>
    <col min="9990" max="9990" width="13.3984375" style="1532" customWidth="1"/>
    <col min="9991" max="10240" width="9" style="1532"/>
    <col min="10241" max="10241" width="4.69921875" style="1532" customWidth="1"/>
    <col min="10242" max="10242" width="5.19921875" style="1532" customWidth="1"/>
    <col min="10243" max="10243" width="5.69921875" style="1532" customWidth="1"/>
    <col min="10244" max="10244" width="79.8984375" style="1532" customWidth="1"/>
    <col min="10245" max="10245" width="16.19921875" style="1532" customWidth="1"/>
    <col min="10246" max="10246" width="13.3984375" style="1532" customWidth="1"/>
    <col min="10247" max="10496" width="9" style="1532"/>
    <col min="10497" max="10497" width="4.69921875" style="1532" customWidth="1"/>
    <col min="10498" max="10498" width="5.19921875" style="1532" customWidth="1"/>
    <col min="10499" max="10499" width="5.69921875" style="1532" customWidth="1"/>
    <col min="10500" max="10500" width="79.8984375" style="1532" customWidth="1"/>
    <col min="10501" max="10501" width="16.19921875" style="1532" customWidth="1"/>
    <col min="10502" max="10502" width="13.3984375" style="1532" customWidth="1"/>
    <col min="10503" max="10752" width="9" style="1532"/>
    <col min="10753" max="10753" width="4.69921875" style="1532" customWidth="1"/>
    <col min="10754" max="10754" width="5.19921875" style="1532" customWidth="1"/>
    <col min="10755" max="10755" width="5.69921875" style="1532" customWidth="1"/>
    <col min="10756" max="10756" width="79.8984375" style="1532" customWidth="1"/>
    <col min="10757" max="10757" width="16.19921875" style="1532" customWidth="1"/>
    <col min="10758" max="10758" width="13.3984375" style="1532" customWidth="1"/>
    <col min="10759" max="11008" width="9" style="1532"/>
    <col min="11009" max="11009" width="4.69921875" style="1532" customWidth="1"/>
    <col min="11010" max="11010" width="5.19921875" style="1532" customWidth="1"/>
    <col min="11011" max="11011" width="5.69921875" style="1532" customWidth="1"/>
    <col min="11012" max="11012" width="79.8984375" style="1532" customWidth="1"/>
    <col min="11013" max="11013" width="16.19921875" style="1532" customWidth="1"/>
    <col min="11014" max="11014" width="13.3984375" style="1532" customWidth="1"/>
    <col min="11015" max="11264" width="9" style="1532"/>
    <col min="11265" max="11265" width="4.69921875" style="1532" customWidth="1"/>
    <col min="11266" max="11266" width="5.19921875" style="1532" customWidth="1"/>
    <col min="11267" max="11267" width="5.69921875" style="1532" customWidth="1"/>
    <col min="11268" max="11268" width="79.8984375" style="1532" customWidth="1"/>
    <col min="11269" max="11269" width="16.19921875" style="1532" customWidth="1"/>
    <col min="11270" max="11270" width="13.3984375" style="1532" customWidth="1"/>
    <col min="11271" max="11520" width="9" style="1532"/>
    <col min="11521" max="11521" width="4.69921875" style="1532" customWidth="1"/>
    <col min="11522" max="11522" width="5.19921875" style="1532" customWidth="1"/>
    <col min="11523" max="11523" width="5.69921875" style="1532" customWidth="1"/>
    <col min="11524" max="11524" width="79.8984375" style="1532" customWidth="1"/>
    <col min="11525" max="11525" width="16.19921875" style="1532" customWidth="1"/>
    <col min="11526" max="11526" width="13.3984375" style="1532" customWidth="1"/>
    <col min="11527" max="11776" width="9" style="1532"/>
    <col min="11777" max="11777" width="4.69921875" style="1532" customWidth="1"/>
    <col min="11778" max="11778" width="5.19921875" style="1532" customWidth="1"/>
    <col min="11779" max="11779" width="5.69921875" style="1532" customWidth="1"/>
    <col min="11780" max="11780" width="79.8984375" style="1532" customWidth="1"/>
    <col min="11781" max="11781" width="16.19921875" style="1532" customWidth="1"/>
    <col min="11782" max="11782" width="13.3984375" style="1532" customWidth="1"/>
    <col min="11783" max="12032" width="9" style="1532"/>
    <col min="12033" max="12033" width="4.69921875" style="1532" customWidth="1"/>
    <col min="12034" max="12034" width="5.19921875" style="1532" customWidth="1"/>
    <col min="12035" max="12035" width="5.69921875" style="1532" customWidth="1"/>
    <col min="12036" max="12036" width="79.8984375" style="1532" customWidth="1"/>
    <col min="12037" max="12037" width="16.19921875" style="1532" customWidth="1"/>
    <col min="12038" max="12038" width="13.3984375" style="1532" customWidth="1"/>
    <col min="12039" max="12288" width="9" style="1532"/>
    <col min="12289" max="12289" width="4.69921875" style="1532" customWidth="1"/>
    <col min="12290" max="12290" width="5.19921875" style="1532" customWidth="1"/>
    <col min="12291" max="12291" width="5.69921875" style="1532" customWidth="1"/>
    <col min="12292" max="12292" width="79.8984375" style="1532" customWidth="1"/>
    <col min="12293" max="12293" width="16.19921875" style="1532" customWidth="1"/>
    <col min="12294" max="12294" width="13.3984375" style="1532" customWidth="1"/>
    <col min="12295" max="12544" width="9" style="1532"/>
    <col min="12545" max="12545" width="4.69921875" style="1532" customWidth="1"/>
    <col min="12546" max="12546" width="5.19921875" style="1532" customWidth="1"/>
    <col min="12547" max="12547" width="5.69921875" style="1532" customWidth="1"/>
    <col min="12548" max="12548" width="79.8984375" style="1532" customWidth="1"/>
    <col min="12549" max="12549" width="16.19921875" style="1532" customWidth="1"/>
    <col min="12550" max="12550" width="13.3984375" style="1532" customWidth="1"/>
    <col min="12551" max="12800" width="9" style="1532"/>
    <col min="12801" max="12801" width="4.69921875" style="1532" customWidth="1"/>
    <col min="12802" max="12802" width="5.19921875" style="1532" customWidth="1"/>
    <col min="12803" max="12803" width="5.69921875" style="1532" customWidth="1"/>
    <col min="12804" max="12804" width="79.8984375" style="1532" customWidth="1"/>
    <col min="12805" max="12805" width="16.19921875" style="1532" customWidth="1"/>
    <col min="12806" max="12806" width="13.3984375" style="1532" customWidth="1"/>
    <col min="12807" max="13056" width="9" style="1532"/>
    <col min="13057" max="13057" width="4.69921875" style="1532" customWidth="1"/>
    <col min="13058" max="13058" width="5.19921875" style="1532" customWidth="1"/>
    <col min="13059" max="13059" width="5.69921875" style="1532" customWidth="1"/>
    <col min="13060" max="13060" width="79.8984375" style="1532" customWidth="1"/>
    <col min="13061" max="13061" width="16.19921875" style="1532" customWidth="1"/>
    <col min="13062" max="13062" width="13.3984375" style="1532" customWidth="1"/>
    <col min="13063" max="13312" width="9" style="1532"/>
    <col min="13313" max="13313" width="4.69921875" style="1532" customWidth="1"/>
    <col min="13314" max="13314" width="5.19921875" style="1532" customWidth="1"/>
    <col min="13315" max="13315" width="5.69921875" style="1532" customWidth="1"/>
    <col min="13316" max="13316" width="79.8984375" style="1532" customWidth="1"/>
    <col min="13317" max="13317" width="16.19921875" style="1532" customWidth="1"/>
    <col min="13318" max="13318" width="13.3984375" style="1532" customWidth="1"/>
    <col min="13319" max="13568" width="9" style="1532"/>
    <col min="13569" max="13569" width="4.69921875" style="1532" customWidth="1"/>
    <col min="13570" max="13570" width="5.19921875" style="1532" customWidth="1"/>
    <col min="13571" max="13571" width="5.69921875" style="1532" customWidth="1"/>
    <col min="13572" max="13572" width="79.8984375" style="1532" customWidth="1"/>
    <col min="13573" max="13573" width="16.19921875" style="1532" customWidth="1"/>
    <col min="13574" max="13574" width="13.3984375" style="1532" customWidth="1"/>
    <col min="13575" max="13824" width="9" style="1532"/>
    <col min="13825" max="13825" width="4.69921875" style="1532" customWidth="1"/>
    <col min="13826" max="13826" width="5.19921875" style="1532" customWidth="1"/>
    <col min="13827" max="13827" width="5.69921875" style="1532" customWidth="1"/>
    <col min="13828" max="13828" width="79.8984375" style="1532" customWidth="1"/>
    <col min="13829" max="13829" width="16.19921875" style="1532" customWidth="1"/>
    <col min="13830" max="13830" width="13.3984375" style="1532" customWidth="1"/>
    <col min="13831" max="14080" width="9" style="1532"/>
    <col min="14081" max="14081" width="4.69921875" style="1532" customWidth="1"/>
    <col min="14082" max="14082" width="5.19921875" style="1532" customWidth="1"/>
    <col min="14083" max="14083" width="5.69921875" style="1532" customWidth="1"/>
    <col min="14084" max="14084" width="79.8984375" style="1532" customWidth="1"/>
    <col min="14085" max="14085" width="16.19921875" style="1532" customWidth="1"/>
    <col min="14086" max="14086" width="13.3984375" style="1532" customWidth="1"/>
    <col min="14087" max="14336" width="9" style="1532"/>
    <col min="14337" max="14337" width="4.69921875" style="1532" customWidth="1"/>
    <col min="14338" max="14338" width="5.19921875" style="1532" customWidth="1"/>
    <col min="14339" max="14339" width="5.69921875" style="1532" customWidth="1"/>
    <col min="14340" max="14340" width="79.8984375" style="1532" customWidth="1"/>
    <col min="14341" max="14341" width="16.19921875" style="1532" customWidth="1"/>
    <col min="14342" max="14342" width="13.3984375" style="1532" customWidth="1"/>
    <col min="14343" max="14592" width="9" style="1532"/>
    <col min="14593" max="14593" width="4.69921875" style="1532" customWidth="1"/>
    <col min="14594" max="14594" width="5.19921875" style="1532" customWidth="1"/>
    <col min="14595" max="14595" width="5.69921875" style="1532" customWidth="1"/>
    <col min="14596" max="14596" width="79.8984375" style="1532" customWidth="1"/>
    <col min="14597" max="14597" width="16.19921875" style="1532" customWidth="1"/>
    <col min="14598" max="14598" width="13.3984375" style="1532" customWidth="1"/>
    <col min="14599" max="14848" width="9" style="1532"/>
    <col min="14849" max="14849" width="4.69921875" style="1532" customWidth="1"/>
    <col min="14850" max="14850" width="5.19921875" style="1532" customWidth="1"/>
    <col min="14851" max="14851" width="5.69921875" style="1532" customWidth="1"/>
    <col min="14852" max="14852" width="79.8984375" style="1532" customWidth="1"/>
    <col min="14853" max="14853" width="16.19921875" style="1532" customWidth="1"/>
    <col min="14854" max="14854" width="13.3984375" style="1532" customWidth="1"/>
    <col min="14855" max="15104" width="9" style="1532"/>
    <col min="15105" max="15105" width="4.69921875" style="1532" customWidth="1"/>
    <col min="15106" max="15106" width="5.19921875" style="1532" customWidth="1"/>
    <col min="15107" max="15107" width="5.69921875" style="1532" customWidth="1"/>
    <col min="15108" max="15108" width="79.8984375" style="1532" customWidth="1"/>
    <col min="15109" max="15109" width="16.19921875" style="1532" customWidth="1"/>
    <col min="15110" max="15110" width="13.3984375" style="1532" customWidth="1"/>
    <col min="15111" max="15360" width="9" style="1532"/>
    <col min="15361" max="15361" width="4.69921875" style="1532" customWidth="1"/>
    <col min="15362" max="15362" width="5.19921875" style="1532" customWidth="1"/>
    <col min="15363" max="15363" width="5.69921875" style="1532" customWidth="1"/>
    <col min="15364" max="15364" width="79.8984375" style="1532" customWidth="1"/>
    <col min="15365" max="15365" width="16.19921875" style="1532" customWidth="1"/>
    <col min="15366" max="15366" width="13.3984375" style="1532" customWidth="1"/>
    <col min="15367" max="15616" width="9" style="1532"/>
    <col min="15617" max="15617" width="4.69921875" style="1532" customWidth="1"/>
    <col min="15618" max="15618" width="5.19921875" style="1532" customWidth="1"/>
    <col min="15619" max="15619" width="5.69921875" style="1532" customWidth="1"/>
    <col min="15620" max="15620" width="79.8984375" style="1532" customWidth="1"/>
    <col min="15621" max="15621" width="16.19921875" style="1532" customWidth="1"/>
    <col min="15622" max="15622" width="13.3984375" style="1532" customWidth="1"/>
    <col min="15623" max="15872" width="9" style="1532"/>
    <col min="15873" max="15873" width="4.69921875" style="1532" customWidth="1"/>
    <col min="15874" max="15874" width="5.19921875" style="1532" customWidth="1"/>
    <col min="15875" max="15875" width="5.69921875" style="1532" customWidth="1"/>
    <col min="15876" max="15876" width="79.8984375" style="1532" customWidth="1"/>
    <col min="15877" max="15877" width="16.19921875" style="1532" customWidth="1"/>
    <col min="15878" max="15878" width="13.3984375" style="1532" customWidth="1"/>
    <col min="15879" max="16128" width="9" style="1532"/>
    <col min="16129" max="16129" width="4.69921875" style="1532" customWidth="1"/>
    <col min="16130" max="16130" width="5.19921875" style="1532" customWidth="1"/>
    <col min="16131" max="16131" width="5.69921875" style="1532" customWidth="1"/>
    <col min="16132" max="16132" width="79.8984375" style="1532" customWidth="1"/>
    <col min="16133" max="16133" width="16.19921875" style="1532" customWidth="1"/>
    <col min="16134" max="16134" width="13.3984375" style="1532" customWidth="1"/>
    <col min="16135" max="16384" width="9" style="1532"/>
  </cols>
  <sheetData>
    <row r="1" spans="1:12" ht="20.100000000000001" customHeight="1">
      <c r="A1" s="3941" t="s">
        <v>5710</v>
      </c>
      <c r="B1" s="3941"/>
      <c r="C1" s="3941"/>
      <c r="D1" s="3941"/>
      <c r="E1" s="3941"/>
      <c r="F1" s="1939"/>
    </row>
    <row r="2" spans="1:12" ht="25.5" customHeight="1">
      <c r="A2" s="1939"/>
      <c r="B2" s="3379" t="s">
        <v>5711</v>
      </c>
      <c r="C2" s="3379"/>
      <c r="D2" s="3379"/>
      <c r="E2" s="3379"/>
      <c r="F2" s="1856"/>
    </row>
    <row r="3" spans="1:12" ht="14.25" customHeight="1">
      <c r="A3" s="1943"/>
      <c r="B3" s="1848" t="s">
        <v>5712</v>
      </c>
      <c r="C3" s="3385" t="s">
        <v>5713</v>
      </c>
      <c r="D3" s="3385"/>
      <c r="E3" s="3385"/>
      <c r="F3" s="1848" t="s">
        <v>5714</v>
      </c>
      <c r="G3" s="1614"/>
    </row>
    <row r="4" spans="1:12" ht="14.25" customHeight="1">
      <c r="A4" s="3465" t="s">
        <v>5715</v>
      </c>
      <c r="B4" s="1848">
        <v>1</v>
      </c>
      <c r="C4" s="3467" t="s">
        <v>5716</v>
      </c>
      <c r="D4" s="1940" t="s">
        <v>5717</v>
      </c>
      <c r="E4" s="2091">
        <f>软件、集成电路企业优惠情况审核表!E4</f>
        <v>0</v>
      </c>
      <c r="F4" s="1943"/>
    </row>
    <row r="5" spans="1:12" ht="14.25" customHeight="1">
      <c r="A5" s="3466"/>
      <c r="B5" s="1848">
        <v>2</v>
      </c>
      <c r="C5" s="3468"/>
      <c r="D5" s="1942" t="s">
        <v>5718</v>
      </c>
      <c r="E5" s="2091">
        <f>软件、集成电路企业优惠情况审核表!E5</f>
        <v>0</v>
      </c>
      <c r="F5" s="1943"/>
    </row>
    <row r="6" spans="1:12" ht="14.25" customHeight="1">
      <c r="A6" s="3466"/>
      <c r="B6" s="1848">
        <v>3</v>
      </c>
      <c r="C6" s="3468"/>
      <c r="D6" s="1940" t="s">
        <v>5719</v>
      </c>
      <c r="E6" s="2091">
        <f>软件、集成电路企业优惠情况审核表!E6</f>
        <v>0</v>
      </c>
      <c r="F6" s="1943"/>
    </row>
    <row r="7" spans="1:12" ht="14.25" customHeight="1">
      <c r="A7" s="3466"/>
      <c r="B7" s="1848">
        <v>4</v>
      </c>
      <c r="C7" s="3468"/>
      <c r="D7" s="1940" t="s">
        <v>5720</v>
      </c>
      <c r="E7" s="2091">
        <f>软件、集成电路企业优惠情况审核表!E7</f>
        <v>0</v>
      </c>
      <c r="F7" s="1943"/>
    </row>
    <row r="8" spans="1:12" ht="14.25" customHeight="1">
      <c r="A8" s="3466"/>
      <c r="B8" s="1848">
        <v>5</v>
      </c>
      <c r="C8" s="3468"/>
      <c r="D8" s="1942" t="s">
        <v>5721</v>
      </c>
      <c r="E8" s="2091">
        <f>软件、集成电路企业优惠情况审核表!E8</f>
        <v>0</v>
      </c>
      <c r="F8" s="1962"/>
      <c r="L8" s="1615"/>
    </row>
    <row r="9" spans="1:12" ht="14.25" customHeight="1">
      <c r="A9" s="3466"/>
      <c r="B9" s="1848">
        <v>6</v>
      </c>
      <c r="C9" s="3468"/>
      <c r="D9" s="1940" t="s">
        <v>5722</v>
      </c>
      <c r="E9" s="2091">
        <f>软件、集成电路企业优惠情况审核表!E9</f>
        <v>0</v>
      </c>
      <c r="F9" s="1962"/>
      <c r="L9" s="1615"/>
    </row>
    <row r="10" spans="1:12" ht="14.25" customHeight="1">
      <c r="A10" s="3466"/>
      <c r="B10" s="1848">
        <v>7</v>
      </c>
      <c r="C10" s="3469"/>
      <c r="D10" s="1940" t="s">
        <v>5723</v>
      </c>
      <c r="E10" s="2091">
        <f>软件、集成电路企业优惠情况审核表!E10</f>
        <v>0</v>
      </c>
      <c r="F10" s="1943"/>
    </row>
    <row r="11" spans="1:12" ht="14.25" customHeight="1">
      <c r="A11" s="3465" t="s">
        <v>5724</v>
      </c>
      <c r="B11" s="1848">
        <v>8</v>
      </c>
      <c r="C11" s="3385" t="s">
        <v>5725</v>
      </c>
      <c r="D11" s="1944" t="s">
        <v>5726</v>
      </c>
      <c r="E11" s="2074">
        <f>软件、集成电路企业优惠情况审核表!E11</f>
        <v>0</v>
      </c>
      <c r="F11" s="1943"/>
    </row>
    <row r="12" spans="1:12" ht="14.25" customHeight="1">
      <c r="A12" s="3466"/>
      <c r="B12" s="1848">
        <v>9</v>
      </c>
      <c r="C12" s="3385"/>
      <c r="D12" s="1944" t="s">
        <v>5727</v>
      </c>
      <c r="E12" s="2074">
        <f>软件、集成电路企业优惠情况审核表!E12</f>
        <v>0</v>
      </c>
      <c r="F12" s="1943"/>
    </row>
    <row r="13" spans="1:12" ht="14.25" customHeight="1">
      <c r="A13" s="3466"/>
      <c r="B13" s="1848">
        <v>10</v>
      </c>
      <c r="C13" s="3385"/>
      <c r="D13" s="1944" t="s">
        <v>5728</v>
      </c>
      <c r="E13" s="2074">
        <f>软件、集成电路企业优惠情况审核表!E13</f>
        <v>0</v>
      </c>
      <c r="F13" s="1943"/>
    </row>
    <row r="14" spans="1:12" ht="22.5" customHeight="1">
      <c r="A14" s="3466"/>
      <c r="B14" s="1848">
        <v>11</v>
      </c>
      <c r="C14" s="3385"/>
      <c r="D14" s="1944" t="s">
        <v>5729</v>
      </c>
      <c r="E14" s="2074">
        <f>软件、集成电路企业优惠情况审核表!E14</f>
        <v>0</v>
      </c>
      <c r="F14" s="1988"/>
    </row>
    <row r="15" spans="1:12" ht="14.25" customHeight="1">
      <c r="A15" s="3466"/>
      <c r="B15" s="1848">
        <v>12</v>
      </c>
      <c r="C15" s="3385"/>
      <c r="D15" s="1944" t="s">
        <v>5730</v>
      </c>
      <c r="E15" s="2074">
        <f>软件、集成电路企业优惠情况审核表!E15</f>
        <v>0</v>
      </c>
      <c r="F15" s="1943"/>
    </row>
    <row r="16" spans="1:12" ht="14.25" customHeight="1">
      <c r="A16" s="3466"/>
      <c r="B16" s="1848">
        <v>13</v>
      </c>
      <c r="C16" s="3385" t="s">
        <v>5731</v>
      </c>
      <c r="D16" s="1944" t="s">
        <v>5732</v>
      </c>
      <c r="E16" s="2074">
        <f>软件、集成电路企业优惠情况审核表!E16</f>
        <v>0</v>
      </c>
      <c r="F16" s="1943"/>
      <c r="G16" s="1675" t="s">
        <v>6475</v>
      </c>
    </row>
    <row r="17" spans="1:6" ht="14.25" customHeight="1">
      <c r="A17" s="3466"/>
      <c r="B17" s="1848">
        <v>14</v>
      </c>
      <c r="C17" s="3385"/>
      <c r="D17" s="1944" t="s">
        <v>5733</v>
      </c>
      <c r="E17" s="2074">
        <f>软件、集成电路企业优惠情况审核表!E17</f>
        <v>0</v>
      </c>
      <c r="F17" s="1943"/>
    </row>
    <row r="18" spans="1:6" ht="14.25" customHeight="1">
      <c r="A18" s="3466"/>
      <c r="B18" s="1848">
        <v>15</v>
      </c>
      <c r="C18" s="3385"/>
      <c r="D18" s="1944" t="s">
        <v>5734</v>
      </c>
      <c r="E18" s="2074">
        <f>软件、集成电路企业优惠情况审核表!E18</f>
        <v>0</v>
      </c>
      <c r="F18" s="1943"/>
    </row>
    <row r="19" spans="1:6" ht="14.25" customHeight="1">
      <c r="A19" s="3466"/>
      <c r="B19" s="1848">
        <v>16</v>
      </c>
      <c r="C19" s="3385"/>
      <c r="D19" s="1944" t="s">
        <v>5735</v>
      </c>
      <c r="E19" s="2074">
        <f>软件、集成电路企业优惠情况审核表!E19</f>
        <v>0</v>
      </c>
      <c r="F19" s="1943"/>
    </row>
    <row r="20" spans="1:6" ht="14.25" customHeight="1">
      <c r="A20" s="3466"/>
      <c r="B20" s="1848">
        <v>17</v>
      </c>
      <c r="C20" s="3385"/>
      <c r="D20" s="1944" t="s">
        <v>5736</v>
      </c>
      <c r="E20" s="2074">
        <f>软件、集成电路企业优惠情况审核表!E20</f>
        <v>0</v>
      </c>
      <c r="F20" s="1943"/>
    </row>
    <row r="21" spans="1:6" ht="15.75" customHeight="1">
      <c r="A21" s="3466"/>
      <c r="B21" s="1848">
        <v>18</v>
      </c>
      <c r="C21" s="3385"/>
      <c r="D21" s="1944" t="s">
        <v>5737</v>
      </c>
      <c r="E21" s="2074">
        <f>软件、集成电路企业优惠情况审核表!E21</f>
        <v>0</v>
      </c>
      <c r="F21" s="1956"/>
    </row>
    <row r="22" spans="1:6" ht="14.25" customHeight="1">
      <c r="A22" s="3466"/>
      <c r="B22" s="1848">
        <v>19</v>
      </c>
      <c r="C22" s="3385"/>
      <c r="D22" s="1944" t="s">
        <v>5738</v>
      </c>
      <c r="E22" s="2074">
        <f>软件、集成电路企业优惠情况审核表!E22</f>
        <v>0</v>
      </c>
      <c r="F22" s="1956"/>
    </row>
    <row r="23" spans="1:6" ht="14.25" customHeight="1">
      <c r="A23" s="3466"/>
      <c r="B23" s="1848">
        <v>20</v>
      </c>
      <c r="C23" s="3385"/>
      <c r="D23" s="1944" t="s">
        <v>5739</v>
      </c>
      <c r="E23" s="2074">
        <f>软件、集成电路企业优惠情况审核表!E23</f>
        <v>0</v>
      </c>
      <c r="F23" s="1943"/>
    </row>
    <row r="24" spans="1:6" ht="14.25" customHeight="1">
      <c r="A24" s="3466"/>
      <c r="B24" s="1848">
        <v>21</v>
      </c>
      <c r="C24" s="3385"/>
      <c r="D24" s="1944" t="s">
        <v>5740</v>
      </c>
      <c r="E24" s="2074">
        <f>软件、集成电路企业优惠情况审核表!E24</f>
        <v>0</v>
      </c>
      <c r="F24" s="1943"/>
    </row>
    <row r="25" spans="1:6" ht="14.25" customHeight="1">
      <c r="A25" s="3466"/>
      <c r="B25" s="1848">
        <v>22</v>
      </c>
      <c r="C25" s="3385"/>
      <c r="D25" s="1944" t="s">
        <v>5741</v>
      </c>
      <c r="E25" s="2074">
        <f>软件、集成电路企业优惠情况审核表!E25</f>
        <v>0</v>
      </c>
      <c r="F25" s="1943"/>
    </row>
    <row r="26" spans="1:6" ht="14.25" customHeight="1">
      <c r="A26" s="3466"/>
      <c r="B26" s="1848">
        <v>23</v>
      </c>
      <c r="C26" s="3385"/>
      <c r="D26" s="1944" t="s">
        <v>5742</v>
      </c>
      <c r="E26" s="2074">
        <f>软件、集成电路企业优惠情况审核表!E26</f>
        <v>0</v>
      </c>
      <c r="F26" s="1956"/>
    </row>
    <row r="27" spans="1:6" ht="18" customHeight="1">
      <c r="A27" s="3466"/>
      <c r="B27" s="1848">
        <v>24</v>
      </c>
      <c r="C27" s="3385"/>
      <c r="D27" s="1944" t="s">
        <v>5743</v>
      </c>
      <c r="E27" s="2074">
        <f>软件、集成电路企业优惠情况审核表!E27</f>
        <v>0</v>
      </c>
      <c r="F27" s="1956"/>
    </row>
    <row r="28" spans="1:6" ht="14.25" customHeight="1">
      <c r="A28" s="3466"/>
      <c r="B28" s="1848">
        <v>25</v>
      </c>
      <c r="C28" s="3385"/>
      <c r="D28" s="1944" t="s">
        <v>5744</v>
      </c>
      <c r="E28" s="2074">
        <f>软件、集成电路企业优惠情况审核表!E28</f>
        <v>0</v>
      </c>
      <c r="F28" s="1956"/>
    </row>
    <row r="29" spans="1:6" ht="19.5" customHeight="1">
      <c r="A29" s="3466"/>
      <c r="B29" s="1848">
        <v>26</v>
      </c>
      <c r="C29" s="3385"/>
      <c r="D29" s="1944" t="s">
        <v>5745</v>
      </c>
      <c r="E29" s="2074">
        <f>软件、集成电路企业优惠情况审核表!E29</f>
        <v>0</v>
      </c>
      <c r="F29" s="1956"/>
    </row>
    <row r="30" spans="1:6" ht="14.25" customHeight="1">
      <c r="A30" s="3466"/>
      <c r="B30" s="1848">
        <v>27</v>
      </c>
      <c r="C30" s="3385"/>
      <c r="D30" s="1944" t="s">
        <v>5746</v>
      </c>
      <c r="E30" s="2074">
        <f>软件、集成电路企业优惠情况审核表!E30</f>
        <v>0</v>
      </c>
      <c r="F30" s="1956"/>
    </row>
    <row r="31" spans="1:6" ht="14.25" customHeight="1">
      <c r="A31" s="3466"/>
      <c r="B31" s="1848">
        <v>28</v>
      </c>
      <c r="C31" s="3385" t="s">
        <v>5747</v>
      </c>
      <c r="D31" s="1944" t="s">
        <v>5748</v>
      </c>
      <c r="E31" s="2074">
        <f>软件、集成电路企业优惠情况审核表!E31</f>
        <v>0</v>
      </c>
      <c r="F31" s="1943"/>
    </row>
    <row r="32" spans="1:6" ht="14.25" customHeight="1">
      <c r="A32" s="3466"/>
      <c r="B32" s="1848">
        <v>29</v>
      </c>
      <c r="C32" s="3385"/>
      <c r="D32" s="1944" t="s">
        <v>5749</v>
      </c>
      <c r="E32" s="2074">
        <f>软件、集成电路企业优惠情况审核表!E32</f>
        <v>0</v>
      </c>
      <c r="F32" s="1943"/>
    </row>
    <row r="33" spans="1:6" ht="14.25" customHeight="1">
      <c r="A33" s="3466"/>
      <c r="B33" s="1848">
        <v>30</v>
      </c>
      <c r="C33" s="3385"/>
      <c r="D33" s="1944" t="s">
        <v>5750</v>
      </c>
      <c r="E33" s="2074">
        <f>软件、集成电路企业优惠情况审核表!E33</f>
        <v>0</v>
      </c>
      <c r="F33" s="1943"/>
    </row>
    <row r="34" spans="1:6" ht="14.25" customHeight="1">
      <c r="A34" s="3466"/>
      <c r="B34" s="1848">
        <v>31</v>
      </c>
      <c r="C34" s="3385"/>
      <c r="D34" s="1944" t="s">
        <v>5751</v>
      </c>
      <c r="E34" s="2074">
        <f>软件、集成电路企业优惠情况审核表!E34</f>
        <v>0</v>
      </c>
      <c r="F34" s="1956"/>
    </row>
    <row r="35" spans="1:6">
      <c r="A35" s="3465" t="s">
        <v>5752</v>
      </c>
      <c r="B35" s="1848">
        <v>32</v>
      </c>
      <c r="C35" s="3470" t="s">
        <v>5725</v>
      </c>
      <c r="D35" s="1940" t="s">
        <v>5753</v>
      </c>
      <c r="E35" s="2074">
        <f>软件、集成电路企业优惠情况审核表!E35</f>
        <v>0</v>
      </c>
      <c r="F35" s="1943"/>
    </row>
    <row r="36" spans="1:6" ht="14.25" customHeight="1">
      <c r="A36" s="3466"/>
      <c r="B36" s="1848">
        <v>33</v>
      </c>
      <c r="C36" s="3470"/>
      <c r="D36" s="1940" t="s">
        <v>5754</v>
      </c>
      <c r="E36" s="2074">
        <f>软件、集成电路企业优惠情况审核表!E36</f>
        <v>0</v>
      </c>
      <c r="F36" s="1943"/>
    </row>
    <row r="37" spans="1:6" ht="14.25" customHeight="1">
      <c r="A37" s="3466"/>
      <c r="B37" s="1848">
        <v>34</v>
      </c>
      <c r="C37" s="3470"/>
      <c r="D37" s="1940" t="s">
        <v>5755</v>
      </c>
      <c r="E37" s="2074">
        <f>软件、集成电路企业优惠情况审核表!E37</f>
        <v>0</v>
      </c>
      <c r="F37" s="1956"/>
    </row>
    <row r="38" spans="1:6">
      <c r="A38" s="3466"/>
      <c r="B38" s="1848">
        <v>35</v>
      </c>
      <c r="C38" s="3470" t="s">
        <v>5731</v>
      </c>
      <c r="D38" s="1940" t="s">
        <v>5756</v>
      </c>
      <c r="E38" s="2074">
        <f>软件、集成电路企业优惠情况审核表!E38</f>
        <v>0</v>
      </c>
      <c r="F38" s="1943"/>
    </row>
    <row r="39" spans="1:6" ht="16.5" customHeight="1">
      <c r="A39" s="3466"/>
      <c r="B39" s="1848">
        <v>36</v>
      </c>
      <c r="C39" s="3470"/>
      <c r="D39" s="1940" t="s">
        <v>5757</v>
      </c>
      <c r="E39" s="2074">
        <f>软件、集成电路企业优惠情况审核表!E39</f>
        <v>0</v>
      </c>
      <c r="F39" s="1943"/>
    </row>
    <row r="40" spans="1:6" ht="24" customHeight="1">
      <c r="A40" s="3466"/>
      <c r="B40" s="1848">
        <v>37</v>
      </c>
      <c r="C40" s="3470"/>
      <c r="D40" s="1940" t="s">
        <v>5758</v>
      </c>
      <c r="E40" s="2074">
        <f>软件、集成电路企业优惠情况审核表!E40</f>
        <v>0</v>
      </c>
      <c r="F40" s="1943"/>
    </row>
    <row r="41" spans="1:6" ht="18.75" customHeight="1">
      <c r="A41" s="3466"/>
      <c r="B41" s="1848">
        <v>38</v>
      </c>
      <c r="C41" s="3470"/>
      <c r="D41" s="1940" t="s">
        <v>5759</v>
      </c>
      <c r="E41" s="2074">
        <f>软件、集成电路企业优惠情况审核表!E41</f>
        <v>0</v>
      </c>
      <c r="F41" s="1943"/>
    </row>
    <row r="42" spans="1:6" ht="20.25" customHeight="1">
      <c r="A42" s="3466"/>
      <c r="B42" s="1848">
        <v>39</v>
      </c>
      <c r="C42" s="3470"/>
      <c r="D42" s="1940" t="s">
        <v>5760</v>
      </c>
      <c r="E42" s="2074">
        <f>软件、集成电路企业优惠情况审核表!E42</f>
        <v>0</v>
      </c>
      <c r="F42" s="1943"/>
    </row>
    <row r="43" spans="1:6" ht="24" customHeight="1">
      <c r="A43" s="3466"/>
      <c r="B43" s="1848">
        <v>40</v>
      </c>
      <c r="C43" s="3470" t="s">
        <v>5761</v>
      </c>
      <c r="D43" s="1940" t="s">
        <v>5762</v>
      </c>
      <c r="E43" s="2074">
        <f>软件、集成电路企业优惠情况审核表!E43</f>
        <v>0</v>
      </c>
      <c r="F43" s="1943"/>
    </row>
    <row r="44" spans="1:6" ht="40.5" customHeight="1">
      <c r="A44" s="3466"/>
      <c r="B44" s="1848">
        <v>41</v>
      </c>
      <c r="C44" s="3470"/>
      <c r="D44" s="1940" t="s">
        <v>5763</v>
      </c>
      <c r="E44" s="2074">
        <f>软件、集成电路企业优惠情况审核表!E44</f>
        <v>0</v>
      </c>
      <c r="F44" s="1956"/>
    </row>
    <row r="45" spans="1:6" ht="27" customHeight="1">
      <c r="A45" s="1943"/>
      <c r="B45" s="1848">
        <v>42</v>
      </c>
      <c r="C45" s="3471" t="s">
        <v>5764</v>
      </c>
      <c r="D45" s="3472"/>
      <c r="E45" s="2074">
        <f>软件、集成电路企业优惠情况审核表!E45</f>
        <v>0</v>
      </c>
      <c r="F45" s="1972" t="s">
        <v>5765</v>
      </c>
    </row>
    <row r="46" spans="1:6">
      <c r="A46" s="2002"/>
    </row>
  </sheetData>
  <mergeCells count="14">
    <mergeCell ref="A35:A44"/>
    <mergeCell ref="C35:C37"/>
    <mergeCell ref="C38:C42"/>
    <mergeCell ref="C43:C44"/>
    <mergeCell ref="C45:D45"/>
    <mergeCell ref="A11:A34"/>
    <mergeCell ref="C11:C15"/>
    <mergeCell ref="C16:C30"/>
    <mergeCell ref="C31:C34"/>
    <mergeCell ref="A1:E1"/>
    <mergeCell ref="B2:E2"/>
    <mergeCell ref="C3:E3"/>
    <mergeCell ref="A4:A10"/>
    <mergeCell ref="C4:C10"/>
  </mergeCells>
  <phoneticPr fontId="51" type="noConversion"/>
  <hyperlinks>
    <hyperlink ref="G16" location="软件、集成电路企业优惠情况审核表!A1" display="软件、集成电路企业优惠情况审核表!A1"/>
  </hyperlinks>
  <printOptions horizontalCentered="1"/>
  <pageMargins left="0.78740157480314998" right="0.35433070866141703" top="0.511811023622047" bottom="0.11811023622047198" header="0.511811023622047" footer="0.511811023622047"/>
  <pageSetup paperSize="9" orientation="portrait" r:id="rId1"/>
  <headerFooter alignWithMargins="0"/>
</worksheet>
</file>

<file path=xl/worksheets/sheet15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49">
    <tabColor rgb="FFFFFF00"/>
  </sheetPr>
  <dimension ref="A1:S16"/>
  <sheetViews>
    <sheetView workbookViewId="0">
      <selection sqref="A1:N1"/>
    </sheetView>
  </sheetViews>
  <sheetFormatPr defaultRowHeight="15.6"/>
  <cols>
    <col min="1" max="1" width="4.09765625" style="1570" customWidth="1"/>
    <col min="2" max="2" width="7.59765625" style="1570" customWidth="1"/>
    <col min="3" max="3" width="5.19921875" style="1570" customWidth="1"/>
    <col min="4" max="14" width="11.09765625" style="1570" customWidth="1"/>
    <col min="15" max="18" width="9" style="1570"/>
    <col min="19" max="19" width="33.19921875" style="1570" customWidth="1"/>
    <col min="20" max="256" width="9" style="1570"/>
    <col min="257" max="257" width="5.19921875" style="1570" customWidth="1"/>
    <col min="258" max="258" width="8.8984375" style="1570" customWidth="1"/>
    <col min="259" max="259" width="7.09765625" style="1570" customWidth="1"/>
    <col min="260" max="260" width="7.69921875" style="1570" customWidth="1"/>
    <col min="261" max="261" width="8.8984375" style="1570" customWidth="1"/>
    <col min="262" max="262" width="8.09765625" style="1570" customWidth="1"/>
    <col min="263" max="263" width="7.8984375" style="1570" customWidth="1"/>
    <col min="264" max="264" width="8" style="1570" customWidth="1"/>
    <col min="265" max="265" width="8.09765625" style="1570" customWidth="1"/>
    <col min="266" max="266" width="8" style="1570" customWidth="1"/>
    <col min="267" max="267" width="7.19921875" style="1570" customWidth="1"/>
    <col min="268" max="268" width="8.3984375" style="1570" customWidth="1"/>
    <col min="269" max="269" width="17.3984375" style="1570" customWidth="1"/>
    <col min="270" max="270" width="8.8984375" style="1570" customWidth="1"/>
    <col min="271" max="274" width="9" style="1570"/>
    <col min="275" max="275" width="33.19921875" style="1570" customWidth="1"/>
    <col min="276" max="512" width="9" style="1570"/>
    <col min="513" max="513" width="5.19921875" style="1570" customWidth="1"/>
    <col min="514" max="514" width="8.8984375" style="1570" customWidth="1"/>
    <col min="515" max="515" width="7.09765625" style="1570" customWidth="1"/>
    <col min="516" max="516" width="7.69921875" style="1570" customWidth="1"/>
    <col min="517" max="517" width="8.8984375" style="1570" customWidth="1"/>
    <col min="518" max="518" width="8.09765625" style="1570" customWidth="1"/>
    <col min="519" max="519" width="7.8984375" style="1570" customWidth="1"/>
    <col min="520" max="520" width="8" style="1570" customWidth="1"/>
    <col min="521" max="521" width="8.09765625" style="1570" customWidth="1"/>
    <col min="522" max="522" width="8" style="1570" customWidth="1"/>
    <col min="523" max="523" width="7.19921875" style="1570" customWidth="1"/>
    <col min="524" max="524" width="8.3984375" style="1570" customWidth="1"/>
    <col min="525" max="525" width="17.3984375" style="1570" customWidth="1"/>
    <col min="526" max="526" width="8.8984375" style="1570" customWidth="1"/>
    <col min="527" max="530" width="9" style="1570"/>
    <col min="531" max="531" width="33.19921875" style="1570" customWidth="1"/>
    <col min="532" max="768" width="9" style="1570"/>
    <col min="769" max="769" width="5.19921875" style="1570" customWidth="1"/>
    <col min="770" max="770" width="8.8984375" style="1570" customWidth="1"/>
    <col min="771" max="771" width="7.09765625" style="1570" customWidth="1"/>
    <col min="772" max="772" width="7.69921875" style="1570" customWidth="1"/>
    <col min="773" max="773" width="8.8984375" style="1570" customWidth="1"/>
    <col min="774" max="774" width="8.09765625" style="1570" customWidth="1"/>
    <col min="775" max="775" width="7.8984375" style="1570" customWidth="1"/>
    <col min="776" max="776" width="8" style="1570" customWidth="1"/>
    <col min="777" max="777" width="8.09765625" style="1570" customWidth="1"/>
    <col min="778" max="778" width="8" style="1570" customWidth="1"/>
    <col min="779" max="779" width="7.19921875" style="1570" customWidth="1"/>
    <col min="780" max="780" width="8.3984375" style="1570" customWidth="1"/>
    <col min="781" max="781" width="17.3984375" style="1570" customWidth="1"/>
    <col min="782" max="782" width="8.8984375" style="1570" customWidth="1"/>
    <col min="783" max="786" width="9" style="1570"/>
    <col min="787" max="787" width="33.19921875" style="1570" customWidth="1"/>
    <col min="788" max="1024" width="9" style="1570"/>
    <col min="1025" max="1025" width="5.19921875" style="1570" customWidth="1"/>
    <col min="1026" max="1026" width="8.8984375" style="1570" customWidth="1"/>
    <col min="1027" max="1027" width="7.09765625" style="1570" customWidth="1"/>
    <col min="1028" max="1028" width="7.69921875" style="1570" customWidth="1"/>
    <col min="1029" max="1029" width="8.8984375" style="1570" customWidth="1"/>
    <col min="1030" max="1030" width="8.09765625" style="1570" customWidth="1"/>
    <col min="1031" max="1031" width="7.8984375" style="1570" customWidth="1"/>
    <col min="1032" max="1032" width="8" style="1570" customWidth="1"/>
    <col min="1033" max="1033" width="8.09765625" style="1570" customWidth="1"/>
    <col min="1034" max="1034" width="8" style="1570" customWidth="1"/>
    <col min="1035" max="1035" width="7.19921875" style="1570" customWidth="1"/>
    <col min="1036" max="1036" width="8.3984375" style="1570" customWidth="1"/>
    <col min="1037" max="1037" width="17.3984375" style="1570" customWidth="1"/>
    <col min="1038" max="1038" width="8.8984375" style="1570" customWidth="1"/>
    <col min="1039" max="1042" width="9" style="1570"/>
    <col min="1043" max="1043" width="33.19921875" style="1570" customWidth="1"/>
    <col min="1044" max="1280" width="9" style="1570"/>
    <col min="1281" max="1281" width="5.19921875" style="1570" customWidth="1"/>
    <col min="1282" max="1282" width="8.8984375" style="1570" customWidth="1"/>
    <col min="1283" max="1283" width="7.09765625" style="1570" customWidth="1"/>
    <col min="1284" max="1284" width="7.69921875" style="1570" customWidth="1"/>
    <col min="1285" max="1285" width="8.8984375" style="1570" customWidth="1"/>
    <col min="1286" max="1286" width="8.09765625" style="1570" customWidth="1"/>
    <col min="1287" max="1287" width="7.8984375" style="1570" customWidth="1"/>
    <col min="1288" max="1288" width="8" style="1570" customWidth="1"/>
    <col min="1289" max="1289" width="8.09765625" style="1570" customWidth="1"/>
    <col min="1290" max="1290" width="8" style="1570" customWidth="1"/>
    <col min="1291" max="1291" width="7.19921875" style="1570" customWidth="1"/>
    <col min="1292" max="1292" width="8.3984375" style="1570" customWidth="1"/>
    <col min="1293" max="1293" width="17.3984375" style="1570" customWidth="1"/>
    <col min="1294" max="1294" width="8.8984375" style="1570" customWidth="1"/>
    <col min="1295" max="1298" width="9" style="1570"/>
    <col min="1299" max="1299" width="33.19921875" style="1570" customWidth="1"/>
    <col min="1300" max="1536" width="9" style="1570"/>
    <col min="1537" max="1537" width="5.19921875" style="1570" customWidth="1"/>
    <col min="1538" max="1538" width="8.8984375" style="1570" customWidth="1"/>
    <col min="1539" max="1539" width="7.09765625" style="1570" customWidth="1"/>
    <col min="1540" max="1540" width="7.69921875" style="1570" customWidth="1"/>
    <col min="1541" max="1541" width="8.8984375" style="1570" customWidth="1"/>
    <col min="1542" max="1542" width="8.09765625" style="1570" customWidth="1"/>
    <col min="1543" max="1543" width="7.8984375" style="1570" customWidth="1"/>
    <col min="1544" max="1544" width="8" style="1570" customWidth="1"/>
    <col min="1545" max="1545" width="8.09765625" style="1570" customWidth="1"/>
    <col min="1546" max="1546" width="8" style="1570" customWidth="1"/>
    <col min="1547" max="1547" width="7.19921875" style="1570" customWidth="1"/>
    <col min="1548" max="1548" width="8.3984375" style="1570" customWidth="1"/>
    <col min="1549" max="1549" width="17.3984375" style="1570" customWidth="1"/>
    <col min="1550" max="1550" width="8.8984375" style="1570" customWidth="1"/>
    <col min="1551" max="1554" width="9" style="1570"/>
    <col min="1555" max="1555" width="33.19921875" style="1570" customWidth="1"/>
    <col min="1556" max="1792" width="9" style="1570"/>
    <col min="1793" max="1793" width="5.19921875" style="1570" customWidth="1"/>
    <col min="1794" max="1794" width="8.8984375" style="1570" customWidth="1"/>
    <col min="1795" max="1795" width="7.09765625" style="1570" customWidth="1"/>
    <col min="1796" max="1796" width="7.69921875" style="1570" customWidth="1"/>
    <col min="1797" max="1797" width="8.8984375" style="1570" customWidth="1"/>
    <col min="1798" max="1798" width="8.09765625" style="1570" customWidth="1"/>
    <col min="1799" max="1799" width="7.8984375" style="1570" customWidth="1"/>
    <col min="1800" max="1800" width="8" style="1570" customWidth="1"/>
    <col min="1801" max="1801" width="8.09765625" style="1570" customWidth="1"/>
    <col min="1802" max="1802" width="8" style="1570" customWidth="1"/>
    <col min="1803" max="1803" width="7.19921875" style="1570" customWidth="1"/>
    <col min="1804" max="1804" width="8.3984375" style="1570" customWidth="1"/>
    <col min="1805" max="1805" width="17.3984375" style="1570" customWidth="1"/>
    <col min="1806" max="1806" width="8.8984375" style="1570" customWidth="1"/>
    <col min="1807" max="1810" width="9" style="1570"/>
    <col min="1811" max="1811" width="33.19921875" style="1570" customWidth="1"/>
    <col min="1812" max="2048" width="9" style="1570"/>
    <col min="2049" max="2049" width="5.19921875" style="1570" customWidth="1"/>
    <col min="2050" max="2050" width="8.8984375" style="1570" customWidth="1"/>
    <col min="2051" max="2051" width="7.09765625" style="1570" customWidth="1"/>
    <col min="2052" max="2052" width="7.69921875" style="1570" customWidth="1"/>
    <col min="2053" max="2053" width="8.8984375" style="1570" customWidth="1"/>
    <col min="2054" max="2054" width="8.09765625" style="1570" customWidth="1"/>
    <col min="2055" max="2055" width="7.8984375" style="1570" customWidth="1"/>
    <col min="2056" max="2056" width="8" style="1570" customWidth="1"/>
    <col min="2057" max="2057" width="8.09765625" style="1570" customWidth="1"/>
    <col min="2058" max="2058" width="8" style="1570" customWidth="1"/>
    <col min="2059" max="2059" width="7.19921875" style="1570" customWidth="1"/>
    <col min="2060" max="2060" width="8.3984375" style="1570" customWidth="1"/>
    <col min="2061" max="2061" width="17.3984375" style="1570" customWidth="1"/>
    <col min="2062" max="2062" width="8.8984375" style="1570" customWidth="1"/>
    <col min="2063" max="2066" width="9" style="1570"/>
    <col min="2067" max="2067" width="33.19921875" style="1570" customWidth="1"/>
    <col min="2068" max="2304" width="9" style="1570"/>
    <col min="2305" max="2305" width="5.19921875" style="1570" customWidth="1"/>
    <col min="2306" max="2306" width="8.8984375" style="1570" customWidth="1"/>
    <col min="2307" max="2307" width="7.09765625" style="1570" customWidth="1"/>
    <col min="2308" max="2308" width="7.69921875" style="1570" customWidth="1"/>
    <col min="2309" max="2309" width="8.8984375" style="1570" customWidth="1"/>
    <col min="2310" max="2310" width="8.09765625" style="1570" customWidth="1"/>
    <col min="2311" max="2311" width="7.8984375" style="1570" customWidth="1"/>
    <col min="2312" max="2312" width="8" style="1570" customWidth="1"/>
    <col min="2313" max="2313" width="8.09765625" style="1570" customWidth="1"/>
    <col min="2314" max="2314" width="8" style="1570" customWidth="1"/>
    <col min="2315" max="2315" width="7.19921875" style="1570" customWidth="1"/>
    <col min="2316" max="2316" width="8.3984375" style="1570" customWidth="1"/>
    <col min="2317" max="2317" width="17.3984375" style="1570" customWidth="1"/>
    <col min="2318" max="2318" width="8.8984375" style="1570" customWidth="1"/>
    <col min="2319" max="2322" width="9" style="1570"/>
    <col min="2323" max="2323" width="33.19921875" style="1570" customWidth="1"/>
    <col min="2324" max="2560" width="9" style="1570"/>
    <col min="2561" max="2561" width="5.19921875" style="1570" customWidth="1"/>
    <col min="2562" max="2562" width="8.8984375" style="1570" customWidth="1"/>
    <col min="2563" max="2563" width="7.09765625" style="1570" customWidth="1"/>
    <col min="2564" max="2564" width="7.69921875" style="1570" customWidth="1"/>
    <col min="2565" max="2565" width="8.8984375" style="1570" customWidth="1"/>
    <col min="2566" max="2566" width="8.09765625" style="1570" customWidth="1"/>
    <col min="2567" max="2567" width="7.8984375" style="1570" customWidth="1"/>
    <col min="2568" max="2568" width="8" style="1570" customWidth="1"/>
    <col min="2569" max="2569" width="8.09765625" style="1570" customWidth="1"/>
    <col min="2570" max="2570" width="8" style="1570" customWidth="1"/>
    <col min="2571" max="2571" width="7.19921875" style="1570" customWidth="1"/>
    <col min="2572" max="2572" width="8.3984375" style="1570" customWidth="1"/>
    <col min="2573" max="2573" width="17.3984375" style="1570" customWidth="1"/>
    <col min="2574" max="2574" width="8.8984375" style="1570" customWidth="1"/>
    <col min="2575" max="2578" width="9" style="1570"/>
    <col min="2579" max="2579" width="33.19921875" style="1570" customWidth="1"/>
    <col min="2580" max="2816" width="9" style="1570"/>
    <col min="2817" max="2817" width="5.19921875" style="1570" customWidth="1"/>
    <col min="2818" max="2818" width="8.8984375" style="1570" customWidth="1"/>
    <col min="2819" max="2819" width="7.09765625" style="1570" customWidth="1"/>
    <col min="2820" max="2820" width="7.69921875" style="1570" customWidth="1"/>
    <col min="2821" max="2821" width="8.8984375" style="1570" customWidth="1"/>
    <col min="2822" max="2822" width="8.09765625" style="1570" customWidth="1"/>
    <col min="2823" max="2823" width="7.8984375" style="1570" customWidth="1"/>
    <col min="2824" max="2824" width="8" style="1570" customWidth="1"/>
    <col min="2825" max="2825" width="8.09765625" style="1570" customWidth="1"/>
    <col min="2826" max="2826" width="8" style="1570" customWidth="1"/>
    <col min="2827" max="2827" width="7.19921875" style="1570" customWidth="1"/>
    <col min="2828" max="2828" width="8.3984375" style="1570" customWidth="1"/>
    <col min="2829" max="2829" width="17.3984375" style="1570" customWidth="1"/>
    <col min="2830" max="2830" width="8.8984375" style="1570" customWidth="1"/>
    <col min="2831" max="2834" width="9" style="1570"/>
    <col min="2835" max="2835" width="33.19921875" style="1570" customWidth="1"/>
    <col min="2836" max="3072" width="9" style="1570"/>
    <col min="3073" max="3073" width="5.19921875" style="1570" customWidth="1"/>
    <col min="3074" max="3074" width="8.8984375" style="1570" customWidth="1"/>
    <col min="3075" max="3075" width="7.09765625" style="1570" customWidth="1"/>
    <col min="3076" max="3076" width="7.69921875" style="1570" customWidth="1"/>
    <col min="3077" max="3077" width="8.8984375" style="1570" customWidth="1"/>
    <col min="3078" max="3078" width="8.09765625" style="1570" customWidth="1"/>
    <col min="3079" max="3079" width="7.8984375" style="1570" customWidth="1"/>
    <col min="3080" max="3080" width="8" style="1570" customWidth="1"/>
    <col min="3081" max="3081" width="8.09765625" style="1570" customWidth="1"/>
    <col min="3082" max="3082" width="8" style="1570" customWidth="1"/>
    <col min="3083" max="3083" width="7.19921875" style="1570" customWidth="1"/>
    <col min="3084" max="3084" width="8.3984375" style="1570" customWidth="1"/>
    <col min="3085" max="3085" width="17.3984375" style="1570" customWidth="1"/>
    <col min="3086" max="3086" width="8.8984375" style="1570" customWidth="1"/>
    <col min="3087" max="3090" width="9" style="1570"/>
    <col min="3091" max="3091" width="33.19921875" style="1570" customWidth="1"/>
    <col min="3092" max="3328" width="9" style="1570"/>
    <col min="3329" max="3329" width="5.19921875" style="1570" customWidth="1"/>
    <col min="3330" max="3330" width="8.8984375" style="1570" customWidth="1"/>
    <col min="3331" max="3331" width="7.09765625" style="1570" customWidth="1"/>
    <col min="3332" max="3332" width="7.69921875" style="1570" customWidth="1"/>
    <col min="3333" max="3333" width="8.8984375" style="1570" customWidth="1"/>
    <col min="3334" max="3334" width="8.09765625" style="1570" customWidth="1"/>
    <col min="3335" max="3335" width="7.8984375" style="1570" customWidth="1"/>
    <col min="3336" max="3336" width="8" style="1570" customWidth="1"/>
    <col min="3337" max="3337" width="8.09765625" style="1570" customWidth="1"/>
    <col min="3338" max="3338" width="8" style="1570" customWidth="1"/>
    <col min="3339" max="3339" width="7.19921875" style="1570" customWidth="1"/>
    <col min="3340" max="3340" width="8.3984375" style="1570" customWidth="1"/>
    <col min="3341" max="3341" width="17.3984375" style="1570" customWidth="1"/>
    <col min="3342" max="3342" width="8.8984375" style="1570" customWidth="1"/>
    <col min="3343" max="3346" width="9" style="1570"/>
    <col min="3347" max="3347" width="33.19921875" style="1570" customWidth="1"/>
    <col min="3348" max="3584" width="9" style="1570"/>
    <col min="3585" max="3585" width="5.19921875" style="1570" customWidth="1"/>
    <col min="3586" max="3586" width="8.8984375" style="1570" customWidth="1"/>
    <col min="3587" max="3587" width="7.09765625" style="1570" customWidth="1"/>
    <col min="3588" max="3588" width="7.69921875" style="1570" customWidth="1"/>
    <col min="3589" max="3589" width="8.8984375" style="1570" customWidth="1"/>
    <col min="3590" max="3590" width="8.09765625" style="1570" customWidth="1"/>
    <col min="3591" max="3591" width="7.8984375" style="1570" customWidth="1"/>
    <col min="3592" max="3592" width="8" style="1570" customWidth="1"/>
    <col min="3593" max="3593" width="8.09765625" style="1570" customWidth="1"/>
    <col min="3594" max="3594" width="8" style="1570" customWidth="1"/>
    <col min="3595" max="3595" width="7.19921875" style="1570" customWidth="1"/>
    <col min="3596" max="3596" width="8.3984375" style="1570" customWidth="1"/>
    <col min="3597" max="3597" width="17.3984375" style="1570" customWidth="1"/>
    <col min="3598" max="3598" width="8.8984375" style="1570" customWidth="1"/>
    <col min="3599" max="3602" width="9" style="1570"/>
    <col min="3603" max="3603" width="33.19921875" style="1570" customWidth="1"/>
    <col min="3604" max="3840" width="9" style="1570"/>
    <col min="3841" max="3841" width="5.19921875" style="1570" customWidth="1"/>
    <col min="3842" max="3842" width="8.8984375" style="1570" customWidth="1"/>
    <col min="3843" max="3843" width="7.09765625" style="1570" customWidth="1"/>
    <col min="3844" max="3844" width="7.69921875" style="1570" customWidth="1"/>
    <col min="3845" max="3845" width="8.8984375" style="1570" customWidth="1"/>
    <col min="3846" max="3846" width="8.09765625" style="1570" customWidth="1"/>
    <col min="3847" max="3847" width="7.8984375" style="1570" customWidth="1"/>
    <col min="3848" max="3848" width="8" style="1570" customWidth="1"/>
    <col min="3849" max="3849" width="8.09765625" style="1570" customWidth="1"/>
    <col min="3850" max="3850" width="8" style="1570" customWidth="1"/>
    <col min="3851" max="3851" width="7.19921875" style="1570" customWidth="1"/>
    <col min="3852" max="3852" width="8.3984375" style="1570" customWidth="1"/>
    <col min="3853" max="3853" width="17.3984375" style="1570" customWidth="1"/>
    <col min="3854" max="3854" width="8.8984375" style="1570" customWidth="1"/>
    <col min="3855" max="3858" width="9" style="1570"/>
    <col min="3859" max="3859" width="33.19921875" style="1570" customWidth="1"/>
    <col min="3860" max="4096" width="9" style="1570"/>
    <col min="4097" max="4097" width="5.19921875" style="1570" customWidth="1"/>
    <col min="4098" max="4098" width="8.8984375" style="1570" customWidth="1"/>
    <col min="4099" max="4099" width="7.09765625" style="1570" customWidth="1"/>
    <col min="4100" max="4100" width="7.69921875" style="1570" customWidth="1"/>
    <col min="4101" max="4101" width="8.8984375" style="1570" customWidth="1"/>
    <col min="4102" max="4102" width="8.09765625" style="1570" customWidth="1"/>
    <col min="4103" max="4103" width="7.8984375" style="1570" customWidth="1"/>
    <col min="4104" max="4104" width="8" style="1570" customWidth="1"/>
    <col min="4105" max="4105" width="8.09765625" style="1570" customWidth="1"/>
    <col min="4106" max="4106" width="8" style="1570" customWidth="1"/>
    <col min="4107" max="4107" width="7.19921875" style="1570" customWidth="1"/>
    <col min="4108" max="4108" width="8.3984375" style="1570" customWidth="1"/>
    <col min="4109" max="4109" width="17.3984375" style="1570" customWidth="1"/>
    <col min="4110" max="4110" width="8.8984375" style="1570" customWidth="1"/>
    <col min="4111" max="4114" width="9" style="1570"/>
    <col min="4115" max="4115" width="33.19921875" style="1570" customWidth="1"/>
    <col min="4116" max="4352" width="9" style="1570"/>
    <col min="4353" max="4353" width="5.19921875" style="1570" customWidth="1"/>
    <col min="4354" max="4354" width="8.8984375" style="1570" customWidth="1"/>
    <col min="4355" max="4355" width="7.09765625" style="1570" customWidth="1"/>
    <col min="4356" max="4356" width="7.69921875" style="1570" customWidth="1"/>
    <col min="4357" max="4357" width="8.8984375" style="1570" customWidth="1"/>
    <col min="4358" max="4358" width="8.09765625" style="1570" customWidth="1"/>
    <col min="4359" max="4359" width="7.8984375" style="1570" customWidth="1"/>
    <col min="4360" max="4360" width="8" style="1570" customWidth="1"/>
    <col min="4361" max="4361" width="8.09765625" style="1570" customWidth="1"/>
    <col min="4362" max="4362" width="8" style="1570" customWidth="1"/>
    <col min="4363" max="4363" width="7.19921875" style="1570" customWidth="1"/>
    <col min="4364" max="4364" width="8.3984375" style="1570" customWidth="1"/>
    <col min="4365" max="4365" width="17.3984375" style="1570" customWidth="1"/>
    <col min="4366" max="4366" width="8.8984375" style="1570" customWidth="1"/>
    <col min="4367" max="4370" width="9" style="1570"/>
    <col min="4371" max="4371" width="33.19921875" style="1570" customWidth="1"/>
    <col min="4372" max="4608" width="9" style="1570"/>
    <col min="4609" max="4609" width="5.19921875" style="1570" customWidth="1"/>
    <col min="4610" max="4610" width="8.8984375" style="1570" customWidth="1"/>
    <col min="4611" max="4611" width="7.09765625" style="1570" customWidth="1"/>
    <col min="4612" max="4612" width="7.69921875" style="1570" customWidth="1"/>
    <col min="4613" max="4613" width="8.8984375" style="1570" customWidth="1"/>
    <col min="4614" max="4614" width="8.09765625" style="1570" customWidth="1"/>
    <col min="4615" max="4615" width="7.8984375" style="1570" customWidth="1"/>
    <col min="4616" max="4616" width="8" style="1570" customWidth="1"/>
    <col min="4617" max="4617" width="8.09765625" style="1570" customWidth="1"/>
    <col min="4618" max="4618" width="8" style="1570" customWidth="1"/>
    <col min="4619" max="4619" width="7.19921875" style="1570" customWidth="1"/>
    <col min="4620" max="4620" width="8.3984375" style="1570" customWidth="1"/>
    <col min="4621" max="4621" width="17.3984375" style="1570" customWidth="1"/>
    <col min="4622" max="4622" width="8.8984375" style="1570" customWidth="1"/>
    <col min="4623" max="4626" width="9" style="1570"/>
    <col min="4627" max="4627" width="33.19921875" style="1570" customWidth="1"/>
    <col min="4628" max="4864" width="9" style="1570"/>
    <col min="4865" max="4865" width="5.19921875" style="1570" customWidth="1"/>
    <col min="4866" max="4866" width="8.8984375" style="1570" customWidth="1"/>
    <col min="4867" max="4867" width="7.09765625" style="1570" customWidth="1"/>
    <col min="4868" max="4868" width="7.69921875" style="1570" customWidth="1"/>
    <col min="4869" max="4869" width="8.8984375" style="1570" customWidth="1"/>
    <col min="4870" max="4870" width="8.09765625" style="1570" customWidth="1"/>
    <col min="4871" max="4871" width="7.8984375" style="1570" customWidth="1"/>
    <col min="4872" max="4872" width="8" style="1570" customWidth="1"/>
    <col min="4873" max="4873" width="8.09765625" style="1570" customWidth="1"/>
    <col min="4874" max="4874" width="8" style="1570" customWidth="1"/>
    <col min="4875" max="4875" width="7.19921875" style="1570" customWidth="1"/>
    <col min="4876" max="4876" width="8.3984375" style="1570" customWidth="1"/>
    <col min="4877" max="4877" width="17.3984375" style="1570" customWidth="1"/>
    <col min="4878" max="4878" width="8.8984375" style="1570" customWidth="1"/>
    <col min="4879" max="4882" width="9" style="1570"/>
    <col min="4883" max="4883" width="33.19921875" style="1570" customWidth="1"/>
    <col min="4884" max="5120" width="9" style="1570"/>
    <col min="5121" max="5121" width="5.19921875" style="1570" customWidth="1"/>
    <col min="5122" max="5122" width="8.8984375" style="1570" customWidth="1"/>
    <col min="5123" max="5123" width="7.09765625" style="1570" customWidth="1"/>
    <col min="5124" max="5124" width="7.69921875" style="1570" customWidth="1"/>
    <col min="5125" max="5125" width="8.8984375" style="1570" customWidth="1"/>
    <col min="5126" max="5126" width="8.09765625" style="1570" customWidth="1"/>
    <col min="5127" max="5127" width="7.8984375" style="1570" customWidth="1"/>
    <col min="5128" max="5128" width="8" style="1570" customWidth="1"/>
    <col min="5129" max="5129" width="8.09765625" style="1570" customWidth="1"/>
    <col min="5130" max="5130" width="8" style="1570" customWidth="1"/>
    <col min="5131" max="5131" width="7.19921875" style="1570" customWidth="1"/>
    <col min="5132" max="5132" width="8.3984375" style="1570" customWidth="1"/>
    <col min="5133" max="5133" width="17.3984375" style="1570" customWidth="1"/>
    <col min="5134" max="5134" width="8.8984375" style="1570" customWidth="1"/>
    <col min="5135" max="5138" width="9" style="1570"/>
    <col min="5139" max="5139" width="33.19921875" style="1570" customWidth="1"/>
    <col min="5140" max="5376" width="9" style="1570"/>
    <col min="5377" max="5377" width="5.19921875" style="1570" customWidth="1"/>
    <col min="5378" max="5378" width="8.8984375" style="1570" customWidth="1"/>
    <col min="5379" max="5379" width="7.09765625" style="1570" customWidth="1"/>
    <col min="5380" max="5380" width="7.69921875" style="1570" customWidth="1"/>
    <col min="5381" max="5381" width="8.8984375" style="1570" customWidth="1"/>
    <col min="5382" max="5382" width="8.09765625" style="1570" customWidth="1"/>
    <col min="5383" max="5383" width="7.8984375" style="1570" customWidth="1"/>
    <col min="5384" max="5384" width="8" style="1570" customWidth="1"/>
    <col min="5385" max="5385" width="8.09765625" style="1570" customWidth="1"/>
    <col min="5386" max="5386" width="8" style="1570" customWidth="1"/>
    <col min="5387" max="5387" width="7.19921875" style="1570" customWidth="1"/>
    <col min="5388" max="5388" width="8.3984375" style="1570" customWidth="1"/>
    <col min="5389" max="5389" width="17.3984375" style="1570" customWidth="1"/>
    <col min="5390" max="5390" width="8.8984375" style="1570" customWidth="1"/>
    <col min="5391" max="5394" width="9" style="1570"/>
    <col min="5395" max="5395" width="33.19921875" style="1570" customWidth="1"/>
    <col min="5396" max="5632" width="9" style="1570"/>
    <col min="5633" max="5633" width="5.19921875" style="1570" customWidth="1"/>
    <col min="5634" max="5634" width="8.8984375" style="1570" customWidth="1"/>
    <col min="5635" max="5635" width="7.09765625" style="1570" customWidth="1"/>
    <col min="5636" max="5636" width="7.69921875" style="1570" customWidth="1"/>
    <col min="5637" max="5637" width="8.8984375" style="1570" customWidth="1"/>
    <col min="5638" max="5638" width="8.09765625" style="1570" customWidth="1"/>
    <col min="5639" max="5639" width="7.8984375" style="1570" customWidth="1"/>
    <col min="5640" max="5640" width="8" style="1570" customWidth="1"/>
    <col min="5641" max="5641" width="8.09765625" style="1570" customWidth="1"/>
    <col min="5642" max="5642" width="8" style="1570" customWidth="1"/>
    <col min="5643" max="5643" width="7.19921875" style="1570" customWidth="1"/>
    <col min="5644" max="5644" width="8.3984375" style="1570" customWidth="1"/>
    <col min="5645" max="5645" width="17.3984375" style="1570" customWidth="1"/>
    <col min="5646" max="5646" width="8.8984375" style="1570" customWidth="1"/>
    <col min="5647" max="5650" width="9" style="1570"/>
    <col min="5651" max="5651" width="33.19921875" style="1570" customWidth="1"/>
    <col min="5652" max="5888" width="9" style="1570"/>
    <col min="5889" max="5889" width="5.19921875" style="1570" customWidth="1"/>
    <col min="5890" max="5890" width="8.8984375" style="1570" customWidth="1"/>
    <col min="5891" max="5891" width="7.09765625" style="1570" customWidth="1"/>
    <col min="5892" max="5892" width="7.69921875" style="1570" customWidth="1"/>
    <col min="5893" max="5893" width="8.8984375" style="1570" customWidth="1"/>
    <col min="5894" max="5894" width="8.09765625" style="1570" customWidth="1"/>
    <col min="5895" max="5895" width="7.8984375" style="1570" customWidth="1"/>
    <col min="5896" max="5896" width="8" style="1570" customWidth="1"/>
    <col min="5897" max="5897" width="8.09765625" style="1570" customWidth="1"/>
    <col min="5898" max="5898" width="8" style="1570" customWidth="1"/>
    <col min="5899" max="5899" width="7.19921875" style="1570" customWidth="1"/>
    <col min="5900" max="5900" width="8.3984375" style="1570" customWidth="1"/>
    <col min="5901" max="5901" width="17.3984375" style="1570" customWidth="1"/>
    <col min="5902" max="5902" width="8.8984375" style="1570" customWidth="1"/>
    <col min="5903" max="5906" width="9" style="1570"/>
    <col min="5907" max="5907" width="33.19921875" style="1570" customWidth="1"/>
    <col min="5908" max="6144" width="9" style="1570"/>
    <col min="6145" max="6145" width="5.19921875" style="1570" customWidth="1"/>
    <col min="6146" max="6146" width="8.8984375" style="1570" customWidth="1"/>
    <col min="6147" max="6147" width="7.09765625" style="1570" customWidth="1"/>
    <col min="6148" max="6148" width="7.69921875" style="1570" customWidth="1"/>
    <col min="6149" max="6149" width="8.8984375" style="1570" customWidth="1"/>
    <col min="6150" max="6150" width="8.09765625" style="1570" customWidth="1"/>
    <col min="6151" max="6151" width="7.8984375" style="1570" customWidth="1"/>
    <col min="6152" max="6152" width="8" style="1570" customWidth="1"/>
    <col min="6153" max="6153" width="8.09765625" style="1570" customWidth="1"/>
    <col min="6154" max="6154" width="8" style="1570" customWidth="1"/>
    <col min="6155" max="6155" width="7.19921875" style="1570" customWidth="1"/>
    <col min="6156" max="6156" width="8.3984375" style="1570" customWidth="1"/>
    <col min="6157" max="6157" width="17.3984375" style="1570" customWidth="1"/>
    <col min="6158" max="6158" width="8.8984375" style="1570" customWidth="1"/>
    <col min="6159" max="6162" width="9" style="1570"/>
    <col min="6163" max="6163" width="33.19921875" style="1570" customWidth="1"/>
    <col min="6164" max="6400" width="9" style="1570"/>
    <col min="6401" max="6401" width="5.19921875" style="1570" customWidth="1"/>
    <col min="6402" max="6402" width="8.8984375" style="1570" customWidth="1"/>
    <col min="6403" max="6403" width="7.09765625" style="1570" customWidth="1"/>
    <col min="6404" max="6404" width="7.69921875" style="1570" customWidth="1"/>
    <col min="6405" max="6405" width="8.8984375" style="1570" customWidth="1"/>
    <col min="6406" max="6406" width="8.09765625" style="1570" customWidth="1"/>
    <col min="6407" max="6407" width="7.8984375" style="1570" customWidth="1"/>
    <col min="6408" max="6408" width="8" style="1570" customWidth="1"/>
    <col min="6409" max="6409" width="8.09765625" style="1570" customWidth="1"/>
    <col min="6410" max="6410" width="8" style="1570" customWidth="1"/>
    <col min="6411" max="6411" width="7.19921875" style="1570" customWidth="1"/>
    <col min="6412" max="6412" width="8.3984375" style="1570" customWidth="1"/>
    <col min="6413" max="6413" width="17.3984375" style="1570" customWidth="1"/>
    <col min="6414" max="6414" width="8.8984375" style="1570" customWidth="1"/>
    <col min="6415" max="6418" width="9" style="1570"/>
    <col min="6419" max="6419" width="33.19921875" style="1570" customWidth="1"/>
    <col min="6420" max="6656" width="9" style="1570"/>
    <col min="6657" max="6657" width="5.19921875" style="1570" customWidth="1"/>
    <col min="6658" max="6658" width="8.8984375" style="1570" customWidth="1"/>
    <col min="6659" max="6659" width="7.09765625" style="1570" customWidth="1"/>
    <col min="6660" max="6660" width="7.69921875" style="1570" customWidth="1"/>
    <col min="6661" max="6661" width="8.8984375" style="1570" customWidth="1"/>
    <col min="6662" max="6662" width="8.09765625" style="1570" customWidth="1"/>
    <col min="6663" max="6663" width="7.8984375" style="1570" customWidth="1"/>
    <col min="6664" max="6664" width="8" style="1570" customWidth="1"/>
    <col min="6665" max="6665" width="8.09765625" style="1570" customWidth="1"/>
    <col min="6666" max="6666" width="8" style="1570" customWidth="1"/>
    <col min="6667" max="6667" width="7.19921875" style="1570" customWidth="1"/>
    <col min="6668" max="6668" width="8.3984375" style="1570" customWidth="1"/>
    <col min="6669" max="6669" width="17.3984375" style="1570" customWidth="1"/>
    <col min="6670" max="6670" width="8.8984375" style="1570" customWidth="1"/>
    <col min="6671" max="6674" width="9" style="1570"/>
    <col min="6675" max="6675" width="33.19921875" style="1570" customWidth="1"/>
    <col min="6676" max="6912" width="9" style="1570"/>
    <col min="6913" max="6913" width="5.19921875" style="1570" customWidth="1"/>
    <col min="6914" max="6914" width="8.8984375" style="1570" customWidth="1"/>
    <col min="6915" max="6915" width="7.09765625" style="1570" customWidth="1"/>
    <col min="6916" max="6916" width="7.69921875" style="1570" customWidth="1"/>
    <col min="6917" max="6917" width="8.8984375" style="1570" customWidth="1"/>
    <col min="6918" max="6918" width="8.09765625" style="1570" customWidth="1"/>
    <col min="6919" max="6919" width="7.8984375" style="1570" customWidth="1"/>
    <col min="6920" max="6920" width="8" style="1570" customWidth="1"/>
    <col min="6921" max="6921" width="8.09765625" style="1570" customWidth="1"/>
    <col min="6922" max="6922" width="8" style="1570" customWidth="1"/>
    <col min="6923" max="6923" width="7.19921875" style="1570" customWidth="1"/>
    <col min="6924" max="6924" width="8.3984375" style="1570" customWidth="1"/>
    <col min="6925" max="6925" width="17.3984375" style="1570" customWidth="1"/>
    <col min="6926" max="6926" width="8.8984375" style="1570" customWidth="1"/>
    <col min="6927" max="6930" width="9" style="1570"/>
    <col min="6931" max="6931" width="33.19921875" style="1570" customWidth="1"/>
    <col min="6932" max="7168" width="9" style="1570"/>
    <col min="7169" max="7169" width="5.19921875" style="1570" customWidth="1"/>
    <col min="7170" max="7170" width="8.8984375" style="1570" customWidth="1"/>
    <col min="7171" max="7171" width="7.09765625" style="1570" customWidth="1"/>
    <col min="7172" max="7172" width="7.69921875" style="1570" customWidth="1"/>
    <col min="7173" max="7173" width="8.8984375" style="1570" customWidth="1"/>
    <col min="7174" max="7174" width="8.09765625" style="1570" customWidth="1"/>
    <col min="7175" max="7175" width="7.8984375" style="1570" customWidth="1"/>
    <col min="7176" max="7176" width="8" style="1570" customWidth="1"/>
    <col min="7177" max="7177" width="8.09765625" style="1570" customWidth="1"/>
    <col min="7178" max="7178" width="8" style="1570" customWidth="1"/>
    <col min="7179" max="7179" width="7.19921875" style="1570" customWidth="1"/>
    <col min="7180" max="7180" width="8.3984375" style="1570" customWidth="1"/>
    <col min="7181" max="7181" width="17.3984375" style="1570" customWidth="1"/>
    <col min="7182" max="7182" width="8.8984375" style="1570" customWidth="1"/>
    <col min="7183" max="7186" width="9" style="1570"/>
    <col min="7187" max="7187" width="33.19921875" style="1570" customWidth="1"/>
    <col min="7188" max="7424" width="9" style="1570"/>
    <col min="7425" max="7425" width="5.19921875" style="1570" customWidth="1"/>
    <col min="7426" max="7426" width="8.8984375" style="1570" customWidth="1"/>
    <col min="7427" max="7427" width="7.09765625" style="1570" customWidth="1"/>
    <col min="7428" max="7428" width="7.69921875" style="1570" customWidth="1"/>
    <col min="7429" max="7429" width="8.8984375" style="1570" customWidth="1"/>
    <col min="7430" max="7430" width="8.09765625" style="1570" customWidth="1"/>
    <col min="7431" max="7431" width="7.8984375" style="1570" customWidth="1"/>
    <col min="7432" max="7432" width="8" style="1570" customWidth="1"/>
    <col min="7433" max="7433" width="8.09765625" style="1570" customWidth="1"/>
    <col min="7434" max="7434" width="8" style="1570" customWidth="1"/>
    <col min="7435" max="7435" width="7.19921875" style="1570" customWidth="1"/>
    <col min="7436" max="7436" width="8.3984375" style="1570" customWidth="1"/>
    <col min="7437" max="7437" width="17.3984375" style="1570" customWidth="1"/>
    <col min="7438" max="7438" width="8.8984375" style="1570" customWidth="1"/>
    <col min="7439" max="7442" width="9" style="1570"/>
    <col min="7443" max="7443" width="33.19921875" style="1570" customWidth="1"/>
    <col min="7444" max="7680" width="9" style="1570"/>
    <col min="7681" max="7681" width="5.19921875" style="1570" customWidth="1"/>
    <col min="7682" max="7682" width="8.8984375" style="1570" customWidth="1"/>
    <col min="7683" max="7683" width="7.09765625" style="1570" customWidth="1"/>
    <col min="7684" max="7684" width="7.69921875" style="1570" customWidth="1"/>
    <col min="7685" max="7685" width="8.8984375" style="1570" customWidth="1"/>
    <col min="7686" max="7686" width="8.09765625" style="1570" customWidth="1"/>
    <col min="7687" max="7687" width="7.8984375" style="1570" customWidth="1"/>
    <col min="7688" max="7688" width="8" style="1570" customWidth="1"/>
    <col min="7689" max="7689" width="8.09765625" style="1570" customWidth="1"/>
    <col min="7690" max="7690" width="8" style="1570" customWidth="1"/>
    <col min="7691" max="7691" width="7.19921875" style="1570" customWidth="1"/>
    <col min="7692" max="7692" width="8.3984375" style="1570" customWidth="1"/>
    <col min="7693" max="7693" width="17.3984375" style="1570" customWidth="1"/>
    <col min="7694" max="7694" width="8.8984375" style="1570" customWidth="1"/>
    <col min="7695" max="7698" width="9" style="1570"/>
    <col min="7699" max="7699" width="33.19921875" style="1570" customWidth="1"/>
    <col min="7700" max="7936" width="9" style="1570"/>
    <col min="7937" max="7937" width="5.19921875" style="1570" customWidth="1"/>
    <col min="7938" max="7938" width="8.8984375" style="1570" customWidth="1"/>
    <col min="7939" max="7939" width="7.09765625" style="1570" customWidth="1"/>
    <col min="7940" max="7940" width="7.69921875" style="1570" customWidth="1"/>
    <col min="7941" max="7941" width="8.8984375" style="1570" customWidth="1"/>
    <col min="7942" max="7942" width="8.09765625" style="1570" customWidth="1"/>
    <col min="7943" max="7943" width="7.8984375" style="1570" customWidth="1"/>
    <col min="7944" max="7944" width="8" style="1570" customWidth="1"/>
    <col min="7945" max="7945" width="8.09765625" style="1570" customWidth="1"/>
    <col min="7946" max="7946" width="8" style="1570" customWidth="1"/>
    <col min="7947" max="7947" width="7.19921875" style="1570" customWidth="1"/>
    <col min="7948" max="7948" width="8.3984375" style="1570" customWidth="1"/>
    <col min="7949" max="7949" width="17.3984375" style="1570" customWidth="1"/>
    <col min="7950" max="7950" width="8.8984375" style="1570" customWidth="1"/>
    <col min="7951" max="7954" width="9" style="1570"/>
    <col min="7955" max="7955" width="33.19921875" style="1570" customWidth="1"/>
    <col min="7956" max="8192" width="9" style="1570"/>
    <col min="8193" max="8193" width="5.19921875" style="1570" customWidth="1"/>
    <col min="8194" max="8194" width="8.8984375" style="1570" customWidth="1"/>
    <col min="8195" max="8195" width="7.09765625" style="1570" customWidth="1"/>
    <col min="8196" max="8196" width="7.69921875" style="1570" customWidth="1"/>
    <col min="8197" max="8197" width="8.8984375" style="1570" customWidth="1"/>
    <col min="8198" max="8198" width="8.09765625" style="1570" customWidth="1"/>
    <col min="8199" max="8199" width="7.8984375" style="1570" customWidth="1"/>
    <col min="8200" max="8200" width="8" style="1570" customWidth="1"/>
    <col min="8201" max="8201" width="8.09765625" style="1570" customWidth="1"/>
    <col min="8202" max="8202" width="8" style="1570" customWidth="1"/>
    <col min="8203" max="8203" width="7.19921875" style="1570" customWidth="1"/>
    <col min="8204" max="8204" width="8.3984375" style="1570" customWidth="1"/>
    <col min="8205" max="8205" width="17.3984375" style="1570" customWidth="1"/>
    <col min="8206" max="8206" width="8.8984375" style="1570" customWidth="1"/>
    <col min="8207" max="8210" width="9" style="1570"/>
    <col min="8211" max="8211" width="33.19921875" style="1570" customWidth="1"/>
    <col min="8212" max="8448" width="9" style="1570"/>
    <col min="8449" max="8449" width="5.19921875" style="1570" customWidth="1"/>
    <col min="8450" max="8450" width="8.8984375" style="1570" customWidth="1"/>
    <col min="8451" max="8451" width="7.09765625" style="1570" customWidth="1"/>
    <col min="8452" max="8452" width="7.69921875" style="1570" customWidth="1"/>
    <col min="8453" max="8453" width="8.8984375" style="1570" customWidth="1"/>
    <col min="8454" max="8454" width="8.09765625" style="1570" customWidth="1"/>
    <col min="8455" max="8455" width="7.8984375" style="1570" customWidth="1"/>
    <col min="8456" max="8456" width="8" style="1570" customWidth="1"/>
    <col min="8457" max="8457" width="8.09765625" style="1570" customWidth="1"/>
    <col min="8458" max="8458" width="8" style="1570" customWidth="1"/>
    <col min="8459" max="8459" width="7.19921875" style="1570" customWidth="1"/>
    <col min="8460" max="8460" width="8.3984375" style="1570" customWidth="1"/>
    <col min="8461" max="8461" width="17.3984375" style="1570" customWidth="1"/>
    <col min="8462" max="8462" width="8.8984375" style="1570" customWidth="1"/>
    <col min="8463" max="8466" width="9" style="1570"/>
    <col min="8467" max="8467" width="33.19921875" style="1570" customWidth="1"/>
    <col min="8468" max="8704" width="9" style="1570"/>
    <col min="8705" max="8705" width="5.19921875" style="1570" customWidth="1"/>
    <col min="8706" max="8706" width="8.8984375" style="1570" customWidth="1"/>
    <col min="8707" max="8707" width="7.09765625" style="1570" customWidth="1"/>
    <col min="8708" max="8708" width="7.69921875" style="1570" customWidth="1"/>
    <col min="8709" max="8709" width="8.8984375" style="1570" customWidth="1"/>
    <col min="8710" max="8710" width="8.09765625" style="1570" customWidth="1"/>
    <col min="8711" max="8711" width="7.8984375" style="1570" customWidth="1"/>
    <col min="8712" max="8712" width="8" style="1570" customWidth="1"/>
    <col min="8713" max="8713" width="8.09765625" style="1570" customWidth="1"/>
    <col min="8714" max="8714" width="8" style="1570" customWidth="1"/>
    <col min="8715" max="8715" width="7.19921875" style="1570" customWidth="1"/>
    <col min="8716" max="8716" width="8.3984375" style="1570" customWidth="1"/>
    <col min="8717" max="8717" width="17.3984375" style="1570" customWidth="1"/>
    <col min="8718" max="8718" width="8.8984375" style="1570" customWidth="1"/>
    <col min="8719" max="8722" width="9" style="1570"/>
    <col min="8723" max="8723" width="33.19921875" style="1570" customWidth="1"/>
    <col min="8724" max="8960" width="9" style="1570"/>
    <col min="8961" max="8961" width="5.19921875" style="1570" customWidth="1"/>
    <col min="8962" max="8962" width="8.8984375" style="1570" customWidth="1"/>
    <col min="8963" max="8963" width="7.09765625" style="1570" customWidth="1"/>
    <col min="8964" max="8964" width="7.69921875" style="1570" customWidth="1"/>
    <col min="8965" max="8965" width="8.8984375" style="1570" customWidth="1"/>
    <col min="8966" max="8966" width="8.09765625" style="1570" customWidth="1"/>
    <col min="8967" max="8967" width="7.8984375" style="1570" customWidth="1"/>
    <col min="8968" max="8968" width="8" style="1570" customWidth="1"/>
    <col min="8969" max="8969" width="8.09765625" style="1570" customWidth="1"/>
    <col min="8970" max="8970" width="8" style="1570" customWidth="1"/>
    <col min="8971" max="8971" width="7.19921875" style="1570" customWidth="1"/>
    <col min="8972" max="8972" width="8.3984375" style="1570" customWidth="1"/>
    <col min="8973" max="8973" width="17.3984375" style="1570" customWidth="1"/>
    <col min="8974" max="8974" width="8.8984375" style="1570" customWidth="1"/>
    <col min="8975" max="8978" width="9" style="1570"/>
    <col min="8979" max="8979" width="33.19921875" style="1570" customWidth="1"/>
    <col min="8980" max="9216" width="9" style="1570"/>
    <col min="9217" max="9217" width="5.19921875" style="1570" customWidth="1"/>
    <col min="9218" max="9218" width="8.8984375" style="1570" customWidth="1"/>
    <col min="9219" max="9219" width="7.09765625" style="1570" customWidth="1"/>
    <col min="9220" max="9220" width="7.69921875" style="1570" customWidth="1"/>
    <col min="9221" max="9221" width="8.8984375" style="1570" customWidth="1"/>
    <col min="9222" max="9222" width="8.09765625" style="1570" customWidth="1"/>
    <col min="9223" max="9223" width="7.8984375" style="1570" customWidth="1"/>
    <col min="9224" max="9224" width="8" style="1570" customWidth="1"/>
    <col min="9225" max="9225" width="8.09765625" style="1570" customWidth="1"/>
    <col min="9226" max="9226" width="8" style="1570" customWidth="1"/>
    <col min="9227" max="9227" width="7.19921875" style="1570" customWidth="1"/>
    <col min="9228" max="9228" width="8.3984375" style="1570" customWidth="1"/>
    <col min="9229" max="9229" width="17.3984375" style="1570" customWidth="1"/>
    <col min="9230" max="9230" width="8.8984375" style="1570" customWidth="1"/>
    <col min="9231" max="9234" width="9" style="1570"/>
    <col min="9235" max="9235" width="33.19921875" style="1570" customWidth="1"/>
    <col min="9236" max="9472" width="9" style="1570"/>
    <col min="9473" max="9473" width="5.19921875" style="1570" customWidth="1"/>
    <col min="9474" max="9474" width="8.8984375" style="1570" customWidth="1"/>
    <col min="9475" max="9475" width="7.09765625" style="1570" customWidth="1"/>
    <col min="9476" max="9476" width="7.69921875" style="1570" customWidth="1"/>
    <col min="9477" max="9477" width="8.8984375" style="1570" customWidth="1"/>
    <col min="9478" max="9478" width="8.09765625" style="1570" customWidth="1"/>
    <col min="9479" max="9479" width="7.8984375" style="1570" customWidth="1"/>
    <col min="9480" max="9480" width="8" style="1570" customWidth="1"/>
    <col min="9481" max="9481" width="8.09765625" style="1570" customWidth="1"/>
    <col min="9482" max="9482" width="8" style="1570" customWidth="1"/>
    <col min="9483" max="9483" width="7.19921875" style="1570" customWidth="1"/>
    <col min="9484" max="9484" width="8.3984375" style="1570" customWidth="1"/>
    <col min="9485" max="9485" width="17.3984375" style="1570" customWidth="1"/>
    <col min="9486" max="9486" width="8.8984375" style="1570" customWidth="1"/>
    <col min="9487" max="9490" width="9" style="1570"/>
    <col min="9491" max="9491" width="33.19921875" style="1570" customWidth="1"/>
    <col min="9492" max="9728" width="9" style="1570"/>
    <col min="9729" max="9729" width="5.19921875" style="1570" customWidth="1"/>
    <col min="9730" max="9730" width="8.8984375" style="1570" customWidth="1"/>
    <col min="9731" max="9731" width="7.09765625" style="1570" customWidth="1"/>
    <col min="9732" max="9732" width="7.69921875" style="1570" customWidth="1"/>
    <col min="9733" max="9733" width="8.8984375" style="1570" customWidth="1"/>
    <col min="9734" max="9734" width="8.09765625" style="1570" customWidth="1"/>
    <col min="9735" max="9735" width="7.8984375" style="1570" customWidth="1"/>
    <col min="9736" max="9736" width="8" style="1570" customWidth="1"/>
    <col min="9737" max="9737" width="8.09765625" style="1570" customWidth="1"/>
    <col min="9738" max="9738" width="8" style="1570" customWidth="1"/>
    <col min="9739" max="9739" width="7.19921875" style="1570" customWidth="1"/>
    <col min="9740" max="9740" width="8.3984375" style="1570" customWidth="1"/>
    <col min="9741" max="9741" width="17.3984375" style="1570" customWidth="1"/>
    <col min="9742" max="9742" width="8.8984375" style="1570" customWidth="1"/>
    <col min="9743" max="9746" width="9" style="1570"/>
    <col min="9747" max="9747" width="33.19921875" style="1570" customWidth="1"/>
    <col min="9748" max="9984" width="9" style="1570"/>
    <col min="9985" max="9985" width="5.19921875" style="1570" customWidth="1"/>
    <col min="9986" max="9986" width="8.8984375" style="1570" customWidth="1"/>
    <col min="9987" max="9987" width="7.09765625" style="1570" customWidth="1"/>
    <col min="9988" max="9988" width="7.69921875" style="1570" customWidth="1"/>
    <col min="9989" max="9989" width="8.8984375" style="1570" customWidth="1"/>
    <col min="9990" max="9990" width="8.09765625" style="1570" customWidth="1"/>
    <col min="9991" max="9991" width="7.8984375" style="1570" customWidth="1"/>
    <col min="9992" max="9992" width="8" style="1570" customWidth="1"/>
    <col min="9993" max="9993" width="8.09765625" style="1570" customWidth="1"/>
    <col min="9994" max="9994" width="8" style="1570" customWidth="1"/>
    <col min="9995" max="9995" width="7.19921875" style="1570" customWidth="1"/>
    <col min="9996" max="9996" width="8.3984375" style="1570" customWidth="1"/>
    <col min="9997" max="9997" width="17.3984375" style="1570" customWidth="1"/>
    <col min="9998" max="9998" width="8.8984375" style="1570" customWidth="1"/>
    <col min="9999" max="10002" width="9" style="1570"/>
    <col min="10003" max="10003" width="33.19921875" style="1570" customWidth="1"/>
    <col min="10004" max="10240" width="9" style="1570"/>
    <col min="10241" max="10241" width="5.19921875" style="1570" customWidth="1"/>
    <col min="10242" max="10242" width="8.8984375" style="1570" customWidth="1"/>
    <col min="10243" max="10243" width="7.09765625" style="1570" customWidth="1"/>
    <col min="10244" max="10244" width="7.69921875" style="1570" customWidth="1"/>
    <col min="10245" max="10245" width="8.8984375" style="1570" customWidth="1"/>
    <col min="10246" max="10246" width="8.09765625" style="1570" customWidth="1"/>
    <col min="10247" max="10247" width="7.8984375" style="1570" customWidth="1"/>
    <col min="10248" max="10248" width="8" style="1570" customWidth="1"/>
    <col min="10249" max="10249" width="8.09765625" style="1570" customWidth="1"/>
    <col min="10250" max="10250" width="8" style="1570" customWidth="1"/>
    <col min="10251" max="10251" width="7.19921875" style="1570" customWidth="1"/>
    <col min="10252" max="10252" width="8.3984375" style="1570" customWidth="1"/>
    <col min="10253" max="10253" width="17.3984375" style="1570" customWidth="1"/>
    <col min="10254" max="10254" width="8.8984375" style="1570" customWidth="1"/>
    <col min="10255" max="10258" width="9" style="1570"/>
    <col min="10259" max="10259" width="33.19921875" style="1570" customWidth="1"/>
    <col min="10260" max="10496" width="9" style="1570"/>
    <col min="10497" max="10497" width="5.19921875" style="1570" customWidth="1"/>
    <col min="10498" max="10498" width="8.8984375" style="1570" customWidth="1"/>
    <col min="10499" max="10499" width="7.09765625" style="1570" customWidth="1"/>
    <col min="10500" max="10500" width="7.69921875" style="1570" customWidth="1"/>
    <col min="10501" max="10501" width="8.8984375" style="1570" customWidth="1"/>
    <col min="10502" max="10502" width="8.09765625" style="1570" customWidth="1"/>
    <col min="10503" max="10503" width="7.8984375" style="1570" customWidth="1"/>
    <col min="10504" max="10504" width="8" style="1570" customWidth="1"/>
    <col min="10505" max="10505" width="8.09765625" style="1570" customWidth="1"/>
    <col min="10506" max="10506" width="8" style="1570" customWidth="1"/>
    <col min="10507" max="10507" width="7.19921875" style="1570" customWidth="1"/>
    <col min="10508" max="10508" width="8.3984375" style="1570" customWidth="1"/>
    <col min="10509" max="10509" width="17.3984375" style="1570" customWidth="1"/>
    <col min="10510" max="10510" width="8.8984375" style="1570" customWidth="1"/>
    <col min="10511" max="10514" width="9" style="1570"/>
    <col min="10515" max="10515" width="33.19921875" style="1570" customWidth="1"/>
    <col min="10516" max="10752" width="9" style="1570"/>
    <col min="10753" max="10753" width="5.19921875" style="1570" customWidth="1"/>
    <col min="10754" max="10754" width="8.8984375" style="1570" customWidth="1"/>
    <col min="10755" max="10755" width="7.09765625" style="1570" customWidth="1"/>
    <col min="10756" max="10756" width="7.69921875" style="1570" customWidth="1"/>
    <col min="10757" max="10757" width="8.8984375" style="1570" customWidth="1"/>
    <col min="10758" max="10758" width="8.09765625" style="1570" customWidth="1"/>
    <col min="10759" max="10759" width="7.8984375" style="1570" customWidth="1"/>
    <col min="10760" max="10760" width="8" style="1570" customWidth="1"/>
    <col min="10761" max="10761" width="8.09765625" style="1570" customWidth="1"/>
    <col min="10762" max="10762" width="8" style="1570" customWidth="1"/>
    <col min="10763" max="10763" width="7.19921875" style="1570" customWidth="1"/>
    <col min="10764" max="10764" width="8.3984375" style="1570" customWidth="1"/>
    <col min="10765" max="10765" width="17.3984375" style="1570" customWidth="1"/>
    <col min="10766" max="10766" width="8.8984375" style="1570" customWidth="1"/>
    <col min="10767" max="10770" width="9" style="1570"/>
    <col min="10771" max="10771" width="33.19921875" style="1570" customWidth="1"/>
    <col min="10772" max="11008" width="9" style="1570"/>
    <col min="11009" max="11009" width="5.19921875" style="1570" customWidth="1"/>
    <col min="11010" max="11010" width="8.8984375" style="1570" customWidth="1"/>
    <col min="11011" max="11011" width="7.09765625" style="1570" customWidth="1"/>
    <col min="11012" max="11012" width="7.69921875" style="1570" customWidth="1"/>
    <col min="11013" max="11013" width="8.8984375" style="1570" customWidth="1"/>
    <col min="11014" max="11014" width="8.09765625" style="1570" customWidth="1"/>
    <col min="11015" max="11015" width="7.8984375" style="1570" customWidth="1"/>
    <col min="11016" max="11016" width="8" style="1570" customWidth="1"/>
    <col min="11017" max="11017" width="8.09765625" style="1570" customWidth="1"/>
    <col min="11018" max="11018" width="8" style="1570" customWidth="1"/>
    <col min="11019" max="11019" width="7.19921875" style="1570" customWidth="1"/>
    <col min="11020" max="11020" width="8.3984375" style="1570" customWidth="1"/>
    <col min="11021" max="11021" width="17.3984375" style="1570" customWidth="1"/>
    <col min="11022" max="11022" width="8.8984375" style="1570" customWidth="1"/>
    <col min="11023" max="11026" width="9" style="1570"/>
    <col min="11027" max="11027" width="33.19921875" style="1570" customWidth="1"/>
    <col min="11028" max="11264" width="9" style="1570"/>
    <col min="11265" max="11265" width="5.19921875" style="1570" customWidth="1"/>
    <col min="11266" max="11266" width="8.8984375" style="1570" customWidth="1"/>
    <col min="11267" max="11267" width="7.09765625" style="1570" customWidth="1"/>
    <col min="11268" max="11268" width="7.69921875" style="1570" customWidth="1"/>
    <col min="11269" max="11269" width="8.8984375" style="1570" customWidth="1"/>
    <col min="11270" max="11270" width="8.09765625" style="1570" customWidth="1"/>
    <col min="11271" max="11271" width="7.8984375" style="1570" customWidth="1"/>
    <col min="11272" max="11272" width="8" style="1570" customWidth="1"/>
    <col min="11273" max="11273" width="8.09765625" style="1570" customWidth="1"/>
    <col min="11274" max="11274" width="8" style="1570" customWidth="1"/>
    <col min="11275" max="11275" width="7.19921875" style="1570" customWidth="1"/>
    <col min="11276" max="11276" width="8.3984375" style="1570" customWidth="1"/>
    <col min="11277" max="11277" width="17.3984375" style="1570" customWidth="1"/>
    <col min="11278" max="11278" width="8.8984375" style="1570" customWidth="1"/>
    <col min="11279" max="11282" width="9" style="1570"/>
    <col min="11283" max="11283" width="33.19921875" style="1570" customWidth="1"/>
    <col min="11284" max="11520" width="9" style="1570"/>
    <col min="11521" max="11521" width="5.19921875" style="1570" customWidth="1"/>
    <col min="11522" max="11522" width="8.8984375" style="1570" customWidth="1"/>
    <col min="11523" max="11523" width="7.09765625" style="1570" customWidth="1"/>
    <col min="11524" max="11524" width="7.69921875" style="1570" customWidth="1"/>
    <col min="11525" max="11525" width="8.8984375" style="1570" customWidth="1"/>
    <col min="11526" max="11526" width="8.09765625" style="1570" customWidth="1"/>
    <col min="11527" max="11527" width="7.8984375" style="1570" customWidth="1"/>
    <col min="11528" max="11528" width="8" style="1570" customWidth="1"/>
    <col min="11529" max="11529" width="8.09765625" style="1570" customWidth="1"/>
    <col min="11530" max="11530" width="8" style="1570" customWidth="1"/>
    <col min="11531" max="11531" width="7.19921875" style="1570" customWidth="1"/>
    <col min="11532" max="11532" width="8.3984375" style="1570" customWidth="1"/>
    <col min="11533" max="11533" width="17.3984375" style="1570" customWidth="1"/>
    <col min="11534" max="11534" width="8.8984375" style="1570" customWidth="1"/>
    <col min="11535" max="11538" width="9" style="1570"/>
    <col min="11539" max="11539" width="33.19921875" style="1570" customWidth="1"/>
    <col min="11540" max="11776" width="9" style="1570"/>
    <col min="11777" max="11777" width="5.19921875" style="1570" customWidth="1"/>
    <col min="11778" max="11778" width="8.8984375" style="1570" customWidth="1"/>
    <col min="11779" max="11779" width="7.09765625" style="1570" customWidth="1"/>
    <col min="11780" max="11780" width="7.69921875" style="1570" customWidth="1"/>
    <col min="11781" max="11781" width="8.8984375" style="1570" customWidth="1"/>
    <col min="11782" max="11782" width="8.09765625" style="1570" customWidth="1"/>
    <col min="11783" max="11783" width="7.8984375" style="1570" customWidth="1"/>
    <col min="11784" max="11784" width="8" style="1570" customWidth="1"/>
    <col min="11785" max="11785" width="8.09765625" style="1570" customWidth="1"/>
    <col min="11786" max="11786" width="8" style="1570" customWidth="1"/>
    <col min="11787" max="11787" width="7.19921875" style="1570" customWidth="1"/>
    <col min="11788" max="11788" width="8.3984375" style="1570" customWidth="1"/>
    <col min="11789" max="11789" width="17.3984375" style="1570" customWidth="1"/>
    <col min="11790" max="11790" width="8.8984375" style="1570" customWidth="1"/>
    <col min="11791" max="11794" width="9" style="1570"/>
    <col min="11795" max="11795" width="33.19921875" style="1570" customWidth="1"/>
    <col min="11796" max="12032" width="9" style="1570"/>
    <col min="12033" max="12033" width="5.19921875" style="1570" customWidth="1"/>
    <col min="12034" max="12034" width="8.8984375" style="1570" customWidth="1"/>
    <col min="12035" max="12035" width="7.09765625" style="1570" customWidth="1"/>
    <col min="12036" max="12036" width="7.69921875" style="1570" customWidth="1"/>
    <col min="12037" max="12037" width="8.8984375" style="1570" customWidth="1"/>
    <col min="12038" max="12038" width="8.09765625" style="1570" customWidth="1"/>
    <col min="12039" max="12039" width="7.8984375" style="1570" customWidth="1"/>
    <col min="12040" max="12040" width="8" style="1570" customWidth="1"/>
    <col min="12041" max="12041" width="8.09765625" style="1570" customWidth="1"/>
    <col min="12042" max="12042" width="8" style="1570" customWidth="1"/>
    <col min="12043" max="12043" width="7.19921875" style="1570" customWidth="1"/>
    <col min="12044" max="12044" width="8.3984375" style="1570" customWidth="1"/>
    <col min="12045" max="12045" width="17.3984375" style="1570" customWidth="1"/>
    <col min="12046" max="12046" width="8.8984375" style="1570" customWidth="1"/>
    <col min="12047" max="12050" width="9" style="1570"/>
    <col min="12051" max="12051" width="33.19921875" style="1570" customWidth="1"/>
    <col min="12052" max="12288" width="9" style="1570"/>
    <col min="12289" max="12289" width="5.19921875" style="1570" customWidth="1"/>
    <col min="12290" max="12290" width="8.8984375" style="1570" customWidth="1"/>
    <col min="12291" max="12291" width="7.09765625" style="1570" customWidth="1"/>
    <col min="12292" max="12292" width="7.69921875" style="1570" customWidth="1"/>
    <col min="12293" max="12293" width="8.8984375" style="1570" customWidth="1"/>
    <col min="12294" max="12294" width="8.09765625" style="1570" customWidth="1"/>
    <col min="12295" max="12295" width="7.8984375" style="1570" customWidth="1"/>
    <col min="12296" max="12296" width="8" style="1570" customWidth="1"/>
    <col min="12297" max="12297" width="8.09765625" style="1570" customWidth="1"/>
    <col min="12298" max="12298" width="8" style="1570" customWidth="1"/>
    <col min="12299" max="12299" width="7.19921875" style="1570" customWidth="1"/>
    <col min="12300" max="12300" width="8.3984375" style="1570" customWidth="1"/>
    <col min="12301" max="12301" width="17.3984375" style="1570" customWidth="1"/>
    <col min="12302" max="12302" width="8.8984375" style="1570" customWidth="1"/>
    <col min="12303" max="12306" width="9" style="1570"/>
    <col min="12307" max="12307" width="33.19921875" style="1570" customWidth="1"/>
    <col min="12308" max="12544" width="9" style="1570"/>
    <col min="12545" max="12545" width="5.19921875" style="1570" customWidth="1"/>
    <col min="12546" max="12546" width="8.8984375" style="1570" customWidth="1"/>
    <col min="12547" max="12547" width="7.09765625" style="1570" customWidth="1"/>
    <col min="12548" max="12548" width="7.69921875" style="1570" customWidth="1"/>
    <col min="12549" max="12549" width="8.8984375" style="1570" customWidth="1"/>
    <col min="12550" max="12550" width="8.09765625" style="1570" customWidth="1"/>
    <col min="12551" max="12551" width="7.8984375" style="1570" customWidth="1"/>
    <col min="12552" max="12552" width="8" style="1570" customWidth="1"/>
    <col min="12553" max="12553" width="8.09765625" style="1570" customWidth="1"/>
    <col min="12554" max="12554" width="8" style="1570" customWidth="1"/>
    <col min="12555" max="12555" width="7.19921875" style="1570" customWidth="1"/>
    <col min="12556" max="12556" width="8.3984375" style="1570" customWidth="1"/>
    <col min="12557" max="12557" width="17.3984375" style="1570" customWidth="1"/>
    <col min="12558" max="12558" width="8.8984375" style="1570" customWidth="1"/>
    <col min="12559" max="12562" width="9" style="1570"/>
    <col min="12563" max="12563" width="33.19921875" style="1570" customWidth="1"/>
    <col min="12564" max="12800" width="9" style="1570"/>
    <col min="12801" max="12801" width="5.19921875" style="1570" customWidth="1"/>
    <col min="12802" max="12802" width="8.8984375" style="1570" customWidth="1"/>
    <col min="12803" max="12803" width="7.09765625" style="1570" customWidth="1"/>
    <col min="12804" max="12804" width="7.69921875" style="1570" customWidth="1"/>
    <col min="12805" max="12805" width="8.8984375" style="1570" customWidth="1"/>
    <col min="12806" max="12806" width="8.09765625" style="1570" customWidth="1"/>
    <col min="12807" max="12807" width="7.8984375" style="1570" customWidth="1"/>
    <col min="12808" max="12808" width="8" style="1570" customWidth="1"/>
    <col min="12809" max="12809" width="8.09765625" style="1570" customWidth="1"/>
    <col min="12810" max="12810" width="8" style="1570" customWidth="1"/>
    <col min="12811" max="12811" width="7.19921875" style="1570" customWidth="1"/>
    <col min="12812" max="12812" width="8.3984375" style="1570" customWidth="1"/>
    <col min="12813" max="12813" width="17.3984375" style="1570" customWidth="1"/>
    <col min="12814" max="12814" width="8.8984375" style="1570" customWidth="1"/>
    <col min="12815" max="12818" width="9" style="1570"/>
    <col min="12819" max="12819" width="33.19921875" style="1570" customWidth="1"/>
    <col min="12820" max="13056" width="9" style="1570"/>
    <col min="13057" max="13057" width="5.19921875" style="1570" customWidth="1"/>
    <col min="13058" max="13058" width="8.8984375" style="1570" customWidth="1"/>
    <col min="13059" max="13059" width="7.09765625" style="1570" customWidth="1"/>
    <col min="13060" max="13060" width="7.69921875" style="1570" customWidth="1"/>
    <col min="13061" max="13061" width="8.8984375" style="1570" customWidth="1"/>
    <col min="13062" max="13062" width="8.09765625" style="1570" customWidth="1"/>
    <col min="13063" max="13063" width="7.8984375" style="1570" customWidth="1"/>
    <col min="13064" max="13064" width="8" style="1570" customWidth="1"/>
    <col min="13065" max="13065" width="8.09765625" style="1570" customWidth="1"/>
    <col min="13066" max="13066" width="8" style="1570" customWidth="1"/>
    <col min="13067" max="13067" width="7.19921875" style="1570" customWidth="1"/>
    <col min="13068" max="13068" width="8.3984375" style="1570" customWidth="1"/>
    <col min="13069" max="13069" width="17.3984375" style="1570" customWidth="1"/>
    <col min="13070" max="13070" width="8.8984375" style="1570" customWidth="1"/>
    <col min="13071" max="13074" width="9" style="1570"/>
    <col min="13075" max="13075" width="33.19921875" style="1570" customWidth="1"/>
    <col min="13076" max="13312" width="9" style="1570"/>
    <col min="13313" max="13313" width="5.19921875" style="1570" customWidth="1"/>
    <col min="13314" max="13314" width="8.8984375" style="1570" customWidth="1"/>
    <col min="13315" max="13315" width="7.09765625" style="1570" customWidth="1"/>
    <col min="13316" max="13316" width="7.69921875" style="1570" customWidth="1"/>
    <col min="13317" max="13317" width="8.8984375" style="1570" customWidth="1"/>
    <col min="13318" max="13318" width="8.09765625" style="1570" customWidth="1"/>
    <col min="13319" max="13319" width="7.8984375" style="1570" customWidth="1"/>
    <col min="13320" max="13320" width="8" style="1570" customWidth="1"/>
    <col min="13321" max="13321" width="8.09765625" style="1570" customWidth="1"/>
    <col min="13322" max="13322" width="8" style="1570" customWidth="1"/>
    <col min="13323" max="13323" width="7.19921875" style="1570" customWidth="1"/>
    <col min="13324" max="13324" width="8.3984375" style="1570" customWidth="1"/>
    <col min="13325" max="13325" width="17.3984375" style="1570" customWidth="1"/>
    <col min="13326" max="13326" width="8.8984375" style="1570" customWidth="1"/>
    <col min="13327" max="13330" width="9" style="1570"/>
    <col min="13331" max="13331" width="33.19921875" style="1570" customWidth="1"/>
    <col min="13332" max="13568" width="9" style="1570"/>
    <col min="13569" max="13569" width="5.19921875" style="1570" customWidth="1"/>
    <col min="13570" max="13570" width="8.8984375" style="1570" customWidth="1"/>
    <col min="13571" max="13571" width="7.09765625" style="1570" customWidth="1"/>
    <col min="13572" max="13572" width="7.69921875" style="1570" customWidth="1"/>
    <col min="13573" max="13573" width="8.8984375" style="1570" customWidth="1"/>
    <col min="13574" max="13574" width="8.09765625" style="1570" customWidth="1"/>
    <col min="13575" max="13575" width="7.8984375" style="1570" customWidth="1"/>
    <col min="13576" max="13576" width="8" style="1570" customWidth="1"/>
    <col min="13577" max="13577" width="8.09765625" style="1570" customWidth="1"/>
    <col min="13578" max="13578" width="8" style="1570" customWidth="1"/>
    <col min="13579" max="13579" width="7.19921875" style="1570" customWidth="1"/>
    <col min="13580" max="13580" width="8.3984375" style="1570" customWidth="1"/>
    <col min="13581" max="13581" width="17.3984375" style="1570" customWidth="1"/>
    <col min="13582" max="13582" width="8.8984375" style="1570" customWidth="1"/>
    <col min="13583" max="13586" width="9" style="1570"/>
    <col min="13587" max="13587" width="33.19921875" style="1570" customWidth="1"/>
    <col min="13588" max="13824" width="9" style="1570"/>
    <col min="13825" max="13825" width="5.19921875" style="1570" customWidth="1"/>
    <col min="13826" max="13826" width="8.8984375" style="1570" customWidth="1"/>
    <col min="13827" max="13827" width="7.09765625" style="1570" customWidth="1"/>
    <col min="13828" max="13828" width="7.69921875" style="1570" customWidth="1"/>
    <col min="13829" max="13829" width="8.8984375" style="1570" customWidth="1"/>
    <col min="13830" max="13830" width="8.09765625" style="1570" customWidth="1"/>
    <col min="13831" max="13831" width="7.8984375" style="1570" customWidth="1"/>
    <col min="13832" max="13832" width="8" style="1570" customWidth="1"/>
    <col min="13833" max="13833" width="8.09765625" style="1570" customWidth="1"/>
    <col min="13834" max="13834" width="8" style="1570" customWidth="1"/>
    <col min="13835" max="13835" width="7.19921875" style="1570" customWidth="1"/>
    <col min="13836" max="13836" width="8.3984375" style="1570" customWidth="1"/>
    <col min="13837" max="13837" width="17.3984375" style="1570" customWidth="1"/>
    <col min="13838" max="13838" width="8.8984375" style="1570" customWidth="1"/>
    <col min="13839" max="13842" width="9" style="1570"/>
    <col min="13843" max="13843" width="33.19921875" style="1570" customWidth="1"/>
    <col min="13844" max="14080" width="9" style="1570"/>
    <col min="14081" max="14081" width="5.19921875" style="1570" customWidth="1"/>
    <col min="14082" max="14082" width="8.8984375" style="1570" customWidth="1"/>
    <col min="14083" max="14083" width="7.09765625" style="1570" customWidth="1"/>
    <col min="14084" max="14084" width="7.69921875" style="1570" customWidth="1"/>
    <col min="14085" max="14085" width="8.8984375" style="1570" customWidth="1"/>
    <col min="14086" max="14086" width="8.09765625" style="1570" customWidth="1"/>
    <col min="14087" max="14087" width="7.8984375" style="1570" customWidth="1"/>
    <col min="14088" max="14088" width="8" style="1570" customWidth="1"/>
    <col min="14089" max="14089" width="8.09765625" style="1570" customWidth="1"/>
    <col min="14090" max="14090" width="8" style="1570" customWidth="1"/>
    <col min="14091" max="14091" width="7.19921875" style="1570" customWidth="1"/>
    <col min="14092" max="14092" width="8.3984375" style="1570" customWidth="1"/>
    <col min="14093" max="14093" width="17.3984375" style="1570" customWidth="1"/>
    <col min="14094" max="14094" width="8.8984375" style="1570" customWidth="1"/>
    <col min="14095" max="14098" width="9" style="1570"/>
    <col min="14099" max="14099" width="33.19921875" style="1570" customWidth="1"/>
    <col min="14100" max="14336" width="9" style="1570"/>
    <col min="14337" max="14337" width="5.19921875" style="1570" customWidth="1"/>
    <col min="14338" max="14338" width="8.8984375" style="1570" customWidth="1"/>
    <col min="14339" max="14339" width="7.09765625" style="1570" customWidth="1"/>
    <col min="14340" max="14340" width="7.69921875" style="1570" customWidth="1"/>
    <col min="14341" max="14341" width="8.8984375" style="1570" customWidth="1"/>
    <col min="14342" max="14342" width="8.09765625" style="1570" customWidth="1"/>
    <col min="14343" max="14343" width="7.8984375" style="1570" customWidth="1"/>
    <col min="14344" max="14344" width="8" style="1570" customWidth="1"/>
    <col min="14345" max="14345" width="8.09765625" style="1570" customWidth="1"/>
    <col min="14346" max="14346" width="8" style="1570" customWidth="1"/>
    <col min="14347" max="14347" width="7.19921875" style="1570" customWidth="1"/>
    <col min="14348" max="14348" width="8.3984375" style="1570" customWidth="1"/>
    <col min="14349" max="14349" width="17.3984375" style="1570" customWidth="1"/>
    <col min="14350" max="14350" width="8.8984375" style="1570" customWidth="1"/>
    <col min="14351" max="14354" width="9" style="1570"/>
    <col min="14355" max="14355" width="33.19921875" style="1570" customWidth="1"/>
    <col min="14356" max="14592" width="9" style="1570"/>
    <col min="14593" max="14593" width="5.19921875" style="1570" customWidth="1"/>
    <col min="14594" max="14594" width="8.8984375" style="1570" customWidth="1"/>
    <col min="14595" max="14595" width="7.09765625" style="1570" customWidth="1"/>
    <col min="14596" max="14596" width="7.69921875" style="1570" customWidth="1"/>
    <col min="14597" max="14597" width="8.8984375" style="1570" customWidth="1"/>
    <col min="14598" max="14598" width="8.09765625" style="1570" customWidth="1"/>
    <col min="14599" max="14599" width="7.8984375" style="1570" customWidth="1"/>
    <col min="14600" max="14600" width="8" style="1570" customWidth="1"/>
    <col min="14601" max="14601" width="8.09765625" style="1570" customWidth="1"/>
    <col min="14602" max="14602" width="8" style="1570" customWidth="1"/>
    <col min="14603" max="14603" width="7.19921875" style="1570" customWidth="1"/>
    <col min="14604" max="14604" width="8.3984375" style="1570" customWidth="1"/>
    <col min="14605" max="14605" width="17.3984375" style="1570" customWidth="1"/>
    <col min="14606" max="14606" width="8.8984375" style="1570" customWidth="1"/>
    <col min="14607" max="14610" width="9" style="1570"/>
    <col min="14611" max="14611" width="33.19921875" style="1570" customWidth="1"/>
    <col min="14612" max="14848" width="9" style="1570"/>
    <col min="14849" max="14849" width="5.19921875" style="1570" customWidth="1"/>
    <col min="14850" max="14850" width="8.8984375" style="1570" customWidth="1"/>
    <col min="14851" max="14851" width="7.09765625" style="1570" customWidth="1"/>
    <col min="14852" max="14852" width="7.69921875" style="1570" customWidth="1"/>
    <col min="14853" max="14853" width="8.8984375" style="1570" customWidth="1"/>
    <col min="14854" max="14854" width="8.09765625" style="1570" customWidth="1"/>
    <col min="14855" max="14855" width="7.8984375" style="1570" customWidth="1"/>
    <col min="14856" max="14856" width="8" style="1570" customWidth="1"/>
    <col min="14857" max="14857" width="8.09765625" style="1570" customWidth="1"/>
    <col min="14858" max="14858" width="8" style="1570" customWidth="1"/>
    <col min="14859" max="14859" width="7.19921875" style="1570" customWidth="1"/>
    <col min="14860" max="14860" width="8.3984375" style="1570" customWidth="1"/>
    <col min="14861" max="14861" width="17.3984375" style="1570" customWidth="1"/>
    <col min="14862" max="14862" width="8.8984375" style="1570" customWidth="1"/>
    <col min="14863" max="14866" width="9" style="1570"/>
    <col min="14867" max="14867" width="33.19921875" style="1570" customWidth="1"/>
    <col min="14868" max="15104" width="9" style="1570"/>
    <col min="15105" max="15105" width="5.19921875" style="1570" customWidth="1"/>
    <col min="15106" max="15106" width="8.8984375" style="1570" customWidth="1"/>
    <col min="15107" max="15107" width="7.09765625" style="1570" customWidth="1"/>
    <col min="15108" max="15108" width="7.69921875" style="1570" customWidth="1"/>
    <col min="15109" max="15109" width="8.8984375" style="1570" customWidth="1"/>
    <col min="15110" max="15110" width="8.09765625" style="1570" customWidth="1"/>
    <col min="15111" max="15111" width="7.8984375" style="1570" customWidth="1"/>
    <col min="15112" max="15112" width="8" style="1570" customWidth="1"/>
    <col min="15113" max="15113" width="8.09765625" style="1570" customWidth="1"/>
    <col min="15114" max="15114" width="8" style="1570" customWidth="1"/>
    <col min="15115" max="15115" width="7.19921875" style="1570" customWidth="1"/>
    <col min="15116" max="15116" width="8.3984375" style="1570" customWidth="1"/>
    <col min="15117" max="15117" width="17.3984375" style="1570" customWidth="1"/>
    <col min="15118" max="15118" width="8.8984375" style="1570" customWidth="1"/>
    <col min="15119" max="15122" width="9" style="1570"/>
    <col min="15123" max="15123" width="33.19921875" style="1570" customWidth="1"/>
    <col min="15124" max="15360" width="9" style="1570"/>
    <col min="15361" max="15361" width="5.19921875" style="1570" customWidth="1"/>
    <col min="15362" max="15362" width="8.8984375" style="1570" customWidth="1"/>
    <col min="15363" max="15363" width="7.09765625" style="1570" customWidth="1"/>
    <col min="15364" max="15364" width="7.69921875" style="1570" customWidth="1"/>
    <col min="15365" max="15365" width="8.8984375" style="1570" customWidth="1"/>
    <col min="15366" max="15366" width="8.09765625" style="1570" customWidth="1"/>
    <col min="15367" max="15367" width="7.8984375" style="1570" customWidth="1"/>
    <col min="15368" max="15368" width="8" style="1570" customWidth="1"/>
    <col min="15369" max="15369" width="8.09765625" style="1570" customWidth="1"/>
    <col min="15370" max="15370" width="8" style="1570" customWidth="1"/>
    <col min="15371" max="15371" width="7.19921875" style="1570" customWidth="1"/>
    <col min="15372" max="15372" width="8.3984375" style="1570" customWidth="1"/>
    <col min="15373" max="15373" width="17.3984375" style="1570" customWidth="1"/>
    <col min="15374" max="15374" width="8.8984375" style="1570" customWidth="1"/>
    <col min="15375" max="15378" width="9" style="1570"/>
    <col min="15379" max="15379" width="33.19921875" style="1570" customWidth="1"/>
    <col min="15380" max="15616" width="9" style="1570"/>
    <col min="15617" max="15617" width="5.19921875" style="1570" customWidth="1"/>
    <col min="15618" max="15618" width="8.8984375" style="1570" customWidth="1"/>
    <col min="15619" max="15619" width="7.09765625" style="1570" customWidth="1"/>
    <col min="15620" max="15620" width="7.69921875" style="1570" customWidth="1"/>
    <col min="15621" max="15621" width="8.8984375" style="1570" customWidth="1"/>
    <col min="15622" max="15622" width="8.09765625" style="1570" customWidth="1"/>
    <col min="15623" max="15623" width="7.8984375" style="1570" customWidth="1"/>
    <col min="15624" max="15624" width="8" style="1570" customWidth="1"/>
    <col min="15625" max="15625" width="8.09765625" style="1570" customWidth="1"/>
    <col min="15626" max="15626" width="8" style="1570" customWidth="1"/>
    <col min="15627" max="15627" width="7.19921875" style="1570" customWidth="1"/>
    <col min="15628" max="15628" width="8.3984375" style="1570" customWidth="1"/>
    <col min="15629" max="15629" width="17.3984375" style="1570" customWidth="1"/>
    <col min="15630" max="15630" width="8.8984375" style="1570" customWidth="1"/>
    <col min="15631" max="15634" width="9" style="1570"/>
    <col min="15635" max="15635" width="33.19921875" style="1570" customWidth="1"/>
    <col min="15636" max="15872" width="9" style="1570"/>
    <col min="15873" max="15873" width="5.19921875" style="1570" customWidth="1"/>
    <col min="15874" max="15874" width="8.8984375" style="1570" customWidth="1"/>
    <col min="15875" max="15875" width="7.09765625" style="1570" customWidth="1"/>
    <col min="15876" max="15876" width="7.69921875" style="1570" customWidth="1"/>
    <col min="15877" max="15877" width="8.8984375" style="1570" customWidth="1"/>
    <col min="15878" max="15878" width="8.09765625" style="1570" customWidth="1"/>
    <col min="15879" max="15879" width="7.8984375" style="1570" customWidth="1"/>
    <col min="15880" max="15880" width="8" style="1570" customWidth="1"/>
    <col min="15881" max="15881" width="8.09765625" style="1570" customWidth="1"/>
    <col min="15882" max="15882" width="8" style="1570" customWidth="1"/>
    <col min="15883" max="15883" width="7.19921875" style="1570" customWidth="1"/>
    <col min="15884" max="15884" width="8.3984375" style="1570" customWidth="1"/>
    <col min="15885" max="15885" width="17.3984375" style="1570" customWidth="1"/>
    <col min="15886" max="15886" width="8.8984375" style="1570" customWidth="1"/>
    <col min="15887" max="15890" width="9" style="1570"/>
    <col min="15891" max="15891" width="33.19921875" style="1570" customWidth="1"/>
    <col min="15892" max="16128" width="9" style="1570"/>
    <col min="16129" max="16129" width="5.19921875" style="1570" customWidth="1"/>
    <col min="16130" max="16130" width="8.8984375" style="1570" customWidth="1"/>
    <col min="16131" max="16131" width="7.09765625" style="1570" customWidth="1"/>
    <col min="16132" max="16132" width="7.69921875" style="1570" customWidth="1"/>
    <col min="16133" max="16133" width="8.8984375" style="1570" customWidth="1"/>
    <col min="16134" max="16134" width="8.09765625" style="1570" customWidth="1"/>
    <col min="16135" max="16135" width="7.8984375" style="1570" customWidth="1"/>
    <col min="16136" max="16136" width="8" style="1570" customWidth="1"/>
    <col min="16137" max="16137" width="8.09765625" style="1570" customWidth="1"/>
    <col min="16138" max="16138" width="8" style="1570" customWidth="1"/>
    <col min="16139" max="16139" width="7.19921875" style="1570" customWidth="1"/>
    <col min="16140" max="16140" width="8.3984375" style="1570" customWidth="1"/>
    <col min="16141" max="16141" width="17.3984375" style="1570" customWidth="1"/>
    <col min="16142" max="16142" width="8.8984375" style="1570" customWidth="1"/>
    <col min="16143" max="16146" width="9" style="1570"/>
    <col min="16147" max="16147" width="33.19921875" style="1570" customWidth="1"/>
    <col min="16148" max="16384" width="9" style="1570"/>
  </cols>
  <sheetData>
    <row r="1" spans="1:19" ht="20.100000000000001" customHeight="1">
      <c r="A1" s="3378" t="s">
        <v>5766</v>
      </c>
      <c r="B1" s="3378"/>
      <c r="C1" s="3378"/>
      <c r="D1" s="3378"/>
      <c r="E1" s="3378"/>
      <c r="F1" s="3378"/>
      <c r="G1" s="3378"/>
      <c r="H1" s="3378"/>
      <c r="I1" s="3378"/>
      <c r="J1" s="3378"/>
      <c r="K1" s="3378"/>
      <c r="L1" s="3378"/>
      <c r="M1" s="3378"/>
      <c r="N1" s="3378"/>
      <c r="O1" s="2017"/>
    </row>
    <row r="2" spans="1:19" ht="25.5" customHeight="1">
      <c r="A2" s="3379" t="s">
        <v>5767</v>
      </c>
      <c r="B2" s="3379"/>
      <c r="C2" s="3379"/>
      <c r="D2" s="3379"/>
      <c r="E2" s="3379"/>
      <c r="F2" s="3379"/>
      <c r="G2" s="3379"/>
      <c r="H2" s="3379"/>
      <c r="I2" s="3379"/>
      <c r="J2" s="3379"/>
      <c r="K2" s="3379"/>
      <c r="L2" s="3379"/>
      <c r="M2" s="3379"/>
      <c r="N2" s="3379"/>
      <c r="O2" s="1836"/>
    </row>
    <row r="3" spans="1:19" ht="33.75" customHeight="1">
      <c r="A3" s="3377" t="s">
        <v>1854</v>
      </c>
      <c r="B3" s="3377" t="s">
        <v>666</v>
      </c>
      <c r="C3" s="3377" t="s">
        <v>16</v>
      </c>
      <c r="D3" s="3385" t="s">
        <v>5768</v>
      </c>
      <c r="E3" s="3385" t="s">
        <v>5769</v>
      </c>
      <c r="F3" s="3385" t="s">
        <v>5770</v>
      </c>
      <c r="G3" s="3377" t="s">
        <v>5771</v>
      </c>
      <c r="H3" s="3377"/>
      <c r="I3" s="3377"/>
      <c r="J3" s="3377"/>
      <c r="K3" s="3377"/>
      <c r="L3" s="3377"/>
      <c r="M3" s="3385" t="s">
        <v>5772</v>
      </c>
      <c r="N3" s="3385" t="s">
        <v>5773</v>
      </c>
      <c r="O3" s="3385" t="s">
        <v>4901</v>
      </c>
    </row>
    <row r="4" spans="1:19">
      <c r="A4" s="3377"/>
      <c r="B4" s="3377"/>
      <c r="C4" s="3377"/>
      <c r="D4" s="3385"/>
      <c r="E4" s="3385"/>
      <c r="F4" s="3385"/>
      <c r="G4" s="1892" t="s">
        <v>5774</v>
      </c>
      <c r="H4" s="1893" t="s">
        <v>1349</v>
      </c>
      <c r="I4" s="1893" t="s">
        <v>1350</v>
      </c>
      <c r="J4" s="1893" t="s">
        <v>1351</v>
      </c>
      <c r="K4" s="1893" t="s">
        <v>1352</v>
      </c>
      <c r="L4" s="1893" t="s">
        <v>1281</v>
      </c>
      <c r="M4" s="3473"/>
      <c r="N4" s="3473"/>
      <c r="O4" s="3473"/>
    </row>
    <row r="5" spans="1:19" ht="63" customHeight="1">
      <c r="A5" s="3377"/>
      <c r="B5" s="3377"/>
      <c r="C5" s="1894">
        <v>1</v>
      </c>
      <c r="D5" s="1894">
        <v>2</v>
      </c>
      <c r="E5" s="1894">
        <v>3</v>
      </c>
      <c r="F5" s="1894" t="s">
        <v>5775</v>
      </c>
      <c r="G5" s="1894">
        <v>5</v>
      </c>
      <c r="H5" s="1894">
        <v>6</v>
      </c>
      <c r="I5" s="1894">
        <v>7</v>
      </c>
      <c r="J5" s="1894">
        <v>8</v>
      </c>
      <c r="K5" s="1894">
        <v>9</v>
      </c>
      <c r="L5" s="1895" t="s">
        <v>5776</v>
      </c>
      <c r="M5" s="1896" t="s">
        <v>5777</v>
      </c>
      <c r="N5" s="1895" t="s">
        <v>5778</v>
      </c>
      <c r="O5" s="1969"/>
    </row>
    <row r="6" spans="1:19" ht="55.5" customHeight="1">
      <c r="A6" s="1893">
        <v>1</v>
      </c>
      <c r="B6" s="1893" t="s">
        <v>6631</v>
      </c>
      <c r="C6" s="1897">
        <f>税额抵免优惠审核表!C6</f>
        <v>2011</v>
      </c>
      <c r="D6" s="2074">
        <f>税额抵免优惠审核表!D6</f>
        <v>0</v>
      </c>
      <c r="E6" s="2074">
        <f>税额抵免优惠审核表!E6</f>
        <v>0</v>
      </c>
      <c r="F6" s="2074">
        <f>税额抵免优惠审核表!F6</f>
        <v>0</v>
      </c>
      <c r="G6" s="2074">
        <f>税额抵免优惠审核表!G6</f>
        <v>0</v>
      </c>
      <c r="H6" s="2074">
        <f>税额抵免优惠审核表!H6</f>
        <v>0</v>
      </c>
      <c r="I6" s="2074">
        <f>税额抵免优惠审核表!I6</f>
        <v>0</v>
      </c>
      <c r="J6" s="2074">
        <f>税额抵免优惠审核表!J6</f>
        <v>0</v>
      </c>
      <c r="K6" s="2074">
        <f>税额抵免优惠审核表!K6</f>
        <v>0</v>
      </c>
      <c r="L6" s="2074">
        <f>税额抵免优惠审核表!L6</f>
        <v>0</v>
      </c>
      <c r="M6" s="2074">
        <f>税额抵免优惠审核表!M6</f>
        <v>0</v>
      </c>
      <c r="N6" s="1963" t="s">
        <v>1860</v>
      </c>
      <c r="O6" s="1980" t="s">
        <v>5779</v>
      </c>
      <c r="S6" s="1575"/>
    </row>
    <row r="7" spans="1:19">
      <c r="A7" s="1893">
        <v>2</v>
      </c>
      <c r="B7" s="1893" t="s">
        <v>1349</v>
      </c>
      <c r="C7" s="1897">
        <f>税额抵免优惠审核表!C7</f>
        <v>2012</v>
      </c>
      <c r="D7" s="2074">
        <f>税额抵免优惠审核表!D7</f>
        <v>0</v>
      </c>
      <c r="E7" s="2074">
        <f>税额抵免优惠审核表!E7</f>
        <v>0</v>
      </c>
      <c r="F7" s="2074">
        <f>税额抵免优惠审核表!F7</f>
        <v>0</v>
      </c>
      <c r="G7" s="1963" t="s">
        <v>1860</v>
      </c>
      <c r="H7" s="2074">
        <f>税额抵免优惠审核表!H7</f>
        <v>0</v>
      </c>
      <c r="I7" s="2074">
        <f>税额抵免优惠审核表!I7</f>
        <v>0</v>
      </c>
      <c r="J7" s="2074">
        <f>税额抵免优惠审核表!J7</f>
        <v>0</v>
      </c>
      <c r="K7" s="2074">
        <f>税额抵免优惠审核表!K7</f>
        <v>0</v>
      </c>
      <c r="L7" s="2074">
        <f>税额抵免优惠审核表!L7</f>
        <v>0</v>
      </c>
      <c r="M7" s="2074">
        <f>税额抵免优惠审核表!M7</f>
        <v>0</v>
      </c>
      <c r="N7" s="2074">
        <f>税额抵免优惠审核表!N7</f>
        <v>0</v>
      </c>
      <c r="O7" s="1976"/>
      <c r="P7" s="1675" t="s">
        <v>6477</v>
      </c>
    </row>
    <row r="8" spans="1:19">
      <c r="A8" s="1893">
        <v>3</v>
      </c>
      <c r="B8" s="1893" t="s">
        <v>1350</v>
      </c>
      <c r="C8" s="1897">
        <f>税额抵免优惠审核表!C8</f>
        <v>2013</v>
      </c>
      <c r="D8" s="2074">
        <f>税额抵免优惠审核表!D8</f>
        <v>0</v>
      </c>
      <c r="E8" s="2074">
        <f>税额抵免优惠审核表!E8</f>
        <v>0</v>
      </c>
      <c r="F8" s="2074">
        <f>税额抵免优惠审核表!F8</f>
        <v>0</v>
      </c>
      <c r="G8" s="1963" t="s">
        <v>1860</v>
      </c>
      <c r="H8" s="2070" t="s">
        <v>1860</v>
      </c>
      <c r="I8" s="2074">
        <f>税额抵免优惠审核表!I8</f>
        <v>0</v>
      </c>
      <c r="J8" s="2074">
        <f>税额抵免优惠审核表!J8</f>
        <v>0</v>
      </c>
      <c r="K8" s="2074">
        <f>税额抵免优惠审核表!K8</f>
        <v>0</v>
      </c>
      <c r="L8" s="2074">
        <f>税额抵免优惠审核表!L8</f>
        <v>0</v>
      </c>
      <c r="M8" s="2074">
        <f>税额抵免优惠审核表!M8</f>
        <v>0</v>
      </c>
      <c r="N8" s="2074">
        <f>税额抵免优惠审核表!N8</f>
        <v>0</v>
      </c>
      <c r="O8" s="1976"/>
    </row>
    <row r="9" spans="1:19">
      <c r="A9" s="1893">
        <v>4</v>
      </c>
      <c r="B9" s="1893" t="s">
        <v>1351</v>
      </c>
      <c r="C9" s="1897">
        <f>税额抵免优惠审核表!C9</f>
        <v>2014</v>
      </c>
      <c r="D9" s="2074">
        <f>税额抵免优惠审核表!D9</f>
        <v>0</v>
      </c>
      <c r="E9" s="2074">
        <f>税额抵免优惠审核表!E9</f>
        <v>0</v>
      </c>
      <c r="F9" s="2074">
        <f>税额抵免优惠审核表!F9</f>
        <v>0</v>
      </c>
      <c r="G9" s="1963" t="s">
        <v>1860</v>
      </c>
      <c r="H9" s="2070" t="s">
        <v>1860</v>
      </c>
      <c r="I9" s="1963" t="s">
        <v>1860</v>
      </c>
      <c r="J9" s="2074">
        <f>税额抵免优惠审核表!J9</f>
        <v>0</v>
      </c>
      <c r="K9" s="2074">
        <f>税额抵免优惠审核表!K9</f>
        <v>0</v>
      </c>
      <c r="L9" s="2074">
        <f>税额抵免优惠审核表!L9</f>
        <v>0</v>
      </c>
      <c r="M9" s="2074">
        <f>税额抵免优惠审核表!M9</f>
        <v>0</v>
      </c>
      <c r="N9" s="2074">
        <f>税额抵免优惠审核表!N9</f>
        <v>0</v>
      </c>
      <c r="O9" s="1976"/>
    </row>
    <row r="10" spans="1:19">
      <c r="A10" s="1893">
        <v>5</v>
      </c>
      <c r="B10" s="1893" t="s">
        <v>1352</v>
      </c>
      <c r="C10" s="1897">
        <f>税额抵免优惠审核表!C10</f>
        <v>2015</v>
      </c>
      <c r="D10" s="2074">
        <f>税额抵免优惠审核表!D10</f>
        <v>0</v>
      </c>
      <c r="E10" s="2074">
        <f>税额抵免优惠审核表!E10</f>
        <v>0</v>
      </c>
      <c r="F10" s="2074">
        <f>税额抵免优惠审核表!F10</f>
        <v>0</v>
      </c>
      <c r="G10" s="1963" t="s">
        <v>1860</v>
      </c>
      <c r="H10" s="2070" t="s">
        <v>1860</v>
      </c>
      <c r="I10" s="1963" t="s">
        <v>1860</v>
      </c>
      <c r="J10" s="1963" t="s">
        <v>1860</v>
      </c>
      <c r="K10" s="2074">
        <f>税额抵免优惠审核表!K10</f>
        <v>0</v>
      </c>
      <c r="L10" s="2074">
        <f>税额抵免优惠审核表!L10</f>
        <v>0</v>
      </c>
      <c r="M10" s="2074">
        <f>税额抵免优惠审核表!M10</f>
        <v>0</v>
      </c>
      <c r="N10" s="2074">
        <f>税额抵免优惠审核表!N10</f>
        <v>0</v>
      </c>
      <c r="O10" s="1976"/>
    </row>
    <row r="11" spans="1:19">
      <c r="A11" s="1893">
        <v>6</v>
      </c>
      <c r="B11" s="1893" t="s">
        <v>5485</v>
      </c>
      <c r="C11" s="1897">
        <f>税额抵免优惠审核表!C11</f>
        <v>2016</v>
      </c>
      <c r="D11" s="2074">
        <f ca="1">税额抵免优惠审核表!D11</f>
        <v>0</v>
      </c>
      <c r="E11" s="2074">
        <f>税额抵免优惠审核表!E11</f>
        <v>0</v>
      </c>
      <c r="F11" s="2074">
        <f>税额抵免优惠审核表!F11</f>
        <v>0</v>
      </c>
      <c r="G11" s="1963" t="s">
        <v>1860</v>
      </c>
      <c r="H11" s="1963" t="s">
        <v>1860</v>
      </c>
      <c r="I11" s="1963" t="s">
        <v>1860</v>
      </c>
      <c r="J11" s="1963" t="s">
        <v>1860</v>
      </c>
      <c r="K11" s="1963" t="s">
        <v>1860</v>
      </c>
      <c r="L11" s="1963" t="s">
        <v>1867</v>
      </c>
      <c r="M11" s="2074">
        <f ca="1">税额抵免优惠审核表!M11</f>
        <v>0</v>
      </c>
      <c r="N11" s="2074">
        <f ca="1">税额抵免优惠审核表!N11</f>
        <v>0</v>
      </c>
      <c r="O11" s="1976"/>
      <c r="P11" s="1675"/>
    </row>
    <row r="12" spans="1:19" ht="23.25" customHeight="1">
      <c r="A12" s="1893">
        <v>7</v>
      </c>
      <c r="B12" s="3475" t="s">
        <v>5780</v>
      </c>
      <c r="C12" s="3475"/>
      <c r="D12" s="3475"/>
      <c r="E12" s="3475"/>
      <c r="F12" s="3475"/>
      <c r="G12" s="3475"/>
      <c r="H12" s="3475"/>
      <c r="I12" s="3475"/>
      <c r="J12" s="3475"/>
      <c r="K12" s="3475"/>
      <c r="L12" s="3475"/>
      <c r="M12" s="2074">
        <f ca="1">税额抵免优惠审核表!M12</f>
        <v>0</v>
      </c>
      <c r="N12" s="1963" t="s">
        <v>1860</v>
      </c>
      <c r="O12" s="1980" t="s">
        <v>5781</v>
      </c>
    </row>
    <row r="13" spans="1:19">
      <c r="A13" s="1893">
        <v>8</v>
      </c>
      <c r="B13" s="3475" t="s">
        <v>5782</v>
      </c>
      <c r="C13" s="3475"/>
      <c r="D13" s="3475"/>
      <c r="E13" s="3475"/>
      <c r="F13" s="3475"/>
      <c r="G13" s="3475"/>
      <c r="H13" s="3475"/>
      <c r="I13" s="3475"/>
      <c r="J13" s="3475"/>
      <c r="K13" s="3475"/>
      <c r="L13" s="3475"/>
      <c r="M13" s="3475"/>
      <c r="N13" s="2074">
        <f ca="1">税额抵免优惠审核表!N13</f>
        <v>0</v>
      </c>
      <c r="O13" s="1976"/>
    </row>
    <row r="14" spans="1:19">
      <c r="A14" s="1893">
        <v>9</v>
      </c>
      <c r="B14" s="3385" t="s">
        <v>5783</v>
      </c>
      <c r="C14" s="3476" t="s">
        <v>5784</v>
      </c>
      <c r="D14" s="3476"/>
      <c r="E14" s="3476"/>
      <c r="F14" s="3476"/>
      <c r="G14" s="3476"/>
      <c r="H14" s="3476"/>
      <c r="I14" s="3476"/>
      <c r="J14" s="3476"/>
      <c r="K14" s="3488">
        <f>税额抵免优惠审核表!K14</f>
        <v>0</v>
      </c>
      <c r="L14" s="3488"/>
      <c r="M14" s="3488"/>
      <c r="N14" s="3488"/>
      <c r="O14" s="1976"/>
    </row>
    <row r="15" spans="1:19">
      <c r="A15" s="1893">
        <v>10</v>
      </c>
      <c r="B15" s="3377"/>
      <c r="C15" s="3476" t="s">
        <v>5785</v>
      </c>
      <c r="D15" s="3476"/>
      <c r="E15" s="3476"/>
      <c r="F15" s="3476"/>
      <c r="G15" s="3476"/>
      <c r="H15" s="3476"/>
      <c r="I15" s="3476"/>
      <c r="J15" s="3476"/>
      <c r="K15" s="3488">
        <f>税额抵免优惠审核表!K15</f>
        <v>0</v>
      </c>
      <c r="L15" s="3488"/>
      <c r="M15" s="3488"/>
      <c r="N15" s="3488"/>
      <c r="O15" s="1976"/>
    </row>
    <row r="16" spans="1:19">
      <c r="A16" s="1893">
        <v>11</v>
      </c>
      <c r="B16" s="3377"/>
      <c r="C16" s="3476" t="s">
        <v>5786</v>
      </c>
      <c r="D16" s="3476"/>
      <c r="E16" s="3476"/>
      <c r="F16" s="3476"/>
      <c r="G16" s="3476"/>
      <c r="H16" s="3476"/>
      <c r="I16" s="3476"/>
      <c r="J16" s="3476"/>
      <c r="K16" s="3488">
        <f>税额抵免优惠审核表!K16</f>
        <v>0</v>
      </c>
      <c r="L16" s="3488"/>
      <c r="M16" s="3488"/>
      <c r="N16" s="3488"/>
      <c r="O16" s="1976"/>
    </row>
  </sheetData>
  <mergeCells count="21">
    <mergeCell ref="K16:N16"/>
    <mergeCell ref="N3:N4"/>
    <mergeCell ref="O3:O4"/>
    <mergeCell ref="B12:L12"/>
    <mergeCell ref="B13:M13"/>
    <mergeCell ref="B14:B16"/>
    <mergeCell ref="C14:J14"/>
    <mergeCell ref="K14:N14"/>
    <mergeCell ref="C15:J15"/>
    <mergeCell ref="K15:N15"/>
    <mergeCell ref="C16:J16"/>
    <mergeCell ref="A1:N1"/>
    <mergeCell ref="A2:N2"/>
    <mergeCell ref="A3:A5"/>
    <mergeCell ref="B3:B5"/>
    <mergeCell ref="C3:C4"/>
    <mergeCell ref="D3:D4"/>
    <mergeCell ref="E3:E4"/>
    <mergeCell ref="F3:F4"/>
    <mergeCell ref="G3:L3"/>
    <mergeCell ref="M3:M4"/>
  </mergeCells>
  <phoneticPr fontId="51" type="noConversion"/>
  <hyperlinks>
    <hyperlink ref="P7" location="税额抵免优惠审核表!A1" display="税额抵免优惠审核表!A1"/>
  </hyperlinks>
  <printOptions horizontalCentered="1"/>
  <pageMargins left="0.78740157480314998" right="0.35433070866141703" top="0.511811023622047" bottom="0.11811023622047198" header="0.511811023622047" footer="0.511811023622047"/>
  <pageSetup paperSize="9" orientation="landscape" r:id="rId1"/>
  <headerFooter alignWithMargins="0"/>
</worksheet>
</file>

<file path=xl/worksheets/sheet15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50">
    <tabColor rgb="FFFFFF00"/>
  </sheetPr>
  <dimension ref="A1:U22"/>
  <sheetViews>
    <sheetView workbookViewId="0">
      <selection activeCell="A2" sqref="A2:T2"/>
    </sheetView>
  </sheetViews>
  <sheetFormatPr defaultColWidth="8.69921875" defaultRowHeight="13.2"/>
  <cols>
    <col min="1" max="1" width="5.19921875" style="1617" customWidth="1"/>
    <col min="2" max="2" width="9.3984375" style="1617" customWidth="1"/>
    <col min="3" max="20" width="10.19921875" style="1617" customWidth="1"/>
    <col min="21" max="256" width="8.69921875" style="1617"/>
    <col min="257" max="257" width="5.19921875" style="1617" customWidth="1"/>
    <col min="258" max="258" width="11.8984375" style="1617" customWidth="1"/>
    <col min="259" max="259" width="5.19921875" style="1617" customWidth="1"/>
    <col min="260" max="260" width="5.8984375" style="1617" customWidth="1"/>
    <col min="261" max="261" width="6.19921875" style="1617" customWidth="1"/>
    <col min="262" max="263" width="5.19921875" style="1617" customWidth="1"/>
    <col min="264" max="264" width="6.09765625" style="1617" customWidth="1"/>
    <col min="265" max="268" width="5.19921875" style="1617" customWidth="1"/>
    <col min="269" max="269" width="8.09765625" style="1617" customWidth="1"/>
    <col min="270" max="272" width="6.09765625" style="1617" customWidth="1"/>
    <col min="273" max="274" width="5.19921875" style="1617" customWidth="1"/>
    <col min="275" max="275" width="6.59765625" style="1617" customWidth="1"/>
    <col min="276" max="276" width="6.09765625" style="1617" customWidth="1"/>
    <col min="277" max="512" width="8.69921875" style="1617"/>
    <col min="513" max="513" width="5.19921875" style="1617" customWidth="1"/>
    <col min="514" max="514" width="11.8984375" style="1617" customWidth="1"/>
    <col min="515" max="515" width="5.19921875" style="1617" customWidth="1"/>
    <col min="516" max="516" width="5.8984375" style="1617" customWidth="1"/>
    <col min="517" max="517" width="6.19921875" style="1617" customWidth="1"/>
    <col min="518" max="519" width="5.19921875" style="1617" customWidth="1"/>
    <col min="520" max="520" width="6.09765625" style="1617" customWidth="1"/>
    <col min="521" max="524" width="5.19921875" style="1617" customWidth="1"/>
    <col min="525" max="525" width="8.09765625" style="1617" customWidth="1"/>
    <col min="526" max="528" width="6.09765625" style="1617" customWidth="1"/>
    <col min="529" max="530" width="5.19921875" style="1617" customWidth="1"/>
    <col min="531" max="531" width="6.59765625" style="1617" customWidth="1"/>
    <col min="532" max="532" width="6.09765625" style="1617" customWidth="1"/>
    <col min="533" max="768" width="8.69921875" style="1617"/>
    <col min="769" max="769" width="5.19921875" style="1617" customWidth="1"/>
    <col min="770" max="770" width="11.8984375" style="1617" customWidth="1"/>
    <col min="771" max="771" width="5.19921875" style="1617" customWidth="1"/>
    <col min="772" max="772" width="5.8984375" style="1617" customWidth="1"/>
    <col min="773" max="773" width="6.19921875" style="1617" customWidth="1"/>
    <col min="774" max="775" width="5.19921875" style="1617" customWidth="1"/>
    <col min="776" max="776" width="6.09765625" style="1617" customWidth="1"/>
    <col min="777" max="780" width="5.19921875" style="1617" customWidth="1"/>
    <col min="781" max="781" width="8.09765625" style="1617" customWidth="1"/>
    <col min="782" max="784" width="6.09765625" style="1617" customWidth="1"/>
    <col min="785" max="786" width="5.19921875" style="1617" customWidth="1"/>
    <col min="787" max="787" width="6.59765625" style="1617" customWidth="1"/>
    <col min="788" max="788" width="6.09765625" style="1617" customWidth="1"/>
    <col min="789" max="1024" width="8.69921875" style="1617"/>
    <col min="1025" max="1025" width="5.19921875" style="1617" customWidth="1"/>
    <col min="1026" max="1026" width="11.8984375" style="1617" customWidth="1"/>
    <col min="1027" max="1027" width="5.19921875" style="1617" customWidth="1"/>
    <col min="1028" max="1028" width="5.8984375" style="1617" customWidth="1"/>
    <col min="1029" max="1029" width="6.19921875" style="1617" customWidth="1"/>
    <col min="1030" max="1031" width="5.19921875" style="1617" customWidth="1"/>
    <col min="1032" max="1032" width="6.09765625" style="1617" customWidth="1"/>
    <col min="1033" max="1036" width="5.19921875" style="1617" customWidth="1"/>
    <col min="1037" max="1037" width="8.09765625" style="1617" customWidth="1"/>
    <col min="1038" max="1040" width="6.09765625" style="1617" customWidth="1"/>
    <col min="1041" max="1042" width="5.19921875" style="1617" customWidth="1"/>
    <col min="1043" max="1043" width="6.59765625" style="1617" customWidth="1"/>
    <col min="1044" max="1044" width="6.09765625" style="1617" customWidth="1"/>
    <col min="1045" max="1280" width="8.69921875" style="1617"/>
    <col min="1281" max="1281" width="5.19921875" style="1617" customWidth="1"/>
    <col min="1282" max="1282" width="11.8984375" style="1617" customWidth="1"/>
    <col min="1283" max="1283" width="5.19921875" style="1617" customWidth="1"/>
    <col min="1284" max="1284" width="5.8984375" style="1617" customWidth="1"/>
    <col min="1285" max="1285" width="6.19921875" style="1617" customWidth="1"/>
    <col min="1286" max="1287" width="5.19921875" style="1617" customWidth="1"/>
    <col min="1288" max="1288" width="6.09765625" style="1617" customWidth="1"/>
    <col min="1289" max="1292" width="5.19921875" style="1617" customWidth="1"/>
    <col min="1293" max="1293" width="8.09765625" style="1617" customWidth="1"/>
    <col min="1294" max="1296" width="6.09765625" style="1617" customWidth="1"/>
    <col min="1297" max="1298" width="5.19921875" style="1617" customWidth="1"/>
    <col min="1299" max="1299" width="6.59765625" style="1617" customWidth="1"/>
    <col min="1300" max="1300" width="6.09765625" style="1617" customWidth="1"/>
    <col min="1301" max="1536" width="8.69921875" style="1617"/>
    <col min="1537" max="1537" width="5.19921875" style="1617" customWidth="1"/>
    <col min="1538" max="1538" width="11.8984375" style="1617" customWidth="1"/>
    <col min="1539" max="1539" width="5.19921875" style="1617" customWidth="1"/>
    <col min="1540" max="1540" width="5.8984375" style="1617" customWidth="1"/>
    <col min="1541" max="1541" width="6.19921875" style="1617" customWidth="1"/>
    <col min="1542" max="1543" width="5.19921875" style="1617" customWidth="1"/>
    <col min="1544" max="1544" width="6.09765625" style="1617" customWidth="1"/>
    <col min="1545" max="1548" width="5.19921875" style="1617" customWidth="1"/>
    <col min="1549" max="1549" width="8.09765625" style="1617" customWidth="1"/>
    <col min="1550" max="1552" width="6.09765625" style="1617" customWidth="1"/>
    <col min="1553" max="1554" width="5.19921875" style="1617" customWidth="1"/>
    <col min="1555" max="1555" width="6.59765625" style="1617" customWidth="1"/>
    <col min="1556" max="1556" width="6.09765625" style="1617" customWidth="1"/>
    <col min="1557" max="1792" width="8.69921875" style="1617"/>
    <col min="1793" max="1793" width="5.19921875" style="1617" customWidth="1"/>
    <col min="1794" max="1794" width="11.8984375" style="1617" customWidth="1"/>
    <col min="1795" max="1795" width="5.19921875" style="1617" customWidth="1"/>
    <col min="1796" max="1796" width="5.8984375" style="1617" customWidth="1"/>
    <col min="1797" max="1797" width="6.19921875" style="1617" customWidth="1"/>
    <col min="1798" max="1799" width="5.19921875" style="1617" customWidth="1"/>
    <col min="1800" max="1800" width="6.09765625" style="1617" customWidth="1"/>
    <col min="1801" max="1804" width="5.19921875" style="1617" customWidth="1"/>
    <col min="1805" max="1805" width="8.09765625" style="1617" customWidth="1"/>
    <col min="1806" max="1808" width="6.09765625" style="1617" customWidth="1"/>
    <col min="1809" max="1810" width="5.19921875" style="1617" customWidth="1"/>
    <col min="1811" max="1811" width="6.59765625" style="1617" customWidth="1"/>
    <col min="1812" max="1812" width="6.09765625" style="1617" customWidth="1"/>
    <col min="1813" max="2048" width="8.69921875" style="1617"/>
    <col min="2049" max="2049" width="5.19921875" style="1617" customWidth="1"/>
    <col min="2050" max="2050" width="11.8984375" style="1617" customWidth="1"/>
    <col min="2051" max="2051" width="5.19921875" style="1617" customWidth="1"/>
    <col min="2052" max="2052" width="5.8984375" style="1617" customWidth="1"/>
    <col min="2053" max="2053" width="6.19921875" style="1617" customWidth="1"/>
    <col min="2054" max="2055" width="5.19921875" style="1617" customWidth="1"/>
    <col min="2056" max="2056" width="6.09765625" style="1617" customWidth="1"/>
    <col min="2057" max="2060" width="5.19921875" style="1617" customWidth="1"/>
    <col min="2061" max="2061" width="8.09765625" style="1617" customWidth="1"/>
    <col min="2062" max="2064" width="6.09765625" style="1617" customWidth="1"/>
    <col min="2065" max="2066" width="5.19921875" style="1617" customWidth="1"/>
    <col min="2067" max="2067" width="6.59765625" style="1617" customWidth="1"/>
    <col min="2068" max="2068" width="6.09765625" style="1617" customWidth="1"/>
    <col min="2069" max="2304" width="8.69921875" style="1617"/>
    <col min="2305" max="2305" width="5.19921875" style="1617" customWidth="1"/>
    <col min="2306" max="2306" width="11.8984375" style="1617" customWidth="1"/>
    <col min="2307" max="2307" width="5.19921875" style="1617" customWidth="1"/>
    <col min="2308" max="2308" width="5.8984375" style="1617" customWidth="1"/>
    <col min="2309" max="2309" width="6.19921875" style="1617" customWidth="1"/>
    <col min="2310" max="2311" width="5.19921875" style="1617" customWidth="1"/>
    <col min="2312" max="2312" width="6.09765625" style="1617" customWidth="1"/>
    <col min="2313" max="2316" width="5.19921875" style="1617" customWidth="1"/>
    <col min="2317" max="2317" width="8.09765625" style="1617" customWidth="1"/>
    <col min="2318" max="2320" width="6.09765625" style="1617" customWidth="1"/>
    <col min="2321" max="2322" width="5.19921875" style="1617" customWidth="1"/>
    <col min="2323" max="2323" width="6.59765625" style="1617" customWidth="1"/>
    <col min="2324" max="2324" width="6.09765625" style="1617" customWidth="1"/>
    <col min="2325" max="2560" width="8.69921875" style="1617"/>
    <col min="2561" max="2561" width="5.19921875" style="1617" customWidth="1"/>
    <col min="2562" max="2562" width="11.8984375" style="1617" customWidth="1"/>
    <col min="2563" max="2563" width="5.19921875" style="1617" customWidth="1"/>
    <col min="2564" max="2564" width="5.8984375" style="1617" customWidth="1"/>
    <col min="2565" max="2565" width="6.19921875" style="1617" customWidth="1"/>
    <col min="2566" max="2567" width="5.19921875" style="1617" customWidth="1"/>
    <col min="2568" max="2568" width="6.09765625" style="1617" customWidth="1"/>
    <col min="2569" max="2572" width="5.19921875" style="1617" customWidth="1"/>
    <col min="2573" max="2573" width="8.09765625" style="1617" customWidth="1"/>
    <col min="2574" max="2576" width="6.09765625" style="1617" customWidth="1"/>
    <col min="2577" max="2578" width="5.19921875" style="1617" customWidth="1"/>
    <col min="2579" max="2579" width="6.59765625" style="1617" customWidth="1"/>
    <col min="2580" max="2580" width="6.09765625" style="1617" customWidth="1"/>
    <col min="2581" max="2816" width="8.69921875" style="1617"/>
    <col min="2817" max="2817" width="5.19921875" style="1617" customWidth="1"/>
    <col min="2818" max="2818" width="11.8984375" style="1617" customWidth="1"/>
    <col min="2819" max="2819" width="5.19921875" style="1617" customWidth="1"/>
    <col min="2820" max="2820" width="5.8984375" style="1617" customWidth="1"/>
    <col min="2821" max="2821" width="6.19921875" style="1617" customWidth="1"/>
    <col min="2822" max="2823" width="5.19921875" style="1617" customWidth="1"/>
    <col min="2824" max="2824" width="6.09765625" style="1617" customWidth="1"/>
    <col min="2825" max="2828" width="5.19921875" style="1617" customWidth="1"/>
    <col min="2829" max="2829" width="8.09765625" style="1617" customWidth="1"/>
    <col min="2830" max="2832" width="6.09765625" style="1617" customWidth="1"/>
    <col min="2833" max="2834" width="5.19921875" style="1617" customWidth="1"/>
    <col min="2835" max="2835" width="6.59765625" style="1617" customWidth="1"/>
    <col min="2836" max="2836" width="6.09765625" style="1617" customWidth="1"/>
    <col min="2837" max="3072" width="8.69921875" style="1617"/>
    <col min="3073" max="3073" width="5.19921875" style="1617" customWidth="1"/>
    <col min="3074" max="3074" width="11.8984375" style="1617" customWidth="1"/>
    <col min="3075" max="3075" width="5.19921875" style="1617" customWidth="1"/>
    <col min="3076" max="3076" width="5.8984375" style="1617" customWidth="1"/>
    <col min="3077" max="3077" width="6.19921875" style="1617" customWidth="1"/>
    <col min="3078" max="3079" width="5.19921875" style="1617" customWidth="1"/>
    <col min="3080" max="3080" width="6.09765625" style="1617" customWidth="1"/>
    <col min="3081" max="3084" width="5.19921875" style="1617" customWidth="1"/>
    <col min="3085" max="3085" width="8.09765625" style="1617" customWidth="1"/>
    <col min="3086" max="3088" width="6.09765625" style="1617" customWidth="1"/>
    <col min="3089" max="3090" width="5.19921875" style="1617" customWidth="1"/>
    <col min="3091" max="3091" width="6.59765625" style="1617" customWidth="1"/>
    <col min="3092" max="3092" width="6.09765625" style="1617" customWidth="1"/>
    <col min="3093" max="3328" width="8.69921875" style="1617"/>
    <col min="3329" max="3329" width="5.19921875" style="1617" customWidth="1"/>
    <col min="3330" max="3330" width="11.8984375" style="1617" customWidth="1"/>
    <col min="3331" max="3331" width="5.19921875" style="1617" customWidth="1"/>
    <col min="3332" max="3332" width="5.8984375" style="1617" customWidth="1"/>
    <col min="3333" max="3333" width="6.19921875" style="1617" customWidth="1"/>
    <col min="3334" max="3335" width="5.19921875" style="1617" customWidth="1"/>
    <col min="3336" max="3336" width="6.09765625" style="1617" customWidth="1"/>
    <col min="3337" max="3340" width="5.19921875" style="1617" customWidth="1"/>
    <col min="3341" max="3341" width="8.09765625" style="1617" customWidth="1"/>
    <col min="3342" max="3344" width="6.09765625" style="1617" customWidth="1"/>
    <col min="3345" max="3346" width="5.19921875" style="1617" customWidth="1"/>
    <col min="3347" max="3347" width="6.59765625" style="1617" customWidth="1"/>
    <col min="3348" max="3348" width="6.09765625" style="1617" customWidth="1"/>
    <col min="3349" max="3584" width="8.69921875" style="1617"/>
    <col min="3585" max="3585" width="5.19921875" style="1617" customWidth="1"/>
    <col min="3586" max="3586" width="11.8984375" style="1617" customWidth="1"/>
    <col min="3587" max="3587" width="5.19921875" style="1617" customWidth="1"/>
    <col min="3588" max="3588" width="5.8984375" style="1617" customWidth="1"/>
    <col min="3589" max="3589" width="6.19921875" style="1617" customWidth="1"/>
    <col min="3590" max="3591" width="5.19921875" style="1617" customWidth="1"/>
    <col min="3592" max="3592" width="6.09765625" style="1617" customWidth="1"/>
    <col min="3593" max="3596" width="5.19921875" style="1617" customWidth="1"/>
    <col min="3597" max="3597" width="8.09765625" style="1617" customWidth="1"/>
    <col min="3598" max="3600" width="6.09765625" style="1617" customWidth="1"/>
    <col min="3601" max="3602" width="5.19921875" style="1617" customWidth="1"/>
    <col min="3603" max="3603" width="6.59765625" style="1617" customWidth="1"/>
    <col min="3604" max="3604" width="6.09765625" style="1617" customWidth="1"/>
    <col min="3605" max="3840" width="8.69921875" style="1617"/>
    <col min="3841" max="3841" width="5.19921875" style="1617" customWidth="1"/>
    <col min="3842" max="3842" width="11.8984375" style="1617" customWidth="1"/>
    <col min="3843" max="3843" width="5.19921875" style="1617" customWidth="1"/>
    <col min="3844" max="3844" width="5.8984375" style="1617" customWidth="1"/>
    <col min="3845" max="3845" width="6.19921875" style="1617" customWidth="1"/>
    <col min="3846" max="3847" width="5.19921875" style="1617" customWidth="1"/>
    <col min="3848" max="3848" width="6.09765625" style="1617" customWidth="1"/>
    <col min="3849" max="3852" width="5.19921875" style="1617" customWidth="1"/>
    <col min="3853" max="3853" width="8.09765625" style="1617" customWidth="1"/>
    <col min="3854" max="3856" width="6.09765625" style="1617" customWidth="1"/>
    <col min="3857" max="3858" width="5.19921875" style="1617" customWidth="1"/>
    <col min="3859" max="3859" width="6.59765625" style="1617" customWidth="1"/>
    <col min="3860" max="3860" width="6.09765625" style="1617" customWidth="1"/>
    <col min="3861" max="4096" width="8.69921875" style="1617"/>
    <col min="4097" max="4097" width="5.19921875" style="1617" customWidth="1"/>
    <col min="4098" max="4098" width="11.8984375" style="1617" customWidth="1"/>
    <col min="4099" max="4099" width="5.19921875" style="1617" customWidth="1"/>
    <col min="4100" max="4100" width="5.8984375" style="1617" customWidth="1"/>
    <col min="4101" max="4101" width="6.19921875" style="1617" customWidth="1"/>
    <col min="4102" max="4103" width="5.19921875" style="1617" customWidth="1"/>
    <col min="4104" max="4104" width="6.09765625" style="1617" customWidth="1"/>
    <col min="4105" max="4108" width="5.19921875" style="1617" customWidth="1"/>
    <col min="4109" max="4109" width="8.09765625" style="1617" customWidth="1"/>
    <col min="4110" max="4112" width="6.09765625" style="1617" customWidth="1"/>
    <col min="4113" max="4114" width="5.19921875" style="1617" customWidth="1"/>
    <col min="4115" max="4115" width="6.59765625" style="1617" customWidth="1"/>
    <col min="4116" max="4116" width="6.09765625" style="1617" customWidth="1"/>
    <col min="4117" max="4352" width="8.69921875" style="1617"/>
    <col min="4353" max="4353" width="5.19921875" style="1617" customWidth="1"/>
    <col min="4354" max="4354" width="11.8984375" style="1617" customWidth="1"/>
    <col min="4355" max="4355" width="5.19921875" style="1617" customWidth="1"/>
    <col min="4356" max="4356" width="5.8984375" style="1617" customWidth="1"/>
    <col min="4357" max="4357" width="6.19921875" style="1617" customWidth="1"/>
    <col min="4358" max="4359" width="5.19921875" style="1617" customWidth="1"/>
    <col min="4360" max="4360" width="6.09765625" style="1617" customWidth="1"/>
    <col min="4361" max="4364" width="5.19921875" style="1617" customWidth="1"/>
    <col min="4365" max="4365" width="8.09765625" style="1617" customWidth="1"/>
    <col min="4366" max="4368" width="6.09765625" style="1617" customWidth="1"/>
    <col min="4369" max="4370" width="5.19921875" style="1617" customWidth="1"/>
    <col min="4371" max="4371" width="6.59765625" style="1617" customWidth="1"/>
    <col min="4372" max="4372" width="6.09765625" style="1617" customWidth="1"/>
    <col min="4373" max="4608" width="8.69921875" style="1617"/>
    <col min="4609" max="4609" width="5.19921875" style="1617" customWidth="1"/>
    <col min="4610" max="4610" width="11.8984375" style="1617" customWidth="1"/>
    <col min="4611" max="4611" width="5.19921875" style="1617" customWidth="1"/>
    <col min="4612" max="4612" width="5.8984375" style="1617" customWidth="1"/>
    <col min="4613" max="4613" width="6.19921875" style="1617" customWidth="1"/>
    <col min="4614" max="4615" width="5.19921875" style="1617" customWidth="1"/>
    <col min="4616" max="4616" width="6.09765625" style="1617" customWidth="1"/>
    <col min="4617" max="4620" width="5.19921875" style="1617" customWidth="1"/>
    <col min="4621" max="4621" width="8.09765625" style="1617" customWidth="1"/>
    <col min="4622" max="4624" width="6.09765625" style="1617" customWidth="1"/>
    <col min="4625" max="4626" width="5.19921875" style="1617" customWidth="1"/>
    <col min="4627" max="4627" width="6.59765625" style="1617" customWidth="1"/>
    <col min="4628" max="4628" width="6.09765625" style="1617" customWidth="1"/>
    <col min="4629" max="4864" width="8.69921875" style="1617"/>
    <col min="4865" max="4865" width="5.19921875" style="1617" customWidth="1"/>
    <col min="4866" max="4866" width="11.8984375" style="1617" customWidth="1"/>
    <col min="4867" max="4867" width="5.19921875" style="1617" customWidth="1"/>
    <col min="4868" max="4868" width="5.8984375" style="1617" customWidth="1"/>
    <col min="4869" max="4869" width="6.19921875" style="1617" customWidth="1"/>
    <col min="4870" max="4871" width="5.19921875" style="1617" customWidth="1"/>
    <col min="4872" max="4872" width="6.09765625" style="1617" customWidth="1"/>
    <col min="4873" max="4876" width="5.19921875" style="1617" customWidth="1"/>
    <col min="4877" max="4877" width="8.09765625" style="1617" customWidth="1"/>
    <col min="4878" max="4880" width="6.09765625" style="1617" customWidth="1"/>
    <col min="4881" max="4882" width="5.19921875" style="1617" customWidth="1"/>
    <col min="4883" max="4883" width="6.59765625" style="1617" customWidth="1"/>
    <col min="4884" max="4884" width="6.09765625" style="1617" customWidth="1"/>
    <col min="4885" max="5120" width="8.69921875" style="1617"/>
    <col min="5121" max="5121" width="5.19921875" style="1617" customWidth="1"/>
    <col min="5122" max="5122" width="11.8984375" style="1617" customWidth="1"/>
    <col min="5123" max="5123" width="5.19921875" style="1617" customWidth="1"/>
    <col min="5124" max="5124" width="5.8984375" style="1617" customWidth="1"/>
    <col min="5125" max="5125" width="6.19921875" style="1617" customWidth="1"/>
    <col min="5126" max="5127" width="5.19921875" style="1617" customWidth="1"/>
    <col min="5128" max="5128" width="6.09765625" style="1617" customWidth="1"/>
    <col min="5129" max="5132" width="5.19921875" style="1617" customWidth="1"/>
    <col min="5133" max="5133" width="8.09765625" style="1617" customWidth="1"/>
    <col min="5134" max="5136" width="6.09765625" style="1617" customWidth="1"/>
    <col min="5137" max="5138" width="5.19921875" style="1617" customWidth="1"/>
    <col min="5139" max="5139" width="6.59765625" style="1617" customWidth="1"/>
    <col min="5140" max="5140" width="6.09765625" style="1617" customWidth="1"/>
    <col min="5141" max="5376" width="8.69921875" style="1617"/>
    <col min="5377" max="5377" width="5.19921875" style="1617" customWidth="1"/>
    <col min="5378" max="5378" width="11.8984375" style="1617" customWidth="1"/>
    <col min="5379" max="5379" width="5.19921875" style="1617" customWidth="1"/>
    <col min="5380" max="5380" width="5.8984375" style="1617" customWidth="1"/>
    <col min="5381" max="5381" width="6.19921875" style="1617" customWidth="1"/>
    <col min="5382" max="5383" width="5.19921875" style="1617" customWidth="1"/>
    <col min="5384" max="5384" width="6.09765625" style="1617" customWidth="1"/>
    <col min="5385" max="5388" width="5.19921875" style="1617" customWidth="1"/>
    <col min="5389" max="5389" width="8.09765625" style="1617" customWidth="1"/>
    <col min="5390" max="5392" width="6.09765625" style="1617" customWidth="1"/>
    <col min="5393" max="5394" width="5.19921875" style="1617" customWidth="1"/>
    <col min="5395" max="5395" width="6.59765625" style="1617" customWidth="1"/>
    <col min="5396" max="5396" width="6.09765625" style="1617" customWidth="1"/>
    <col min="5397" max="5632" width="8.69921875" style="1617"/>
    <col min="5633" max="5633" width="5.19921875" style="1617" customWidth="1"/>
    <col min="5634" max="5634" width="11.8984375" style="1617" customWidth="1"/>
    <col min="5635" max="5635" width="5.19921875" style="1617" customWidth="1"/>
    <col min="5636" max="5636" width="5.8984375" style="1617" customWidth="1"/>
    <col min="5637" max="5637" width="6.19921875" style="1617" customWidth="1"/>
    <col min="5638" max="5639" width="5.19921875" style="1617" customWidth="1"/>
    <col min="5640" max="5640" width="6.09765625" style="1617" customWidth="1"/>
    <col min="5641" max="5644" width="5.19921875" style="1617" customWidth="1"/>
    <col min="5645" max="5645" width="8.09765625" style="1617" customWidth="1"/>
    <col min="5646" max="5648" width="6.09765625" style="1617" customWidth="1"/>
    <col min="5649" max="5650" width="5.19921875" style="1617" customWidth="1"/>
    <col min="5651" max="5651" width="6.59765625" style="1617" customWidth="1"/>
    <col min="5652" max="5652" width="6.09765625" style="1617" customWidth="1"/>
    <col min="5653" max="5888" width="8.69921875" style="1617"/>
    <col min="5889" max="5889" width="5.19921875" style="1617" customWidth="1"/>
    <col min="5890" max="5890" width="11.8984375" style="1617" customWidth="1"/>
    <col min="5891" max="5891" width="5.19921875" style="1617" customWidth="1"/>
    <col min="5892" max="5892" width="5.8984375" style="1617" customWidth="1"/>
    <col min="5893" max="5893" width="6.19921875" style="1617" customWidth="1"/>
    <col min="5894" max="5895" width="5.19921875" style="1617" customWidth="1"/>
    <col min="5896" max="5896" width="6.09765625" style="1617" customWidth="1"/>
    <col min="5897" max="5900" width="5.19921875" style="1617" customWidth="1"/>
    <col min="5901" max="5901" width="8.09765625" style="1617" customWidth="1"/>
    <col min="5902" max="5904" width="6.09765625" style="1617" customWidth="1"/>
    <col min="5905" max="5906" width="5.19921875" style="1617" customWidth="1"/>
    <col min="5907" max="5907" width="6.59765625" style="1617" customWidth="1"/>
    <col min="5908" max="5908" width="6.09765625" style="1617" customWidth="1"/>
    <col min="5909" max="6144" width="8.69921875" style="1617"/>
    <col min="6145" max="6145" width="5.19921875" style="1617" customWidth="1"/>
    <col min="6146" max="6146" width="11.8984375" style="1617" customWidth="1"/>
    <col min="6147" max="6147" width="5.19921875" style="1617" customWidth="1"/>
    <col min="6148" max="6148" width="5.8984375" style="1617" customWidth="1"/>
    <col min="6149" max="6149" width="6.19921875" style="1617" customWidth="1"/>
    <col min="6150" max="6151" width="5.19921875" style="1617" customWidth="1"/>
    <col min="6152" max="6152" width="6.09765625" style="1617" customWidth="1"/>
    <col min="6153" max="6156" width="5.19921875" style="1617" customWidth="1"/>
    <col min="6157" max="6157" width="8.09765625" style="1617" customWidth="1"/>
    <col min="6158" max="6160" width="6.09765625" style="1617" customWidth="1"/>
    <col min="6161" max="6162" width="5.19921875" style="1617" customWidth="1"/>
    <col min="6163" max="6163" width="6.59765625" style="1617" customWidth="1"/>
    <col min="6164" max="6164" width="6.09765625" style="1617" customWidth="1"/>
    <col min="6165" max="6400" width="8.69921875" style="1617"/>
    <col min="6401" max="6401" width="5.19921875" style="1617" customWidth="1"/>
    <col min="6402" max="6402" width="11.8984375" style="1617" customWidth="1"/>
    <col min="6403" max="6403" width="5.19921875" style="1617" customWidth="1"/>
    <col min="6404" max="6404" width="5.8984375" style="1617" customWidth="1"/>
    <col min="6405" max="6405" width="6.19921875" style="1617" customWidth="1"/>
    <col min="6406" max="6407" width="5.19921875" style="1617" customWidth="1"/>
    <col min="6408" max="6408" width="6.09765625" style="1617" customWidth="1"/>
    <col min="6409" max="6412" width="5.19921875" style="1617" customWidth="1"/>
    <col min="6413" max="6413" width="8.09765625" style="1617" customWidth="1"/>
    <col min="6414" max="6416" width="6.09765625" style="1617" customWidth="1"/>
    <col min="6417" max="6418" width="5.19921875" style="1617" customWidth="1"/>
    <col min="6419" max="6419" width="6.59765625" style="1617" customWidth="1"/>
    <col min="6420" max="6420" width="6.09765625" style="1617" customWidth="1"/>
    <col min="6421" max="6656" width="8.69921875" style="1617"/>
    <col min="6657" max="6657" width="5.19921875" style="1617" customWidth="1"/>
    <col min="6658" max="6658" width="11.8984375" style="1617" customWidth="1"/>
    <col min="6659" max="6659" width="5.19921875" style="1617" customWidth="1"/>
    <col min="6660" max="6660" width="5.8984375" style="1617" customWidth="1"/>
    <col min="6661" max="6661" width="6.19921875" style="1617" customWidth="1"/>
    <col min="6662" max="6663" width="5.19921875" style="1617" customWidth="1"/>
    <col min="6664" max="6664" width="6.09765625" style="1617" customWidth="1"/>
    <col min="6665" max="6668" width="5.19921875" style="1617" customWidth="1"/>
    <col min="6669" max="6669" width="8.09765625" style="1617" customWidth="1"/>
    <col min="6670" max="6672" width="6.09765625" style="1617" customWidth="1"/>
    <col min="6673" max="6674" width="5.19921875" style="1617" customWidth="1"/>
    <col min="6675" max="6675" width="6.59765625" style="1617" customWidth="1"/>
    <col min="6676" max="6676" width="6.09765625" style="1617" customWidth="1"/>
    <col min="6677" max="6912" width="8.69921875" style="1617"/>
    <col min="6913" max="6913" width="5.19921875" style="1617" customWidth="1"/>
    <col min="6914" max="6914" width="11.8984375" style="1617" customWidth="1"/>
    <col min="6915" max="6915" width="5.19921875" style="1617" customWidth="1"/>
    <col min="6916" max="6916" width="5.8984375" style="1617" customWidth="1"/>
    <col min="6917" max="6917" width="6.19921875" style="1617" customWidth="1"/>
    <col min="6918" max="6919" width="5.19921875" style="1617" customWidth="1"/>
    <col min="6920" max="6920" width="6.09765625" style="1617" customWidth="1"/>
    <col min="6921" max="6924" width="5.19921875" style="1617" customWidth="1"/>
    <col min="6925" max="6925" width="8.09765625" style="1617" customWidth="1"/>
    <col min="6926" max="6928" width="6.09765625" style="1617" customWidth="1"/>
    <col min="6929" max="6930" width="5.19921875" style="1617" customWidth="1"/>
    <col min="6931" max="6931" width="6.59765625" style="1617" customWidth="1"/>
    <col min="6932" max="6932" width="6.09765625" style="1617" customWidth="1"/>
    <col min="6933" max="7168" width="8.69921875" style="1617"/>
    <col min="7169" max="7169" width="5.19921875" style="1617" customWidth="1"/>
    <col min="7170" max="7170" width="11.8984375" style="1617" customWidth="1"/>
    <col min="7171" max="7171" width="5.19921875" style="1617" customWidth="1"/>
    <col min="7172" max="7172" width="5.8984375" style="1617" customWidth="1"/>
    <col min="7173" max="7173" width="6.19921875" style="1617" customWidth="1"/>
    <col min="7174" max="7175" width="5.19921875" style="1617" customWidth="1"/>
    <col min="7176" max="7176" width="6.09765625" style="1617" customWidth="1"/>
    <col min="7177" max="7180" width="5.19921875" style="1617" customWidth="1"/>
    <col min="7181" max="7181" width="8.09765625" style="1617" customWidth="1"/>
    <col min="7182" max="7184" width="6.09765625" style="1617" customWidth="1"/>
    <col min="7185" max="7186" width="5.19921875" style="1617" customWidth="1"/>
    <col min="7187" max="7187" width="6.59765625" style="1617" customWidth="1"/>
    <col min="7188" max="7188" width="6.09765625" style="1617" customWidth="1"/>
    <col min="7189" max="7424" width="8.69921875" style="1617"/>
    <col min="7425" max="7425" width="5.19921875" style="1617" customWidth="1"/>
    <col min="7426" max="7426" width="11.8984375" style="1617" customWidth="1"/>
    <col min="7427" max="7427" width="5.19921875" style="1617" customWidth="1"/>
    <col min="7428" max="7428" width="5.8984375" style="1617" customWidth="1"/>
    <col min="7429" max="7429" width="6.19921875" style="1617" customWidth="1"/>
    <col min="7430" max="7431" width="5.19921875" style="1617" customWidth="1"/>
    <col min="7432" max="7432" width="6.09765625" style="1617" customWidth="1"/>
    <col min="7433" max="7436" width="5.19921875" style="1617" customWidth="1"/>
    <col min="7437" max="7437" width="8.09765625" style="1617" customWidth="1"/>
    <col min="7438" max="7440" width="6.09765625" style="1617" customWidth="1"/>
    <col min="7441" max="7442" width="5.19921875" style="1617" customWidth="1"/>
    <col min="7443" max="7443" width="6.59765625" style="1617" customWidth="1"/>
    <col min="7444" max="7444" width="6.09765625" style="1617" customWidth="1"/>
    <col min="7445" max="7680" width="8.69921875" style="1617"/>
    <col min="7681" max="7681" width="5.19921875" style="1617" customWidth="1"/>
    <col min="7682" max="7682" width="11.8984375" style="1617" customWidth="1"/>
    <col min="7683" max="7683" width="5.19921875" style="1617" customWidth="1"/>
    <col min="7684" max="7684" width="5.8984375" style="1617" customWidth="1"/>
    <col min="7685" max="7685" width="6.19921875" style="1617" customWidth="1"/>
    <col min="7686" max="7687" width="5.19921875" style="1617" customWidth="1"/>
    <col min="7688" max="7688" width="6.09765625" style="1617" customWidth="1"/>
    <col min="7689" max="7692" width="5.19921875" style="1617" customWidth="1"/>
    <col min="7693" max="7693" width="8.09765625" style="1617" customWidth="1"/>
    <col min="7694" max="7696" width="6.09765625" style="1617" customWidth="1"/>
    <col min="7697" max="7698" width="5.19921875" style="1617" customWidth="1"/>
    <col min="7699" max="7699" width="6.59765625" style="1617" customWidth="1"/>
    <col min="7700" max="7700" width="6.09765625" style="1617" customWidth="1"/>
    <col min="7701" max="7936" width="8.69921875" style="1617"/>
    <col min="7937" max="7937" width="5.19921875" style="1617" customWidth="1"/>
    <col min="7938" max="7938" width="11.8984375" style="1617" customWidth="1"/>
    <col min="7939" max="7939" width="5.19921875" style="1617" customWidth="1"/>
    <col min="7940" max="7940" width="5.8984375" style="1617" customWidth="1"/>
    <col min="7941" max="7941" width="6.19921875" style="1617" customWidth="1"/>
    <col min="7942" max="7943" width="5.19921875" style="1617" customWidth="1"/>
    <col min="7944" max="7944" width="6.09765625" style="1617" customWidth="1"/>
    <col min="7945" max="7948" width="5.19921875" style="1617" customWidth="1"/>
    <col min="7949" max="7949" width="8.09765625" style="1617" customWidth="1"/>
    <col min="7950" max="7952" width="6.09765625" style="1617" customWidth="1"/>
    <col min="7953" max="7954" width="5.19921875" style="1617" customWidth="1"/>
    <col min="7955" max="7955" width="6.59765625" style="1617" customWidth="1"/>
    <col min="7956" max="7956" width="6.09765625" style="1617" customWidth="1"/>
    <col min="7957" max="8192" width="8.69921875" style="1617"/>
    <col min="8193" max="8193" width="5.19921875" style="1617" customWidth="1"/>
    <col min="8194" max="8194" width="11.8984375" style="1617" customWidth="1"/>
    <col min="8195" max="8195" width="5.19921875" style="1617" customWidth="1"/>
    <col min="8196" max="8196" width="5.8984375" style="1617" customWidth="1"/>
    <col min="8197" max="8197" width="6.19921875" style="1617" customWidth="1"/>
    <col min="8198" max="8199" width="5.19921875" style="1617" customWidth="1"/>
    <col min="8200" max="8200" width="6.09765625" style="1617" customWidth="1"/>
    <col min="8201" max="8204" width="5.19921875" style="1617" customWidth="1"/>
    <col min="8205" max="8205" width="8.09765625" style="1617" customWidth="1"/>
    <col min="8206" max="8208" width="6.09765625" style="1617" customWidth="1"/>
    <col min="8209" max="8210" width="5.19921875" style="1617" customWidth="1"/>
    <col min="8211" max="8211" width="6.59765625" style="1617" customWidth="1"/>
    <col min="8212" max="8212" width="6.09765625" style="1617" customWidth="1"/>
    <col min="8213" max="8448" width="8.69921875" style="1617"/>
    <col min="8449" max="8449" width="5.19921875" style="1617" customWidth="1"/>
    <col min="8450" max="8450" width="11.8984375" style="1617" customWidth="1"/>
    <col min="8451" max="8451" width="5.19921875" style="1617" customWidth="1"/>
    <col min="8452" max="8452" width="5.8984375" style="1617" customWidth="1"/>
    <col min="8453" max="8453" width="6.19921875" style="1617" customWidth="1"/>
    <col min="8454" max="8455" width="5.19921875" style="1617" customWidth="1"/>
    <col min="8456" max="8456" width="6.09765625" style="1617" customWidth="1"/>
    <col min="8457" max="8460" width="5.19921875" style="1617" customWidth="1"/>
    <col min="8461" max="8461" width="8.09765625" style="1617" customWidth="1"/>
    <col min="8462" max="8464" width="6.09765625" style="1617" customWidth="1"/>
    <col min="8465" max="8466" width="5.19921875" style="1617" customWidth="1"/>
    <col min="8467" max="8467" width="6.59765625" style="1617" customWidth="1"/>
    <col min="8468" max="8468" width="6.09765625" style="1617" customWidth="1"/>
    <col min="8469" max="8704" width="8.69921875" style="1617"/>
    <col min="8705" max="8705" width="5.19921875" style="1617" customWidth="1"/>
    <col min="8706" max="8706" width="11.8984375" style="1617" customWidth="1"/>
    <col min="8707" max="8707" width="5.19921875" style="1617" customWidth="1"/>
    <col min="8708" max="8708" width="5.8984375" style="1617" customWidth="1"/>
    <col min="8709" max="8709" width="6.19921875" style="1617" customWidth="1"/>
    <col min="8710" max="8711" width="5.19921875" style="1617" customWidth="1"/>
    <col min="8712" max="8712" width="6.09765625" style="1617" customWidth="1"/>
    <col min="8713" max="8716" width="5.19921875" style="1617" customWidth="1"/>
    <col min="8717" max="8717" width="8.09765625" style="1617" customWidth="1"/>
    <col min="8718" max="8720" width="6.09765625" style="1617" customWidth="1"/>
    <col min="8721" max="8722" width="5.19921875" style="1617" customWidth="1"/>
    <col min="8723" max="8723" width="6.59765625" style="1617" customWidth="1"/>
    <col min="8724" max="8724" width="6.09765625" style="1617" customWidth="1"/>
    <col min="8725" max="8960" width="8.69921875" style="1617"/>
    <col min="8961" max="8961" width="5.19921875" style="1617" customWidth="1"/>
    <col min="8962" max="8962" width="11.8984375" style="1617" customWidth="1"/>
    <col min="8963" max="8963" width="5.19921875" style="1617" customWidth="1"/>
    <col min="8964" max="8964" width="5.8984375" style="1617" customWidth="1"/>
    <col min="8965" max="8965" width="6.19921875" style="1617" customWidth="1"/>
    <col min="8966" max="8967" width="5.19921875" style="1617" customWidth="1"/>
    <col min="8968" max="8968" width="6.09765625" style="1617" customWidth="1"/>
    <col min="8969" max="8972" width="5.19921875" style="1617" customWidth="1"/>
    <col min="8973" max="8973" width="8.09765625" style="1617" customWidth="1"/>
    <col min="8974" max="8976" width="6.09765625" style="1617" customWidth="1"/>
    <col min="8977" max="8978" width="5.19921875" style="1617" customWidth="1"/>
    <col min="8979" max="8979" width="6.59765625" style="1617" customWidth="1"/>
    <col min="8980" max="8980" width="6.09765625" style="1617" customWidth="1"/>
    <col min="8981" max="9216" width="8.69921875" style="1617"/>
    <col min="9217" max="9217" width="5.19921875" style="1617" customWidth="1"/>
    <col min="9218" max="9218" width="11.8984375" style="1617" customWidth="1"/>
    <col min="9219" max="9219" width="5.19921875" style="1617" customWidth="1"/>
    <col min="9220" max="9220" width="5.8984375" style="1617" customWidth="1"/>
    <col min="9221" max="9221" width="6.19921875" style="1617" customWidth="1"/>
    <col min="9222" max="9223" width="5.19921875" style="1617" customWidth="1"/>
    <col min="9224" max="9224" width="6.09765625" style="1617" customWidth="1"/>
    <col min="9225" max="9228" width="5.19921875" style="1617" customWidth="1"/>
    <col min="9229" max="9229" width="8.09765625" style="1617" customWidth="1"/>
    <col min="9230" max="9232" width="6.09765625" style="1617" customWidth="1"/>
    <col min="9233" max="9234" width="5.19921875" style="1617" customWidth="1"/>
    <col min="9235" max="9235" width="6.59765625" style="1617" customWidth="1"/>
    <col min="9236" max="9236" width="6.09765625" style="1617" customWidth="1"/>
    <col min="9237" max="9472" width="8.69921875" style="1617"/>
    <col min="9473" max="9473" width="5.19921875" style="1617" customWidth="1"/>
    <col min="9474" max="9474" width="11.8984375" style="1617" customWidth="1"/>
    <col min="9475" max="9475" width="5.19921875" style="1617" customWidth="1"/>
    <col min="9476" max="9476" width="5.8984375" style="1617" customWidth="1"/>
    <col min="9477" max="9477" width="6.19921875" style="1617" customWidth="1"/>
    <col min="9478" max="9479" width="5.19921875" style="1617" customWidth="1"/>
    <col min="9480" max="9480" width="6.09765625" style="1617" customWidth="1"/>
    <col min="9481" max="9484" width="5.19921875" style="1617" customWidth="1"/>
    <col min="9485" max="9485" width="8.09765625" style="1617" customWidth="1"/>
    <col min="9486" max="9488" width="6.09765625" style="1617" customWidth="1"/>
    <col min="9489" max="9490" width="5.19921875" style="1617" customWidth="1"/>
    <col min="9491" max="9491" width="6.59765625" style="1617" customWidth="1"/>
    <col min="9492" max="9492" width="6.09765625" style="1617" customWidth="1"/>
    <col min="9493" max="9728" width="8.69921875" style="1617"/>
    <col min="9729" max="9729" width="5.19921875" style="1617" customWidth="1"/>
    <col min="9730" max="9730" width="11.8984375" style="1617" customWidth="1"/>
    <col min="9731" max="9731" width="5.19921875" style="1617" customWidth="1"/>
    <col min="9732" max="9732" width="5.8984375" style="1617" customWidth="1"/>
    <col min="9733" max="9733" width="6.19921875" style="1617" customWidth="1"/>
    <col min="9734" max="9735" width="5.19921875" style="1617" customWidth="1"/>
    <col min="9736" max="9736" width="6.09765625" style="1617" customWidth="1"/>
    <col min="9737" max="9740" width="5.19921875" style="1617" customWidth="1"/>
    <col min="9741" max="9741" width="8.09765625" style="1617" customWidth="1"/>
    <col min="9742" max="9744" width="6.09765625" style="1617" customWidth="1"/>
    <col min="9745" max="9746" width="5.19921875" style="1617" customWidth="1"/>
    <col min="9747" max="9747" width="6.59765625" style="1617" customWidth="1"/>
    <col min="9748" max="9748" width="6.09765625" style="1617" customWidth="1"/>
    <col min="9749" max="9984" width="8.69921875" style="1617"/>
    <col min="9985" max="9985" width="5.19921875" style="1617" customWidth="1"/>
    <col min="9986" max="9986" width="11.8984375" style="1617" customWidth="1"/>
    <col min="9987" max="9987" width="5.19921875" style="1617" customWidth="1"/>
    <col min="9988" max="9988" width="5.8984375" style="1617" customWidth="1"/>
    <col min="9989" max="9989" width="6.19921875" style="1617" customWidth="1"/>
    <col min="9990" max="9991" width="5.19921875" style="1617" customWidth="1"/>
    <col min="9992" max="9992" width="6.09765625" style="1617" customWidth="1"/>
    <col min="9993" max="9996" width="5.19921875" style="1617" customWidth="1"/>
    <col min="9997" max="9997" width="8.09765625" style="1617" customWidth="1"/>
    <col min="9998" max="10000" width="6.09765625" style="1617" customWidth="1"/>
    <col min="10001" max="10002" width="5.19921875" style="1617" customWidth="1"/>
    <col min="10003" max="10003" width="6.59765625" style="1617" customWidth="1"/>
    <col min="10004" max="10004" width="6.09765625" style="1617" customWidth="1"/>
    <col min="10005" max="10240" width="8.69921875" style="1617"/>
    <col min="10241" max="10241" width="5.19921875" style="1617" customWidth="1"/>
    <col min="10242" max="10242" width="11.8984375" style="1617" customWidth="1"/>
    <col min="10243" max="10243" width="5.19921875" style="1617" customWidth="1"/>
    <col min="10244" max="10244" width="5.8984375" style="1617" customWidth="1"/>
    <col min="10245" max="10245" width="6.19921875" style="1617" customWidth="1"/>
    <col min="10246" max="10247" width="5.19921875" style="1617" customWidth="1"/>
    <col min="10248" max="10248" width="6.09765625" style="1617" customWidth="1"/>
    <col min="10249" max="10252" width="5.19921875" style="1617" customWidth="1"/>
    <col min="10253" max="10253" width="8.09765625" style="1617" customWidth="1"/>
    <col min="10254" max="10256" width="6.09765625" style="1617" customWidth="1"/>
    <col min="10257" max="10258" width="5.19921875" style="1617" customWidth="1"/>
    <col min="10259" max="10259" width="6.59765625" style="1617" customWidth="1"/>
    <col min="10260" max="10260" width="6.09765625" style="1617" customWidth="1"/>
    <col min="10261" max="10496" width="8.69921875" style="1617"/>
    <col min="10497" max="10497" width="5.19921875" style="1617" customWidth="1"/>
    <col min="10498" max="10498" width="11.8984375" style="1617" customWidth="1"/>
    <col min="10499" max="10499" width="5.19921875" style="1617" customWidth="1"/>
    <col min="10500" max="10500" width="5.8984375" style="1617" customWidth="1"/>
    <col min="10501" max="10501" width="6.19921875" style="1617" customWidth="1"/>
    <col min="10502" max="10503" width="5.19921875" style="1617" customWidth="1"/>
    <col min="10504" max="10504" width="6.09765625" style="1617" customWidth="1"/>
    <col min="10505" max="10508" width="5.19921875" style="1617" customWidth="1"/>
    <col min="10509" max="10509" width="8.09765625" style="1617" customWidth="1"/>
    <col min="10510" max="10512" width="6.09765625" style="1617" customWidth="1"/>
    <col min="10513" max="10514" width="5.19921875" style="1617" customWidth="1"/>
    <col min="10515" max="10515" width="6.59765625" style="1617" customWidth="1"/>
    <col min="10516" max="10516" width="6.09765625" style="1617" customWidth="1"/>
    <col min="10517" max="10752" width="8.69921875" style="1617"/>
    <col min="10753" max="10753" width="5.19921875" style="1617" customWidth="1"/>
    <col min="10754" max="10754" width="11.8984375" style="1617" customWidth="1"/>
    <col min="10755" max="10755" width="5.19921875" style="1617" customWidth="1"/>
    <col min="10756" max="10756" width="5.8984375" style="1617" customWidth="1"/>
    <col min="10757" max="10757" width="6.19921875" style="1617" customWidth="1"/>
    <col min="10758" max="10759" width="5.19921875" style="1617" customWidth="1"/>
    <col min="10760" max="10760" width="6.09765625" style="1617" customWidth="1"/>
    <col min="10761" max="10764" width="5.19921875" style="1617" customWidth="1"/>
    <col min="10765" max="10765" width="8.09765625" style="1617" customWidth="1"/>
    <col min="10766" max="10768" width="6.09765625" style="1617" customWidth="1"/>
    <col min="10769" max="10770" width="5.19921875" style="1617" customWidth="1"/>
    <col min="10771" max="10771" width="6.59765625" style="1617" customWidth="1"/>
    <col min="10772" max="10772" width="6.09765625" style="1617" customWidth="1"/>
    <col min="10773" max="11008" width="8.69921875" style="1617"/>
    <col min="11009" max="11009" width="5.19921875" style="1617" customWidth="1"/>
    <col min="11010" max="11010" width="11.8984375" style="1617" customWidth="1"/>
    <col min="11011" max="11011" width="5.19921875" style="1617" customWidth="1"/>
    <col min="11012" max="11012" width="5.8984375" style="1617" customWidth="1"/>
    <col min="11013" max="11013" width="6.19921875" style="1617" customWidth="1"/>
    <col min="11014" max="11015" width="5.19921875" style="1617" customWidth="1"/>
    <col min="11016" max="11016" width="6.09765625" style="1617" customWidth="1"/>
    <col min="11017" max="11020" width="5.19921875" style="1617" customWidth="1"/>
    <col min="11021" max="11021" width="8.09765625" style="1617" customWidth="1"/>
    <col min="11022" max="11024" width="6.09765625" style="1617" customWidth="1"/>
    <col min="11025" max="11026" width="5.19921875" style="1617" customWidth="1"/>
    <col min="11027" max="11027" width="6.59765625" style="1617" customWidth="1"/>
    <col min="11028" max="11028" width="6.09765625" style="1617" customWidth="1"/>
    <col min="11029" max="11264" width="8.69921875" style="1617"/>
    <col min="11265" max="11265" width="5.19921875" style="1617" customWidth="1"/>
    <col min="11266" max="11266" width="11.8984375" style="1617" customWidth="1"/>
    <col min="11267" max="11267" width="5.19921875" style="1617" customWidth="1"/>
    <col min="11268" max="11268" width="5.8984375" style="1617" customWidth="1"/>
    <col min="11269" max="11269" width="6.19921875" style="1617" customWidth="1"/>
    <col min="11270" max="11271" width="5.19921875" style="1617" customWidth="1"/>
    <col min="11272" max="11272" width="6.09765625" style="1617" customWidth="1"/>
    <col min="11273" max="11276" width="5.19921875" style="1617" customWidth="1"/>
    <col min="11277" max="11277" width="8.09765625" style="1617" customWidth="1"/>
    <col min="11278" max="11280" width="6.09765625" style="1617" customWidth="1"/>
    <col min="11281" max="11282" width="5.19921875" style="1617" customWidth="1"/>
    <col min="11283" max="11283" width="6.59765625" style="1617" customWidth="1"/>
    <col min="11284" max="11284" width="6.09765625" style="1617" customWidth="1"/>
    <col min="11285" max="11520" width="8.69921875" style="1617"/>
    <col min="11521" max="11521" width="5.19921875" style="1617" customWidth="1"/>
    <col min="11522" max="11522" width="11.8984375" style="1617" customWidth="1"/>
    <col min="11523" max="11523" width="5.19921875" style="1617" customWidth="1"/>
    <col min="11524" max="11524" width="5.8984375" style="1617" customWidth="1"/>
    <col min="11525" max="11525" width="6.19921875" style="1617" customWidth="1"/>
    <col min="11526" max="11527" width="5.19921875" style="1617" customWidth="1"/>
    <col min="11528" max="11528" width="6.09765625" style="1617" customWidth="1"/>
    <col min="11529" max="11532" width="5.19921875" style="1617" customWidth="1"/>
    <col min="11533" max="11533" width="8.09765625" style="1617" customWidth="1"/>
    <col min="11534" max="11536" width="6.09765625" style="1617" customWidth="1"/>
    <col min="11537" max="11538" width="5.19921875" style="1617" customWidth="1"/>
    <col min="11539" max="11539" width="6.59765625" style="1617" customWidth="1"/>
    <col min="11540" max="11540" width="6.09765625" style="1617" customWidth="1"/>
    <col min="11541" max="11776" width="8.69921875" style="1617"/>
    <col min="11777" max="11777" width="5.19921875" style="1617" customWidth="1"/>
    <col min="11778" max="11778" width="11.8984375" style="1617" customWidth="1"/>
    <col min="11779" max="11779" width="5.19921875" style="1617" customWidth="1"/>
    <col min="11780" max="11780" width="5.8984375" style="1617" customWidth="1"/>
    <col min="11781" max="11781" width="6.19921875" style="1617" customWidth="1"/>
    <col min="11782" max="11783" width="5.19921875" style="1617" customWidth="1"/>
    <col min="11784" max="11784" width="6.09765625" style="1617" customWidth="1"/>
    <col min="11785" max="11788" width="5.19921875" style="1617" customWidth="1"/>
    <col min="11789" max="11789" width="8.09765625" style="1617" customWidth="1"/>
    <col min="11790" max="11792" width="6.09765625" style="1617" customWidth="1"/>
    <col min="11793" max="11794" width="5.19921875" style="1617" customWidth="1"/>
    <col min="11795" max="11795" width="6.59765625" style="1617" customWidth="1"/>
    <col min="11796" max="11796" width="6.09765625" style="1617" customWidth="1"/>
    <col min="11797" max="12032" width="8.69921875" style="1617"/>
    <col min="12033" max="12033" width="5.19921875" style="1617" customWidth="1"/>
    <col min="12034" max="12034" width="11.8984375" style="1617" customWidth="1"/>
    <col min="12035" max="12035" width="5.19921875" style="1617" customWidth="1"/>
    <col min="12036" max="12036" width="5.8984375" style="1617" customWidth="1"/>
    <col min="12037" max="12037" width="6.19921875" style="1617" customWidth="1"/>
    <col min="12038" max="12039" width="5.19921875" style="1617" customWidth="1"/>
    <col min="12040" max="12040" width="6.09765625" style="1617" customWidth="1"/>
    <col min="12041" max="12044" width="5.19921875" style="1617" customWidth="1"/>
    <col min="12045" max="12045" width="8.09765625" style="1617" customWidth="1"/>
    <col min="12046" max="12048" width="6.09765625" style="1617" customWidth="1"/>
    <col min="12049" max="12050" width="5.19921875" style="1617" customWidth="1"/>
    <col min="12051" max="12051" width="6.59765625" style="1617" customWidth="1"/>
    <col min="12052" max="12052" width="6.09765625" style="1617" customWidth="1"/>
    <col min="12053" max="12288" width="8.69921875" style="1617"/>
    <col min="12289" max="12289" width="5.19921875" style="1617" customWidth="1"/>
    <col min="12290" max="12290" width="11.8984375" style="1617" customWidth="1"/>
    <col min="12291" max="12291" width="5.19921875" style="1617" customWidth="1"/>
    <col min="12292" max="12292" width="5.8984375" style="1617" customWidth="1"/>
    <col min="12293" max="12293" width="6.19921875" style="1617" customWidth="1"/>
    <col min="12294" max="12295" width="5.19921875" style="1617" customWidth="1"/>
    <col min="12296" max="12296" width="6.09765625" style="1617" customWidth="1"/>
    <col min="12297" max="12300" width="5.19921875" style="1617" customWidth="1"/>
    <col min="12301" max="12301" width="8.09765625" style="1617" customWidth="1"/>
    <col min="12302" max="12304" width="6.09765625" style="1617" customWidth="1"/>
    <col min="12305" max="12306" width="5.19921875" style="1617" customWidth="1"/>
    <col min="12307" max="12307" width="6.59765625" style="1617" customWidth="1"/>
    <col min="12308" max="12308" width="6.09765625" style="1617" customWidth="1"/>
    <col min="12309" max="12544" width="8.69921875" style="1617"/>
    <col min="12545" max="12545" width="5.19921875" style="1617" customWidth="1"/>
    <col min="12546" max="12546" width="11.8984375" style="1617" customWidth="1"/>
    <col min="12547" max="12547" width="5.19921875" style="1617" customWidth="1"/>
    <col min="12548" max="12548" width="5.8984375" style="1617" customWidth="1"/>
    <col min="12549" max="12549" width="6.19921875" style="1617" customWidth="1"/>
    <col min="12550" max="12551" width="5.19921875" style="1617" customWidth="1"/>
    <col min="12552" max="12552" width="6.09765625" style="1617" customWidth="1"/>
    <col min="12553" max="12556" width="5.19921875" style="1617" customWidth="1"/>
    <col min="12557" max="12557" width="8.09765625" style="1617" customWidth="1"/>
    <col min="12558" max="12560" width="6.09765625" style="1617" customWidth="1"/>
    <col min="12561" max="12562" width="5.19921875" style="1617" customWidth="1"/>
    <col min="12563" max="12563" width="6.59765625" style="1617" customWidth="1"/>
    <col min="12564" max="12564" width="6.09765625" style="1617" customWidth="1"/>
    <col min="12565" max="12800" width="8.69921875" style="1617"/>
    <col min="12801" max="12801" width="5.19921875" style="1617" customWidth="1"/>
    <col min="12802" max="12802" width="11.8984375" style="1617" customWidth="1"/>
    <col min="12803" max="12803" width="5.19921875" style="1617" customWidth="1"/>
    <col min="12804" max="12804" width="5.8984375" style="1617" customWidth="1"/>
    <col min="12805" max="12805" width="6.19921875" style="1617" customWidth="1"/>
    <col min="12806" max="12807" width="5.19921875" style="1617" customWidth="1"/>
    <col min="12808" max="12808" width="6.09765625" style="1617" customWidth="1"/>
    <col min="12809" max="12812" width="5.19921875" style="1617" customWidth="1"/>
    <col min="12813" max="12813" width="8.09765625" style="1617" customWidth="1"/>
    <col min="12814" max="12816" width="6.09765625" style="1617" customWidth="1"/>
    <col min="12817" max="12818" width="5.19921875" style="1617" customWidth="1"/>
    <col min="12819" max="12819" width="6.59765625" style="1617" customWidth="1"/>
    <col min="12820" max="12820" width="6.09765625" style="1617" customWidth="1"/>
    <col min="12821" max="13056" width="8.69921875" style="1617"/>
    <col min="13057" max="13057" width="5.19921875" style="1617" customWidth="1"/>
    <col min="13058" max="13058" width="11.8984375" style="1617" customWidth="1"/>
    <col min="13059" max="13059" width="5.19921875" style="1617" customWidth="1"/>
    <col min="13060" max="13060" width="5.8984375" style="1617" customWidth="1"/>
    <col min="13061" max="13061" width="6.19921875" style="1617" customWidth="1"/>
    <col min="13062" max="13063" width="5.19921875" style="1617" customWidth="1"/>
    <col min="13064" max="13064" width="6.09765625" style="1617" customWidth="1"/>
    <col min="13065" max="13068" width="5.19921875" style="1617" customWidth="1"/>
    <col min="13069" max="13069" width="8.09765625" style="1617" customWidth="1"/>
    <col min="13070" max="13072" width="6.09765625" style="1617" customWidth="1"/>
    <col min="13073" max="13074" width="5.19921875" style="1617" customWidth="1"/>
    <col min="13075" max="13075" width="6.59765625" style="1617" customWidth="1"/>
    <col min="13076" max="13076" width="6.09765625" style="1617" customWidth="1"/>
    <col min="13077" max="13312" width="8.69921875" style="1617"/>
    <col min="13313" max="13313" width="5.19921875" style="1617" customWidth="1"/>
    <col min="13314" max="13314" width="11.8984375" style="1617" customWidth="1"/>
    <col min="13315" max="13315" width="5.19921875" style="1617" customWidth="1"/>
    <col min="13316" max="13316" width="5.8984375" style="1617" customWidth="1"/>
    <col min="13317" max="13317" width="6.19921875" style="1617" customWidth="1"/>
    <col min="13318" max="13319" width="5.19921875" style="1617" customWidth="1"/>
    <col min="13320" max="13320" width="6.09765625" style="1617" customWidth="1"/>
    <col min="13321" max="13324" width="5.19921875" style="1617" customWidth="1"/>
    <col min="13325" max="13325" width="8.09765625" style="1617" customWidth="1"/>
    <col min="13326" max="13328" width="6.09765625" style="1617" customWidth="1"/>
    <col min="13329" max="13330" width="5.19921875" style="1617" customWidth="1"/>
    <col min="13331" max="13331" width="6.59765625" style="1617" customWidth="1"/>
    <col min="13332" max="13332" width="6.09765625" style="1617" customWidth="1"/>
    <col min="13333" max="13568" width="8.69921875" style="1617"/>
    <col min="13569" max="13569" width="5.19921875" style="1617" customWidth="1"/>
    <col min="13570" max="13570" width="11.8984375" style="1617" customWidth="1"/>
    <col min="13571" max="13571" width="5.19921875" style="1617" customWidth="1"/>
    <col min="13572" max="13572" width="5.8984375" style="1617" customWidth="1"/>
    <col min="13573" max="13573" width="6.19921875" style="1617" customWidth="1"/>
    <col min="13574" max="13575" width="5.19921875" style="1617" customWidth="1"/>
    <col min="13576" max="13576" width="6.09765625" style="1617" customWidth="1"/>
    <col min="13577" max="13580" width="5.19921875" style="1617" customWidth="1"/>
    <col min="13581" max="13581" width="8.09765625" style="1617" customWidth="1"/>
    <col min="13582" max="13584" width="6.09765625" style="1617" customWidth="1"/>
    <col min="13585" max="13586" width="5.19921875" style="1617" customWidth="1"/>
    <col min="13587" max="13587" width="6.59765625" style="1617" customWidth="1"/>
    <col min="13588" max="13588" width="6.09765625" style="1617" customWidth="1"/>
    <col min="13589" max="13824" width="8.69921875" style="1617"/>
    <col min="13825" max="13825" width="5.19921875" style="1617" customWidth="1"/>
    <col min="13826" max="13826" width="11.8984375" style="1617" customWidth="1"/>
    <col min="13827" max="13827" width="5.19921875" style="1617" customWidth="1"/>
    <col min="13828" max="13828" width="5.8984375" style="1617" customWidth="1"/>
    <col min="13829" max="13829" width="6.19921875" style="1617" customWidth="1"/>
    <col min="13830" max="13831" width="5.19921875" style="1617" customWidth="1"/>
    <col min="13832" max="13832" width="6.09765625" style="1617" customWidth="1"/>
    <col min="13833" max="13836" width="5.19921875" style="1617" customWidth="1"/>
    <col min="13837" max="13837" width="8.09765625" style="1617" customWidth="1"/>
    <col min="13838" max="13840" width="6.09765625" style="1617" customWidth="1"/>
    <col min="13841" max="13842" width="5.19921875" style="1617" customWidth="1"/>
    <col min="13843" max="13843" width="6.59765625" style="1617" customWidth="1"/>
    <col min="13844" max="13844" width="6.09765625" style="1617" customWidth="1"/>
    <col min="13845" max="14080" width="8.69921875" style="1617"/>
    <col min="14081" max="14081" width="5.19921875" style="1617" customWidth="1"/>
    <col min="14082" max="14082" width="11.8984375" style="1617" customWidth="1"/>
    <col min="14083" max="14083" width="5.19921875" style="1617" customWidth="1"/>
    <col min="14084" max="14084" width="5.8984375" style="1617" customWidth="1"/>
    <col min="14085" max="14085" width="6.19921875" style="1617" customWidth="1"/>
    <col min="14086" max="14087" width="5.19921875" style="1617" customWidth="1"/>
    <col min="14088" max="14088" width="6.09765625" style="1617" customWidth="1"/>
    <col min="14089" max="14092" width="5.19921875" style="1617" customWidth="1"/>
    <col min="14093" max="14093" width="8.09765625" style="1617" customWidth="1"/>
    <col min="14094" max="14096" width="6.09765625" style="1617" customWidth="1"/>
    <col min="14097" max="14098" width="5.19921875" style="1617" customWidth="1"/>
    <col min="14099" max="14099" width="6.59765625" style="1617" customWidth="1"/>
    <col min="14100" max="14100" width="6.09765625" style="1617" customWidth="1"/>
    <col min="14101" max="14336" width="8.69921875" style="1617"/>
    <col min="14337" max="14337" width="5.19921875" style="1617" customWidth="1"/>
    <col min="14338" max="14338" width="11.8984375" style="1617" customWidth="1"/>
    <col min="14339" max="14339" width="5.19921875" style="1617" customWidth="1"/>
    <col min="14340" max="14340" width="5.8984375" style="1617" customWidth="1"/>
    <col min="14341" max="14341" width="6.19921875" style="1617" customWidth="1"/>
    <col min="14342" max="14343" width="5.19921875" style="1617" customWidth="1"/>
    <col min="14344" max="14344" width="6.09765625" style="1617" customWidth="1"/>
    <col min="14345" max="14348" width="5.19921875" style="1617" customWidth="1"/>
    <col min="14349" max="14349" width="8.09765625" style="1617" customWidth="1"/>
    <col min="14350" max="14352" width="6.09765625" style="1617" customWidth="1"/>
    <col min="14353" max="14354" width="5.19921875" style="1617" customWidth="1"/>
    <col min="14355" max="14355" width="6.59765625" style="1617" customWidth="1"/>
    <col min="14356" max="14356" width="6.09765625" style="1617" customWidth="1"/>
    <col min="14357" max="14592" width="8.69921875" style="1617"/>
    <col min="14593" max="14593" width="5.19921875" style="1617" customWidth="1"/>
    <col min="14594" max="14594" width="11.8984375" style="1617" customWidth="1"/>
    <col min="14595" max="14595" width="5.19921875" style="1617" customWidth="1"/>
    <col min="14596" max="14596" width="5.8984375" style="1617" customWidth="1"/>
    <col min="14597" max="14597" width="6.19921875" style="1617" customWidth="1"/>
    <col min="14598" max="14599" width="5.19921875" style="1617" customWidth="1"/>
    <col min="14600" max="14600" width="6.09765625" style="1617" customWidth="1"/>
    <col min="14601" max="14604" width="5.19921875" style="1617" customWidth="1"/>
    <col min="14605" max="14605" width="8.09765625" style="1617" customWidth="1"/>
    <col min="14606" max="14608" width="6.09765625" style="1617" customWidth="1"/>
    <col min="14609" max="14610" width="5.19921875" style="1617" customWidth="1"/>
    <col min="14611" max="14611" width="6.59765625" style="1617" customWidth="1"/>
    <col min="14612" max="14612" width="6.09765625" style="1617" customWidth="1"/>
    <col min="14613" max="14848" width="8.69921875" style="1617"/>
    <col min="14849" max="14849" width="5.19921875" style="1617" customWidth="1"/>
    <col min="14850" max="14850" width="11.8984375" style="1617" customWidth="1"/>
    <col min="14851" max="14851" width="5.19921875" style="1617" customWidth="1"/>
    <col min="14852" max="14852" width="5.8984375" style="1617" customWidth="1"/>
    <col min="14853" max="14853" width="6.19921875" style="1617" customWidth="1"/>
    <col min="14854" max="14855" width="5.19921875" style="1617" customWidth="1"/>
    <col min="14856" max="14856" width="6.09765625" style="1617" customWidth="1"/>
    <col min="14857" max="14860" width="5.19921875" style="1617" customWidth="1"/>
    <col min="14861" max="14861" width="8.09765625" style="1617" customWidth="1"/>
    <col min="14862" max="14864" width="6.09765625" style="1617" customWidth="1"/>
    <col min="14865" max="14866" width="5.19921875" style="1617" customWidth="1"/>
    <col min="14867" max="14867" width="6.59765625" style="1617" customWidth="1"/>
    <col min="14868" max="14868" width="6.09765625" style="1617" customWidth="1"/>
    <col min="14869" max="15104" width="8.69921875" style="1617"/>
    <col min="15105" max="15105" width="5.19921875" style="1617" customWidth="1"/>
    <col min="15106" max="15106" width="11.8984375" style="1617" customWidth="1"/>
    <col min="15107" max="15107" width="5.19921875" style="1617" customWidth="1"/>
    <col min="15108" max="15108" width="5.8984375" style="1617" customWidth="1"/>
    <col min="15109" max="15109" width="6.19921875" style="1617" customWidth="1"/>
    <col min="15110" max="15111" width="5.19921875" style="1617" customWidth="1"/>
    <col min="15112" max="15112" width="6.09765625" style="1617" customWidth="1"/>
    <col min="15113" max="15116" width="5.19921875" style="1617" customWidth="1"/>
    <col min="15117" max="15117" width="8.09765625" style="1617" customWidth="1"/>
    <col min="15118" max="15120" width="6.09765625" style="1617" customWidth="1"/>
    <col min="15121" max="15122" width="5.19921875" style="1617" customWidth="1"/>
    <col min="15123" max="15123" width="6.59765625" style="1617" customWidth="1"/>
    <col min="15124" max="15124" width="6.09765625" style="1617" customWidth="1"/>
    <col min="15125" max="15360" width="8.69921875" style="1617"/>
    <col min="15361" max="15361" width="5.19921875" style="1617" customWidth="1"/>
    <col min="15362" max="15362" width="11.8984375" style="1617" customWidth="1"/>
    <col min="15363" max="15363" width="5.19921875" style="1617" customWidth="1"/>
    <col min="15364" max="15364" width="5.8984375" style="1617" customWidth="1"/>
    <col min="15365" max="15365" width="6.19921875" style="1617" customWidth="1"/>
    <col min="15366" max="15367" width="5.19921875" style="1617" customWidth="1"/>
    <col min="15368" max="15368" width="6.09765625" style="1617" customWidth="1"/>
    <col min="15369" max="15372" width="5.19921875" style="1617" customWidth="1"/>
    <col min="15373" max="15373" width="8.09765625" style="1617" customWidth="1"/>
    <col min="15374" max="15376" width="6.09765625" style="1617" customWidth="1"/>
    <col min="15377" max="15378" width="5.19921875" style="1617" customWidth="1"/>
    <col min="15379" max="15379" width="6.59765625" style="1617" customWidth="1"/>
    <col min="15380" max="15380" width="6.09765625" style="1617" customWidth="1"/>
    <col min="15381" max="15616" width="8.69921875" style="1617"/>
    <col min="15617" max="15617" width="5.19921875" style="1617" customWidth="1"/>
    <col min="15618" max="15618" width="11.8984375" style="1617" customWidth="1"/>
    <col min="15619" max="15619" width="5.19921875" style="1617" customWidth="1"/>
    <col min="15620" max="15620" width="5.8984375" style="1617" customWidth="1"/>
    <col min="15621" max="15621" width="6.19921875" style="1617" customWidth="1"/>
    <col min="15622" max="15623" width="5.19921875" style="1617" customWidth="1"/>
    <col min="15624" max="15624" width="6.09765625" style="1617" customWidth="1"/>
    <col min="15625" max="15628" width="5.19921875" style="1617" customWidth="1"/>
    <col min="15629" max="15629" width="8.09765625" style="1617" customWidth="1"/>
    <col min="15630" max="15632" width="6.09765625" style="1617" customWidth="1"/>
    <col min="15633" max="15634" width="5.19921875" style="1617" customWidth="1"/>
    <col min="15635" max="15635" width="6.59765625" style="1617" customWidth="1"/>
    <col min="15636" max="15636" width="6.09765625" style="1617" customWidth="1"/>
    <col min="15637" max="15872" width="8.69921875" style="1617"/>
    <col min="15873" max="15873" width="5.19921875" style="1617" customWidth="1"/>
    <col min="15874" max="15874" width="11.8984375" style="1617" customWidth="1"/>
    <col min="15875" max="15875" width="5.19921875" style="1617" customWidth="1"/>
    <col min="15876" max="15876" width="5.8984375" style="1617" customWidth="1"/>
    <col min="15877" max="15877" width="6.19921875" style="1617" customWidth="1"/>
    <col min="15878" max="15879" width="5.19921875" style="1617" customWidth="1"/>
    <col min="15880" max="15880" width="6.09765625" style="1617" customWidth="1"/>
    <col min="15881" max="15884" width="5.19921875" style="1617" customWidth="1"/>
    <col min="15885" max="15885" width="8.09765625" style="1617" customWidth="1"/>
    <col min="15886" max="15888" width="6.09765625" style="1617" customWidth="1"/>
    <col min="15889" max="15890" width="5.19921875" style="1617" customWidth="1"/>
    <col min="15891" max="15891" width="6.59765625" style="1617" customWidth="1"/>
    <col min="15892" max="15892" width="6.09765625" style="1617" customWidth="1"/>
    <col min="15893" max="16128" width="8.69921875" style="1617"/>
    <col min="16129" max="16129" width="5.19921875" style="1617" customWidth="1"/>
    <col min="16130" max="16130" width="11.8984375" style="1617" customWidth="1"/>
    <col min="16131" max="16131" width="5.19921875" style="1617" customWidth="1"/>
    <col min="16132" max="16132" width="5.8984375" style="1617" customWidth="1"/>
    <col min="16133" max="16133" width="6.19921875" style="1617" customWidth="1"/>
    <col min="16134" max="16135" width="5.19921875" style="1617" customWidth="1"/>
    <col min="16136" max="16136" width="6.09765625" style="1617" customWidth="1"/>
    <col min="16137" max="16140" width="5.19921875" style="1617" customWidth="1"/>
    <col min="16141" max="16141" width="8.09765625" style="1617" customWidth="1"/>
    <col min="16142" max="16144" width="6.09765625" style="1617" customWidth="1"/>
    <col min="16145" max="16146" width="5.19921875" style="1617" customWidth="1"/>
    <col min="16147" max="16147" width="6.59765625" style="1617" customWidth="1"/>
    <col min="16148" max="16148" width="6.09765625" style="1617" customWidth="1"/>
    <col min="16149" max="16384" width="8.69921875" style="1617"/>
  </cols>
  <sheetData>
    <row r="1" spans="1:21" s="1616" customFormat="1" ht="20.100000000000001" customHeight="1">
      <c r="A1" s="3378" t="s">
        <v>5787</v>
      </c>
      <c r="B1" s="3378"/>
      <c r="C1" s="3378"/>
      <c r="D1" s="3378"/>
      <c r="E1" s="3378"/>
      <c r="F1" s="3378"/>
      <c r="G1" s="3378"/>
      <c r="H1" s="3378"/>
      <c r="I1" s="3378"/>
      <c r="J1" s="3378"/>
      <c r="K1" s="3378"/>
      <c r="L1" s="3378"/>
      <c r="M1" s="3378"/>
      <c r="N1" s="3378"/>
      <c r="O1" s="3378"/>
      <c r="P1" s="3378"/>
      <c r="Q1" s="3378"/>
      <c r="R1" s="3378"/>
      <c r="S1" s="3378"/>
      <c r="T1" s="3378"/>
    </row>
    <row r="2" spans="1:21" ht="25.5" customHeight="1">
      <c r="A2" s="3477" t="s">
        <v>5788</v>
      </c>
      <c r="B2" s="3477"/>
      <c r="C2" s="3477"/>
      <c r="D2" s="3477"/>
      <c r="E2" s="3477"/>
      <c r="F2" s="3477"/>
      <c r="G2" s="3477"/>
      <c r="H2" s="3477"/>
      <c r="I2" s="3477"/>
      <c r="J2" s="3477"/>
      <c r="K2" s="3477"/>
      <c r="L2" s="3477"/>
      <c r="M2" s="3477"/>
      <c r="N2" s="3477"/>
      <c r="O2" s="3477"/>
      <c r="P2" s="3477"/>
      <c r="Q2" s="3477"/>
      <c r="R2" s="3477"/>
      <c r="S2" s="3477"/>
      <c r="T2" s="3478"/>
    </row>
    <row r="3" spans="1:21" s="1618" customFormat="1" ht="14.25" customHeight="1">
      <c r="A3" s="3385" t="s">
        <v>5673</v>
      </c>
      <c r="B3" s="3383" t="s">
        <v>5789</v>
      </c>
      <c r="C3" s="3383" t="s">
        <v>5790</v>
      </c>
      <c r="D3" s="3383" t="s">
        <v>5791</v>
      </c>
      <c r="E3" s="3383" t="s">
        <v>1866</v>
      </c>
      <c r="F3" s="3383" t="s">
        <v>848</v>
      </c>
      <c r="G3" s="3383" t="s">
        <v>5792</v>
      </c>
      <c r="H3" s="3383" t="s">
        <v>5793</v>
      </c>
      <c r="I3" s="3383" t="s">
        <v>187</v>
      </c>
      <c r="J3" s="3383" t="s">
        <v>849</v>
      </c>
      <c r="K3" s="3383" t="s">
        <v>850</v>
      </c>
      <c r="L3" s="3383" t="s">
        <v>5794</v>
      </c>
      <c r="M3" s="3383" t="s">
        <v>5795</v>
      </c>
      <c r="N3" s="3383" t="s">
        <v>5796</v>
      </c>
      <c r="O3" s="3383" t="s">
        <v>5797</v>
      </c>
      <c r="P3" s="3479" t="s">
        <v>5798</v>
      </c>
      <c r="Q3" s="3480"/>
      <c r="R3" s="3480"/>
      <c r="S3" s="3480"/>
      <c r="T3" s="3385" t="s">
        <v>5799</v>
      </c>
    </row>
    <row r="4" spans="1:21" s="1618" customFormat="1" ht="77.25" customHeight="1">
      <c r="A4" s="3385"/>
      <c r="B4" s="3387"/>
      <c r="C4" s="3387"/>
      <c r="D4" s="3387"/>
      <c r="E4" s="3387"/>
      <c r="F4" s="3387"/>
      <c r="G4" s="3387"/>
      <c r="H4" s="3387"/>
      <c r="I4" s="3387"/>
      <c r="J4" s="3387"/>
      <c r="K4" s="3387"/>
      <c r="L4" s="3387"/>
      <c r="M4" s="3387"/>
      <c r="N4" s="3387"/>
      <c r="O4" s="3387"/>
      <c r="P4" s="1899" t="s">
        <v>5800</v>
      </c>
      <c r="Q4" s="1899" t="s">
        <v>5801</v>
      </c>
      <c r="R4" s="1899" t="s">
        <v>5802</v>
      </c>
      <c r="S4" s="1899" t="s">
        <v>1281</v>
      </c>
      <c r="T4" s="3385"/>
    </row>
    <row r="5" spans="1:21" s="1618" customFormat="1" ht="27" customHeight="1">
      <c r="A5" s="3385"/>
      <c r="B5" s="1900">
        <v>1</v>
      </c>
      <c r="C5" s="1900">
        <v>2</v>
      </c>
      <c r="D5" s="1900">
        <v>3</v>
      </c>
      <c r="E5" s="1900">
        <v>4</v>
      </c>
      <c r="F5" s="1900" t="s">
        <v>5803</v>
      </c>
      <c r="G5" s="1900">
        <v>6</v>
      </c>
      <c r="H5" s="1900" t="s">
        <v>2342</v>
      </c>
      <c r="I5" s="1900">
        <v>8</v>
      </c>
      <c r="J5" s="1900" t="s">
        <v>5804</v>
      </c>
      <c r="K5" s="1900">
        <v>10</v>
      </c>
      <c r="L5" s="1900">
        <v>11</v>
      </c>
      <c r="M5" s="1901" t="s">
        <v>5805</v>
      </c>
      <c r="N5" s="1900" t="s">
        <v>5806</v>
      </c>
      <c r="O5" s="1901" t="s">
        <v>5807</v>
      </c>
      <c r="P5" s="1900">
        <v>15</v>
      </c>
      <c r="Q5" s="1900">
        <v>16</v>
      </c>
      <c r="R5" s="1900">
        <v>17</v>
      </c>
      <c r="S5" s="1900" t="s">
        <v>5808</v>
      </c>
      <c r="T5" s="1899" t="s">
        <v>5809</v>
      </c>
    </row>
    <row r="6" spans="1:21" s="1616" customFormat="1" ht="14.25" customHeight="1">
      <c r="A6" s="1899">
        <v>1</v>
      </c>
      <c r="B6" s="1905">
        <f>境外所得税收抵免审核表!B6</f>
        <v>0</v>
      </c>
      <c r="C6" s="2074">
        <f>境外所得税收抵免审核表!C6</f>
        <v>0</v>
      </c>
      <c r="D6" s="2074">
        <f>境外所得税收抵免审核表!D6</f>
        <v>0</v>
      </c>
      <c r="E6" s="2074">
        <f>境外所得税收抵免审核表!E6</f>
        <v>0</v>
      </c>
      <c r="F6" s="2074">
        <f>境外所得税收抵免审核表!F6</f>
        <v>0</v>
      </c>
      <c r="G6" s="2074">
        <f>境外所得税收抵免审核表!G6</f>
        <v>0</v>
      </c>
      <c r="H6" s="2074">
        <f>境外所得税收抵免审核表!H6</f>
        <v>0</v>
      </c>
      <c r="I6" s="2074">
        <f>境外所得税收抵免审核表!I6</f>
        <v>0</v>
      </c>
      <c r="J6" s="2074">
        <f>境外所得税收抵免审核表!J6</f>
        <v>0</v>
      </c>
      <c r="K6" s="2074">
        <f>境外所得税收抵免审核表!K6</f>
        <v>0</v>
      </c>
      <c r="L6" s="2074">
        <f>境外所得税收抵免审核表!L6</f>
        <v>0</v>
      </c>
      <c r="M6" s="2074">
        <f>境外所得税收抵免审核表!M6</f>
        <v>0</v>
      </c>
      <c r="N6" s="2074">
        <f>境外所得税收抵免审核表!N6</f>
        <v>0</v>
      </c>
      <c r="O6" s="2074">
        <f>境外所得税收抵免审核表!O6</f>
        <v>0</v>
      </c>
      <c r="P6" s="2074">
        <f>境外所得税收抵免审核表!P6</f>
        <v>0</v>
      </c>
      <c r="Q6" s="2074">
        <f>境外所得税收抵免审核表!Q6</f>
        <v>0</v>
      </c>
      <c r="R6" s="2074">
        <f>境外所得税收抵免审核表!R6</f>
        <v>0</v>
      </c>
      <c r="S6" s="2074">
        <f>境外所得税收抵免审核表!S6</f>
        <v>0</v>
      </c>
      <c r="T6" s="2074">
        <f>境外所得税收抵免审核表!T6</f>
        <v>0</v>
      </c>
    </row>
    <row r="7" spans="1:21" s="1616" customFormat="1" ht="14.25" customHeight="1">
      <c r="A7" s="1899">
        <v>2</v>
      </c>
      <c r="B7" s="1905">
        <f>境外所得税收抵免审核表!B7</f>
        <v>0</v>
      </c>
      <c r="C7" s="2074">
        <f>境外所得税收抵免审核表!C7</f>
        <v>0</v>
      </c>
      <c r="D7" s="2074">
        <f>境外所得税收抵免审核表!D7</f>
        <v>0</v>
      </c>
      <c r="E7" s="2074">
        <f>境外所得税收抵免审核表!E7</f>
        <v>0</v>
      </c>
      <c r="F7" s="2074">
        <f>境外所得税收抵免审核表!F7</f>
        <v>0</v>
      </c>
      <c r="G7" s="2074">
        <f>境外所得税收抵免审核表!G7</f>
        <v>0</v>
      </c>
      <c r="H7" s="2074">
        <f>境外所得税收抵免审核表!H7</f>
        <v>0</v>
      </c>
      <c r="I7" s="2074">
        <f>境外所得税收抵免审核表!I7</f>
        <v>0</v>
      </c>
      <c r="J7" s="2074">
        <f>境外所得税收抵免审核表!J7</f>
        <v>0</v>
      </c>
      <c r="K7" s="2074">
        <f>境外所得税收抵免审核表!K7</f>
        <v>0</v>
      </c>
      <c r="L7" s="2074">
        <f>境外所得税收抵免审核表!L7</f>
        <v>0</v>
      </c>
      <c r="M7" s="2074">
        <f>境外所得税收抵免审核表!M7</f>
        <v>0</v>
      </c>
      <c r="N7" s="2074">
        <f>境外所得税收抵免审核表!N7</f>
        <v>0</v>
      </c>
      <c r="O7" s="2074">
        <f>境外所得税收抵免审核表!O7</f>
        <v>0</v>
      </c>
      <c r="P7" s="2074">
        <f>境外所得税收抵免审核表!P7</f>
        <v>0</v>
      </c>
      <c r="Q7" s="2074">
        <f>境外所得税收抵免审核表!Q7</f>
        <v>0</v>
      </c>
      <c r="R7" s="2074">
        <f>境外所得税收抵免审核表!R7</f>
        <v>0</v>
      </c>
      <c r="S7" s="2074">
        <f>境外所得税收抵免审核表!S7</f>
        <v>0</v>
      </c>
      <c r="T7" s="2074">
        <f>境外所得税收抵免审核表!T7</f>
        <v>0</v>
      </c>
    </row>
    <row r="8" spans="1:21" s="1616" customFormat="1" ht="14.25" customHeight="1">
      <c r="A8" s="1899">
        <v>3</v>
      </c>
      <c r="B8" s="1905">
        <f>境外所得税收抵免审核表!B8</f>
        <v>0</v>
      </c>
      <c r="C8" s="2074">
        <f>境外所得税收抵免审核表!C8</f>
        <v>0</v>
      </c>
      <c r="D8" s="2074">
        <f>境外所得税收抵免审核表!D8</f>
        <v>0</v>
      </c>
      <c r="E8" s="2074">
        <f>境外所得税收抵免审核表!E8</f>
        <v>0</v>
      </c>
      <c r="F8" s="2074">
        <f>境外所得税收抵免审核表!F8</f>
        <v>0</v>
      </c>
      <c r="G8" s="2074">
        <f>境外所得税收抵免审核表!G8</f>
        <v>0</v>
      </c>
      <c r="H8" s="2074">
        <f>境外所得税收抵免审核表!H8</f>
        <v>0</v>
      </c>
      <c r="I8" s="2074">
        <f>境外所得税收抵免审核表!I8</f>
        <v>0</v>
      </c>
      <c r="J8" s="2074">
        <f>境外所得税收抵免审核表!J8</f>
        <v>0</v>
      </c>
      <c r="K8" s="2074">
        <f>境外所得税收抵免审核表!K8</f>
        <v>0</v>
      </c>
      <c r="L8" s="2074">
        <f>境外所得税收抵免审核表!L8</f>
        <v>0</v>
      </c>
      <c r="M8" s="2074">
        <f>境外所得税收抵免审核表!M8</f>
        <v>0</v>
      </c>
      <c r="N8" s="2074">
        <f>境外所得税收抵免审核表!N8</f>
        <v>0</v>
      </c>
      <c r="O8" s="2074">
        <f>境外所得税收抵免审核表!O8</f>
        <v>0</v>
      </c>
      <c r="P8" s="2074">
        <f>境外所得税收抵免审核表!P8</f>
        <v>0</v>
      </c>
      <c r="Q8" s="2074">
        <f>境外所得税收抵免审核表!Q8</f>
        <v>0</v>
      </c>
      <c r="R8" s="2074">
        <f>境外所得税收抵免审核表!R8</f>
        <v>0</v>
      </c>
      <c r="S8" s="2074">
        <f>境外所得税收抵免审核表!S8</f>
        <v>0</v>
      </c>
      <c r="T8" s="2074">
        <f>境外所得税收抵免审核表!T8</f>
        <v>0</v>
      </c>
    </row>
    <row r="9" spans="1:21" s="1616" customFormat="1" ht="14.25" customHeight="1">
      <c r="A9" s="1899">
        <v>4</v>
      </c>
      <c r="B9" s="1905">
        <f>境外所得税收抵免审核表!B9</f>
        <v>0</v>
      </c>
      <c r="C9" s="2074">
        <f>境外所得税收抵免审核表!C9</f>
        <v>0</v>
      </c>
      <c r="D9" s="2074">
        <f>境外所得税收抵免审核表!D9</f>
        <v>0</v>
      </c>
      <c r="E9" s="2074">
        <f>境外所得税收抵免审核表!E9</f>
        <v>0</v>
      </c>
      <c r="F9" s="2074">
        <f>境外所得税收抵免审核表!F9</f>
        <v>0</v>
      </c>
      <c r="G9" s="2074">
        <f>境外所得税收抵免审核表!G9</f>
        <v>0</v>
      </c>
      <c r="H9" s="2074">
        <f>境外所得税收抵免审核表!H9</f>
        <v>0</v>
      </c>
      <c r="I9" s="2074">
        <f>境外所得税收抵免审核表!I9</f>
        <v>0</v>
      </c>
      <c r="J9" s="2074">
        <f>境外所得税收抵免审核表!J9</f>
        <v>0</v>
      </c>
      <c r="K9" s="2074">
        <f>境外所得税收抵免审核表!K9</f>
        <v>0</v>
      </c>
      <c r="L9" s="2074">
        <f>境外所得税收抵免审核表!L9</f>
        <v>0</v>
      </c>
      <c r="M9" s="2074">
        <f>境外所得税收抵免审核表!M9</f>
        <v>0</v>
      </c>
      <c r="N9" s="2074">
        <f>境外所得税收抵免审核表!N9</f>
        <v>0</v>
      </c>
      <c r="O9" s="2074">
        <f>境外所得税收抵免审核表!O9</f>
        <v>0</v>
      </c>
      <c r="P9" s="2074">
        <f>境外所得税收抵免审核表!P9</f>
        <v>0</v>
      </c>
      <c r="Q9" s="2074">
        <f>境外所得税收抵免审核表!Q9</f>
        <v>0</v>
      </c>
      <c r="R9" s="2074">
        <f>境外所得税收抵免审核表!R9</f>
        <v>0</v>
      </c>
      <c r="S9" s="2074">
        <f>境外所得税收抵免审核表!S9</f>
        <v>0</v>
      </c>
      <c r="T9" s="2074">
        <f>境外所得税收抵免审核表!T9</f>
        <v>0</v>
      </c>
    </row>
    <row r="10" spans="1:21" s="1616" customFormat="1" ht="14.25" customHeight="1">
      <c r="A10" s="1899">
        <v>5</v>
      </c>
      <c r="B10" s="1905">
        <f>境外所得税收抵免审核表!B10</f>
        <v>0</v>
      </c>
      <c r="C10" s="2074">
        <f>境外所得税收抵免审核表!C10</f>
        <v>0</v>
      </c>
      <c r="D10" s="2074">
        <f>境外所得税收抵免审核表!D10</f>
        <v>0</v>
      </c>
      <c r="E10" s="2074">
        <f>境外所得税收抵免审核表!E10</f>
        <v>0</v>
      </c>
      <c r="F10" s="2074">
        <f>境外所得税收抵免审核表!F10</f>
        <v>0</v>
      </c>
      <c r="G10" s="2074">
        <f>境外所得税收抵免审核表!G10</f>
        <v>0</v>
      </c>
      <c r="H10" s="2074">
        <f>境外所得税收抵免审核表!H10</f>
        <v>0</v>
      </c>
      <c r="I10" s="2074">
        <f>境外所得税收抵免审核表!I10</f>
        <v>0</v>
      </c>
      <c r="J10" s="2074">
        <f>境外所得税收抵免审核表!J10</f>
        <v>0</v>
      </c>
      <c r="K10" s="2074">
        <f>境外所得税收抵免审核表!K10</f>
        <v>0</v>
      </c>
      <c r="L10" s="2074">
        <f>境外所得税收抵免审核表!L10</f>
        <v>0</v>
      </c>
      <c r="M10" s="2074">
        <f>境外所得税收抵免审核表!M10</f>
        <v>0</v>
      </c>
      <c r="N10" s="2074">
        <f>境外所得税收抵免审核表!N10</f>
        <v>0</v>
      </c>
      <c r="O10" s="2074">
        <f>境外所得税收抵免审核表!O10</f>
        <v>0</v>
      </c>
      <c r="P10" s="2074">
        <f>境外所得税收抵免审核表!P10</f>
        <v>0</v>
      </c>
      <c r="Q10" s="2074">
        <f>境外所得税收抵免审核表!Q10</f>
        <v>0</v>
      </c>
      <c r="R10" s="2074">
        <f>境外所得税收抵免审核表!R10</f>
        <v>0</v>
      </c>
      <c r="S10" s="2074">
        <f>境外所得税收抵免审核表!S10</f>
        <v>0</v>
      </c>
      <c r="T10" s="2074">
        <f>境外所得税收抵免审核表!T10</f>
        <v>0</v>
      </c>
    </row>
    <row r="11" spans="1:21" s="1616" customFormat="1" ht="14.25" customHeight="1">
      <c r="A11" s="1899">
        <v>6</v>
      </c>
      <c r="B11" s="1905">
        <f>境外所得税收抵免审核表!B11</f>
        <v>0</v>
      </c>
      <c r="C11" s="2074">
        <f>境外所得税收抵免审核表!C11</f>
        <v>0</v>
      </c>
      <c r="D11" s="2074">
        <f>境外所得税收抵免审核表!D11</f>
        <v>0</v>
      </c>
      <c r="E11" s="2074">
        <f>境外所得税收抵免审核表!E11</f>
        <v>0</v>
      </c>
      <c r="F11" s="2074">
        <f>境外所得税收抵免审核表!F11</f>
        <v>0</v>
      </c>
      <c r="G11" s="2074">
        <f>境外所得税收抵免审核表!G11</f>
        <v>0</v>
      </c>
      <c r="H11" s="2074">
        <f>境外所得税收抵免审核表!H11</f>
        <v>0</v>
      </c>
      <c r="I11" s="2074">
        <f>境外所得税收抵免审核表!I11</f>
        <v>0</v>
      </c>
      <c r="J11" s="2074">
        <f>境外所得税收抵免审核表!J11</f>
        <v>0</v>
      </c>
      <c r="K11" s="2074">
        <f>境外所得税收抵免审核表!K11</f>
        <v>0</v>
      </c>
      <c r="L11" s="2074">
        <f>境外所得税收抵免审核表!L11</f>
        <v>0</v>
      </c>
      <c r="M11" s="2074">
        <f>境外所得税收抵免审核表!M11</f>
        <v>0</v>
      </c>
      <c r="N11" s="2074">
        <f>境外所得税收抵免审核表!N11</f>
        <v>0</v>
      </c>
      <c r="O11" s="2074">
        <f>境外所得税收抵免审核表!O11</f>
        <v>0</v>
      </c>
      <c r="P11" s="2074">
        <f>境外所得税收抵免审核表!P11</f>
        <v>0</v>
      </c>
      <c r="Q11" s="2074">
        <f>境外所得税收抵免审核表!Q11</f>
        <v>0</v>
      </c>
      <c r="R11" s="2074">
        <f>境外所得税收抵免审核表!R11</f>
        <v>0</v>
      </c>
      <c r="S11" s="2074">
        <f>境外所得税收抵免审核表!S11</f>
        <v>0</v>
      </c>
      <c r="T11" s="2074">
        <f>境外所得税收抵免审核表!T11</f>
        <v>0</v>
      </c>
    </row>
    <row r="12" spans="1:21" s="1616" customFormat="1" ht="14.25" customHeight="1">
      <c r="A12" s="1899">
        <v>7</v>
      </c>
      <c r="B12" s="1905">
        <f>境外所得税收抵免审核表!B12</f>
        <v>0</v>
      </c>
      <c r="C12" s="2074">
        <f>境外所得税收抵免审核表!C12</f>
        <v>0</v>
      </c>
      <c r="D12" s="2074">
        <f>境外所得税收抵免审核表!D12</f>
        <v>0</v>
      </c>
      <c r="E12" s="2074">
        <f>境外所得税收抵免审核表!E12</f>
        <v>0</v>
      </c>
      <c r="F12" s="2074">
        <f>境外所得税收抵免审核表!F12</f>
        <v>0</v>
      </c>
      <c r="G12" s="2074">
        <f>境外所得税收抵免审核表!G12</f>
        <v>0</v>
      </c>
      <c r="H12" s="2074">
        <f>境外所得税收抵免审核表!H12</f>
        <v>0</v>
      </c>
      <c r="I12" s="2074">
        <f>境外所得税收抵免审核表!I12</f>
        <v>0</v>
      </c>
      <c r="J12" s="2074">
        <f>境外所得税收抵免审核表!J12</f>
        <v>0</v>
      </c>
      <c r="K12" s="2074">
        <f>境外所得税收抵免审核表!K12</f>
        <v>0</v>
      </c>
      <c r="L12" s="2074">
        <f>境外所得税收抵免审核表!L12</f>
        <v>0</v>
      </c>
      <c r="M12" s="2074">
        <f>境外所得税收抵免审核表!M12</f>
        <v>0</v>
      </c>
      <c r="N12" s="2074">
        <f>境外所得税收抵免审核表!N12</f>
        <v>0</v>
      </c>
      <c r="O12" s="2074">
        <f>境外所得税收抵免审核表!O12</f>
        <v>0</v>
      </c>
      <c r="P12" s="2074">
        <f>境外所得税收抵免审核表!P12</f>
        <v>0</v>
      </c>
      <c r="Q12" s="2074">
        <f>境外所得税收抵免审核表!Q12</f>
        <v>0</v>
      </c>
      <c r="R12" s="2074">
        <f>境外所得税收抵免审核表!R12</f>
        <v>0</v>
      </c>
      <c r="S12" s="2074">
        <f>境外所得税收抵免审核表!S12</f>
        <v>0</v>
      </c>
      <c r="T12" s="2074">
        <f>境外所得税收抵免审核表!T12</f>
        <v>0</v>
      </c>
    </row>
    <row r="13" spans="1:21" s="1616" customFormat="1" ht="14.25" customHeight="1">
      <c r="A13" s="1899">
        <v>8</v>
      </c>
      <c r="B13" s="1905">
        <f>境外所得税收抵免审核表!B13</f>
        <v>0</v>
      </c>
      <c r="C13" s="2074">
        <f>境外所得税收抵免审核表!C13</f>
        <v>0</v>
      </c>
      <c r="D13" s="2074">
        <f>境外所得税收抵免审核表!D13</f>
        <v>0</v>
      </c>
      <c r="E13" s="2074">
        <f>境外所得税收抵免审核表!E13</f>
        <v>0</v>
      </c>
      <c r="F13" s="2074">
        <f>境外所得税收抵免审核表!F13</f>
        <v>0</v>
      </c>
      <c r="G13" s="2074">
        <f>境外所得税收抵免审核表!G13</f>
        <v>0</v>
      </c>
      <c r="H13" s="2074">
        <f>境外所得税收抵免审核表!H13</f>
        <v>0</v>
      </c>
      <c r="I13" s="2074">
        <f>境外所得税收抵免审核表!I13</f>
        <v>0</v>
      </c>
      <c r="J13" s="2074">
        <f>境外所得税收抵免审核表!J13</f>
        <v>0</v>
      </c>
      <c r="K13" s="2074">
        <f>境外所得税收抵免审核表!K13</f>
        <v>0</v>
      </c>
      <c r="L13" s="2074">
        <f>境外所得税收抵免审核表!L13</f>
        <v>0</v>
      </c>
      <c r="M13" s="2074">
        <f>境外所得税收抵免审核表!M13</f>
        <v>0</v>
      </c>
      <c r="N13" s="2074">
        <f>境外所得税收抵免审核表!N13</f>
        <v>0</v>
      </c>
      <c r="O13" s="2074">
        <f>境外所得税收抵免审核表!O13</f>
        <v>0</v>
      </c>
      <c r="P13" s="2074">
        <f>境外所得税收抵免审核表!P13</f>
        <v>0</v>
      </c>
      <c r="Q13" s="2074">
        <f>境外所得税收抵免审核表!Q13</f>
        <v>0</v>
      </c>
      <c r="R13" s="2074">
        <f>境外所得税收抵免审核表!R13</f>
        <v>0</v>
      </c>
      <c r="S13" s="2074">
        <f>境外所得税收抵免审核表!S13</f>
        <v>0</v>
      </c>
      <c r="T13" s="2074">
        <f>境外所得税收抵免审核表!T13</f>
        <v>0</v>
      </c>
    </row>
    <row r="14" spans="1:21" s="1616" customFormat="1" ht="14.25" customHeight="1">
      <c r="A14" s="1899">
        <v>9</v>
      </c>
      <c r="B14" s="1905">
        <f>境外所得税收抵免审核表!B14</f>
        <v>0</v>
      </c>
      <c r="C14" s="2074">
        <f>境外所得税收抵免审核表!C14</f>
        <v>0</v>
      </c>
      <c r="D14" s="2074">
        <f>境外所得税收抵免审核表!D14</f>
        <v>0</v>
      </c>
      <c r="E14" s="2074">
        <f>境外所得税收抵免审核表!E14</f>
        <v>0</v>
      </c>
      <c r="F14" s="2074">
        <f>境外所得税收抵免审核表!F14</f>
        <v>0</v>
      </c>
      <c r="G14" s="2074">
        <f>境外所得税收抵免审核表!G14</f>
        <v>0</v>
      </c>
      <c r="H14" s="2074">
        <f>境外所得税收抵免审核表!H14</f>
        <v>0</v>
      </c>
      <c r="I14" s="2074">
        <f>境外所得税收抵免审核表!I14</f>
        <v>0</v>
      </c>
      <c r="J14" s="2074">
        <f>境外所得税收抵免审核表!J14</f>
        <v>0</v>
      </c>
      <c r="K14" s="2074">
        <f>境外所得税收抵免审核表!K14</f>
        <v>0</v>
      </c>
      <c r="L14" s="2074">
        <f>境外所得税收抵免审核表!L14</f>
        <v>0</v>
      </c>
      <c r="M14" s="2074">
        <f>境外所得税收抵免审核表!M14</f>
        <v>0</v>
      </c>
      <c r="N14" s="2074">
        <f>境外所得税收抵免审核表!N14</f>
        <v>0</v>
      </c>
      <c r="O14" s="2074">
        <f>境外所得税收抵免审核表!O14</f>
        <v>0</v>
      </c>
      <c r="P14" s="2074">
        <f>境外所得税收抵免审核表!P14</f>
        <v>0</v>
      </c>
      <c r="Q14" s="2074">
        <f>境外所得税收抵免审核表!Q14</f>
        <v>0</v>
      </c>
      <c r="R14" s="2074">
        <f>境外所得税收抵免审核表!R14</f>
        <v>0</v>
      </c>
      <c r="S14" s="2074">
        <f>境外所得税收抵免审核表!S14</f>
        <v>0</v>
      </c>
      <c r="T14" s="2074">
        <f>境外所得税收抵免审核表!T14</f>
        <v>0</v>
      </c>
    </row>
    <row r="15" spans="1:21" s="1616" customFormat="1" ht="14.25" customHeight="1">
      <c r="A15" s="1899">
        <v>10</v>
      </c>
      <c r="B15" s="1899" t="s">
        <v>5560</v>
      </c>
      <c r="C15" s="2074">
        <f>境外所得税收抵免审核表!C15</f>
        <v>0</v>
      </c>
      <c r="D15" s="2074">
        <f>境外所得税收抵免审核表!D15</f>
        <v>0</v>
      </c>
      <c r="E15" s="2074">
        <f>境外所得税收抵免审核表!E15</f>
        <v>0</v>
      </c>
      <c r="F15" s="2074">
        <f>境外所得税收抵免审核表!F15</f>
        <v>0</v>
      </c>
      <c r="G15" s="2074">
        <f>境外所得税收抵免审核表!G15</f>
        <v>0</v>
      </c>
      <c r="H15" s="2074">
        <f>境外所得税收抵免审核表!H15</f>
        <v>0</v>
      </c>
      <c r="I15" s="2074">
        <f>境外所得税收抵免审核表!I15</f>
        <v>0</v>
      </c>
      <c r="J15" s="2074">
        <f>境外所得税收抵免审核表!J15</f>
        <v>0</v>
      </c>
      <c r="K15" s="2074">
        <f>境外所得税收抵免审核表!K15</f>
        <v>0</v>
      </c>
      <c r="L15" s="2074">
        <f>境外所得税收抵免审核表!L15</f>
        <v>0</v>
      </c>
      <c r="M15" s="2074">
        <f>境外所得税收抵免审核表!M15</f>
        <v>0</v>
      </c>
      <c r="N15" s="2074">
        <f>境外所得税收抵免审核表!N15</f>
        <v>0</v>
      </c>
      <c r="O15" s="2074">
        <f>境外所得税收抵免审核表!O15</f>
        <v>0</v>
      </c>
      <c r="P15" s="2074">
        <f>境外所得税收抵免审核表!P15</f>
        <v>0</v>
      </c>
      <c r="Q15" s="2074">
        <f>境外所得税收抵免审核表!Q15</f>
        <v>0</v>
      </c>
      <c r="R15" s="2074">
        <f>境外所得税收抵免审核表!R15</f>
        <v>0</v>
      </c>
      <c r="S15" s="2074">
        <f>境外所得税收抵免审核表!S15</f>
        <v>0</v>
      </c>
      <c r="T15" s="2074">
        <f>境外所得税收抵免审核表!T15</f>
        <v>0</v>
      </c>
      <c r="U15" s="1772" t="s">
        <v>6479</v>
      </c>
    </row>
    <row r="16" spans="1:21" ht="215.25" customHeight="1">
      <c r="A16" s="1902"/>
      <c r="B16" s="1964" t="s">
        <v>4901</v>
      </c>
      <c r="C16" s="1902" t="s">
        <v>5810</v>
      </c>
      <c r="D16" s="1904" t="s">
        <v>5811</v>
      </c>
      <c r="E16" s="1904" t="s">
        <v>5812</v>
      </c>
      <c r="F16" s="1902"/>
      <c r="G16" s="1904" t="s">
        <v>5813</v>
      </c>
      <c r="H16" s="1902"/>
      <c r="I16" s="1902"/>
      <c r="J16" s="1904" t="s">
        <v>5814</v>
      </c>
      <c r="K16" s="1904" t="s">
        <v>5815</v>
      </c>
      <c r="L16" s="1902"/>
      <c r="M16" s="1902"/>
      <c r="N16" s="1902"/>
      <c r="O16" s="1904" t="s">
        <v>5816</v>
      </c>
      <c r="P16" s="1904"/>
      <c r="Q16" s="1902"/>
      <c r="R16" s="1902"/>
      <c r="S16" s="1902"/>
      <c r="T16" s="1904" t="s">
        <v>5817</v>
      </c>
    </row>
    <row r="17" spans="1:1">
      <c r="A17" s="2001"/>
    </row>
    <row r="18" spans="1:1">
      <c r="A18" s="2001"/>
    </row>
    <row r="19" spans="1:1">
      <c r="A19" s="2001"/>
    </row>
    <row r="20" spans="1:1">
      <c r="A20" s="2001"/>
    </row>
    <row r="21" spans="1:1">
      <c r="A21" s="2001"/>
    </row>
    <row r="22" spans="1:1">
      <c r="A22" s="2001"/>
    </row>
  </sheetData>
  <mergeCells count="19">
    <mergeCell ref="L3:L4"/>
    <mergeCell ref="M3:M4"/>
    <mergeCell ref="N3:N4"/>
    <mergeCell ref="A1:T1"/>
    <mergeCell ref="A2:T2"/>
    <mergeCell ref="A3:A5"/>
    <mergeCell ref="B3:B4"/>
    <mergeCell ref="C3:C4"/>
    <mergeCell ref="D3:D4"/>
    <mergeCell ref="E3:E4"/>
    <mergeCell ref="F3:F4"/>
    <mergeCell ref="G3:G4"/>
    <mergeCell ref="H3:H4"/>
    <mergeCell ref="O3:O4"/>
    <mergeCell ref="P3:S3"/>
    <mergeCell ref="T3:T4"/>
    <mergeCell ref="I3:I4"/>
    <mergeCell ref="J3:J4"/>
    <mergeCell ref="K3:K4"/>
  </mergeCells>
  <phoneticPr fontId="51" type="noConversion"/>
  <hyperlinks>
    <hyperlink ref="U15" location="境外所得税收抵免审核表!A1" display="境外所得税收抵免审核表!A1"/>
  </hyperlinks>
  <printOptions horizontalCentered="1"/>
  <pageMargins left="0.78740157480314998" right="0.35433070866141703" top="0.511811023622047" bottom="0.11811023622047198" header="0.511811023622047" footer="0.511811023622047"/>
  <pageSetup paperSize="9" scale="90" orientation="landscape" r:id="rId1"/>
  <headerFooter alignWithMargins="0"/>
</worksheet>
</file>

<file path=xl/worksheets/sheet15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51">
    <tabColor rgb="FFFFFF00"/>
  </sheetPr>
  <dimension ref="A1:T20"/>
  <sheetViews>
    <sheetView workbookViewId="0">
      <selection activeCell="E5" sqref="E5"/>
    </sheetView>
  </sheetViews>
  <sheetFormatPr defaultColWidth="8.69921875" defaultRowHeight="13.2"/>
  <cols>
    <col min="1" max="1" width="3.5" style="1617" customWidth="1"/>
    <col min="2" max="2" width="9.3984375" style="1617" customWidth="1"/>
    <col min="3" max="19" width="10.19921875" style="1617" customWidth="1"/>
    <col min="20" max="256" width="8.69921875" style="1617"/>
    <col min="257" max="257" width="5.19921875" style="1617" customWidth="1"/>
    <col min="258" max="258" width="10.19921875" style="1617" customWidth="1"/>
    <col min="259" max="275" width="6.5" style="1617" customWidth="1"/>
    <col min="276" max="512" width="8.69921875" style="1617"/>
    <col min="513" max="513" width="5.19921875" style="1617" customWidth="1"/>
    <col min="514" max="514" width="10.19921875" style="1617" customWidth="1"/>
    <col min="515" max="531" width="6.5" style="1617" customWidth="1"/>
    <col min="532" max="768" width="8.69921875" style="1617"/>
    <col min="769" max="769" width="5.19921875" style="1617" customWidth="1"/>
    <col min="770" max="770" width="10.19921875" style="1617" customWidth="1"/>
    <col min="771" max="787" width="6.5" style="1617" customWidth="1"/>
    <col min="788" max="1024" width="8.69921875" style="1617"/>
    <col min="1025" max="1025" width="5.19921875" style="1617" customWidth="1"/>
    <col min="1026" max="1026" width="10.19921875" style="1617" customWidth="1"/>
    <col min="1027" max="1043" width="6.5" style="1617" customWidth="1"/>
    <col min="1044" max="1280" width="8.69921875" style="1617"/>
    <col min="1281" max="1281" width="5.19921875" style="1617" customWidth="1"/>
    <col min="1282" max="1282" width="10.19921875" style="1617" customWidth="1"/>
    <col min="1283" max="1299" width="6.5" style="1617" customWidth="1"/>
    <col min="1300" max="1536" width="8.69921875" style="1617"/>
    <col min="1537" max="1537" width="5.19921875" style="1617" customWidth="1"/>
    <col min="1538" max="1538" width="10.19921875" style="1617" customWidth="1"/>
    <col min="1539" max="1555" width="6.5" style="1617" customWidth="1"/>
    <col min="1556" max="1792" width="8.69921875" style="1617"/>
    <col min="1793" max="1793" width="5.19921875" style="1617" customWidth="1"/>
    <col min="1794" max="1794" width="10.19921875" style="1617" customWidth="1"/>
    <col min="1795" max="1811" width="6.5" style="1617" customWidth="1"/>
    <col min="1812" max="2048" width="8.69921875" style="1617"/>
    <col min="2049" max="2049" width="5.19921875" style="1617" customWidth="1"/>
    <col min="2050" max="2050" width="10.19921875" style="1617" customWidth="1"/>
    <col min="2051" max="2067" width="6.5" style="1617" customWidth="1"/>
    <col min="2068" max="2304" width="8.69921875" style="1617"/>
    <col min="2305" max="2305" width="5.19921875" style="1617" customWidth="1"/>
    <col min="2306" max="2306" width="10.19921875" style="1617" customWidth="1"/>
    <col min="2307" max="2323" width="6.5" style="1617" customWidth="1"/>
    <col min="2324" max="2560" width="8.69921875" style="1617"/>
    <col min="2561" max="2561" width="5.19921875" style="1617" customWidth="1"/>
    <col min="2562" max="2562" width="10.19921875" style="1617" customWidth="1"/>
    <col min="2563" max="2579" width="6.5" style="1617" customWidth="1"/>
    <col min="2580" max="2816" width="8.69921875" style="1617"/>
    <col min="2817" max="2817" width="5.19921875" style="1617" customWidth="1"/>
    <col min="2818" max="2818" width="10.19921875" style="1617" customWidth="1"/>
    <col min="2819" max="2835" width="6.5" style="1617" customWidth="1"/>
    <col min="2836" max="3072" width="8.69921875" style="1617"/>
    <col min="3073" max="3073" width="5.19921875" style="1617" customWidth="1"/>
    <col min="3074" max="3074" width="10.19921875" style="1617" customWidth="1"/>
    <col min="3075" max="3091" width="6.5" style="1617" customWidth="1"/>
    <col min="3092" max="3328" width="8.69921875" style="1617"/>
    <col min="3329" max="3329" width="5.19921875" style="1617" customWidth="1"/>
    <col min="3330" max="3330" width="10.19921875" style="1617" customWidth="1"/>
    <col min="3331" max="3347" width="6.5" style="1617" customWidth="1"/>
    <col min="3348" max="3584" width="8.69921875" style="1617"/>
    <col min="3585" max="3585" width="5.19921875" style="1617" customWidth="1"/>
    <col min="3586" max="3586" width="10.19921875" style="1617" customWidth="1"/>
    <col min="3587" max="3603" width="6.5" style="1617" customWidth="1"/>
    <col min="3604" max="3840" width="8.69921875" style="1617"/>
    <col min="3841" max="3841" width="5.19921875" style="1617" customWidth="1"/>
    <col min="3842" max="3842" width="10.19921875" style="1617" customWidth="1"/>
    <col min="3843" max="3859" width="6.5" style="1617" customWidth="1"/>
    <col min="3860" max="4096" width="8.69921875" style="1617"/>
    <col min="4097" max="4097" width="5.19921875" style="1617" customWidth="1"/>
    <col min="4098" max="4098" width="10.19921875" style="1617" customWidth="1"/>
    <col min="4099" max="4115" width="6.5" style="1617" customWidth="1"/>
    <col min="4116" max="4352" width="8.69921875" style="1617"/>
    <col min="4353" max="4353" width="5.19921875" style="1617" customWidth="1"/>
    <col min="4354" max="4354" width="10.19921875" style="1617" customWidth="1"/>
    <col min="4355" max="4371" width="6.5" style="1617" customWidth="1"/>
    <col min="4372" max="4608" width="8.69921875" style="1617"/>
    <col min="4609" max="4609" width="5.19921875" style="1617" customWidth="1"/>
    <col min="4610" max="4610" width="10.19921875" style="1617" customWidth="1"/>
    <col min="4611" max="4627" width="6.5" style="1617" customWidth="1"/>
    <col min="4628" max="4864" width="8.69921875" style="1617"/>
    <col min="4865" max="4865" width="5.19921875" style="1617" customWidth="1"/>
    <col min="4866" max="4866" width="10.19921875" style="1617" customWidth="1"/>
    <col min="4867" max="4883" width="6.5" style="1617" customWidth="1"/>
    <col min="4884" max="5120" width="8.69921875" style="1617"/>
    <col min="5121" max="5121" width="5.19921875" style="1617" customWidth="1"/>
    <col min="5122" max="5122" width="10.19921875" style="1617" customWidth="1"/>
    <col min="5123" max="5139" width="6.5" style="1617" customWidth="1"/>
    <col min="5140" max="5376" width="8.69921875" style="1617"/>
    <col min="5377" max="5377" width="5.19921875" style="1617" customWidth="1"/>
    <col min="5378" max="5378" width="10.19921875" style="1617" customWidth="1"/>
    <col min="5379" max="5395" width="6.5" style="1617" customWidth="1"/>
    <col min="5396" max="5632" width="8.69921875" style="1617"/>
    <col min="5633" max="5633" width="5.19921875" style="1617" customWidth="1"/>
    <col min="5634" max="5634" width="10.19921875" style="1617" customWidth="1"/>
    <col min="5635" max="5651" width="6.5" style="1617" customWidth="1"/>
    <col min="5652" max="5888" width="8.69921875" style="1617"/>
    <col min="5889" max="5889" width="5.19921875" style="1617" customWidth="1"/>
    <col min="5890" max="5890" width="10.19921875" style="1617" customWidth="1"/>
    <col min="5891" max="5907" width="6.5" style="1617" customWidth="1"/>
    <col min="5908" max="6144" width="8.69921875" style="1617"/>
    <col min="6145" max="6145" width="5.19921875" style="1617" customWidth="1"/>
    <col min="6146" max="6146" width="10.19921875" style="1617" customWidth="1"/>
    <col min="6147" max="6163" width="6.5" style="1617" customWidth="1"/>
    <col min="6164" max="6400" width="8.69921875" style="1617"/>
    <col min="6401" max="6401" width="5.19921875" style="1617" customWidth="1"/>
    <col min="6402" max="6402" width="10.19921875" style="1617" customWidth="1"/>
    <col min="6403" max="6419" width="6.5" style="1617" customWidth="1"/>
    <col min="6420" max="6656" width="8.69921875" style="1617"/>
    <col min="6657" max="6657" width="5.19921875" style="1617" customWidth="1"/>
    <col min="6658" max="6658" width="10.19921875" style="1617" customWidth="1"/>
    <col min="6659" max="6675" width="6.5" style="1617" customWidth="1"/>
    <col min="6676" max="6912" width="8.69921875" style="1617"/>
    <col min="6913" max="6913" width="5.19921875" style="1617" customWidth="1"/>
    <col min="6914" max="6914" width="10.19921875" style="1617" customWidth="1"/>
    <col min="6915" max="6931" width="6.5" style="1617" customWidth="1"/>
    <col min="6932" max="7168" width="8.69921875" style="1617"/>
    <col min="7169" max="7169" width="5.19921875" style="1617" customWidth="1"/>
    <col min="7170" max="7170" width="10.19921875" style="1617" customWidth="1"/>
    <col min="7171" max="7187" width="6.5" style="1617" customWidth="1"/>
    <col min="7188" max="7424" width="8.69921875" style="1617"/>
    <col min="7425" max="7425" width="5.19921875" style="1617" customWidth="1"/>
    <col min="7426" max="7426" width="10.19921875" style="1617" customWidth="1"/>
    <col min="7427" max="7443" width="6.5" style="1617" customWidth="1"/>
    <col min="7444" max="7680" width="8.69921875" style="1617"/>
    <col min="7681" max="7681" width="5.19921875" style="1617" customWidth="1"/>
    <col min="7682" max="7682" width="10.19921875" style="1617" customWidth="1"/>
    <col min="7683" max="7699" width="6.5" style="1617" customWidth="1"/>
    <col min="7700" max="7936" width="8.69921875" style="1617"/>
    <col min="7937" max="7937" width="5.19921875" style="1617" customWidth="1"/>
    <col min="7938" max="7938" width="10.19921875" style="1617" customWidth="1"/>
    <col min="7939" max="7955" width="6.5" style="1617" customWidth="1"/>
    <col min="7956" max="8192" width="8.69921875" style="1617"/>
    <col min="8193" max="8193" width="5.19921875" style="1617" customWidth="1"/>
    <col min="8194" max="8194" width="10.19921875" style="1617" customWidth="1"/>
    <col min="8195" max="8211" width="6.5" style="1617" customWidth="1"/>
    <col min="8212" max="8448" width="8.69921875" style="1617"/>
    <col min="8449" max="8449" width="5.19921875" style="1617" customWidth="1"/>
    <col min="8450" max="8450" width="10.19921875" style="1617" customWidth="1"/>
    <col min="8451" max="8467" width="6.5" style="1617" customWidth="1"/>
    <col min="8468" max="8704" width="8.69921875" style="1617"/>
    <col min="8705" max="8705" width="5.19921875" style="1617" customWidth="1"/>
    <col min="8706" max="8706" width="10.19921875" style="1617" customWidth="1"/>
    <col min="8707" max="8723" width="6.5" style="1617" customWidth="1"/>
    <col min="8724" max="8960" width="8.69921875" style="1617"/>
    <col min="8961" max="8961" width="5.19921875" style="1617" customWidth="1"/>
    <col min="8962" max="8962" width="10.19921875" style="1617" customWidth="1"/>
    <col min="8963" max="8979" width="6.5" style="1617" customWidth="1"/>
    <col min="8980" max="9216" width="8.69921875" style="1617"/>
    <col min="9217" max="9217" width="5.19921875" style="1617" customWidth="1"/>
    <col min="9218" max="9218" width="10.19921875" style="1617" customWidth="1"/>
    <col min="9219" max="9235" width="6.5" style="1617" customWidth="1"/>
    <col min="9236" max="9472" width="8.69921875" style="1617"/>
    <col min="9473" max="9473" width="5.19921875" style="1617" customWidth="1"/>
    <col min="9474" max="9474" width="10.19921875" style="1617" customWidth="1"/>
    <col min="9475" max="9491" width="6.5" style="1617" customWidth="1"/>
    <col min="9492" max="9728" width="8.69921875" style="1617"/>
    <col min="9729" max="9729" width="5.19921875" style="1617" customWidth="1"/>
    <col min="9730" max="9730" width="10.19921875" style="1617" customWidth="1"/>
    <col min="9731" max="9747" width="6.5" style="1617" customWidth="1"/>
    <col min="9748" max="9984" width="8.69921875" style="1617"/>
    <col min="9985" max="9985" width="5.19921875" style="1617" customWidth="1"/>
    <col min="9986" max="9986" width="10.19921875" style="1617" customWidth="1"/>
    <col min="9987" max="10003" width="6.5" style="1617" customWidth="1"/>
    <col min="10004" max="10240" width="8.69921875" style="1617"/>
    <col min="10241" max="10241" width="5.19921875" style="1617" customWidth="1"/>
    <col min="10242" max="10242" width="10.19921875" style="1617" customWidth="1"/>
    <col min="10243" max="10259" width="6.5" style="1617" customWidth="1"/>
    <col min="10260" max="10496" width="8.69921875" style="1617"/>
    <col min="10497" max="10497" width="5.19921875" style="1617" customWidth="1"/>
    <col min="10498" max="10498" width="10.19921875" style="1617" customWidth="1"/>
    <col min="10499" max="10515" width="6.5" style="1617" customWidth="1"/>
    <col min="10516" max="10752" width="8.69921875" style="1617"/>
    <col min="10753" max="10753" width="5.19921875" style="1617" customWidth="1"/>
    <col min="10754" max="10754" width="10.19921875" style="1617" customWidth="1"/>
    <col min="10755" max="10771" width="6.5" style="1617" customWidth="1"/>
    <col min="10772" max="11008" width="8.69921875" style="1617"/>
    <col min="11009" max="11009" width="5.19921875" style="1617" customWidth="1"/>
    <col min="11010" max="11010" width="10.19921875" style="1617" customWidth="1"/>
    <col min="11011" max="11027" width="6.5" style="1617" customWidth="1"/>
    <col min="11028" max="11264" width="8.69921875" style="1617"/>
    <col min="11265" max="11265" width="5.19921875" style="1617" customWidth="1"/>
    <col min="11266" max="11266" width="10.19921875" style="1617" customWidth="1"/>
    <col min="11267" max="11283" width="6.5" style="1617" customWidth="1"/>
    <col min="11284" max="11520" width="8.69921875" style="1617"/>
    <col min="11521" max="11521" width="5.19921875" style="1617" customWidth="1"/>
    <col min="11522" max="11522" width="10.19921875" style="1617" customWidth="1"/>
    <col min="11523" max="11539" width="6.5" style="1617" customWidth="1"/>
    <col min="11540" max="11776" width="8.69921875" style="1617"/>
    <col min="11777" max="11777" width="5.19921875" style="1617" customWidth="1"/>
    <col min="11778" max="11778" width="10.19921875" style="1617" customWidth="1"/>
    <col min="11779" max="11795" width="6.5" style="1617" customWidth="1"/>
    <col min="11796" max="12032" width="8.69921875" style="1617"/>
    <col min="12033" max="12033" width="5.19921875" style="1617" customWidth="1"/>
    <col min="12034" max="12034" width="10.19921875" style="1617" customWidth="1"/>
    <col min="12035" max="12051" width="6.5" style="1617" customWidth="1"/>
    <col min="12052" max="12288" width="8.69921875" style="1617"/>
    <col min="12289" max="12289" width="5.19921875" style="1617" customWidth="1"/>
    <col min="12290" max="12290" width="10.19921875" style="1617" customWidth="1"/>
    <col min="12291" max="12307" width="6.5" style="1617" customWidth="1"/>
    <col min="12308" max="12544" width="8.69921875" style="1617"/>
    <col min="12545" max="12545" width="5.19921875" style="1617" customWidth="1"/>
    <col min="12546" max="12546" width="10.19921875" style="1617" customWidth="1"/>
    <col min="12547" max="12563" width="6.5" style="1617" customWidth="1"/>
    <col min="12564" max="12800" width="8.69921875" style="1617"/>
    <col min="12801" max="12801" width="5.19921875" style="1617" customWidth="1"/>
    <col min="12802" max="12802" width="10.19921875" style="1617" customWidth="1"/>
    <col min="12803" max="12819" width="6.5" style="1617" customWidth="1"/>
    <col min="12820" max="13056" width="8.69921875" style="1617"/>
    <col min="13057" max="13057" width="5.19921875" style="1617" customWidth="1"/>
    <col min="13058" max="13058" width="10.19921875" style="1617" customWidth="1"/>
    <col min="13059" max="13075" width="6.5" style="1617" customWidth="1"/>
    <col min="13076" max="13312" width="8.69921875" style="1617"/>
    <col min="13313" max="13313" width="5.19921875" style="1617" customWidth="1"/>
    <col min="13314" max="13314" width="10.19921875" style="1617" customWidth="1"/>
    <col min="13315" max="13331" width="6.5" style="1617" customWidth="1"/>
    <col min="13332" max="13568" width="8.69921875" style="1617"/>
    <col min="13569" max="13569" width="5.19921875" style="1617" customWidth="1"/>
    <col min="13570" max="13570" width="10.19921875" style="1617" customWidth="1"/>
    <col min="13571" max="13587" width="6.5" style="1617" customWidth="1"/>
    <col min="13588" max="13824" width="8.69921875" style="1617"/>
    <col min="13825" max="13825" width="5.19921875" style="1617" customWidth="1"/>
    <col min="13826" max="13826" width="10.19921875" style="1617" customWidth="1"/>
    <col min="13827" max="13843" width="6.5" style="1617" customWidth="1"/>
    <col min="13844" max="14080" width="8.69921875" style="1617"/>
    <col min="14081" max="14081" width="5.19921875" style="1617" customWidth="1"/>
    <col min="14082" max="14082" width="10.19921875" style="1617" customWidth="1"/>
    <col min="14083" max="14099" width="6.5" style="1617" customWidth="1"/>
    <col min="14100" max="14336" width="8.69921875" style="1617"/>
    <col min="14337" max="14337" width="5.19921875" style="1617" customWidth="1"/>
    <col min="14338" max="14338" width="10.19921875" style="1617" customWidth="1"/>
    <col min="14339" max="14355" width="6.5" style="1617" customWidth="1"/>
    <col min="14356" max="14592" width="8.69921875" style="1617"/>
    <col min="14593" max="14593" width="5.19921875" style="1617" customWidth="1"/>
    <col min="14594" max="14594" width="10.19921875" style="1617" customWidth="1"/>
    <col min="14595" max="14611" width="6.5" style="1617" customWidth="1"/>
    <col min="14612" max="14848" width="8.69921875" style="1617"/>
    <col min="14849" max="14849" width="5.19921875" style="1617" customWidth="1"/>
    <col min="14850" max="14850" width="10.19921875" style="1617" customWidth="1"/>
    <col min="14851" max="14867" width="6.5" style="1617" customWidth="1"/>
    <col min="14868" max="15104" width="8.69921875" style="1617"/>
    <col min="15105" max="15105" width="5.19921875" style="1617" customWidth="1"/>
    <col min="15106" max="15106" width="10.19921875" style="1617" customWidth="1"/>
    <col min="15107" max="15123" width="6.5" style="1617" customWidth="1"/>
    <col min="15124" max="15360" width="8.69921875" style="1617"/>
    <col min="15361" max="15361" width="5.19921875" style="1617" customWidth="1"/>
    <col min="15362" max="15362" width="10.19921875" style="1617" customWidth="1"/>
    <col min="15363" max="15379" width="6.5" style="1617" customWidth="1"/>
    <col min="15380" max="15616" width="8.69921875" style="1617"/>
    <col min="15617" max="15617" width="5.19921875" style="1617" customWidth="1"/>
    <col min="15618" max="15618" width="10.19921875" style="1617" customWidth="1"/>
    <col min="15619" max="15635" width="6.5" style="1617" customWidth="1"/>
    <col min="15636" max="15872" width="8.69921875" style="1617"/>
    <col min="15873" max="15873" width="5.19921875" style="1617" customWidth="1"/>
    <col min="15874" max="15874" width="10.19921875" style="1617" customWidth="1"/>
    <col min="15875" max="15891" width="6.5" style="1617" customWidth="1"/>
    <col min="15892" max="16128" width="8.69921875" style="1617"/>
    <col min="16129" max="16129" width="5.19921875" style="1617" customWidth="1"/>
    <col min="16130" max="16130" width="10.19921875" style="1617" customWidth="1"/>
    <col min="16131" max="16147" width="6.5" style="1617" customWidth="1"/>
    <col min="16148" max="16384" width="8.69921875" style="1617"/>
  </cols>
  <sheetData>
    <row r="1" spans="1:20" s="1616" customFormat="1" ht="20.100000000000001" customHeight="1">
      <c r="A1" s="3378" t="s">
        <v>6628</v>
      </c>
      <c r="B1" s="3378"/>
      <c r="C1" s="3378"/>
      <c r="D1" s="3378"/>
      <c r="E1" s="3378"/>
      <c r="F1" s="3378"/>
      <c r="G1" s="3378"/>
      <c r="H1" s="3378"/>
      <c r="I1" s="3378"/>
      <c r="J1" s="3378"/>
      <c r="K1" s="3378"/>
      <c r="L1" s="3378"/>
      <c r="M1" s="3378"/>
      <c r="N1" s="3378"/>
      <c r="O1" s="3378"/>
      <c r="P1" s="3378"/>
      <c r="Q1" s="3378"/>
      <c r="R1" s="3378"/>
      <c r="S1" s="3378"/>
    </row>
    <row r="2" spans="1:20" s="1620" customFormat="1" ht="25.5" customHeight="1">
      <c r="A2" s="3477" t="s">
        <v>5818</v>
      </c>
      <c r="B2" s="3477"/>
      <c r="C2" s="3477"/>
      <c r="D2" s="3477"/>
      <c r="E2" s="3477"/>
      <c r="F2" s="3477"/>
      <c r="G2" s="3477"/>
      <c r="H2" s="3477"/>
      <c r="I2" s="3477"/>
      <c r="J2" s="3477"/>
      <c r="K2" s="3477"/>
      <c r="L2" s="3477"/>
      <c r="M2" s="3477"/>
      <c r="N2" s="3477"/>
      <c r="O2" s="3477"/>
      <c r="P2" s="3477"/>
      <c r="Q2" s="3477"/>
      <c r="R2" s="3477"/>
      <c r="S2" s="3478"/>
    </row>
    <row r="3" spans="1:20" s="1618" customFormat="1" ht="24" customHeight="1">
      <c r="A3" s="3385" t="s">
        <v>5673</v>
      </c>
      <c r="B3" s="3385" t="s">
        <v>5789</v>
      </c>
      <c r="C3" s="3479" t="s">
        <v>5819</v>
      </c>
      <c r="D3" s="3480"/>
      <c r="E3" s="3480"/>
      <c r="F3" s="3480"/>
      <c r="G3" s="3480"/>
      <c r="H3" s="3480"/>
      <c r="I3" s="3480"/>
      <c r="J3" s="3482"/>
      <c r="K3" s="3479" t="s">
        <v>5820</v>
      </c>
      <c r="L3" s="3480"/>
      <c r="M3" s="3480"/>
      <c r="N3" s="3482"/>
      <c r="O3" s="3385" t="s">
        <v>5790</v>
      </c>
      <c r="P3" s="3385" t="s">
        <v>5821</v>
      </c>
      <c r="Q3" s="3385" t="s">
        <v>5822</v>
      </c>
      <c r="R3" s="3385" t="s">
        <v>5823</v>
      </c>
      <c r="S3" s="3385" t="s">
        <v>5791</v>
      </c>
    </row>
    <row r="4" spans="1:20" s="1618" customFormat="1" ht="68.25" customHeight="1">
      <c r="A4" s="3385"/>
      <c r="B4" s="3385"/>
      <c r="C4" s="1900" t="s">
        <v>5824</v>
      </c>
      <c r="D4" s="1900" t="s">
        <v>5825</v>
      </c>
      <c r="E4" s="1900" t="s">
        <v>5826</v>
      </c>
      <c r="F4" s="1900" t="s">
        <v>5827</v>
      </c>
      <c r="G4" s="1900" t="s">
        <v>5828</v>
      </c>
      <c r="H4" s="1900" t="s">
        <v>5829</v>
      </c>
      <c r="I4" s="1900" t="s">
        <v>5830</v>
      </c>
      <c r="J4" s="1900" t="s">
        <v>1281</v>
      </c>
      <c r="K4" s="1900" t="s">
        <v>5831</v>
      </c>
      <c r="L4" s="1900" t="s">
        <v>5832</v>
      </c>
      <c r="M4" s="1900" t="s">
        <v>5833</v>
      </c>
      <c r="N4" s="1900" t="s">
        <v>1281</v>
      </c>
      <c r="O4" s="3385"/>
      <c r="P4" s="3385"/>
      <c r="Q4" s="3385"/>
      <c r="R4" s="3385"/>
      <c r="S4" s="3385"/>
    </row>
    <row r="5" spans="1:20" s="1618" customFormat="1" ht="49.5" customHeight="1">
      <c r="A5" s="3385"/>
      <c r="B5" s="1900">
        <v>1</v>
      </c>
      <c r="C5" s="1900">
        <v>2</v>
      </c>
      <c r="D5" s="1900">
        <v>3</v>
      </c>
      <c r="E5" s="1900">
        <v>4</v>
      </c>
      <c r="F5" s="1900">
        <v>5</v>
      </c>
      <c r="G5" s="1900">
        <v>6</v>
      </c>
      <c r="H5" s="1900">
        <v>7</v>
      </c>
      <c r="I5" s="1900">
        <v>8</v>
      </c>
      <c r="J5" s="1900" t="s">
        <v>5834</v>
      </c>
      <c r="K5" s="1900">
        <v>10</v>
      </c>
      <c r="L5" s="1900">
        <v>11</v>
      </c>
      <c r="M5" s="1900">
        <v>12</v>
      </c>
      <c r="N5" s="1900" t="s">
        <v>5835</v>
      </c>
      <c r="O5" s="1900" t="s">
        <v>5836</v>
      </c>
      <c r="P5" s="1900">
        <v>15</v>
      </c>
      <c r="Q5" s="1900">
        <v>16</v>
      </c>
      <c r="R5" s="1900">
        <v>17</v>
      </c>
      <c r="S5" s="1900" t="s">
        <v>5837</v>
      </c>
    </row>
    <row r="6" spans="1:20" s="1616" customFormat="1" ht="14.25" customHeight="1">
      <c r="A6" s="1899">
        <v>1</v>
      </c>
      <c r="B6" s="1905">
        <f>境外所得纳税调整后所得审核表!B6</f>
        <v>0</v>
      </c>
      <c r="C6" s="2074">
        <f>境外所得纳税调整后所得审核表!C6</f>
        <v>0</v>
      </c>
      <c r="D6" s="2074">
        <f>境外所得纳税调整后所得审核表!D6</f>
        <v>0</v>
      </c>
      <c r="E6" s="2074">
        <f>境外所得纳税调整后所得审核表!E6</f>
        <v>0</v>
      </c>
      <c r="F6" s="2074">
        <f>境外所得纳税调整后所得审核表!F6</f>
        <v>0</v>
      </c>
      <c r="G6" s="2074">
        <f>境外所得纳税调整后所得审核表!G6</f>
        <v>0</v>
      </c>
      <c r="H6" s="2074">
        <f>境外所得纳税调整后所得审核表!H6</f>
        <v>0</v>
      </c>
      <c r="I6" s="2074">
        <f>境外所得纳税调整后所得审核表!I6</f>
        <v>0</v>
      </c>
      <c r="J6" s="2074">
        <f>境外所得纳税调整后所得审核表!J6</f>
        <v>0</v>
      </c>
      <c r="K6" s="2074">
        <f>境外所得纳税调整后所得审核表!K6</f>
        <v>0</v>
      </c>
      <c r="L6" s="2074">
        <f>境外所得纳税调整后所得审核表!L6</f>
        <v>0</v>
      </c>
      <c r="M6" s="2074">
        <f>境外所得纳税调整后所得审核表!M6</f>
        <v>0</v>
      </c>
      <c r="N6" s="2074">
        <f>境外所得纳税调整后所得审核表!N6</f>
        <v>0</v>
      </c>
      <c r="O6" s="2074">
        <f>境外所得纳税调整后所得审核表!O6</f>
        <v>0</v>
      </c>
      <c r="P6" s="2074">
        <f>境外所得纳税调整后所得审核表!P6</f>
        <v>0</v>
      </c>
      <c r="Q6" s="2074">
        <f>境外所得纳税调整后所得审核表!Q6</f>
        <v>0</v>
      </c>
      <c r="R6" s="2074">
        <f>境外所得纳税调整后所得审核表!R6</f>
        <v>0</v>
      </c>
      <c r="S6" s="2074">
        <f>境外所得纳税调整后所得审核表!S6</f>
        <v>0</v>
      </c>
    </row>
    <row r="7" spans="1:20" s="1616" customFormat="1" ht="14.25" customHeight="1">
      <c r="A7" s="1899">
        <v>2</v>
      </c>
      <c r="B7" s="1905">
        <f>境外所得纳税调整后所得审核表!B7</f>
        <v>0</v>
      </c>
      <c r="C7" s="2074">
        <f>境外所得纳税调整后所得审核表!C7</f>
        <v>0</v>
      </c>
      <c r="D7" s="2074">
        <f>境外所得纳税调整后所得审核表!D7</f>
        <v>0</v>
      </c>
      <c r="E7" s="2074">
        <f>境外所得纳税调整后所得审核表!E7</f>
        <v>0</v>
      </c>
      <c r="F7" s="2074">
        <f>境外所得纳税调整后所得审核表!F7</f>
        <v>0</v>
      </c>
      <c r="G7" s="2074">
        <f>境外所得纳税调整后所得审核表!G7</f>
        <v>0</v>
      </c>
      <c r="H7" s="2074">
        <f>境外所得纳税调整后所得审核表!H7</f>
        <v>0</v>
      </c>
      <c r="I7" s="2074">
        <f>境外所得纳税调整后所得审核表!I7</f>
        <v>0</v>
      </c>
      <c r="J7" s="2074">
        <f>境外所得纳税调整后所得审核表!J7</f>
        <v>0</v>
      </c>
      <c r="K7" s="2074">
        <f>境外所得纳税调整后所得审核表!K7</f>
        <v>0</v>
      </c>
      <c r="L7" s="2074">
        <f>境外所得纳税调整后所得审核表!L7</f>
        <v>0</v>
      </c>
      <c r="M7" s="2074">
        <f>境外所得纳税调整后所得审核表!M7</f>
        <v>0</v>
      </c>
      <c r="N7" s="2074">
        <f>境外所得纳税调整后所得审核表!N7</f>
        <v>0</v>
      </c>
      <c r="O7" s="2074">
        <f>境外所得纳税调整后所得审核表!O7</f>
        <v>0</v>
      </c>
      <c r="P7" s="2074">
        <f>境外所得纳税调整后所得审核表!P7</f>
        <v>0</v>
      </c>
      <c r="Q7" s="2074">
        <f>境外所得纳税调整后所得审核表!Q7</f>
        <v>0</v>
      </c>
      <c r="R7" s="2074">
        <f>境外所得纳税调整后所得审核表!R7</f>
        <v>0</v>
      </c>
      <c r="S7" s="2074">
        <f>境外所得纳税调整后所得审核表!S7</f>
        <v>0</v>
      </c>
    </row>
    <row r="8" spans="1:20" s="1616" customFormat="1" ht="14.25" customHeight="1">
      <c r="A8" s="1899">
        <v>3</v>
      </c>
      <c r="B8" s="1905">
        <f>境外所得纳税调整后所得审核表!B8</f>
        <v>0</v>
      </c>
      <c r="C8" s="2074">
        <f>境外所得纳税调整后所得审核表!C8</f>
        <v>0</v>
      </c>
      <c r="D8" s="2074">
        <f>境外所得纳税调整后所得审核表!D8</f>
        <v>0</v>
      </c>
      <c r="E8" s="2074">
        <f>境外所得纳税调整后所得审核表!E8</f>
        <v>0</v>
      </c>
      <c r="F8" s="2074">
        <f>境外所得纳税调整后所得审核表!F8</f>
        <v>0</v>
      </c>
      <c r="G8" s="2074">
        <f>境外所得纳税调整后所得审核表!G8</f>
        <v>0</v>
      </c>
      <c r="H8" s="2074">
        <f>境外所得纳税调整后所得审核表!H8</f>
        <v>0</v>
      </c>
      <c r="I8" s="2074">
        <f>境外所得纳税调整后所得审核表!I8</f>
        <v>0</v>
      </c>
      <c r="J8" s="2074">
        <f>境外所得纳税调整后所得审核表!J8</f>
        <v>0</v>
      </c>
      <c r="K8" s="2074">
        <f>境外所得纳税调整后所得审核表!K8</f>
        <v>0</v>
      </c>
      <c r="L8" s="2074">
        <f>境外所得纳税调整后所得审核表!L8</f>
        <v>0</v>
      </c>
      <c r="M8" s="2074">
        <f>境外所得纳税调整后所得审核表!M8</f>
        <v>0</v>
      </c>
      <c r="N8" s="2074">
        <f>境外所得纳税调整后所得审核表!N8</f>
        <v>0</v>
      </c>
      <c r="O8" s="2074">
        <f>境外所得纳税调整后所得审核表!O8</f>
        <v>0</v>
      </c>
      <c r="P8" s="2074">
        <f>境外所得纳税调整后所得审核表!P8</f>
        <v>0</v>
      </c>
      <c r="Q8" s="2074">
        <f>境外所得纳税调整后所得审核表!Q8</f>
        <v>0</v>
      </c>
      <c r="R8" s="2074">
        <f>境外所得纳税调整后所得审核表!R8</f>
        <v>0</v>
      </c>
      <c r="S8" s="2074">
        <f>境外所得纳税调整后所得审核表!S8</f>
        <v>0</v>
      </c>
    </row>
    <row r="9" spans="1:20" s="1616" customFormat="1" ht="14.25" customHeight="1">
      <c r="A9" s="1899">
        <v>4</v>
      </c>
      <c r="B9" s="1905">
        <f>境外所得纳税调整后所得审核表!B9</f>
        <v>0</v>
      </c>
      <c r="C9" s="2074">
        <f>境外所得纳税调整后所得审核表!C9</f>
        <v>0</v>
      </c>
      <c r="D9" s="2074">
        <f>境外所得纳税调整后所得审核表!D9</f>
        <v>0</v>
      </c>
      <c r="E9" s="2074">
        <f>境外所得纳税调整后所得审核表!E9</f>
        <v>0</v>
      </c>
      <c r="F9" s="2074">
        <f>境外所得纳税调整后所得审核表!F9</f>
        <v>0</v>
      </c>
      <c r="G9" s="2074">
        <f>境外所得纳税调整后所得审核表!G9</f>
        <v>0</v>
      </c>
      <c r="H9" s="2074">
        <f>境外所得纳税调整后所得审核表!H9</f>
        <v>0</v>
      </c>
      <c r="I9" s="2074">
        <f>境外所得纳税调整后所得审核表!I9</f>
        <v>0</v>
      </c>
      <c r="J9" s="2074">
        <f>境外所得纳税调整后所得审核表!J9</f>
        <v>0</v>
      </c>
      <c r="K9" s="2074">
        <f>境外所得纳税调整后所得审核表!K9</f>
        <v>0</v>
      </c>
      <c r="L9" s="2074">
        <f>境外所得纳税调整后所得审核表!L9</f>
        <v>0</v>
      </c>
      <c r="M9" s="2074">
        <f>境外所得纳税调整后所得审核表!M9</f>
        <v>0</v>
      </c>
      <c r="N9" s="2074">
        <f>境外所得纳税调整后所得审核表!N9</f>
        <v>0</v>
      </c>
      <c r="O9" s="2074">
        <f>境外所得纳税调整后所得审核表!O9</f>
        <v>0</v>
      </c>
      <c r="P9" s="2074">
        <f>境外所得纳税调整后所得审核表!P9</f>
        <v>0</v>
      </c>
      <c r="Q9" s="2074">
        <f>境外所得纳税调整后所得审核表!Q9</f>
        <v>0</v>
      </c>
      <c r="R9" s="2074">
        <f>境外所得纳税调整后所得审核表!R9</f>
        <v>0</v>
      </c>
      <c r="S9" s="2074">
        <f>境外所得纳税调整后所得审核表!S9</f>
        <v>0</v>
      </c>
    </row>
    <row r="10" spans="1:20" s="1616" customFormat="1" ht="14.25" customHeight="1">
      <c r="A10" s="1899">
        <v>5</v>
      </c>
      <c r="B10" s="1905">
        <f>境外所得纳税调整后所得审核表!B10</f>
        <v>0</v>
      </c>
      <c r="C10" s="2074">
        <f>境外所得纳税调整后所得审核表!C10</f>
        <v>0</v>
      </c>
      <c r="D10" s="2074">
        <f>境外所得纳税调整后所得审核表!D10</f>
        <v>0</v>
      </c>
      <c r="E10" s="2074">
        <f>境外所得纳税调整后所得审核表!E10</f>
        <v>0</v>
      </c>
      <c r="F10" s="2074">
        <f>境外所得纳税调整后所得审核表!F10</f>
        <v>0</v>
      </c>
      <c r="G10" s="2074">
        <f>境外所得纳税调整后所得审核表!G10</f>
        <v>0</v>
      </c>
      <c r="H10" s="2074">
        <f>境外所得纳税调整后所得审核表!H10</f>
        <v>0</v>
      </c>
      <c r="I10" s="2074">
        <f>境外所得纳税调整后所得审核表!I10</f>
        <v>0</v>
      </c>
      <c r="J10" s="2074">
        <f>境外所得纳税调整后所得审核表!J10</f>
        <v>0</v>
      </c>
      <c r="K10" s="2074">
        <f>境外所得纳税调整后所得审核表!K10</f>
        <v>0</v>
      </c>
      <c r="L10" s="2074">
        <f>境外所得纳税调整后所得审核表!L10</f>
        <v>0</v>
      </c>
      <c r="M10" s="2074">
        <f>境外所得纳税调整后所得审核表!M10</f>
        <v>0</v>
      </c>
      <c r="N10" s="2074">
        <f>境外所得纳税调整后所得审核表!N10</f>
        <v>0</v>
      </c>
      <c r="O10" s="2074">
        <f>境外所得纳税调整后所得审核表!O10</f>
        <v>0</v>
      </c>
      <c r="P10" s="2074">
        <f>境外所得纳税调整后所得审核表!P10</f>
        <v>0</v>
      </c>
      <c r="Q10" s="2074">
        <f>境外所得纳税调整后所得审核表!Q10</f>
        <v>0</v>
      </c>
      <c r="R10" s="2074">
        <f>境外所得纳税调整后所得审核表!R10</f>
        <v>0</v>
      </c>
      <c r="S10" s="2074">
        <f>境外所得纳税调整后所得审核表!S10</f>
        <v>0</v>
      </c>
    </row>
    <row r="11" spans="1:20" s="1616" customFormat="1" ht="14.25" customHeight="1">
      <c r="A11" s="1899">
        <v>6</v>
      </c>
      <c r="B11" s="1905">
        <f>境外所得纳税调整后所得审核表!B11</f>
        <v>0</v>
      </c>
      <c r="C11" s="2074">
        <f>境外所得纳税调整后所得审核表!C11</f>
        <v>0</v>
      </c>
      <c r="D11" s="2074">
        <f>境外所得纳税调整后所得审核表!D11</f>
        <v>0</v>
      </c>
      <c r="E11" s="2074">
        <f>境外所得纳税调整后所得审核表!E11</f>
        <v>0</v>
      </c>
      <c r="F11" s="2074">
        <f>境外所得纳税调整后所得审核表!F11</f>
        <v>0</v>
      </c>
      <c r="G11" s="2074">
        <f>境外所得纳税调整后所得审核表!G11</f>
        <v>0</v>
      </c>
      <c r="H11" s="2074">
        <f>境外所得纳税调整后所得审核表!H11</f>
        <v>0</v>
      </c>
      <c r="I11" s="2074">
        <f>境外所得纳税调整后所得审核表!I11</f>
        <v>0</v>
      </c>
      <c r="J11" s="2074">
        <f>境外所得纳税调整后所得审核表!J11</f>
        <v>0</v>
      </c>
      <c r="K11" s="2074">
        <f>境外所得纳税调整后所得审核表!K11</f>
        <v>0</v>
      </c>
      <c r="L11" s="2074">
        <f>境外所得纳税调整后所得审核表!L11</f>
        <v>0</v>
      </c>
      <c r="M11" s="2074">
        <f>境外所得纳税调整后所得审核表!M11</f>
        <v>0</v>
      </c>
      <c r="N11" s="2074">
        <f>境外所得纳税调整后所得审核表!N11</f>
        <v>0</v>
      </c>
      <c r="O11" s="2074">
        <f>境外所得纳税调整后所得审核表!O11</f>
        <v>0</v>
      </c>
      <c r="P11" s="2074">
        <f>境外所得纳税调整后所得审核表!P11</f>
        <v>0</v>
      </c>
      <c r="Q11" s="2074">
        <f>境外所得纳税调整后所得审核表!Q11</f>
        <v>0</v>
      </c>
      <c r="R11" s="2074">
        <f>境外所得纳税调整后所得审核表!R11</f>
        <v>0</v>
      </c>
      <c r="S11" s="2074">
        <f>境外所得纳税调整后所得审核表!S11</f>
        <v>0</v>
      </c>
    </row>
    <row r="12" spans="1:20" s="1616" customFormat="1" ht="14.25" customHeight="1">
      <c r="A12" s="1899">
        <v>7</v>
      </c>
      <c r="B12" s="1905">
        <f>境外所得纳税调整后所得审核表!B12</f>
        <v>0</v>
      </c>
      <c r="C12" s="2074">
        <f>境外所得纳税调整后所得审核表!C12</f>
        <v>0</v>
      </c>
      <c r="D12" s="2074">
        <f>境外所得纳税调整后所得审核表!D12</f>
        <v>0</v>
      </c>
      <c r="E12" s="2074">
        <f>境外所得纳税调整后所得审核表!E12</f>
        <v>0</v>
      </c>
      <c r="F12" s="2074">
        <f>境外所得纳税调整后所得审核表!F12</f>
        <v>0</v>
      </c>
      <c r="G12" s="2074">
        <f>境外所得纳税调整后所得审核表!G12</f>
        <v>0</v>
      </c>
      <c r="H12" s="2074">
        <f>境外所得纳税调整后所得审核表!H12</f>
        <v>0</v>
      </c>
      <c r="I12" s="2074">
        <f>境外所得纳税调整后所得审核表!I12</f>
        <v>0</v>
      </c>
      <c r="J12" s="2074">
        <f>境外所得纳税调整后所得审核表!J12</f>
        <v>0</v>
      </c>
      <c r="K12" s="2074">
        <f>境外所得纳税调整后所得审核表!K12</f>
        <v>0</v>
      </c>
      <c r="L12" s="2074">
        <f>境外所得纳税调整后所得审核表!L12</f>
        <v>0</v>
      </c>
      <c r="M12" s="2074">
        <f>境外所得纳税调整后所得审核表!M12</f>
        <v>0</v>
      </c>
      <c r="N12" s="2074">
        <f>境外所得纳税调整后所得审核表!N12</f>
        <v>0</v>
      </c>
      <c r="O12" s="2074">
        <f>境外所得纳税调整后所得审核表!O12</f>
        <v>0</v>
      </c>
      <c r="P12" s="2074">
        <f>境外所得纳税调整后所得审核表!P12</f>
        <v>0</v>
      </c>
      <c r="Q12" s="2074">
        <f>境外所得纳税调整后所得审核表!Q12</f>
        <v>0</v>
      </c>
      <c r="R12" s="2074">
        <f>境外所得纳税调整后所得审核表!R12</f>
        <v>0</v>
      </c>
      <c r="S12" s="2074">
        <f>境外所得纳税调整后所得审核表!S12</f>
        <v>0</v>
      </c>
    </row>
    <row r="13" spans="1:20" s="1616" customFormat="1" ht="14.25" customHeight="1">
      <c r="A13" s="1899">
        <v>8</v>
      </c>
      <c r="B13" s="1905">
        <f>境外所得纳税调整后所得审核表!B13</f>
        <v>0</v>
      </c>
      <c r="C13" s="2074">
        <f>境外所得纳税调整后所得审核表!C13</f>
        <v>0</v>
      </c>
      <c r="D13" s="2074">
        <f>境外所得纳税调整后所得审核表!D13</f>
        <v>0</v>
      </c>
      <c r="E13" s="2074">
        <f>境外所得纳税调整后所得审核表!E13</f>
        <v>0</v>
      </c>
      <c r="F13" s="2074">
        <f>境外所得纳税调整后所得审核表!F13</f>
        <v>0</v>
      </c>
      <c r="G13" s="2074">
        <f>境外所得纳税调整后所得审核表!G13</f>
        <v>0</v>
      </c>
      <c r="H13" s="2074">
        <f>境外所得纳税调整后所得审核表!H13</f>
        <v>0</v>
      </c>
      <c r="I13" s="2074">
        <f>境外所得纳税调整后所得审核表!I13</f>
        <v>0</v>
      </c>
      <c r="J13" s="2074">
        <f>境外所得纳税调整后所得审核表!J13</f>
        <v>0</v>
      </c>
      <c r="K13" s="2074">
        <f>境外所得纳税调整后所得审核表!K13</f>
        <v>0</v>
      </c>
      <c r="L13" s="2074">
        <f>境外所得纳税调整后所得审核表!L13</f>
        <v>0</v>
      </c>
      <c r="M13" s="2074">
        <f>境外所得纳税调整后所得审核表!M13</f>
        <v>0</v>
      </c>
      <c r="N13" s="2074">
        <f>境外所得纳税调整后所得审核表!N13</f>
        <v>0</v>
      </c>
      <c r="O13" s="2074">
        <f>境外所得纳税调整后所得审核表!O13</f>
        <v>0</v>
      </c>
      <c r="P13" s="2074">
        <f>境外所得纳税调整后所得审核表!P13</f>
        <v>0</v>
      </c>
      <c r="Q13" s="2074">
        <f>境外所得纳税调整后所得审核表!Q13</f>
        <v>0</v>
      </c>
      <c r="R13" s="2074">
        <f>境外所得纳税调整后所得审核表!R13</f>
        <v>0</v>
      </c>
      <c r="S13" s="2074">
        <f>境外所得纳税调整后所得审核表!S13</f>
        <v>0</v>
      </c>
    </row>
    <row r="14" spans="1:20" s="1616" customFormat="1" ht="14.25" customHeight="1">
      <c r="A14" s="1899">
        <v>9</v>
      </c>
      <c r="B14" s="1905">
        <f>境外所得纳税调整后所得审核表!B14</f>
        <v>0</v>
      </c>
      <c r="C14" s="2074">
        <f>境外所得纳税调整后所得审核表!C14</f>
        <v>0</v>
      </c>
      <c r="D14" s="2074">
        <f>境外所得纳税调整后所得审核表!D14</f>
        <v>0</v>
      </c>
      <c r="E14" s="2074">
        <f>境外所得纳税调整后所得审核表!E14</f>
        <v>0</v>
      </c>
      <c r="F14" s="2074">
        <f>境外所得纳税调整后所得审核表!F14</f>
        <v>0</v>
      </c>
      <c r="G14" s="2074">
        <f>境外所得纳税调整后所得审核表!G14</f>
        <v>0</v>
      </c>
      <c r="H14" s="2074">
        <f>境外所得纳税调整后所得审核表!H14</f>
        <v>0</v>
      </c>
      <c r="I14" s="2074">
        <f>境外所得纳税调整后所得审核表!I14</f>
        <v>0</v>
      </c>
      <c r="J14" s="2074">
        <f>境外所得纳税调整后所得审核表!J14</f>
        <v>0</v>
      </c>
      <c r="K14" s="2074">
        <f>境外所得纳税调整后所得审核表!K14</f>
        <v>0</v>
      </c>
      <c r="L14" s="2074">
        <f>境外所得纳税调整后所得审核表!L14</f>
        <v>0</v>
      </c>
      <c r="M14" s="2074">
        <f>境外所得纳税调整后所得审核表!M14</f>
        <v>0</v>
      </c>
      <c r="N14" s="2074">
        <f>境外所得纳税调整后所得审核表!N14</f>
        <v>0</v>
      </c>
      <c r="O14" s="2074">
        <f>境外所得纳税调整后所得审核表!O14</f>
        <v>0</v>
      </c>
      <c r="P14" s="2074">
        <f>境外所得纳税调整后所得审核表!P14</f>
        <v>0</v>
      </c>
      <c r="Q14" s="2074">
        <f>境外所得纳税调整后所得审核表!Q14</f>
        <v>0</v>
      </c>
      <c r="R14" s="2074">
        <f>境外所得纳税调整后所得审核表!R14</f>
        <v>0</v>
      </c>
      <c r="S14" s="2074">
        <f>境外所得纳税调整后所得审核表!S14</f>
        <v>0</v>
      </c>
    </row>
    <row r="15" spans="1:20" s="1616" customFormat="1" ht="14.25" customHeight="1">
      <c r="A15" s="1899">
        <v>10</v>
      </c>
      <c r="B15" s="1899" t="s">
        <v>5484</v>
      </c>
      <c r="C15" s="2074">
        <f>境外所得纳税调整后所得审核表!C15</f>
        <v>0</v>
      </c>
      <c r="D15" s="2074">
        <f>境外所得纳税调整后所得审核表!D15</f>
        <v>0</v>
      </c>
      <c r="E15" s="2074">
        <f>境外所得纳税调整后所得审核表!E15</f>
        <v>0</v>
      </c>
      <c r="F15" s="2074">
        <f>境外所得纳税调整后所得审核表!F15</f>
        <v>0</v>
      </c>
      <c r="G15" s="2074">
        <f>境外所得纳税调整后所得审核表!G15</f>
        <v>0</v>
      </c>
      <c r="H15" s="2074">
        <f>境外所得纳税调整后所得审核表!H15</f>
        <v>0</v>
      </c>
      <c r="I15" s="2074">
        <f>境外所得纳税调整后所得审核表!I15</f>
        <v>0</v>
      </c>
      <c r="J15" s="2074">
        <f>境外所得纳税调整后所得审核表!J15</f>
        <v>0</v>
      </c>
      <c r="K15" s="2074">
        <f>境外所得纳税调整后所得审核表!K15</f>
        <v>0</v>
      </c>
      <c r="L15" s="2074">
        <f>境外所得纳税调整后所得审核表!L15</f>
        <v>0</v>
      </c>
      <c r="M15" s="2074">
        <f>境外所得纳税调整后所得审核表!M15</f>
        <v>0</v>
      </c>
      <c r="N15" s="2074">
        <f>境外所得纳税调整后所得审核表!N15</f>
        <v>0</v>
      </c>
      <c r="O15" s="2074">
        <f>境外所得纳税调整后所得审核表!O15</f>
        <v>0</v>
      </c>
      <c r="P15" s="2074">
        <f>境外所得纳税调整后所得审核表!P15</f>
        <v>0</v>
      </c>
      <c r="Q15" s="2074">
        <f>境外所得纳税调整后所得审核表!Q15</f>
        <v>0</v>
      </c>
      <c r="R15" s="2074">
        <f>境外所得纳税调整后所得审核表!R15</f>
        <v>0</v>
      </c>
      <c r="S15" s="2074">
        <f>境外所得纳税调整后所得审核表!S15</f>
        <v>0</v>
      </c>
      <c r="T15" s="1772" t="s">
        <v>6629</v>
      </c>
    </row>
    <row r="16" spans="1:20" ht="192" customHeight="1">
      <c r="A16" s="1902"/>
      <c r="B16" s="1964" t="s">
        <v>4901</v>
      </c>
      <c r="C16" s="1902"/>
      <c r="D16" s="1902"/>
      <c r="E16" s="1902"/>
      <c r="F16" s="1902"/>
      <c r="G16" s="1902"/>
      <c r="H16" s="1902"/>
      <c r="I16" s="1902"/>
      <c r="J16" s="1902"/>
      <c r="K16" s="1902"/>
      <c r="L16" s="1902"/>
      <c r="M16" s="1902"/>
      <c r="N16" s="1904" t="s">
        <v>5838</v>
      </c>
      <c r="O16" s="1902" t="s">
        <v>5839</v>
      </c>
      <c r="P16" s="1902"/>
      <c r="Q16" s="1904" t="s">
        <v>5840</v>
      </c>
      <c r="R16" s="1902"/>
      <c r="S16" s="1904" t="s">
        <v>5841</v>
      </c>
    </row>
    <row r="17" spans="1:1">
      <c r="A17" s="2005"/>
    </row>
    <row r="18" spans="1:1">
      <c r="A18" s="2005"/>
    </row>
    <row r="19" spans="1:1">
      <c r="A19" s="2005"/>
    </row>
    <row r="20" spans="1:1">
      <c r="A20" s="2005"/>
    </row>
  </sheetData>
  <mergeCells count="11">
    <mergeCell ref="S3:S4"/>
    <mergeCell ref="A1:S1"/>
    <mergeCell ref="A2:S2"/>
    <mergeCell ref="A3:A5"/>
    <mergeCell ref="B3:B4"/>
    <mergeCell ref="C3:J3"/>
    <mergeCell ref="K3:N3"/>
    <mergeCell ref="O3:O4"/>
    <mergeCell ref="P3:P4"/>
    <mergeCell ref="Q3:Q4"/>
    <mergeCell ref="R3:R4"/>
  </mergeCells>
  <phoneticPr fontId="51" type="noConversion"/>
  <hyperlinks>
    <hyperlink ref="T15" location="境外所得纳税调整后所得审核表!A1" display="境外所得纳税调整后所得审核表!A1"/>
  </hyperlinks>
  <printOptions horizontalCentered="1"/>
  <pageMargins left="0.78740157480314998" right="0.35433070866141703" top="0.511811023622047" bottom="0.11811023622047198" header="0.511811023622047" footer="0.511811023622047"/>
  <pageSetup paperSize="9" scale="95" orientation="landscape" r:id="rId1"/>
  <headerFooter alignWithMargins="0"/>
</worksheet>
</file>

<file path=xl/worksheets/sheet15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52">
    <tabColor rgb="FFFFFF00"/>
  </sheetPr>
  <dimension ref="A1:U19"/>
  <sheetViews>
    <sheetView workbookViewId="0">
      <selection sqref="A1:T1"/>
    </sheetView>
  </sheetViews>
  <sheetFormatPr defaultColWidth="8.69921875" defaultRowHeight="19.95" customHeight="1"/>
  <cols>
    <col min="1" max="1" width="3.69921875" style="1539" customWidth="1"/>
    <col min="2" max="2" width="9.3984375" style="1539" customWidth="1"/>
    <col min="3" max="20" width="10.19921875" style="1539" customWidth="1"/>
    <col min="21" max="256" width="8.69921875" style="1539"/>
    <col min="257" max="257" width="5.19921875" style="1539" customWidth="1"/>
    <col min="258" max="258" width="6" style="1539" customWidth="1"/>
    <col min="259" max="259" width="7.69921875" style="1539" customWidth="1"/>
    <col min="260" max="267" width="6" style="1539" customWidth="1"/>
    <col min="268" max="268" width="7.09765625" style="1539" customWidth="1"/>
    <col min="269" max="276" width="6" style="1539" customWidth="1"/>
    <col min="277" max="512" width="8.69921875" style="1539"/>
    <col min="513" max="513" width="5.19921875" style="1539" customWidth="1"/>
    <col min="514" max="514" width="6" style="1539" customWidth="1"/>
    <col min="515" max="515" width="7.69921875" style="1539" customWidth="1"/>
    <col min="516" max="523" width="6" style="1539" customWidth="1"/>
    <col min="524" max="524" width="7.09765625" style="1539" customWidth="1"/>
    <col min="525" max="532" width="6" style="1539" customWidth="1"/>
    <col min="533" max="768" width="8.69921875" style="1539"/>
    <col min="769" max="769" width="5.19921875" style="1539" customWidth="1"/>
    <col min="770" max="770" width="6" style="1539" customWidth="1"/>
    <col min="771" max="771" width="7.69921875" style="1539" customWidth="1"/>
    <col min="772" max="779" width="6" style="1539" customWidth="1"/>
    <col min="780" max="780" width="7.09765625" style="1539" customWidth="1"/>
    <col min="781" max="788" width="6" style="1539" customWidth="1"/>
    <col min="789" max="1024" width="8.69921875" style="1539"/>
    <col min="1025" max="1025" width="5.19921875" style="1539" customWidth="1"/>
    <col min="1026" max="1026" width="6" style="1539" customWidth="1"/>
    <col min="1027" max="1027" width="7.69921875" style="1539" customWidth="1"/>
    <col min="1028" max="1035" width="6" style="1539" customWidth="1"/>
    <col min="1036" max="1036" width="7.09765625" style="1539" customWidth="1"/>
    <col min="1037" max="1044" width="6" style="1539" customWidth="1"/>
    <col min="1045" max="1280" width="8.69921875" style="1539"/>
    <col min="1281" max="1281" width="5.19921875" style="1539" customWidth="1"/>
    <col min="1282" max="1282" width="6" style="1539" customWidth="1"/>
    <col min="1283" max="1283" width="7.69921875" style="1539" customWidth="1"/>
    <col min="1284" max="1291" width="6" style="1539" customWidth="1"/>
    <col min="1292" max="1292" width="7.09765625" style="1539" customWidth="1"/>
    <col min="1293" max="1300" width="6" style="1539" customWidth="1"/>
    <col min="1301" max="1536" width="8.69921875" style="1539"/>
    <col min="1537" max="1537" width="5.19921875" style="1539" customWidth="1"/>
    <col min="1538" max="1538" width="6" style="1539" customWidth="1"/>
    <col min="1539" max="1539" width="7.69921875" style="1539" customWidth="1"/>
    <col min="1540" max="1547" width="6" style="1539" customWidth="1"/>
    <col min="1548" max="1548" width="7.09765625" style="1539" customWidth="1"/>
    <col min="1549" max="1556" width="6" style="1539" customWidth="1"/>
    <col min="1557" max="1792" width="8.69921875" style="1539"/>
    <col min="1793" max="1793" width="5.19921875" style="1539" customWidth="1"/>
    <col min="1794" max="1794" width="6" style="1539" customWidth="1"/>
    <col min="1795" max="1795" width="7.69921875" style="1539" customWidth="1"/>
    <col min="1796" max="1803" width="6" style="1539" customWidth="1"/>
    <col min="1804" max="1804" width="7.09765625" style="1539" customWidth="1"/>
    <col min="1805" max="1812" width="6" style="1539" customWidth="1"/>
    <col min="1813" max="2048" width="8.69921875" style="1539"/>
    <col min="2049" max="2049" width="5.19921875" style="1539" customWidth="1"/>
    <col min="2050" max="2050" width="6" style="1539" customWidth="1"/>
    <col min="2051" max="2051" width="7.69921875" style="1539" customWidth="1"/>
    <col min="2052" max="2059" width="6" style="1539" customWidth="1"/>
    <col min="2060" max="2060" width="7.09765625" style="1539" customWidth="1"/>
    <col min="2061" max="2068" width="6" style="1539" customWidth="1"/>
    <col min="2069" max="2304" width="8.69921875" style="1539"/>
    <col min="2305" max="2305" width="5.19921875" style="1539" customWidth="1"/>
    <col min="2306" max="2306" width="6" style="1539" customWidth="1"/>
    <col min="2307" max="2307" width="7.69921875" style="1539" customWidth="1"/>
    <col min="2308" max="2315" width="6" style="1539" customWidth="1"/>
    <col min="2316" max="2316" width="7.09765625" style="1539" customWidth="1"/>
    <col min="2317" max="2324" width="6" style="1539" customWidth="1"/>
    <col min="2325" max="2560" width="8.69921875" style="1539"/>
    <col min="2561" max="2561" width="5.19921875" style="1539" customWidth="1"/>
    <col min="2562" max="2562" width="6" style="1539" customWidth="1"/>
    <col min="2563" max="2563" width="7.69921875" style="1539" customWidth="1"/>
    <col min="2564" max="2571" width="6" style="1539" customWidth="1"/>
    <col min="2572" max="2572" width="7.09765625" style="1539" customWidth="1"/>
    <col min="2573" max="2580" width="6" style="1539" customWidth="1"/>
    <col min="2581" max="2816" width="8.69921875" style="1539"/>
    <col min="2817" max="2817" width="5.19921875" style="1539" customWidth="1"/>
    <col min="2818" max="2818" width="6" style="1539" customWidth="1"/>
    <col min="2819" max="2819" width="7.69921875" style="1539" customWidth="1"/>
    <col min="2820" max="2827" width="6" style="1539" customWidth="1"/>
    <col min="2828" max="2828" width="7.09765625" style="1539" customWidth="1"/>
    <col min="2829" max="2836" width="6" style="1539" customWidth="1"/>
    <col min="2837" max="3072" width="8.69921875" style="1539"/>
    <col min="3073" max="3073" width="5.19921875" style="1539" customWidth="1"/>
    <col min="3074" max="3074" width="6" style="1539" customWidth="1"/>
    <col min="3075" max="3075" width="7.69921875" style="1539" customWidth="1"/>
    <col min="3076" max="3083" width="6" style="1539" customWidth="1"/>
    <col min="3084" max="3084" width="7.09765625" style="1539" customWidth="1"/>
    <col min="3085" max="3092" width="6" style="1539" customWidth="1"/>
    <col min="3093" max="3328" width="8.69921875" style="1539"/>
    <col min="3329" max="3329" width="5.19921875" style="1539" customWidth="1"/>
    <col min="3330" max="3330" width="6" style="1539" customWidth="1"/>
    <col min="3331" max="3331" width="7.69921875" style="1539" customWidth="1"/>
    <col min="3332" max="3339" width="6" style="1539" customWidth="1"/>
    <col min="3340" max="3340" width="7.09765625" style="1539" customWidth="1"/>
    <col min="3341" max="3348" width="6" style="1539" customWidth="1"/>
    <col min="3349" max="3584" width="8.69921875" style="1539"/>
    <col min="3585" max="3585" width="5.19921875" style="1539" customWidth="1"/>
    <col min="3586" max="3586" width="6" style="1539" customWidth="1"/>
    <col min="3587" max="3587" width="7.69921875" style="1539" customWidth="1"/>
    <col min="3588" max="3595" width="6" style="1539" customWidth="1"/>
    <col min="3596" max="3596" width="7.09765625" style="1539" customWidth="1"/>
    <col min="3597" max="3604" width="6" style="1539" customWidth="1"/>
    <col min="3605" max="3840" width="8.69921875" style="1539"/>
    <col min="3841" max="3841" width="5.19921875" style="1539" customWidth="1"/>
    <col min="3842" max="3842" width="6" style="1539" customWidth="1"/>
    <col min="3843" max="3843" width="7.69921875" style="1539" customWidth="1"/>
    <col min="3844" max="3851" width="6" style="1539" customWidth="1"/>
    <col min="3852" max="3852" width="7.09765625" style="1539" customWidth="1"/>
    <col min="3853" max="3860" width="6" style="1539" customWidth="1"/>
    <col min="3861" max="4096" width="8.69921875" style="1539"/>
    <col min="4097" max="4097" width="5.19921875" style="1539" customWidth="1"/>
    <col min="4098" max="4098" width="6" style="1539" customWidth="1"/>
    <col min="4099" max="4099" width="7.69921875" style="1539" customWidth="1"/>
    <col min="4100" max="4107" width="6" style="1539" customWidth="1"/>
    <col min="4108" max="4108" width="7.09765625" style="1539" customWidth="1"/>
    <col min="4109" max="4116" width="6" style="1539" customWidth="1"/>
    <col min="4117" max="4352" width="8.69921875" style="1539"/>
    <col min="4353" max="4353" width="5.19921875" style="1539" customWidth="1"/>
    <col min="4354" max="4354" width="6" style="1539" customWidth="1"/>
    <col min="4355" max="4355" width="7.69921875" style="1539" customWidth="1"/>
    <col min="4356" max="4363" width="6" style="1539" customWidth="1"/>
    <col min="4364" max="4364" width="7.09765625" style="1539" customWidth="1"/>
    <col min="4365" max="4372" width="6" style="1539" customWidth="1"/>
    <col min="4373" max="4608" width="8.69921875" style="1539"/>
    <col min="4609" max="4609" width="5.19921875" style="1539" customWidth="1"/>
    <col min="4610" max="4610" width="6" style="1539" customWidth="1"/>
    <col min="4611" max="4611" width="7.69921875" style="1539" customWidth="1"/>
    <col min="4612" max="4619" width="6" style="1539" customWidth="1"/>
    <col min="4620" max="4620" width="7.09765625" style="1539" customWidth="1"/>
    <col min="4621" max="4628" width="6" style="1539" customWidth="1"/>
    <col min="4629" max="4864" width="8.69921875" style="1539"/>
    <col min="4865" max="4865" width="5.19921875" style="1539" customWidth="1"/>
    <col min="4866" max="4866" width="6" style="1539" customWidth="1"/>
    <col min="4867" max="4867" width="7.69921875" style="1539" customWidth="1"/>
    <col min="4868" max="4875" width="6" style="1539" customWidth="1"/>
    <col min="4876" max="4876" width="7.09765625" style="1539" customWidth="1"/>
    <col min="4877" max="4884" width="6" style="1539" customWidth="1"/>
    <col min="4885" max="5120" width="8.69921875" style="1539"/>
    <col min="5121" max="5121" width="5.19921875" style="1539" customWidth="1"/>
    <col min="5122" max="5122" width="6" style="1539" customWidth="1"/>
    <col min="5123" max="5123" width="7.69921875" style="1539" customWidth="1"/>
    <col min="5124" max="5131" width="6" style="1539" customWidth="1"/>
    <col min="5132" max="5132" width="7.09765625" style="1539" customWidth="1"/>
    <col min="5133" max="5140" width="6" style="1539" customWidth="1"/>
    <col min="5141" max="5376" width="8.69921875" style="1539"/>
    <col min="5377" max="5377" width="5.19921875" style="1539" customWidth="1"/>
    <col min="5378" max="5378" width="6" style="1539" customWidth="1"/>
    <col min="5379" max="5379" width="7.69921875" style="1539" customWidth="1"/>
    <col min="5380" max="5387" width="6" style="1539" customWidth="1"/>
    <col min="5388" max="5388" width="7.09765625" style="1539" customWidth="1"/>
    <col min="5389" max="5396" width="6" style="1539" customWidth="1"/>
    <col min="5397" max="5632" width="8.69921875" style="1539"/>
    <col min="5633" max="5633" width="5.19921875" style="1539" customWidth="1"/>
    <col min="5634" max="5634" width="6" style="1539" customWidth="1"/>
    <col min="5635" max="5635" width="7.69921875" style="1539" customWidth="1"/>
    <col min="5636" max="5643" width="6" style="1539" customWidth="1"/>
    <col min="5644" max="5644" width="7.09765625" style="1539" customWidth="1"/>
    <col min="5645" max="5652" width="6" style="1539" customWidth="1"/>
    <col min="5653" max="5888" width="8.69921875" style="1539"/>
    <col min="5889" max="5889" width="5.19921875" style="1539" customWidth="1"/>
    <col min="5890" max="5890" width="6" style="1539" customWidth="1"/>
    <col min="5891" max="5891" width="7.69921875" style="1539" customWidth="1"/>
    <col min="5892" max="5899" width="6" style="1539" customWidth="1"/>
    <col min="5900" max="5900" width="7.09765625" style="1539" customWidth="1"/>
    <col min="5901" max="5908" width="6" style="1539" customWidth="1"/>
    <col min="5909" max="6144" width="8.69921875" style="1539"/>
    <col min="6145" max="6145" width="5.19921875" style="1539" customWidth="1"/>
    <col min="6146" max="6146" width="6" style="1539" customWidth="1"/>
    <col min="6147" max="6147" width="7.69921875" style="1539" customWidth="1"/>
    <col min="6148" max="6155" width="6" style="1539" customWidth="1"/>
    <col min="6156" max="6156" width="7.09765625" style="1539" customWidth="1"/>
    <col min="6157" max="6164" width="6" style="1539" customWidth="1"/>
    <col min="6165" max="6400" width="8.69921875" style="1539"/>
    <col min="6401" max="6401" width="5.19921875" style="1539" customWidth="1"/>
    <col min="6402" max="6402" width="6" style="1539" customWidth="1"/>
    <col min="6403" max="6403" width="7.69921875" style="1539" customWidth="1"/>
    <col min="6404" max="6411" width="6" style="1539" customWidth="1"/>
    <col min="6412" max="6412" width="7.09765625" style="1539" customWidth="1"/>
    <col min="6413" max="6420" width="6" style="1539" customWidth="1"/>
    <col min="6421" max="6656" width="8.69921875" style="1539"/>
    <col min="6657" max="6657" width="5.19921875" style="1539" customWidth="1"/>
    <col min="6658" max="6658" width="6" style="1539" customWidth="1"/>
    <col min="6659" max="6659" width="7.69921875" style="1539" customWidth="1"/>
    <col min="6660" max="6667" width="6" style="1539" customWidth="1"/>
    <col min="6668" max="6668" width="7.09765625" style="1539" customWidth="1"/>
    <col min="6669" max="6676" width="6" style="1539" customWidth="1"/>
    <col min="6677" max="6912" width="8.69921875" style="1539"/>
    <col min="6913" max="6913" width="5.19921875" style="1539" customWidth="1"/>
    <col min="6914" max="6914" width="6" style="1539" customWidth="1"/>
    <col min="6915" max="6915" width="7.69921875" style="1539" customWidth="1"/>
    <col min="6916" max="6923" width="6" style="1539" customWidth="1"/>
    <col min="6924" max="6924" width="7.09765625" style="1539" customWidth="1"/>
    <col min="6925" max="6932" width="6" style="1539" customWidth="1"/>
    <col min="6933" max="7168" width="8.69921875" style="1539"/>
    <col min="7169" max="7169" width="5.19921875" style="1539" customWidth="1"/>
    <col min="7170" max="7170" width="6" style="1539" customWidth="1"/>
    <col min="7171" max="7171" width="7.69921875" style="1539" customWidth="1"/>
    <col min="7172" max="7179" width="6" style="1539" customWidth="1"/>
    <col min="7180" max="7180" width="7.09765625" style="1539" customWidth="1"/>
    <col min="7181" max="7188" width="6" style="1539" customWidth="1"/>
    <col min="7189" max="7424" width="8.69921875" style="1539"/>
    <col min="7425" max="7425" width="5.19921875" style="1539" customWidth="1"/>
    <col min="7426" max="7426" width="6" style="1539" customWidth="1"/>
    <col min="7427" max="7427" width="7.69921875" style="1539" customWidth="1"/>
    <col min="7428" max="7435" width="6" style="1539" customWidth="1"/>
    <col min="7436" max="7436" width="7.09765625" style="1539" customWidth="1"/>
    <col min="7437" max="7444" width="6" style="1539" customWidth="1"/>
    <col min="7445" max="7680" width="8.69921875" style="1539"/>
    <col min="7681" max="7681" width="5.19921875" style="1539" customWidth="1"/>
    <col min="7682" max="7682" width="6" style="1539" customWidth="1"/>
    <col min="7683" max="7683" width="7.69921875" style="1539" customWidth="1"/>
    <col min="7684" max="7691" width="6" style="1539" customWidth="1"/>
    <col min="7692" max="7692" width="7.09765625" style="1539" customWidth="1"/>
    <col min="7693" max="7700" width="6" style="1539" customWidth="1"/>
    <col min="7701" max="7936" width="8.69921875" style="1539"/>
    <col min="7937" max="7937" width="5.19921875" style="1539" customWidth="1"/>
    <col min="7938" max="7938" width="6" style="1539" customWidth="1"/>
    <col min="7939" max="7939" width="7.69921875" style="1539" customWidth="1"/>
    <col min="7940" max="7947" width="6" style="1539" customWidth="1"/>
    <col min="7948" max="7948" width="7.09765625" style="1539" customWidth="1"/>
    <col min="7949" max="7956" width="6" style="1539" customWidth="1"/>
    <col min="7957" max="8192" width="8.69921875" style="1539"/>
    <col min="8193" max="8193" width="5.19921875" style="1539" customWidth="1"/>
    <col min="8194" max="8194" width="6" style="1539" customWidth="1"/>
    <col min="8195" max="8195" width="7.69921875" style="1539" customWidth="1"/>
    <col min="8196" max="8203" width="6" style="1539" customWidth="1"/>
    <col min="8204" max="8204" width="7.09765625" style="1539" customWidth="1"/>
    <col min="8205" max="8212" width="6" style="1539" customWidth="1"/>
    <col min="8213" max="8448" width="8.69921875" style="1539"/>
    <col min="8449" max="8449" width="5.19921875" style="1539" customWidth="1"/>
    <col min="8450" max="8450" width="6" style="1539" customWidth="1"/>
    <col min="8451" max="8451" width="7.69921875" style="1539" customWidth="1"/>
    <col min="8452" max="8459" width="6" style="1539" customWidth="1"/>
    <col min="8460" max="8460" width="7.09765625" style="1539" customWidth="1"/>
    <col min="8461" max="8468" width="6" style="1539" customWidth="1"/>
    <col min="8469" max="8704" width="8.69921875" style="1539"/>
    <col min="8705" max="8705" width="5.19921875" style="1539" customWidth="1"/>
    <col min="8706" max="8706" width="6" style="1539" customWidth="1"/>
    <col min="8707" max="8707" width="7.69921875" style="1539" customWidth="1"/>
    <col min="8708" max="8715" width="6" style="1539" customWidth="1"/>
    <col min="8716" max="8716" width="7.09765625" style="1539" customWidth="1"/>
    <col min="8717" max="8724" width="6" style="1539" customWidth="1"/>
    <col min="8725" max="8960" width="8.69921875" style="1539"/>
    <col min="8961" max="8961" width="5.19921875" style="1539" customWidth="1"/>
    <col min="8962" max="8962" width="6" style="1539" customWidth="1"/>
    <col min="8963" max="8963" width="7.69921875" style="1539" customWidth="1"/>
    <col min="8964" max="8971" width="6" style="1539" customWidth="1"/>
    <col min="8972" max="8972" width="7.09765625" style="1539" customWidth="1"/>
    <col min="8973" max="8980" width="6" style="1539" customWidth="1"/>
    <col min="8981" max="9216" width="8.69921875" style="1539"/>
    <col min="9217" max="9217" width="5.19921875" style="1539" customWidth="1"/>
    <col min="9218" max="9218" width="6" style="1539" customWidth="1"/>
    <col min="9219" max="9219" width="7.69921875" style="1539" customWidth="1"/>
    <col min="9220" max="9227" width="6" style="1539" customWidth="1"/>
    <col min="9228" max="9228" width="7.09765625" style="1539" customWidth="1"/>
    <col min="9229" max="9236" width="6" style="1539" customWidth="1"/>
    <col min="9237" max="9472" width="8.69921875" style="1539"/>
    <col min="9473" max="9473" width="5.19921875" style="1539" customWidth="1"/>
    <col min="9474" max="9474" width="6" style="1539" customWidth="1"/>
    <col min="9475" max="9475" width="7.69921875" style="1539" customWidth="1"/>
    <col min="9476" max="9483" width="6" style="1539" customWidth="1"/>
    <col min="9484" max="9484" width="7.09765625" style="1539" customWidth="1"/>
    <col min="9485" max="9492" width="6" style="1539" customWidth="1"/>
    <col min="9493" max="9728" width="8.69921875" style="1539"/>
    <col min="9729" max="9729" width="5.19921875" style="1539" customWidth="1"/>
    <col min="9730" max="9730" width="6" style="1539" customWidth="1"/>
    <col min="9731" max="9731" width="7.69921875" style="1539" customWidth="1"/>
    <col min="9732" max="9739" width="6" style="1539" customWidth="1"/>
    <col min="9740" max="9740" width="7.09765625" style="1539" customWidth="1"/>
    <col min="9741" max="9748" width="6" style="1539" customWidth="1"/>
    <col min="9749" max="9984" width="8.69921875" style="1539"/>
    <col min="9985" max="9985" width="5.19921875" style="1539" customWidth="1"/>
    <col min="9986" max="9986" width="6" style="1539" customWidth="1"/>
    <col min="9987" max="9987" width="7.69921875" style="1539" customWidth="1"/>
    <col min="9988" max="9995" width="6" style="1539" customWidth="1"/>
    <col min="9996" max="9996" width="7.09765625" style="1539" customWidth="1"/>
    <col min="9997" max="10004" width="6" style="1539" customWidth="1"/>
    <col min="10005" max="10240" width="8.69921875" style="1539"/>
    <col min="10241" max="10241" width="5.19921875" style="1539" customWidth="1"/>
    <col min="10242" max="10242" width="6" style="1539" customWidth="1"/>
    <col min="10243" max="10243" width="7.69921875" style="1539" customWidth="1"/>
    <col min="10244" max="10251" width="6" style="1539" customWidth="1"/>
    <col min="10252" max="10252" width="7.09765625" style="1539" customWidth="1"/>
    <col min="10253" max="10260" width="6" style="1539" customWidth="1"/>
    <col min="10261" max="10496" width="8.69921875" style="1539"/>
    <col min="10497" max="10497" width="5.19921875" style="1539" customWidth="1"/>
    <col min="10498" max="10498" width="6" style="1539" customWidth="1"/>
    <col min="10499" max="10499" width="7.69921875" style="1539" customWidth="1"/>
    <col min="10500" max="10507" width="6" style="1539" customWidth="1"/>
    <col min="10508" max="10508" width="7.09765625" style="1539" customWidth="1"/>
    <col min="10509" max="10516" width="6" style="1539" customWidth="1"/>
    <col min="10517" max="10752" width="8.69921875" style="1539"/>
    <col min="10753" max="10753" width="5.19921875" style="1539" customWidth="1"/>
    <col min="10754" max="10754" width="6" style="1539" customWidth="1"/>
    <col min="10755" max="10755" width="7.69921875" style="1539" customWidth="1"/>
    <col min="10756" max="10763" width="6" style="1539" customWidth="1"/>
    <col min="10764" max="10764" width="7.09765625" style="1539" customWidth="1"/>
    <col min="10765" max="10772" width="6" style="1539" customWidth="1"/>
    <col min="10773" max="11008" width="8.69921875" style="1539"/>
    <col min="11009" max="11009" width="5.19921875" style="1539" customWidth="1"/>
    <col min="11010" max="11010" width="6" style="1539" customWidth="1"/>
    <col min="11011" max="11011" width="7.69921875" style="1539" customWidth="1"/>
    <col min="11012" max="11019" width="6" style="1539" customWidth="1"/>
    <col min="11020" max="11020" width="7.09765625" style="1539" customWidth="1"/>
    <col min="11021" max="11028" width="6" style="1539" customWidth="1"/>
    <col min="11029" max="11264" width="8.69921875" style="1539"/>
    <col min="11265" max="11265" width="5.19921875" style="1539" customWidth="1"/>
    <col min="11266" max="11266" width="6" style="1539" customWidth="1"/>
    <col min="11267" max="11267" width="7.69921875" style="1539" customWidth="1"/>
    <col min="11268" max="11275" width="6" style="1539" customWidth="1"/>
    <col min="11276" max="11276" width="7.09765625" style="1539" customWidth="1"/>
    <col min="11277" max="11284" width="6" style="1539" customWidth="1"/>
    <col min="11285" max="11520" width="8.69921875" style="1539"/>
    <col min="11521" max="11521" width="5.19921875" style="1539" customWidth="1"/>
    <col min="11522" max="11522" width="6" style="1539" customWidth="1"/>
    <col min="11523" max="11523" width="7.69921875" style="1539" customWidth="1"/>
    <col min="11524" max="11531" width="6" style="1539" customWidth="1"/>
    <col min="11532" max="11532" width="7.09765625" style="1539" customWidth="1"/>
    <col min="11533" max="11540" width="6" style="1539" customWidth="1"/>
    <col min="11541" max="11776" width="8.69921875" style="1539"/>
    <col min="11777" max="11777" width="5.19921875" style="1539" customWidth="1"/>
    <col min="11778" max="11778" width="6" style="1539" customWidth="1"/>
    <col min="11779" max="11779" width="7.69921875" style="1539" customWidth="1"/>
    <col min="11780" max="11787" width="6" style="1539" customWidth="1"/>
    <col min="11788" max="11788" width="7.09765625" style="1539" customWidth="1"/>
    <col min="11789" max="11796" width="6" style="1539" customWidth="1"/>
    <col min="11797" max="12032" width="8.69921875" style="1539"/>
    <col min="12033" max="12033" width="5.19921875" style="1539" customWidth="1"/>
    <col min="12034" max="12034" width="6" style="1539" customWidth="1"/>
    <col min="12035" max="12035" width="7.69921875" style="1539" customWidth="1"/>
    <col min="12036" max="12043" width="6" style="1539" customWidth="1"/>
    <col min="12044" max="12044" width="7.09765625" style="1539" customWidth="1"/>
    <col min="12045" max="12052" width="6" style="1539" customWidth="1"/>
    <col min="12053" max="12288" width="8.69921875" style="1539"/>
    <col min="12289" max="12289" width="5.19921875" style="1539" customWidth="1"/>
    <col min="12290" max="12290" width="6" style="1539" customWidth="1"/>
    <col min="12291" max="12291" width="7.69921875" style="1539" customWidth="1"/>
    <col min="12292" max="12299" width="6" style="1539" customWidth="1"/>
    <col min="12300" max="12300" width="7.09765625" style="1539" customWidth="1"/>
    <col min="12301" max="12308" width="6" style="1539" customWidth="1"/>
    <col min="12309" max="12544" width="8.69921875" style="1539"/>
    <col min="12545" max="12545" width="5.19921875" style="1539" customWidth="1"/>
    <col min="12546" max="12546" width="6" style="1539" customWidth="1"/>
    <col min="12547" max="12547" width="7.69921875" style="1539" customWidth="1"/>
    <col min="12548" max="12555" width="6" style="1539" customWidth="1"/>
    <col min="12556" max="12556" width="7.09765625" style="1539" customWidth="1"/>
    <col min="12557" max="12564" width="6" style="1539" customWidth="1"/>
    <col min="12565" max="12800" width="8.69921875" style="1539"/>
    <col min="12801" max="12801" width="5.19921875" style="1539" customWidth="1"/>
    <col min="12802" max="12802" width="6" style="1539" customWidth="1"/>
    <col min="12803" max="12803" width="7.69921875" style="1539" customWidth="1"/>
    <col min="12804" max="12811" width="6" style="1539" customWidth="1"/>
    <col min="12812" max="12812" width="7.09765625" style="1539" customWidth="1"/>
    <col min="12813" max="12820" width="6" style="1539" customWidth="1"/>
    <col min="12821" max="13056" width="8.69921875" style="1539"/>
    <col min="13057" max="13057" width="5.19921875" style="1539" customWidth="1"/>
    <col min="13058" max="13058" width="6" style="1539" customWidth="1"/>
    <col min="13059" max="13059" width="7.69921875" style="1539" customWidth="1"/>
    <col min="13060" max="13067" width="6" style="1539" customWidth="1"/>
    <col min="13068" max="13068" width="7.09765625" style="1539" customWidth="1"/>
    <col min="13069" max="13076" width="6" style="1539" customWidth="1"/>
    <col min="13077" max="13312" width="8.69921875" style="1539"/>
    <col min="13313" max="13313" width="5.19921875" style="1539" customWidth="1"/>
    <col min="13314" max="13314" width="6" style="1539" customWidth="1"/>
    <col min="13315" max="13315" width="7.69921875" style="1539" customWidth="1"/>
    <col min="13316" max="13323" width="6" style="1539" customWidth="1"/>
    <col min="13324" max="13324" width="7.09765625" style="1539" customWidth="1"/>
    <col min="13325" max="13332" width="6" style="1539" customWidth="1"/>
    <col min="13333" max="13568" width="8.69921875" style="1539"/>
    <col min="13569" max="13569" width="5.19921875" style="1539" customWidth="1"/>
    <col min="13570" max="13570" width="6" style="1539" customWidth="1"/>
    <col min="13571" max="13571" width="7.69921875" style="1539" customWidth="1"/>
    <col min="13572" max="13579" width="6" style="1539" customWidth="1"/>
    <col min="13580" max="13580" width="7.09765625" style="1539" customWidth="1"/>
    <col min="13581" max="13588" width="6" style="1539" customWidth="1"/>
    <col min="13589" max="13824" width="8.69921875" style="1539"/>
    <col min="13825" max="13825" width="5.19921875" style="1539" customWidth="1"/>
    <col min="13826" max="13826" width="6" style="1539" customWidth="1"/>
    <col min="13827" max="13827" width="7.69921875" style="1539" customWidth="1"/>
    <col min="13828" max="13835" width="6" style="1539" customWidth="1"/>
    <col min="13836" max="13836" width="7.09765625" style="1539" customWidth="1"/>
    <col min="13837" max="13844" width="6" style="1539" customWidth="1"/>
    <col min="13845" max="14080" width="8.69921875" style="1539"/>
    <col min="14081" max="14081" width="5.19921875" style="1539" customWidth="1"/>
    <col min="14082" max="14082" width="6" style="1539" customWidth="1"/>
    <col min="14083" max="14083" width="7.69921875" style="1539" customWidth="1"/>
    <col min="14084" max="14091" width="6" style="1539" customWidth="1"/>
    <col min="14092" max="14092" width="7.09765625" style="1539" customWidth="1"/>
    <col min="14093" max="14100" width="6" style="1539" customWidth="1"/>
    <col min="14101" max="14336" width="8.69921875" style="1539"/>
    <col min="14337" max="14337" width="5.19921875" style="1539" customWidth="1"/>
    <col min="14338" max="14338" width="6" style="1539" customWidth="1"/>
    <col min="14339" max="14339" width="7.69921875" style="1539" customWidth="1"/>
    <col min="14340" max="14347" width="6" style="1539" customWidth="1"/>
    <col min="14348" max="14348" width="7.09765625" style="1539" customWidth="1"/>
    <col min="14349" max="14356" width="6" style="1539" customWidth="1"/>
    <col min="14357" max="14592" width="8.69921875" style="1539"/>
    <col min="14593" max="14593" width="5.19921875" style="1539" customWidth="1"/>
    <col min="14594" max="14594" width="6" style="1539" customWidth="1"/>
    <col min="14595" max="14595" width="7.69921875" style="1539" customWidth="1"/>
    <col min="14596" max="14603" width="6" style="1539" customWidth="1"/>
    <col min="14604" max="14604" width="7.09765625" style="1539" customWidth="1"/>
    <col min="14605" max="14612" width="6" style="1539" customWidth="1"/>
    <col min="14613" max="14848" width="8.69921875" style="1539"/>
    <col min="14849" max="14849" width="5.19921875" style="1539" customWidth="1"/>
    <col min="14850" max="14850" width="6" style="1539" customWidth="1"/>
    <col min="14851" max="14851" width="7.69921875" style="1539" customWidth="1"/>
    <col min="14852" max="14859" width="6" style="1539" customWidth="1"/>
    <col min="14860" max="14860" width="7.09765625" style="1539" customWidth="1"/>
    <col min="14861" max="14868" width="6" style="1539" customWidth="1"/>
    <col min="14869" max="15104" width="8.69921875" style="1539"/>
    <col min="15105" max="15105" width="5.19921875" style="1539" customWidth="1"/>
    <col min="15106" max="15106" width="6" style="1539" customWidth="1"/>
    <col min="15107" max="15107" width="7.69921875" style="1539" customWidth="1"/>
    <col min="15108" max="15115" width="6" style="1539" customWidth="1"/>
    <col min="15116" max="15116" width="7.09765625" style="1539" customWidth="1"/>
    <col min="15117" max="15124" width="6" style="1539" customWidth="1"/>
    <col min="15125" max="15360" width="8.69921875" style="1539"/>
    <col min="15361" max="15361" width="5.19921875" style="1539" customWidth="1"/>
    <col min="15362" max="15362" width="6" style="1539" customWidth="1"/>
    <col min="15363" max="15363" width="7.69921875" style="1539" customWidth="1"/>
    <col min="15364" max="15371" width="6" style="1539" customWidth="1"/>
    <col min="15372" max="15372" width="7.09765625" style="1539" customWidth="1"/>
    <col min="15373" max="15380" width="6" style="1539" customWidth="1"/>
    <col min="15381" max="15616" width="8.69921875" style="1539"/>
    <col min="15617" max="15617" width="5.19921875" style="1539" customWidth="1"/>
    <col min="15618" max="15618" width="6" style="1539" customWidth="1"/>
    <col min="15619" max="15619" width="7.69921875" style="1539" customWidth="1"/>
    <col min="15620" max="15627" width="6" style="1539" customWidth="1"/>
    <col min="15628" max="15628" width="7.09765625" style="1539" customWidth="1"/>
    <col min="15629" max="15636" width="6" style="1539" customWidth="1"/>
    <col min="15637" max="15872" width="8.69921875" style="1539"/>
    <col min="15873" max="15873" width="5.19921875" style="1539" customWidth="1"/>
    <col min="15874" max="15874" width="6" style="1539" customWidth="1"/>
    <col min="15875" max="15875" width="7.69921875" style="1539" customWidth="1"/>
    <col min="15876" max="15883" width="6" style="1539" customWidth="1"/>
    <col min="15884" max="15884" width="7.09765625" style="1539" customWidth="1"/>
    <col min="15885" max="15892" width="6" style="1539" customWidth="1"/>
    <col min="15893" max="16128" width="8.69921875" style="1539"/>
    <col min="16129" max="16129" width="5.19921875" style="1539" customWidth="1"/>
    <col min="16130" max="16130" width="6" style="1539" customWidth="1"/>
    <col min="16131" max="16131" width="7.69921875" style="1539" customWidth="1"/>
    <col min="16132" max="16139" width="6" style="1539" customWidth="1"/>
    <col min="16140" max="16140" width="7.09765625" style="1539" customWidth="1"/>
    <col min="16141" max="16148" width="6" style="1539" customWidth="1"/>
    <col min="16149" max="16384" width="8.69921875" style="1539"/>
  </cols>
  <sheetData>
    <row r="1" spans="1:20" s="1621" customFormat="1" ht="20.100000000000001" customHeight="1">
      <c r="A1" s="3378" t="s">
        <v>5842</v>
      </c>
      <c r="B1" s="3378"/>
      <c r="C1" s="3378"/>
      <c r="D1" s="3378"/>
      <c r="E1" s="3378"/>
      <c r="F1" s="3378"/>
      <c r="G1" s="3378"/>
      <c r="H1" s="3378"/>
      <c r="I1" s="3378"/>
      <c r="J1" s="3378"/>
      <c r="K1" s="3378"/>
      <c r="L1" s="3378"/>
      <c r="M1" s="3378"/>
      <c r="N1" s="3378"/>
      <c r="O1" s="3378"/>
      <c r="P1" s="3378"/>
      <c r="Q1" s="3378"/>
      <c r="R1" s="3378"/>
      <c r="S1" s="3378"/>
      <c r="T1" s="3378"/>
    </row>
    <row r="2" spans="1:20" s="1622" customFormat="1" ht="25.5" customHeight="1">
      <c r="A2" s="1908" t="s">
        <v>5843</v>
      </c>
      <c r="B2" s="1906"/>
      <c r="C2" s="1906"/>
      <c r="D2" s="1906"/>
      <c r="E2" s="1906"/>
      <c r="F2" s="1906"/>
      <c r="G2" s="1906"/>
      <c r="H2" s="1906"/>
      <c r="I2" s="1906"/>
      <c r="J2" s="1906"/>
      <c r="K2" s="1906"/>
      <c r="L2" s="1906"/>
      <c r="M2" s="1906"/>
      <c r="N2" s="1906"/>
      <c r="O2" s="1906"/>
      <c r="P2" s="1906"/>
      <c r="Q2" s="1906"/>
      <c r="R2" s="1906"/>
      <c r="S2" s="1906"/>
      <c r="T2" s="1907"/>
    </row>
    <row r="3" spans="1:20" s="1616" customFormat="1" ht="14.25" customHeight="1">
      <c r="A3" s="3383" t="s">
        <v>5673</v>
      </c>
      <c r="B3" s="3385" t="s">
        <v>5789</v>
      </c>
      <c r="C3" s="3385" t="s">
        <v>5844</v>
      </c>
      <c r="D3" s="3385"/>
      <c r="E3" s="3385"/>
      <c r="F3" s="3385"/>
      <c r="G3" s="3385" t="s">
        <v>5845</v>
      </c>
      <c r="H3" s="3385"/>
      <c r="I3" s="3385"/>
      <c r="J3" s="3385"/>
      <c r="K3" s="3385"/>
      <c r="L3" s="3385"/>
      <c r="M3" s="3385"/>
      <c r="N3" s="3385"/>
      <c r="O3" s="3385"/>
      <c r="P3" s="3385"/>
      <c r="Q3" s="3385"/>
      <c r="R3" s="3385"/>
      <c r="S3" s="3385"/>
      <c r="T3" s="3385"/>
    </row>
    <row r="4" spans="1:20" s="1616" customFormat="1" ht="14.25" customHeight="1">
      <c r="A4" s="3387"/>
      <c r="B4" s="3385"/>
      <c r="C4" s="3385" t="s">
        <v>5846</v>
      </c>
      <c r="D4" s="3385" t="s">
        <v>5847</v>
      </c>
      <c r="E4" s="3385" t="s">
        <v>5848</v>
      </c>
      <c r="F4" s="3385" t="s">
        <v>5849</v>
      </c>
      <c r="G4" s="3385" t="s">
        <v>5850</v>
      </c>
      <c r="H4" s="3385"/>
      <c r="I4" s="3385"/>
      <c r="J4" s="3385"/>
      <c r="K4" s="3385"/>
      <c r="L4" s="3385"/>
      <c r="M4" s="3385" t="s">
        <v>5851</v>
      </c>
      <c r="N4" s="3385" t="s">
        <v>5852</v>
      </c>
      <c r="O4" s="3385" t="s">
        <v>5853</v>
      </c>
      <c r="P4" s="3385"/>
      <c r="Q4" s="3385"/>
      <c r="R4" s="3385"/>
      <c r="S4" s="3385"/>
      <c r="T4" s="3385"/>
    </row>
    <row r="5" spans="1:20" s="1616" customFormat="1" ht="14.25" customHeight="1">
      <c r="A5" s="3387"/>
      <c r="B5" s="3385"/>
      <c r="C5" s="3385"/>
      <c r="D5" s="3385"/>
      <c r="E5" s="3385"/>
      <c r="F5" s="3385"/>
      <c r="G5" s="3385"/>
      <c r="H5" s="3385"/>
      <c r="I5" s="3385"/>
      <c r="J5" s="3385"/>
      <c r="K5" s="3385"/>
      <c r="L5" s="3385"/>
      <c r="M5" s="3385"/>
      <c r="N5" s="3385"/>
      <c r="O5" s="3385"/>
      <c r="P5" s="3385"/>
      <c r="Q5" s="3385"/>
      <c r="R5" s="3385"/>
      <c r="S5" s="3385"/>
      <c r="T5" s="3385"/>
    </row>
    <row r="6" spans="1:20" s="1616" customFormat="1" ht="14.25" customHeight="1">
      <c r="A6" s="3387"/>
      <c r="B6" s="3385"/>
      <c r="C6" s="3385"/>
      <c r="D6" s="3385"/>
      <c r="E6" s="3385"/>
      <c r="F6" s="3385"/>
      <c r="G6" s="3385"/>
      <c r="H6" s="3385"/>
      <c r="I6" s="3385"/>
      <c r="J6" s="3385"/>
      <c r="K6" s="3385"/>
      <c r="L6" s="3385"/>
      <c r="M6" s="3385"/>
      <c r="N6" s="3385"/>
      <c r="O6" s="3385"/>
      <c r="P6" s="3385"/>
      <c r="Q6" s="3385"/>
      <c r="R6" s="3385"/>
      <c r="S6" s="3385"/>
      <c r="T6" s="3385"/>
    </row>
    <row r="7" spans="1:20" s="1616" customFormat="1" ht="14.25" customHeight="1">
      <c r="A7" s="3387"/>
      <c r="B7" s="3385"/>
      <c r="C7" s="3385"/>
      <c r="D7" s="3385"/>
      <c r="E7" s="3385"/>
      <c r="F7" s="3385"/>
      <c r="G7" s="1899" t="s">
        <v>5854</v>
      </c>
      <c r="H7" s="1899" t="s">
        <v>5855</v>
      </c>
      <c r="I7" s="1899" t="s">
        <v>5856</v>
      </c>
      <c r="J7" s="1899" t="s">
        <v>5857</v>
      </c>
      <c r="K7" s="1899" t="s">
        <v>5858</v>
      </c>
      <c r="L7" s="1899" t="s">
        <v>5859</v>
      </c>
      <c r="M7" s="3385"/>
      <c r="N7" s="3385"/>
      <c r="O7" s="1899" t="s">
        <v>5855</v>
      </c>
      <c r="P7" s="1899" t="s">
        <v>5856</v>
      </c>
      <c r="Q7" s="1899" t="s">
        <v>5857</v>
      </c>
      <c r="R7" s="1899" t="s">
        <v>5858</v>
      </c>
      <c r="S7" s="1899" t="s">
        <v>1353</v>
      </c>
      <c r="T7" s="1899" t="s">
        <v>5859</v>
      </c>
    </row>
    <row r="8" spans="1:20" ht="39" customHeight="1">
      <c r="A8" s="3387"/>
      <c r="B8" s="1909">
        <v>1</v>
      </c>
      <c r="C8" s="1909">
        <v>2</v>
      </c>
      <c r="D8" s="1909">
        <v>3</v>
      </c>
      <c r="E8" s="1909">
        <v>4</v>
      </c>
      <c r="F8" s="1899" t="s">
        <v>5860</v>
      </c>
      <c r="G8" s="1909">
        <v>6</v>
      </c>
      <c r="H8" s="1909">
        <v>7</v>
      </c>
      <c r="I8" s="1909">
        <v>8</v>
      </c>
      <c r="J8" s="1909">
        <v>9</v>
      </c>
      <c r="K8" s="1909">
        <v>10</v>
      </c>
      <c r="L8" s="1900" t="s">
        <v>5861</v>
      </c>
      <c r="M8" s="1909">
        <v>12</v>
      </c>
      <c r="N8" s="1909">
        <v>13</v>
      </c>
      <c r="O8" s="1909">
        <v>14</v>
      </c>
      <c r="P8" s="1909">
        <v>15</v>
      </c>
      <c r="Q8" s="1909">
        <v>16</v>
      </c>
      <c r="R8" s="1909">
        <v>17</v>
      </c>
      <c r="S8" s="1909">
        <v>18</v>
      </c>
      <c r="T8" s="1900" t="s">
        <v>5862</v>
      </c>
    </row>
    <row r="9" spans="1:20" ht="14.25" customHeight="1">
      <c r="A9" s="1912">
        <v>1</v>
      </c>
      <c r="B9" s="1911">
        <f>境外分支机构弥补亏损审核表!B9</f>
        <v>0</v>
      </c>
      <c r="C9" s="2074">
        <f>境外分支机构弥补亏损审核表!C9</f>
        <v>0</v>
      </c>
      <c r="D9" s="2074">
        <f>境外分支机构弥补亏损审核表!D9</f>
        <v>0</v>
      </c>
      <c r="E9" s="2074">
        <f>境外分支机构弥补亏损审核表!E9</f>
        <v>0</v>
      </c>
      <c r="F9" s="2074">
        <f>境外分支机构弥补亏损审核表!F9</f>
        <v>0</v>
      </c>
      <c r="G9" s="2074">
        <f>境外分支机构弥补亏损审核表!G9</f>
        <v>0</v>
      </c>
      <c r="H9" s="2074">
        <f>境外分支机构弥补亏损审核表!H9</f>
        <v>0</v>
      </c>
      <c r="I9" s="2074">
        <f>境外分支机构弥补亏损审核表!I9</f>
        <v>0</v>
      </c>
      <c r="J9" s="2074">
        <f>境外分支机构弥补亏损审核表!J9</f>
        <v>0</v>
      </c>
      <c r="K9" s="2074">
        <f>境外分支机构弥补亏损审核表!K9</f>
        <v>0</v>
      </c>
      <c r="L9" s="2074">
        <f>境外分支机构弥补亏损审核表!L9</f>
        <v>0</v>
      </c>
      <c r="M9" s="2074">
        <f>境外分支机构弥补亏损审核表!M9</f>
        <v>0</v>
      </c>
      <c r="N9" s="2074">
        <f>境外分支机构弥补亏损审核表!N9</f>
        <v>0</v>
      </c>
      <c r="O9" s="2074">
        <f>境外分支机构弥补亏损审核表!O9</f>
        <v>0</v>
      </c>
      <c r="P9" s="2074">
        <f>境外分支机构弥补亏损审核表!P9</f>
        <v>0</v>
      </c>
      <c r="Q9" s="2074">
        <f>境外分支机构弥补亏损审核表!Q9</f>
        <v>0</v>
      </c>
      <c r="R9" s="2074">
        <f>境外分支机构弥补亏损审核表!R9</f>
        <v>0</v>
      </c>
      <c r="S9" s="2074">
        <f>境外分支机构弥补亏损审核表!S9</f>
        <v>0</v>
      </c>
      <c r="T9" s="2074">
        <f>境外分支机构弥补亏损审核表!T9</f>
        <v>0</v>
      </c>
    </row>
    <row r="10" spans="1:20" ht="14.25" customHeight="1">
      <c r="A10" s="1912">
        <v>2</v>
      </c>
      <c r="B10" s="1911">
        <f>境外分支机构弥补亏损审核表!B10</f>
        <v>0</v>
      </c>
      <c r="C10" s="2074">
        <f>境外分支机构弥补亏损审核表!C10</f>
        <v>0</v>
      </c>
      <c r="D10" s="2074">
        <f>境外分支机构弥补亏损审核表!D10</f>
        <v>0</v>
      </c>
      <c r="E10" s="2074">
        <f>境外分支机构弥补亏损审核表!E10</f>
        <v>0</v>
      </c>
      <c r="F10" s="2074">
        <f>境外分支机构弥补亏损审核表!F10</f>
        <v>0</v>
      </c>
      <c r="G10" s="2074">
        <f>境外分支机构弥补亏损审核表!G10</f>
        <v>0</v>
      </c>
      <c r="H10" s="2074">
        <f>境外分支机构弥补亏损审核表!H10</f>
        <v>0</v>
      </c>
      <c r="I10" s="2074">
        <f>境外分支机构弥补亏损审核表!I10</f>
        <v>0</v>
      </c>
      <c r="J10" s="2074">
        <f>境外分支机构弥补亏损审核表!J10</f>
        <v>0</v>
      </c>
      <c r="K10" s="2074">
        <f>境外分支机构弥补亏损审核表!K10</f>
        <v>0</v>
      </c>
      <c r="L10" s="2074">
        <f>境外分支机构弥补亏损审核表!L10</f>
        <v>0</v>
      </c>
      <c r="M10" s="2074">
        <f>境外分支机构弥补亏损审核表!M10</f>
        <v>0</v>
      </c>
      <c r="N10" s="2074">
        <f>境外分支机构弥补亏损审核表!N10</f>
        <v>0</v>
      </c>
      <c r="O10" s="2074">
        <f>境外分支机构弥补亏损审核表!O10</f>
        <v>0</v>
      </c>
      <c r="P10" s="2074">
        <f>境外分支机构弥补亏损审核表!P10</f>
        <v>0</v>
      </c>
      <c r="Q10" s="2074">
        <f>境外分支机构弥补亏损审核表!Q10</f>
        <v>0</v>
      </c>
      <c r="R10" s="2074">
        <f>境外分支机构弥补亏损审核表!R10</f>
        <v>0</v>
      </c>
      <c r="S10" s="2074">
        <f>境外分支机构弥补亏损审核表!S10</f>
        <v>0</v>
      </c>
      <c r="T10" s="2074">
        <f>境外分支机构弥补亏损审核表!T10</f>
        <v>0</v>
      </c>
    </row>
    <row r="11" spans="1:20" ht="14.25" customHeight="1">
      <c r="A11" s="1912">
        <v>3</v>
      </c>
      <c r="B11" s="1911">
        <f>境外分支机构弥补亏损审核表!B11</f>
        <v>0</v>
      </c>
      <c r="C11" s="2074">
        <f>境外分支机构弥补亏损审核表!C11</f>
        <v>0</v>
      </c>
      <c r="D11" s="2074">
        <f>境外分支机构弥补亏损审核表!D11</f>
        <v>0</v>
      </c>
      <c r="E11" s="2074">
        <f>境外分支机构弥补亏损审核表!E11</f>
        <v>0</v>
      </c>
      <c r="F11" s="2074">
        <f>境外分支机构弥补亏损审核表!F11</f>
        <v>0</v>
      </c>
      <c r="G11" s="2074">
        <f>境外分支机构弥补亏损审核表!G11</f>
        <v>0</v>
      </c>
      <c r="H11" s="2074">
        <f>境外分支机构弥补亏损审核表!H11</f>
        <v>0</v>
      </c>
      <c r="I11" s="2074">
        <f>境外分支机构弥补亏损审核表!I11</f>
        <v>0</v>
      </c>
      <c r="J11" s="2074">
        <f>境外分支机构弥补亏损审核表!J11</f>
        <v>0</v>
      </c>
      <c r="K11" s="2074">
        <f>境外分支机构弥补亏损审核表!K11</f>
        <v>0</v>
      </c>
      <c r="L11" s="2074">
        <f>境外分支机构弥补亏损审核表!L11</f>
        <v>0</v>
      </c>
      <c r="M11" s="2074">
        <f>境外分支机构弥补亏损审核表!M11</f>
        <v>0</v>
      </c>
      <c r="N11" s="2074">
        <f>境外分支机构弥补亏损审核表!N11</f>
        <v>0</v>
      </c>
      <c r="O11" s="2074">
        <f>境外分支机构弥补亏损审核表!O11</f>
        <v>0</v>
      </c>
      <c r="P11" s="2074">
        <f>境外分支机构弥补亏损审核表!P11</f>
        <v>0</v>
      </c>
      <c r="Q11" s="2074">
        <f>境外分支机构弥补亏损审核表!Q11</f>
        <v>0</v>
      </c>
      <c r="R11" s="2074">
        <f>境外分支机构弥补亏损审核表!R11</f>
        <v>0</v>
      </c>
      <c r="S11" s="2074">
        <f>境外分支机构弥补亏损审核表!S11</f>
        <v>0</v>
      </c>
      <c r="T11" s="2074">
        <f>境外分支机构弥补亏损审核表!T11</f>
        <v>0</v>
      </c>
    </row>
    <row r="12" spans="1:20" ht="14.25" customHeight="1">
      <c r="A12" s="1912">
        <v>4</v>
      </c>
      <c r="B12" s="1911">
        <f>境外分支机构弥补亏损审核表!B12</f>
        <v>0</v>
      </c>
      <c r="C12" s="2074">
        <f>境外分支机构弥补亏损审核表!C12</f>
        <v>0</v>
      </c>
      <c r="D12" s="2074">
        <f>境外分支机构弥补亏损审核表!D12</f>
        <v>0</v>
      </c>
      <c r="E12" s="2074">
        <f>境外分支机构弥补亏损审核表!E12</f>
        <v>0</v>
      </c>
      <c r="F12" s="2074">
        <f>境外分支机构弥补亏损审核表!F12</f>
        <v>0</v>
      </c>
      <c r="G12" s="2074">
        <f>境外分支机构弥补亏损审核表!G12</f>
        <v>0</v>
      </c>
      <c r="H12" s="2074">
        <f>境外分支机构弥补亏损审核表!H12</f>
        <v>0</v>
      </c>
      <c r="I12" s="2074">
        <f>境外分支机构弥补亏损审核表!I12</f>
        <v>0</v>
      </c>
      <c r="J12" s="2074">
        <f>境外分支机构弥补亏损审核表!J12</f>
        <v>0</v>
      </c>
      <c r="K12" s="2074">
        <f>境外分支机构弥补亏损审核表!K12</f>
        <v>0</v>
      </c>
      <c r="L12" s="2074">
        <f>境外分支机构弥补亏损审核表!L12</f>
        <v>0</v>
      </c>
      <c r="M12" s="2074">
        <f>境外分支机构弥补亏损审核表!M12</f>
        <v>0</v>
      </c>
      <c r="N12" s="2074">
        <f>境外分支机构弥补亏损审核表!N12</f>
        <v>0</v>
      </c>
      <c r="O12" s="2074">
        <f>境外分支机构弥补亏损审核表!O12</f>
        <v>0</v>
      </c>
      <c r="P12" s="2074">
        <f>境外分支机构弥补亏损审核表!P12</f>
        <v>0</v>
      </c>
      <c r="Q12" s="2074">
        <f>境外分支机构弥补亏损审核表!Q12</f>
        <v>0</v>
      </c>
      <c r="R12" s="2074">
        <f>境外分支机构弥补亏损审核表!R12</f>
        <v>0</v>
      </c>
      <c r="S12" s="2074">
        <f>境外分支机构弥补亏损审核表!S12</f>
        <v>0</v>
      </c>
      <c r="T12" s="2074">
        <f>境外分支机构弥补亏损审核表!T12</f>
        <v>0</v>
      </c>
    </row>
    <row r="13" spans="1:20" ht="14.25" customHeight="1">
      <c r="A13" s="1912">
        <v>5</v>
      </c>
      <c r="B13" s="1911">
        <f>境外分支机构弥补亏损审核表!B13</f>
        <v>0</v>
      </c>
      <c r="C13" s="2074">
        <f>境外分支机构弥补亏损审核表!C13</f>
        <v>0</v>
      </c>
      <c r="D13" s="2074">
        <f>境外分支机构弥补亏损审核表!D13</f>
        <v>0</v>
      </c>
      <c r="E13" s="2074">
        <f>境外分支机构弥补亏损审核表!E13</f>
        <v>0</v>
      </c>
      <c r="F13" s="2074">
        <f>境外分支机构弥补亏损审核表!F13</f>
        <v>0</v>
      </c>
      <c r="G13" s="2074">
        <f>境外分支机构弥补亏损审核表!G13</f>
        <v>0</v>
      </c>
      <c r="H13" s="2074">
        <f>境外分支机构弥补亏损审核表!H13</f>
        <v>0</v>
      </c>
      <c r="I13" s="2074">
        <f>境外分支机构弥补亏损审核表!I13</f>
        <v>0</v>
      </c>
      <c r="J13" s="2074">
        <f>境外分支机构弥补亏损审核表!J13</f>
        <v>0</v>
      </c>
      <c r="K13" s="2074">
        <f>境外分支机构弥补亏损审核表!K13</f>
        <v>0</v>
      </c>
      <c r="L13" s="2074">
        <f>境外分支机构弥补亏损审核表!L13</f>
        <v>0</v>
      </c>
      <c r="M13" s="2074">
        <f>境外分支机构弥补亏损审核表!M13</f>
        <v>0</v>
      </c>
      <c r="N13" s="2074">
        <f>境外分支机构弥补亏损审核表!N13</f>
        <v>0</v>
      </c>
      <c r="O13" s="2074">
        <f>境外分支机构弥补亏损审核表!O13</f>
        <v>0</v>
      </c>
      <c r="P13" s="2074">
        <f>境外分支机构弥补亏损审核表!P13</f>
        <v>0</v>
      </c>
      <c r="Q13" s="2074">
        <f>境外分支机构弥补亏损审核表!Q13</f>
        <v>0</v>
      </c>
      <c r="R13" s="2074">
        <f>境外分支机构弥补亏损审核表!R13</f>
        <v>0</v>
      </c>
      <c r="S13" s="2074">
        <f>境外分支机构弥补亏损审核表!S13</f>
        <v>0</v>
      </c>
      <c r="T13" s="2074">
        <f>境外分支机构弥补亏损审核表!T13</f>
        <v>0</v>
      </c>
    </row>
    <row r="14" spans="1:20" ht="14.25" customHeight="1">
      <c r="A14" s="1912">
        <v>6</v>
      </c>
      <c r="B14" s="1911">
        <f>境外分支机构弥补亏损审核表!B14</f>
        <v>0</v>
      </c>
      <c r="C14" s="2074">
        <f>境外分支机构弥补亏损审核表!C14</f>
        <v>0</v>
      </c>
      <c r="D14" s="2074">
        <f>境外分支机构弥补亏损审核表!D14</f>
        <v>0</v>
      </c>
      <c r="E14" s="2074">
        <f>境外分支机构弥补亏损审核表!E14</f>
        <v>0</v>
      </c>
      <c r="F14" s="2074">
        <f>境外分支机构弥补亏损审核表!F14</f>
        <v>0</v>
      </c>
      <c r="G14" s="2074">
        <f>境外分支机构弥补亏损审核表!G14</f>
        <v>0</v>
      </c>
      <c r="H14" s="2074">
        <f>境外分支机构弥补亏损审核表!H14</f>
        <v>0</v>
      </c>
      <c r="I14" s="2074">
        <f>境外分支机构弥补亏损审核表!I14</f>
        <v>0</v>
      </c>
      <c r="J14" s="2074">
        <f>境外分支机构弥补亏损审核表!J14</f>
        <v>0</v>
      </c>
      <c r="K14" s="2074">
        <f>境外分支机构弥补亏损审核表!K14</f>
        <v>0</v>
      </c>
      <c r="L14" s="2074">
        <f>境外分支机构弥补亏损审核表!L14</f>
        <v>0</v>
      </c>
      <c r="M14" s="2074">
        <f>境外分支机构弥补亏损审核表!M14</f>
        <v>0</v>
      </c>
      <c r="N14" s="2074">
        <f>境外分支机构弥补亏损审核表!N14</f>
        <v>0</v>
      </c>
      <c r="O14" s="2074">
        <f>境外分支机构弥补亏损审核表!O14</f>
        <v>0</v>
      </c>
      <c r="P14" s="2074">
        <f>境外分支机构弥补亏损审核表!P14</f>
        <v>0</v>
      </c>
      <c r="Q14" s="2074">
        <f>境外分支机构弥补亏损审核表!Q14</f>
        <v>0</v>
      </c>
      <c r="R14" s="2074">
        <f>境外分支机构弥补亏损审核表!R14</f>
        <v>0</v>
      </c>
      <c r="S14" s="2074">
        <f>境外分支机构弥补亏损审核表!S14</f>
        <v>0</v>
      </c>
      <c r="T14" s="2074">
        <f>境外分支机构弥补亏损审核表!T14</f>
        <v>0</v>
      </c>
    </row>
    <row r="15" spans="1:20" ht="14.25" customHeight="1">
      <c r="A15" s="1912">
        <v>7</v>
      </c>
      <c r="B15" s="1911">
        <f>境外分支机构弥补亏损审核表!B15</f>
        <v>0</v>
      </c>
      <c r="C15" s="2074">
        <f>境外分支机构弥补亏损审核表!C15</f>
        <v>0</v>
      </c>
      <c r="D15" s="2074">
        <f>境外分支机构弥补亏损审核表!D15</f>
        <v>0</v>
      </c>
      <c r="E15" s="2074">
        <f>境外分支机构弥补亏损审核表!E15</f>
        <v>0</v>
      </c>
      <c r="F15" s="2074">
        <f>境外分支机构弥补亏损审核表!F15</f>
        <v>0</v>
      </c>
      <c r="G15" s="2074">
        <f>境外分支机构弥补亏损审核表!G15</f>
        <v>0</v>
      </c>
      <c r="H15" s="2074">
        <f>境外分支机构弥补亏损审核表!H15</f>
        <v>0</v>
      </c>
      <c r="I15" s="2074">
        <f>境外分支机构弥补亏损审核表!I15</f>
        <v>0</v>
      </c>
      <c r="J15" s="2074">
        <f>境外分支机构弥补亏损审核表!J15</f>
        <v>0</v>
      </c>
      <c r="K15" s="2074">
        <f>境外分支机构弥补亏损审核表!K15</f>
        <v>0</v>
      </c>
      <c r="L15" s="2074">
        <f>境外分支机构弥补亏损审核表!L15</f>
        <v>0</v>
      </c>
      <c r="M15" s="2074">
        <f>境外分支机构弥补亏损审核表!M15</f>
        <v>0</v>
      </c>
      <c r="N15" s="2074">
        <f>境外分支机构弥补亏损审核表!N15</f>
        <v>0</v>
      </c>
      <c r="O15" s="2074">
        <f>境外分支机构弥补亏损审核表!O15</f>
        <v>0</v>
      </c>
      <c r="P15" s="2074">
        <f>境外分支机构弥补亏损审核表!P15</f>
        <v>0</v>
      </c>
      <c r="Q15" s="2074">
        <f>境外分支机构弥补亏损审核表!Q15</f>
        <v>0</v>
      </c>
      <c r="R15" s="2074">
        <f>境外分支机构弥补亏损审核表!R15</f>
        <v>0</v>
      </c>
      <c r="S15" s="2074">
        <f>境外分支机构弥补亏损审核表!S15</f>
        <v>0</v>
      </c>
      <c r="T15" s="2074">
        <f>境外分支机构弥补亏损审核表!T15</f>
        <v>0</v>
      </c>
    </row>
    <row r="16" spans="1:20" ht="14.25" customHeight="1">
      <c r="A16" s="1912">
        <v>8</v>
      </c>
      <c r="B16" s="1911">
        <f>境外分支机构弥补亏损审核表!B16</f>
        <v>0</v>
      </c>
      <c r="C16" s="2074">
        <f>境外分支机构弥补亏损审核表!C16</f>
        <v>0</v>
      </c>
      <c r="D16" s="2074">
        <f>境外分支机构弥补亏损审核表!D16</f>
        <v>0</v>
      </c>
      <c r="E16" s="2074">
        <f>境外分支机构弥补亏损审核表!E16</f>
        <v>0</v>
      </c>
      <c r="F16" s="2074">
        <f>境外分支机构弥补亏损审核表!F16</f>
        <v>0</v>
      </c>
      <c r="G16" s="2074">
        <f>境外分支机构弥补亏损审核表!G16</f>
        <v>0</v>
      </c>
      <c r="H16" s="2074">
        <f>境外分支机构弥补亏损审核表!H16</f>
        <v>0</v>
      </c>
      <c r="I16" s="2074">
        <f>境外分支机构弥补亏损审核表!I16</f>
        <v>0</v>
      </c>
      <c r="J16" s="2074">
        <f>境外分支机构弥补亏损审核表!J16</f>
        <v>0</v>
      </c>
      <c r="K16" s="2074">
        <f>境外分支机构弥补亏损审核表!K16</f>
        <v>0</v>
      </c>
      <c r="L16" s="2074">
        <f>境外分支机构弥补亏损审核表!L16</f>
        <v>0</v>
      </c>
      <c r="M16" s="2074">
        <f>境外分支机构弥补亏损审核表!M16</f>
        <v>0</v>
      </c>
      <c r="N16" s="2074">
        <f>境外分支机构弥补亏损审核表!N16</f>
        <v>0</v>
      </c>
      <c r="O16" s="2074">
        <f>境外分支机构弥补亏损审核表!O16</f>
        <v>0</v>
      </c>
      <c r="P16" s="2074">
        <f>境外分支机构弥补亏损审核表!P16</f>
        <v>0</v>
      </c>
      <c r="Q16" s="2074">
        <f>境外分支机构弥补亏损审核表!Q16</f>
        <v>0</v>
      </c>
      <c r="R16" s="2074">
        <f>境外分支机构弥补亏损审核表!R16</f>
        <v>0</v>
      </c>
      <c r="S16" s="2074">
        <f>境外分支机构弥补亏损审核表!S16</f>
        <v>0</v>
      </c>
      <c r="T16" s="2074">
        <f>境外分支机构弥补亏损审核表!T16</f>
        <v>0</v>
      </c>
    </row>
    <row r="17" spans="1:21" ht="14.25" customHeight="1">
      <c r="A17" s="1912">
        <v>9</v>
      </c>
      <c r="B17" s="1911">
        <f>境外分支机构弥补亏损审核表!B17</f>
        <v>0</v>
      </c>
      <c r="C17" s="2074">
        <f>境外分支机构弥补亏损审核表!C17</f>
        <v>0</v>
      </c>
      <c r="D17" s="2074">
        <f>境外分支机构弥补亏损审核表!D17</f>
        <v>0</v>
      </c>
      <c r="E17" s="2074">
        <f>境外分支机构弥补亏损审核表!E17</f>
        <v>0</v>
      </c>
      <c r="F17" s="2074">
        <f>境外分支机构弥补亏损审核表!F17</f>
        <v>0</v>
      </c>
      <c r="G17" s="2074">
        <f>境外分支机构弥补亏损审核表!G17</f>
        <v>0</v>
      </c>
      <c r="H17" s="2074">
        <f>境外分支机构弥补亏损审核表!H17</f>
        <v>0</v>
      </c>
      <c r="I17" s="2074">
        <f>境外分支机构弥补亏损审核表!I17</f>
        <v>0</v>
      </c>
      <c r="J17" s="2074">
        <f>境外分支机构弥补亏损审核表!J17</f>
        <v>0</v>
      </c>
      <c r="K17" s="2074">
        <f>境外分支机构弥补亏损审核表!K17</f>
        <v>0</v>
      </c>
      <c r="L17" s="2074">
        <f>境外分支机构弥补亏损审核表!L17</f>
        <v>0</v>
      </c>
      <c r="M17" s="2074">
        <f>境外分支机构弥补亏损审核表!M17</f>
        <v>0</v>
      </c>
      <c r="N17" s="2074">
        <f>境外分支机构弥补亏损审核表!N17</f>
        <v>0</v>
      </c>
      <c r="O17" s="2074">
        <f>境外分支机构弥补亏损审核表!O17</f>
        <v>0</v>
      </c>
      <c r="P17" s="2074">
        <f>境外分支机构弥补亏损审核表!P17</f>
        <v>0</v>
      </c>
      <c r="Q17" s="2074">
        <f>境外分支机构弥补亏损审核表!Q17</f>
        <v>0</v>
      </c>
      <c r="R17" s="2074">
        <f>境外分支机构弥补亏损审核表!R17</f>
        <v>0</v>
      </c>
      <c r="S17" s="2074">
        <f>境外分支机构弥补亏损审核表!S17</f>
        <v>0</v>
      </c>
      <c r="T17" s="2074">
        <f>境外分支机构弥补亏损审核表!T17</f>
        <v>0</v>
      </c>
    </row>
    <row r="18" spans="1:21" ht="14.25" customHeight="1">
      <c r="A18" s="1912">
        <v>10</v>
      </c>
      <c r="B18" s="1912" t="s">
        <v>5484</v>
      </c>
      <c r="C18" s="2074">
        <f>境外分支机构弥补亏损审核表!C18</f>
        <v>0</v>
      </c>
      <c r="D18" s="2074">
        <f>境外分支机构弥补亏损审核表!D18</f>
        <v>0</v>
      </c>
      <c r="E18" s="2074">
        <f>境外分支机构弥补亏损审核表!E18</f>
        <v>0</v>
      </c>
      <c r="F18" s="2074">
        <f>境外分支机构弥补亏损审核表!F18</f>
        <v>0</v>
      </c>
      <c r="G18" s="2074">
        <f>境外分支机构弥补亏损审核表!G18</f>
        <v>0</v>
      </c>
      <c r="H18" s="2074">
        <f>境外分支机构弥补亏损审核表!H18</f>
        <v>0</v>
      </c>
      <c r="I18" s="2074">
        <f>境外分支机构弥补亏损审核表!I18</f>
        <v>0</v>
      </c>
      <c r="J18" s="2074">
        <f>境外分支机构弥补亏损审核表!J18</f>
        <v>0</v>
      </c>
      <c r="K18" s="2074">
        <f>境外分支机构弥补亏损审核表!K18</f>
        <v>0</v>
      </c>
      <c r="L18" s="2074">
        <f>境外分支机构弥补亏损审核表!L18</f>
        <v>0</v>
      </c>
      <c r="M18" s="2074">
        <f>境外分支机构弥补亏损审核表!M18</f>
        <v>0</v>
      </c>
      <c r="N18" s="2074">
        <f>境外分支机构弥补亏损审核表!N18</f>
        <v>0</v>
      </c>
      <c r="O18" s="2074">
        <f>境外分支机构弥补亏损审核表!O18</f>
        <v>0</v>
      </c>
      <c r="P18" s="2074">
        <f>境外分支机构弥补亏损审核表!P18</f>
        <v>0</v>
      </c>
      <c r="Q18" s="2074">
        <f>境外分支机构弥补亏损审核表!Q18</f>
        <v>0</v>
      </c>
      <c r="R18" s="2074">
        <f>境外分支机构弥补亏损审核表!R18</f>
        <v>0</v>
      </c>
      <c r="S18" s="2074">
        <f>境外分支机构弥补亏损审核表!S18</f>
        <v>0</v>
      </c>
      <c r="T18" s="2074">
        <f>境外分支机构弥补亏损审核表!T18</f>
        <v>0</v>
      </c>
      <c r="U18" s="1772" t="s">
        <v>6482</v>
      </c>
    </row>
    <row r="19" spans="1:21" ht="106.5" customHeight="1">
      <c r="A19" s="1916"/>
      <c r="B19" s="1904" t="s">
        <v>5863</v>
      </c>
      <c r="C19" s="1916"/>
      <c r="D19" s="1964"/>
      <c r="E19" s="1964" t="s">
        <v>5864</v>
      </c>
      <c r="F19" s="1916"/>
      <c r="G19" s="1916"/>
      <c r="H19" s="1916"/>
      <c r="I19" s="1916"/>
      <c r="J19" s="1916"/>
      <c r="K19" s="1916"/>
      <c r="L19" s="1916"/>
      <c r="M19" s="1916"/>
      <c r="N19" s="1964"/>
      <c r="O19" s="1964"/>
      <c r="P19" s="1964"/>
      <c r="Q19" s="1916"/>
      <c r="R19" s="1916"/>
      <c r="S19" s="1916"/>
      <c r="T19" s="1916"/>
    </row>
  </sheetData>
  <mergeCells count="13">
    <mergeCell ref="A1:T1"/>
    <mergeCell ref="A3:A8"/>
    <mergeCell ref="B3:B7"/>
    <mergeCell ref="C3:F3"/>
    <mergeCell ref="G3:T3"/>
    <mergeCell ref="C4:C7"/>
    <mergeCell ref="D4:D7"/>
    <mergeCell ref="E4:E7"/>
    <mergeCell ref="F4:F7"/>
    <mergeCell ref="G4:L6"/>
    <mergeCell ref="M4:M7"/>
    <mergeCell ref="N4:N7"/>
    <mergeCell ref="O4:T6"/>
  </mergeCells>
  <phoneticPr fontId="51" type="noConversion"/>
  <hyperlinks>
    <hyperlink ref="U18" location="境外分支机构弥补亏损审核表!A1" display="境外分支机构弥补亏损审核表!A1"/>
  </hyperlinks>
  <printOptions horizontalCentered="1"/>
  <pageMargins left="0.78740157480314998" right="0.35433070866141703" top="0.511811023622047" bottom="0.11811023622047198" header="0.511811023622047" footer="0.511811023622047"/>
  <pageSetup paperSize="9" orientation="landscape" r:id="rId1"/>
  <headerFooter alignWithMargins="0"/>
</worksheet>
</file>

<file path=xl/worksheets/sheet15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53">
    <tabColor rgb="FFFFFF00"/>
  </sheetPr>
  <dimension ref="A1:U16"/>
  <sheetViews>
    <sheetView topLeftCell="A9" workbookViewId="0">
      <selection activeCell="F19" sqref="F19"/>
    </sheetView>
  </sheetViews>
  <sheetFormatPr defaultRowHeight="13.2"/>
  <cols>
    <col min="1" max="1" width="2.8984375" style="1626" customWidth="1"/>
    <col min="2" max="2" width="9.3984375" style="1626" customWidth="1"/>
    <col min="3" max="20" width="10.19921875" style="1626" customWidth="1"/>
    <col min="21" max="256" width="9" style="1626"/>
    <col min="257" max="257" width="5.19921875" style="1626" customWidth="1"/>
    <col min="258" max="258" width="7.09765625" style="1626" customWidth="1"/>
    <col min="259" max="263" width="6.3984375" style="1626" customWidth="1"/>
    <col min="264" max="264" width="7.19921875" style="1626" customWidth="1"/>
    <col min="265" max="269" width="6.3984375" style="1626" customWidth="1"/>
    <col min="270" max="270" width="8.3984375" style="1626" customWidth="1"/>
    <col min="271" max="275" width="6.3984375" style="1626" customWidth="1"/>
    <col min="276" max="276" width="9.19921875" style="1626" customWidth="1"/>
    <col min="277" max="512" width="9" style="1626"/>
    <col min="513" max="513" width="5.19921875" style="1626" customWidth="1"/>
    <col min="514" max="514" width="7.09765625" style="1626" customWidth="1"/>
    <col min="515" max="519" width="6.3984375" style="1626" customWidth="1"/>
    <col min="520" max="520" width="7.19921875" style="1626" customWidth="1"/>
    <col min="521" max="525" width="6.3984375" style="1626" customWidth="1"/>
    <col min="526" max="526" width="8.3984375" style="1626" customWidth="1"/>
    <col min="527" max="531" width="6.3984375" style="1626" customWidth="1"/>
    <col min="532" max="532" width="9.19921875" style="1626" customWidth="1"/>
    <col min="533" max="768" width="9" style="1626"/>
    <col min="769" max="769" width="5.19921875" style="1626" customWidth="1"/>
    <col min="770" max="770" width="7.09765625" style="1626" customWidth="1"/>
    <col min="771" max="775" width="6.3984375" style="1626" customWidth="1"/>
    <col min="776" max="776" width="7.19921875" style="1626" customWidth="1"/>
    <col min="777" max="781" width="6.3984375" style="1626" customWidth="1"/>
    <col min="782" max="782" width="8.3984375" style="1626" customWidth="1"/>
    <col min="783" max="787" width="6.3984375" style="1626" customWidth="1"/>
    <col min="788" max="788" width="9.19921875" style="1626" customWidth="1"/>
    <col min="789" max="1024" width="9" style="1626"/>
    <col min="1025" max="1025" width="5.19921875" style="1626" customWidth="1"/>
    <col min="1026" max="1026" width="7.09765625" style="1626" customWidth="1"/>
    <col min="1027" max="1031" width="6.3984375" style="1626" customWidth="1"/>
    <col min="1032" max="1032" width="7.19921875" style="1626" customWidth="1"/>
    <col min="1033" max="1037" width="6.3984375" style="1626" customWidth="1"/>
    <col min="1038" max="1038" width="8.3984375" style="1626" customWidth="1"/>
    <col min="1039" max="1043" width="6.3984375" style="1626" customWidth="1"/>
    <col min="1044" max="1044" width="9.19921875" style="1626" customWidth="1"/>
    <col min="1045" max="1280" width="9" style="1626"/>
    <col min="1281" max="1281" width="5.19921875" style="1626" customWidth="1"/>
    <col min="1282" max="1282" width="7.09765625" style="1626" customWidth="1"/>
    <col min="1283" max="1287" width="6.3984375" style="1626" customWidth="1"/>
    <col min="1288" max="1288" width="7.19921875" style="1626" customWidth="1"/>
    <col min="1289" max="1293" width="6.3984375" style="1626" customWidth="1"/>
    <col min="1294" max="1294" width="8.3984375" style="1626" customWidth="1"/>
    <col min="1295" max="1299" width="6.3984375" style="1626" customWidth="1"/>
    <col min="1300" max="1300" width="9.19921875" style="1626" customWidth="1"/>
    <col min="1301" max="1536" width="9" style="1626"/>
    <col min="1537" max="1537" width="5.19921875" style="1626" customWidth="1"/>
    <col min="1538" max="1538" width="7.09765625" style="1626" customWidth="1"/>
    <col min="1539" max="1543" width="6.3984375" style="1626" customWidth="1"/>
    <col min="1544" max="1544" width="7.19921875" style="1626" customWidth="1"/>
    <col min="1545" max="1549" width="6.3984375" style="1626" customWidth="1"/>
    <col min="1550" max="1550" width="8.3984375" style="1626" customWidth="1"/>
    <col min="1551" max="1555" width="6.3984375" style="1626" customWidth="1"/>
    <col min="1556" max="1556" width="9.19921875" style="1626" customWidth="1"/>
    <col min="1557" max="1792" width="9" style="1626"/>
    <col min="1793" max="1793" width="5.19921875" style="1626" customWidth="1"/>
    <col min="1794" max="1794" width="7.09765625" style="1626" customWidth="1"/>
    <col min="1795" max="1799" width="6.3984375" style="1626" customWidth="1"/>
    <col min="1800" max="1800" width="7.19921875" style="1626" customWidth="1"/>
    <col min="1801" max="1805" width="6.3984375" style="1626" customWidth="1"/>
    <col min="1806" max="1806" width="8.3984375" style="1626" customWidth="1"/>
    <col min="1807" max="1811" width="6.3984375" style="1626" customWidth="1"/>
    <col min="1812" max="1812" width="9.19921875" style="1626" customWidth="1"/>
    <col min="1813" max="2048" width="9" style="1626"/>
    <col min="2049" max="2049" width="5.19921875" style="1626" customWidth="1"/>
    <col min="2050" max="2050" width="7.09765625" style="1626" customWidth="1"/>
    <col min="2051" max="2055" width="6.3984375" style="1626" customWidth="1"/>
    <col min="2056" max="2056" width="7.19921875" style="1626" customWidth="1"/>
    <col min="2057" max="2061" width="6.3984375" style="1626" customWidth="1"/>
    <col min="2062" max="2062" width="8.3984375" style="1626" customWidth="1"/>
    <col min="2063" max="2067" width="6.3984375" style="1626" customWidth="1"/>
    <col min="2068" max="2068" width="9.19921875" style="1626" customWidth="1"/>
    <col min="2069" max="2304" width="9" style="1626"/>
    <col min="2305" max="2305" width="5.19921875" style="1626" customWidth="1"/>
    <col min="2306" max="2306" width="7.09765625" style="1626" customWidth="1"/>
    <col min="2307" max="2311" width="6.3984375" style="1626" customWidth="1"/>
    <col min="2312" max="2312" width="7.19921875" style="1626" customWidth="1"/>
    <col min="2313" max="2317" width="6.3984375" style="1626" customWidth="1"/>
    <col min="2318" max="2318" width="8.3984375" style="1626" customWidth="1"/>
    <col min="2319" max="2323" width="6.3984375" style="1626" customWidth="1"/>
    <col min="2324" max="2324" width="9.19921875" style="1626" customWidth="1"/>
    <col min="2325" max="2560" width="9" style="1626"/>
    <col min="2561" max="2561" width="5.19921875" style="1626" customWidth="1"/>
    <col min="2562" max="2562" width="7.09765625" style="1626" customWidth="1"/>
    <col min="2563" max="2567" width="6.3984375" style="1626" customWidth="1"/>
    <col min="2568" max="2568" width="7.19921875" style="1626" customWidth="1"/>
    <col min="2569" max="2573" width="6.3984375" style="1626" customWidth="1"/>
    <col min="2574" max="2574" width="8.3984375" style="1626" customWidth="1"/>
    <col min="2575" max="2579" width="6.3984375" style="1626" customWidth="1"/>
    <col min="2580" max="2580" width="9.19921875" style="1626" customWidth="1"/>
    <col min="2581" max="2816" width="9" style="1626"/>
    <col min="2817" max="2817" width="5.19921875" style="1626" customWidth="1"/>
    <col min="2818" max="2818" width="7.09765625" style="1626" customWidth="1"/>
    <col min="2819" max="2823" width="6.3984375" style="1626" customWidth="1"/>
    <col min="2824" max="2824" width="7.19921875" style="1626" customWidth="1"/>
    <col min="2825" max="2829" width="6.3984375" style="1626" customWidth="1"/>
    <col min="2830" max="2830" width="8.3984375" style="1626" customWidth="1"/>
    <col min="2831" max="2835" width="6.3984375" style="1626" customWidth="1"/>
    <col min="2836" max="2836" width="9.19921875" style="1626" customWidth="1"/>
    <col min="2837" max="3072" width="9" style="1626"/>
    <col min="3073" max="3073" width="5.19921875" style="1626" customWidth="1"/>
    <col min="3074" max="3074" width="7.09765625" style="1626" customWidth="1"/>
    <col min="3075" max="3079" width="6.3984375" style="1626" customWidth="1"/>
    <col min="3080" max="3080" width="7.19921875" style="1626" customWidth="1"/>
    <col min="3081" max="3085" width="6.3984375" style="1626" customWidth="1"/>
    <col min="3086" max="3086" width="8.3984375" style="1626" customWidth="1"/>
    <col min="3087" max="3091" width="6.3984375" style="1626" customWidth="1"/>
    <col min="3092" max="3092" width="9.19921875" style="1626" customWidth="1"/>
    <col min="3093" max="3328" width="9" style="1626"/>
    <col min="3329" max="3329" width="5.19921875" style="1626" customWidth="1"/>
    <col min="3330" max="3330" width="7.09765625" style="1626" customWidth="1"/>
    <col min="3331" max="3335" width="6.3984375" style="1626" customWidth="1"/>
    <col min="3336" max="3336" width="7.19921875" style="1626" customWidth="1"/>
    <col min="3337" max="3341" width="6.3984375" style="1626" customWidth="1"/>
    <col min="3342" max="3342" width="8.3984375" style="1626" customWidth="1"/>
    <col min="3343" max="3347" width="6.3984375" style="1626" customWidth="1"/>
    <col min="3348" max="3348" width="9.19921875" style="1626" customWidth="1"/>
    <col min="3349" max="3584" width="9" style="1626"/>
    <col min="3585" max="3585" width="5.19921875" style="1626" customWidth="1"/>
    <col min="3586" max="3586" width="7.09765625" style="1626" customWidth="1"/>
    <col min="3587" max="3591" width="6.3984375" style="1626" customWidth="1"/>
    <col min="3592" max="3592" width="7.19921875" style="1626" customWidth="1"/>
    <col min="3593" max="3597" width="6.3984375" style="1626" customWidth="1"/>
    <col min="3598" max="3598" width="8.3984375" style="1626" customWidth="1"/>
    <col min="3599" max="3603" width="6.3984375" style="1626" customWidth="1"/>
    <col min="3604" max="3604" width="9.19921875" style="1626" customWidth="1"/>
    <col min="3605" max="3840" width="9" style="1626"/>
    <col min="3841" max="3841" width="5.19921875" style="1626" customWidth="1"/>
    <col min="3842" max="3842" width="7.09765625" style="1626" customWidth="1"/>
    <col min="3843" max="3847" width="6.3984375" style="1626" customWidth="1"/>
    <col min="3848" max="3848" width="7.19921875" style="1626" customWidth="1"/>
    <col min="3849" max="3853" width="6.3984375" style="1626" customWidth="1"/>
    <col min="3854" max="3854" width="8.3984375" style="1626" customWidth="1"/>
    <col min="3855" max="3859" width="6.3984375" style="1626" customWidth="1"/>
    <col min="3860" max="3860" width="9.19921875" style="1626" customWidth="1"/>
    <col min="3861" max="4096" width="9" style="1626"/>
    <col min="4097" max="4097" width="5.19921875" style="1626" customWidth="1"/>
    <col min="4098" max="4098" width="7.09765625" style="1626" customWidth="1"/>
    <col min="4099" max="4103" width="6.3984375" style="1626" customWidth="1"/>
    <col min="4104" max="4104" width="7.19921875" style="1626" customWidth="1"/>
    <col min="4105" max="4109" width="6.3984375" style="1626" customWidth="1"/>
    <col min="4110" max="4110" width="8.3984375" style="1626" customWidth="1"/>
    <col min="4111" max="4115" width="6.3984375" style="1626" customWidth="1"/>
    <col min="4116" max="4116" width="9.19921875" style="1626" customWidth="1"/>
    <col min="4117" max="4352" width="9" style="1626"/>
    <col min="4353" max="4353" width="5.19921875" style="1626" customWidth="1"/>
    <col min="4354" max="4354" width="7.09765625" style="1626" customWidth="1"/>
    <col min="4355" max="4359" width="6.3984375" style="1626" customWidth="1"/>
    <col min="4360" max="4360" width="7.19921875" style="1626" customWidth="1"/>
    <col min="4361" max="4365" width="6.3984375" style="1626" customWidth="1"/>
    <col min="4366" max="4366" width="8.3984375" style="1626" customWidth="1"/>
    <col min="4367" max="4371" width="6.3984375" style="1626" customWidth="1"/>
    <col min="4372" max="4372" width="9.19921875" style="1626" customWidth="1"/>
    <col min="4373" max="4608" width="9" style="1626"/>
    <col min="4609" max="4609" width="5.19921875" style="1626" customWidth="1"/>
    <col min="4610" max="4610" width="7.09765625" style="1626" customWidth="1"/>
    <col min="4611" max="4615" width="6.3984375" style="1626" customWidth="1"/>
    <col min="4616" max="4616" width="7.19921875" style="1626" customWidth="1"/>
    <col min="4617" max="4621" width="6.3984375" style="1626" customWidth="1"/>
    <col min="4622" max="4622" width="8.3984375" style="1626" customWidth="1"/>
    <col min="4623" max="4627" width="6.3984375" style="1626" customWidth="1"/>
    <col min="4628" max="4628" width="9.19921875" style="1626" customWidth="1"/>
    <col min="4629" max="4864" width="9" style="1626"/>
    <col min="4865" max="4865" width="5.19921875" style="1626" customWidth="1"/>
    <col min="4866" max="4866" width="7.09765625" style="1626" customWidth="1"/>
    <col min="4867" max="4871" width="6.3984375" style="1626" customWidth="1"/>
    <col min="4872" max="4872" width="7.19921875" style="1626" customWidth="1"/>
    <col min="4873" max="4877" width="6.3984375" style="1626" customWidth="1"/>
    <col min="4878" max="4878" width="8.3984375" style="1626" customWidth="1"/>
    <col min="4879" max="4883" width="6.3984375" style="1626" customWidth="1"/>
    <col min="4884" max="4884" width="9.19921875" style="1626" customWidth="1"/>
    <col min="4885" max="5120" width="9" style="1626"/>
    <col min="5121" max="5121" width="5.19921875" style="1626" customWidth="1"/>
    <col min="5122" max="5122" width="7.09765625" style="1626" customWidth="1"/>
    <col min="5123" max="5127" width="6.3984375" style="1626" customWidth="1"/>
    <col min="5128" max="5128" width="7.19921875" style="1626" customWidth="1"/>
    <col min="5129" max="5133" width="6.3984375" style="1626" customWidth="1"/>
    <col min="5134" max="5134" width="8.3984375" style="1626" customWidth="1"/>
    <col min="5135" max="5139" width="6.3984375" style="1626" customWidth="1"/>
    <col min="5140" max="5140" width="9.19921875" style="1626" customWidth="1"/>
    <col min="5141" max="5376" width="9" style="1626"/>
    <col min="5377" max="5377" width="5.19921875" style="1626" customWidth="1"/>
    <col min="5378" max="5378" width="7.09765625" style="1626" customWidth="1"/>
    <col min="5379" max="5383" width="6.3984375" style="1626" customWidth="1"/>
    <col min="5384" max="5384" width="7.19921875" style="1626" customWidth="1"/>
    <col min="5385" max="5389" width="6.3984375" style="1626" customWidth="1"/>
    <col min="5390" max="5390" width="8.3984375" style="1626" customWidth="1"/>
    <col min="5391" max="5395" width="6.3984375" style="1626" customWidth="1"/>
    <col min="5396" max="5396" width="9.19921875" style="1626" customWidth="1"/>
    <col min="5397" max="5632" width="9" style="1626"/>
    <col min="5633" max="5633" width="5.19921875" style="1626" customWidth="1"/>
    <col min="5634" max="5634" width="7.09765625" style="1626" customWidth="1"/>
    <col min="5635" max="5639" width="6.3984375" style="1626" customWidth="1"/>
    <col min="5640" max="5640" width="7.19921875" style="1626" customWidth="1"/>
    <col min="5641" max="5645" width="6.3984375" style="1626" customWidth="1"/>
    <col min="5646" max="5646" width="8.3984375" style="1626" customWidth="1"/>
    <col min="5647" max="5651" width="6.3984375" style="1626" customWidth="1"/>
    <col min="5652" max="5652" width="9.19921875" style="1626" customWidth="1"/>
    <col min="5653" max="5888" width="9" style="1626"/>
    <col min="5889" max="5889" width="5.19921875" style="1626" customWidth="1"/>
    <col min="5890" max="5890" width="7.09765625" style="1626" customWidth="1"/>
    <col min="5891" max="5895" width="6.3984375" style="1626" customWidth="1"/>
    <col min="5896" max="5896" width="7.19921875" style="1626" customWidth="1"/>
    <col min="5897" max="5901" width="6.3984375" style="1626" customWidth="1"/>
    <col min="5902" max="5902" width="8.3984375" style="1626" customWidth="1"/>
    <col min="5903" max="5907" width="6.3984375" style="1626" customWidth="1"/>
    <col min="5908" max="5908" width="9.19921875" style="1626" customWidth="1"/>
    <col min="5909" max="6144" width="9" style="1626"/>
    <col min="6145" max="6145" width="5.19921875" style="1626" customWidth="1"/>
    <col min="6146" max="6146" width="7.09765625" style="1626" customWidth="1"/>
    <col min="6147" max="6151" width="6.3984375" style="1626" customWidth="1"/>
    <col min="6152" max="6152" width="7.19921875" style="1626" customWidth="1"/>
    <col min="6153" max="6157" width="6.3984375" style="1626" customWidth="1"/>
    <col min="6158" max="6158" width="8.3984375" style="1626" customWidth="1"/>
    <col min="6159" max="6163" width="6.3984375" style="1626" customWidth="1"/>
    <col min="6164" max="6164" width="9.19921875" style="1626" customWidth="1"/>
    <col min="6165" max="6400" width="9" style="1626"/>
    <col min="6401" max="6401" width="5.19921875" style="1626" customWidth="1"/>
    <col min="6402" max="6402" width="7.09765625" style="1626" customWidth="1"/>
    <col min="6403" max="6407" width="6.3984375" style="1626" customWidth="1"/>
    <col min="6408" max="6408" width="7.19921875" style="1626" customWidth="1"/>
    <col min="6409" max="6413" width="6.3984375" style="1626" customWidth="1"/>
    <col min="6414" max="6414" width="8.3984375" style="1626" customWidth="1"/>
    <col min="6415" max="6419" width="6.3984375" style="1626" customWidth="1"/>
    <col min="6420" max="6420" width="9.19921875" style="1626" customWidth="1"/>
    <col min="6421" max="6656" width="9" style="1626"/>
    <col min="6657" max="6657" width="5.19921875" style="1626" customWidth="1"/>
    <col min="6658" max="6658" width="7.09765625" style="1626" customWidth="1"/>
    <col min="6659" max="6663" width="6.3984375" style="1626" customWidth="1"/>
    <col min="6664" max="6664" width="7.19921875" style="1626" customWidth="1"/>
    <col min="6665" max="6669" width="6.3984375" style="1626" customWidth="1"/>
    <col min="6670" max="6670" width="8.3984375" style="1626" customWidth="1"/>
    <col min="6671" max="6675" width="6.3984375" style="1626" customWidth="1"/>
    <col min="6676" max="6676" width="9.19921875" style="1626" customWidth="1"/>
    <col min="6677" max="6912" width="9" style="1626"/>
    <col min="6913" max="6913" width="5.19921875" style="1626" customWidth="1"/>
    <col min="6914" max="6914" width="7.09765625" style="1626" customWidth="1"/>
    <col min="6915" max="6919" width="6.3984375" style="1626" customWidth="1"/>
    <col min="6920" max="6920" width="7.19921875" style="1626" customWidth="1"/>
    <col min="6921" max="6925" width="6.3984375" style="1626" customWidth="1"/>
    <col min="6926" max="6926" width="8.3984375" style="1626" customWidth="1"/>
    <col min="6927" max="6931" width="6.3984375" style="1626" customWidth="1"/>
    <col min="6932" max="6932" width="9.19921875" style="1626" customWidth="1"/>
    <col min="6933" max="7168" width="9" style="1626"/>
    <col min="7169" max="7169" width="5.19921875" style="1626" customWidth="1"/>
    <col min="7170" max="7170" width="7.09765625" style="1626" customWidth="1"/>
    <col min="7171" max="7175" width="6.3984375" style="1626" customWidth="1"/>
    <col min="7176" max="7176" width="7.19921875" style="1626" customWidth="1"/>
    <col min="7177" max="7181" width="6.3984375" style="1626" customWidth="1"/>
    <col min="7182" max="7182" width="8.3984375" style="1626" customWidth="1"/>
    <col min="7183" max="7187" width="6.3984375" style="1626" customWidth="1"/>
    <col min="7188" max="7188" width="9.19921875" style="1626" customWidth="1"/>
    <col min="7189" max="7424" width="9" style="1626"/>
    <col min="7425" max="7425" width="5.19921875" style="1626" customWidth="1"/>
    <col min="7426" max="7426" width="7.09765625" style="1626" customWidth="1"/>
    <col min="7427" max="7431" width="6.3984375" style="1626" customWidth="1"/>
    <col min="7432" max="7432" width="7.19921875" style="1626" customWidth="1"/>
    <col min="7433" max="7437" width="6.3984375" style="1626" customWidth="1"/>
    <col min="7438" max="7438" width="8.3984375" style="1626" customWidth="1"/>
    <col min="7439" max="7443" width="6.3984375" style="1626" customWidth="1"/>
    <col min="7444" max="7444" width="9.19921875" style="1626" customWidth="1"/>
    <col min="7445" max="7680" width="9" style="1626"/>
    <col min="7681" max="7681" width="5.19921875" style="1626" customWidth="1"/>
    <col min="7682" max="7682" width="7.09765625" style="1626" customWidth="1"/>
    <col min="7683" max="7687" width="6.3984375" style="1626" customWidth="1"/>
    <col min="7688" max="7688" width="7.19921875" style="1626" customWidth="1"/>
    <col min="7689" max="7693" width="6.3984375" style="1626" customWidth="1"/>
    <col min="7694" max="7694" width="8.3984375" style="1626" customWidth="1"/>
    <col min="7695" max="7699" width="6.3984375" style="1626" customWidth="1"/>
    <col min="7700" max="7700" width="9.19921875" style="1626" customWidth="1"/>
    <col min="7701" max="7936" width="9" style="1626"/>
    <col min="7937" max="7937" width="5.19921875" style="1626" customWidth="1"/>
    <col min="7938" max="7938" width="7.09765625" style="1626" customWidth="1"/>
    <col min="7939" max="7943" width="6.3984375" style="1626" customWidth="1"/>
    <col min="7944" max="7944" width="7.19921875" style="1626" customWidth="1"/>
    <col min="7945" max="7949" width="6.3984375" style="1626" customWidth="1"/>
    <col min="7950" max="7950" width="8.3984375" style="1626" customWidth="1"/>
    <col min="7951" max="7955" width="6.3984375" style="1626" customWidth="1"/>
    <col min="7956" max="7956" width="9.19921875" style="1626" customWidth="1"/>
    <col min="7957" max="8192" width="9" style="1626"/>
    <col min="8193" max="8193" width="5.19921875" style="1626" customWidth="1"/>
    <col min="8194" max="8194" width="7.09765625" style="1626" customWidth="1"/>
    <col min="8195" max="8199" width="6.3984375" style="1626" customWidth="1"/>
    <col min="8200" max="8200" width="7.19921875" style="1626" customWidth="1"/>
    <col min="8201" max="8205" width="6.3984375" style="1626" customWidth="1"/>
    <col min="8206" max="8206" width="8.3984375" style="1626" customWidth="1"/>
    <col min="8207" max="8211" width="6.3984375" style="1626" customWidth="1"/>
    <col min="8212" max="8212" width="9.19921875" style="1626" customWidth="1"/>
    <col min="8213" max="8448" width="9" style="1626"/>
    <col min="8449" max="8449" width="5.19921875" style="1626" customWidth="1"/>
    <col min="8450" max="8450" width="7.09765625" style="1626" customWidth="1"/>
    <col min="8451" max="8455" width="6.3984375" style="1626" customWidth="1"/>
    <col min="8456" max="8456" width="7.19921875" style="1626" customWidth="1"/>
    <col min="8457" max="8461" width="6.3984375" style="1626" customWidth="1"/>
    <col min="8462" max="8462" width="8.3984375" style="1626" customWidth="1"/>
    <col min="8463" max="8467" width="6.3984375" style="1626" customWidth="1"/>
    <col min="8468" max="8468" width="9.19921875" style="1626" customWidth="1"/>
    <col min="8469" max="8704" width="9" style="1626"/>
    <col min="8705" max="8705" width="5.19921875" style="1626" customWidth="1"/>
    <col min="8706" max="8706" width="7.09765625" style="1626" customWidth="1"/>
    <col min="8707" max="8711" width="6.3984375" style="1626" customWidth="1"/>
    <col min="8712" max="8712" width="7.19921875" style="1626" customWidth="1"/>
    <col min="8713" max="8717" width="6.3984375" style="1626" customWidth="1"/>
    <col min="8718" max="8718" width="8.3984375" style="1626" customWidth="1"/>
    <col min="8719" max="8723" width="6.3984375" style="1626" customWidth="1"/>
    <col min="8724" max="8724" width="9.19921875" style="1626" customWidth="1"/>
    <col min="8725" max="8960" width="9" style="1626"/>
    <col min="8961" max="8961" width="5.19921875" style="1626" customWidth="1"/>
    <col min="8962" max="8962" width="7.09765625" style="1626" customWidth="1"/>
    <col min="8963" max="8967" width="6.3984375" style="1626" customWidth="1"/>
    <col min="8968" max="8968" width="7.19921875" style="1626" customWidth="1"/>
    <col min="8969" max="8973" width="6.3984375" style="1626" customWidth="1"/>
    <col min="8974" max="8974" width="8.3984375" style="1626" customWidth="1"/>
    <col min="8975" max="8979" width="6.3984375" style="1626" customWidth="1"/>
    <col min="8980" max="8980" width="9.19921875" style="1626" customWidth="1"/>
    <col min="8981" max="9216" width="9" style="1626"/>
    <col min="9217" max="9217" width="5.19921875" style="1626" customWidth="1"/>
    <col min="9218" max="9218" width="7.09765625" style="1626" customWidth="1"/>
    <col min="9219" max="9223" width="6.3984375" style="1626" customWidth="1"/>
    <col min="9224" max="9224" width="7.19921875" style="1626" customWidth="1"/>
    <col min="9225" max="9229" width="6.3984375" style="1626" customWidth="1"/>
    <col min="9230" max="9230" width="8.3984375" style="1626" customWidth="1"/>
    <col min="9231" max="9235" width="6.3984375" style="1626" customWidth="1"/>
    <col min="9236" max="9236" width="9.19921875" style="1626" customWidth="1"/>
    <col min="9237" max="9472" width="9" style="1626"/>
    <col min="9473" max="9473" width="5.19921875" style="1626" customWidth="1"/>
    <col min="9474" max="9474" width="7.09765625" style="1626" customWidth="1"/>
    <col min="9475" max="9479" width="6.3984375" style="1626" customWidth="1"/>
    <col min="9480" max="9480" width="7.19921875" style="1626" customWidth="1"/>
    <col min="9481" max="9485" width="6.3984375" style="1626" customWidth="1"/>
    <col min="9486" max="9486" width="8.3984375" style="1626" customWidth="1"/>
    <col min="9487" max="9491" width="6.3984375" style="1626" customWidth="1"/>
    <col min="9492" max="9492" width="9.19921875" style="1626" customWidth="1"/>
    <col min="9493" max="9728" width="9" style="1626"/>
    <col min="9729" max="9729" width="5.19921875" style="1626" customWidth="1"/>
    <col min="9730" max="9730" width="7.09765625" style="1626" customWidth="1"/>
    <col min="9731" max="9735" width="6.3984375" style="1626" customWidth="1"/>
    <col min="9736" max="9736" width="7.19921875" style="1626" customWidth="1"/>
    <col min="9737" max="9741" width="6.3984375" style="1626" customWidth="1"/>
    <col min="9742" max="9742" width="8.3984375" style="1626" customWidth="1"/>
    <col min="9743" max="9747" width="6.3984375" style="1626" customWidth="1"/>
    <col min="9748" max="9748" width="9.19921875" style="1626" customWidth="1"/>
    <col min="9749" max="9984" width="9" style="1626"/>
    <col min="9985" max="9985" width="5.19921875" style="1626" customWidth="1"/>
    <col min="9986" max="9986" width="7.09765625" style="1626" customWidth="1"/>
    <col min="9987" max="9991" width="6.3984375" style="1626" customWidth="1"/>
    <col min="9992" max="9992" width="7.19921875" style="1626" customWidth="1"/>
    <col min="9993" max="9997" width="6.3984375" style="1626" customWidth="1"/>
    <col min="9998" max="9998" width="8.3984375" style="1626" customWidth="1"/>
    <col min="9999" max="10003" width="6.3984375" style="1626" customWidth="1"/>
    <col min="10004" max="10004" width="9.19921875" style="1626" customWidth="1"/>
    <col min="10005" max="10240" width="9" style="1626"/>
    <col min="10241" max="10241" width="5.19921875" style="1626" customWidth="1"/>
    <col min="10242" max="10242" width="7.09765625" style="1626" customWidth="1"/>
    <col min="10243" max="10247" width="6.3984375" style="1626" customWidth="1"/>
    <col min="10248" max="10248" width="7.19921875" style="1626" customWidth="1"/>
    <col min="10249" max="10253" width="6.3984375" style="1626" customWidth="1"/>
    <col min="10254" max="10254" width="8.3984375" style="1626" customWidth="1"/>
    <col min="10255" max="10259" width="6.3984375" style="1626" customWidth="1"/>
    <col min="10260" max="10260" width="9.19921875" style="1626" customWidth="1"/>
    <col min="10261" max="10496" width="9" style="1626"/>
    <col min="10497" max="10497" width="5.19921875" style="1626" customWidth="1"/>
    <col min="10498" max="10498" width="7.09765625" style="1626" customWidth="1"/>
    <col min="10499" max="10503" width="6.3984375" style="1626" customWidth="1"/>
    <col min="10504" max="10504" width="7.19921875" style="1626" customWidth="1"/>
    <col min="10505" max="10509" width="6.3984375" style="1626" customWidth="1"/>
    <col min="10510" max="10510" width="8.3984375" style="1626" customWidth="1"/>
    <col min="10511" max="10515" width="6.3984375" style="1626" customWidth="1"/>
    <col min="10516" max="10516" width="9.19921875" style="1626" customWidth="1"/>
    <col min="10517" max="10752" width="9" style="1626"/>
    <col min="10753" max="10753" width="5.19921875" style="1626" customWidth="1"/>
    <col min="10754" max="10754" width="7.09765625" style="1626" customWidth="1"/>
    <col min="10755" max="10759" width="6.3984375" style="1626" customWidth="1"/>
    <col min="10760" max="10760" width="7.19921875" style="1626" customWidth="1"/>
    <col min="10761" max="10765" width="6.3984375" style="1626" customWidth="1"/>
    <col min="10766" max="10766" width="8.3984375" style="1626" customWidth="1"/>
    <col min="10767" max="10771" width="6.3984375" style="1626" customWidth="1"/>
    <col min="10772" max="10772" width="9.19921875" style="1626" customWidth="1"/>
    <col min="10773" max="11008" width="9" style="1626"/>
    <col min="11009" max="11009" width="5.19921875" style="1626" customWidth="1"/>
    <col min="11010" max="11010" width="7.09765625" style="1626" customWidth="1"/>
    <col min="11011" max="11015" width="6.3984375" style="1626" customWidth="1"/>
    <col min="11016" max="11016" width="7.19921875" style="1626" customWidth="1"/>
    <col min="11017" max="11021" width="6.3984375" style="1626" customWidth="1"/>
    <col min="11022" max="11022" width="8.3984375" style="1626" customWidth="1"/>
    <col min="11023" max="11027" width="6.3984375" style="1626" customWidth="1"/>
    <col min="11028" max="11028" width="9.19921875" style="1626" customWidth="1"/>
    <col min="11029" max="11264" width="9" style="1626"/>
    <col min="11265" max="11265" width="5.19921875" style="1626" customWidth="1"/>
    <col min="11266" max="11266" width="7.09765625" style="1626" customWidth="1"/>
    <col min="11267" max="11271" width="6.3984375" style="1626" customWidth="1"/>
    <col min="11272" max="11272" width="7.19921875" style="1626" customWidth="1"/>
    <col min="11273" max="11277" width="6.3984375" style="1626" customWidth="1"/>
    <col min="11278" max="11278" width="8.3984375" style="1626" customWidth="1"/>
    <col min="11279" max="11283" width="6.3984375" style="1626" customWidth="1"/>
    <col min="11284" max="11284" width="9.19921875" style="1626" customWidth="1"/>
    <col min="11285" max="11520" width="9" style="1626"/>
    <col min="11521" max="11521" width="5.19921875" style="1626" customWidth="1"/>
    <col min="11522" max="11522" width="7.09765625" style="1626" customWidth="1"/>
    <col min="11523" max="11527" width="6.3984375" style="1626" customWidth="1"/>
    <col min="11528" max="11528" width="7.19921875" style="1626" customWidth="1"/>
    <col min="11529" max="11533" width="6.3984375" style="1626" customWidth="1"/>
    <col min="11534" max="11534" width="8.3984375" style="1626" customWidth="1"/>
    <col min="11535" max="11539" width="6.3984375" style="1626" customWidth="1"/>
    <col min="11540" max="11540" width="9.19921875" style="1626" customWidth="1"/>
    <col min="11541" max="11776" width="9" style="1626"/>
    <col min="11777" max="11777" width="5.19921875" style="1626" customWidth="1"/>
    <col min="11778" max="11778" width="7.09765625" style="1626" customWidth="1"/>
    <col min="11779" max="11783" width="6.3984375" style="1626" customWidth="1"/>
    <col min="11784" max="11784" width="7.19921875" style="1626" customWidth="1"/>
    <col min="11785" max="11789" width="6.3984375" style="1626" customWidth="1"/>
    <col min="11790" max="11790" width="8.3984375" style="1626" customWidth="1"/>
    <col min="11791" max="11795" width="6.3984375" style="1626" customWidth="1"/>
    <col min="11796" max="11796" width="9.19921875" style="1626" customWidth="1"/>
    <col min="11797" max="12032" width="9" style="1626"/>
    <col min="12033" max="12033" width="5.19921875" style="1626" customWidth="1"/>
    <col min="12034" max="12034" width="7.09765625" style="1626" customWidth="1"/>
    <col min="12035" max="12039" width="6.3984375" style="1626" customWidth="1"/>
    <col min="12040" max="12040" width="7.19921875" style="1626" customWidth="1"/>
    <col min="12041" max="12045" width="6.3984375" style="1626" customWidth="1"/>
    <col min="12046" max="12046" width="8.3984375" style="1626" customWidth="1"/>
    <col min="12047" max="12051" width="6.3984375" style="1626" customWidth="1"/>
    <col min="12052" max="12052" width="9.19921875" style="1626" customWidth="1"/>
    <col min="12053" max="12288" width="9" style="1626"/>
    <col min="12289" max="12289" width="5.19921875" style="1626" customWidth="1"/>
    <col min="12290" max="12290" width="7.09765625" style="1626" customWidth="1"/>
    <col min="12291" max="12295" width="6.3984375" style="1626" customWidth="1"/>
    <col min="12296" max="12296" width="7.19921875" style="1626" customWidth="1"/>
    <col min="12297" max="12301" width="6.3984375" style="1626" customWidth="1"/>
    <col min="12302" max="12302" width="8.3984375" style="1626" customWidth="1"/>
    <col min="12303" max="12307" width="6.3984375" style="1626" customWidth="1"/>
    <col min="12308" max="12308" width="9.19921875" style="1626" customWidth="1"/>
    <col min="12309" max="12544" width="9" style="1626"/>
    <col min="12545" max="12545" width="5.19921875" style="1626" customWidth="1"/>
    <col min="12546" max="12546" width="7.09765625" style="1626" customWidth="1"/>
    <col min="12547" max="12551" width="6.3984375" style="1626" customWidth="1"/>
    <col min="12552" max="12552" width="7.19921875" style="1626" customWidth="1"/>
    <col min="12553" max="12557" width="6.3984375" style="1626" customWidth="1"/>
    <col min="12558" max="12558" width="8.3984375" style="1626" customWidth="1"/>
    <col min="12559" max="12563" width="6.3984375" style="1626" customWidth="1"/>
    <col min="12564" max="12564" width="9.19921875" style="1626" customWidth="1"/>
    <col min="12565" max="12800" width="9" style="1626"/>
    <col min="12801" max="12801" width="5.19921875" style="1626" customWidth="1"/>
    <col min="12802" max="12802" width="7.09765625" style="1626" customWidth="1"/>
    <col min="12803" max="12807" width="6.3984375" style="1626" customWidth="1"/>
    <col min="12808" max="12808" width="7.19921875" style="1626" customWidth="1"/>
    <col min="12809" max="12813" width="6.3984375" style="1626" customWidth="1"/>
    <col min="12814" max="12814" width="8.3984375" style="1626" customWidth="1"/>
    <col min="12815" max="12819" width="6.3984375" style="1626" customWidth="1"/>
    <col min="12820" max="12820" width="9.19921875" style="1626" customWidth="1"/>
    <col min="12821" max="13056" width="9" style="1626"/>
    <col min="13057" max="13057" width="5.19921875" style="1626" customWidth="1"/>
    <col min="13058" max="13058" width="7.09765625" style="1626" customWidth="1"/>
    <col min="13059" max="13063" width="6.3984375" style="1626" customWidth="1"/>
    <col min="13064" max="13064" width="7.19921875" style="1626" customWidth="1"/>
    <col min="13065" max="13069" width="6.3984375" style="1626" customWidth="1"/>
    <col min="13070" max="13070" width="8.3984375" style="1626" customWidth="1"/>
    <col min="13071" max="13075" width="6.3984375" style="1626" customWidth="1"/>
    <col min="13076" max="13076" width="9.19921875" style="1626" customWidth="1"/>
    <col min="13077" max="13312" width="9" style="1626"/>
    <col min="13313" max="13313" width="5.19921875" style="1626" customWidth="1"/>
    <col min="13314" max="13314" width="7.09765625" style="1626" customWidth="1"/>
    <col min="13315" max="13319" width="6.3984375" style="1626" customWidth="1"/>
    <col min="13320" max="13320" width="7.19921875" style="1626" customWidth="1"/>
    <col min="13321" max="13325" width="6.3984375" style="1626" customWidth="1"/>
    <col min="13326" max="13326" width="8.3984375" style="1626" customWidth="1"/>
    <col min="13327" max="13331" width="6.3984375" style="1626" customWidth="1"/>
    <col min="13332" max="13332" width="9.19921875" style="1626" customWidth="1"/>
    <col min="13333" max="13568" width="9" style="1626"/>
    <col min="13569" max="13569" width="5.19921875" style="1626" customWidth="1"/>
    <col min="13570" max="13570" width="7.09765625" style="1626" customWidth="1"/>
    <col min="13571" max="13575" width="6.3984375" style="1626" customWidth="1"/>
    <col min="13576" max="13576" width="7.19921875" style="1626" customWidth="1"/>
    <col min="13577" max="13581" width="6.3984375" style="1626" customWidth="1"/>
    <col min="13582" max="13582" width="8.3984375" style="1626" customWidth="1"/>
    <col min="13583" max="13587" width="6.3984375" style="1626" customWidth="1"/>
    <col min="13588" max="13588" width="9.19921875" style="1626" customWidth="1"/>
    <col min="13589" max="13824" width="9" style="1626"/>
    <col min="13825" max="13825" width="5.19921875" style="1626" customWidth="1"/>
    <col min="13826" max="13826" width="7.09765625" style="1626" customWidth="1"/>
    <col min="13827" max="13831" width="6.3984375" style="1626" customWidth="1"/>
    <col min="13832" max="13832" width="7.19921875" style="1626" customWidth="1"/>
    <col min="13833" max="13837" width="6.3984375" style="1626" customWidth="1"/>
    <col min="13838" max="13838" width="8.3984375" style="1626" customWidth="1"/>
    <col min="13839" max="13843" width="6.3984375" style="1626" customWidth="1"/>
    <col min="13844" max="13844" width="9.19921875" style="1626" customWidth="1"/>
    <col min="13845" max="14080" width="9" style="1626"/>
    <col min="14081" max="14081" width="5.19921875" style="1626" customWidth="1"/>
    <col min="14082" max="14082" width="7.09765625" style="1626" customWidth="1"/>
    <col min="14083" max="14087" width="6.3984375" style="1626" customWidth="1"/>
    <col min="14088" max="14088" width="7.19921875" style="1626" customWidth="1"/>
    <col min="14089" max="14093" width="6.3984375" style="1626" customWidth="1"/>
    <col min="14094" max="14094" width="8.3984375" style="1626" customWidth="1"/>
    <col min="14095" max="14099" width="6.3984375" style="1626" customWidth="1"/>
    <col min="14100" max="14100" width="9.19921875" style="1626" customWidth="1"/>
    <col min="14101" max="14336" width="9" style="1626"/>
    <col min="14337" max="14337" width="5.19921875" style="1626" customWidth="1"/>
    <col min="14338" max="14338" width="7.09765625" style="1626" customWidth="1"/>
    <col min="14339" max="14343" width="6.3984375" style="1626" customWidth="1"/>
    <col min="14344" max="14344" width="7.19921875" style="1626" customWidth="1"/>
    <col min="14345" max="14349" width="6.3984375" style="1626" customWidth="1"/>
    <col min="14350" max="14350" width="8.3984375" style="1626" customWidth="1"/>
    <col min="14351" max="14355" width="6.3984375" style="1626" customWidth="1"/>
    <col min="14356" max="14356" width="9.19921875" style="1626" customWidth="1"/>
    <col min="14357" max="14592" width="9" style="1626"/>
    <col min="14593" max="14593" width="5.19921875" style="1626" customWidth="1"/>
    <col min="14594" max="14594" width="7.09765625" style="1626" customWidth="1"/>
    <col min="14595" max="14599" width="6.3984375" style="1626" customWidth="1"/>
    <col min="14600" max="14600" width="7.19921875" style="1626" customWidth="1"/>
    <col min="14601" max="14605" width="6.3984375" style="1626" customWidth="1"/>
    <col min="14606" max="14606" width="8.3984375" style="1626" customWidth="1"/>
    <col min="14607" max="14611" width="6.3984375" style="1626" customWidth="1"/>
    <col min="14612" max="14612" width="9.19921875" style="1626" customWidth="1"/>
    <col min="14613" max="14848" width="9" style="1626"/>
    <col min="14849" max="14849" width="5.19921875" style="1626" customWidth="1"/>
    <col min="14850" max="14850" width="7.09765625" style="1626" customWidth="1"/>
    <col min="14851" max="14855" width="6.3984375" style="1626" customWidth="1"/>
    <col min="14856" max="14856" width="7.19921875" style="1626" customWidth="1"/>
    <col min="14857" max="14861" width="6.3984375" style="1626" customWidth="1"/>
    <col min="14862" max="14862" width="8.3984375" style="1626" customWidth="1"/>
    <col min="14863" max="14867" width="6.3984375" style="1626" customWidth="1"/>
    <col min="14868" max="14868" width="9.19921875" style="1626" customWidth="1"/>
    <col min="14869" max="15104" width="9" style="1626"/>
    <col min="15105" max="15105" width="5.19921875" style="1626" customWidth="1"/>
    <col min="15106" max="15106" width="7.09765625" style="1626" customWidth="1"/>
    <col min="15107" max="15111" width="6.3984375" style="1626" customWidth="1"/>
    <col min="15112" max="15112" width="7.19921875" style="1626" customWidth="1"/>
    <col min="15113" max="15117" width="6.3984375" style="1626" customWidth="1"/>
    <col min="15118" max="15118" width="8.3984375" style="1626" customWidth="1"/>
    <col min="15119" max="15123" width="6.3984375" style="1626" customWidth="1"/>
    <col min="15124" max="15124" width="9.19921875" style="1626" customWidth="1"/>
    <col min="15125" max="15360" width="9" style="1626"/>
    <col min="15361" max="15361" width="5.19921875" style="1626" customWidth="1"/>
    <col min="15362" max="15362" width="7.09765625" style="1626" customWidth="1"/>
    <col min="15363" max="15367" width="6.3984375" style="1626" customWidth="1"/>
    <col min="15368" max="15368" width="7.19921875" style="1626" customWidth="1"/>
    <col min="15369" max="15373" width="6.3984375" style="1626" customWidth="1"/>
    <col min="15374" max="15374" width="8.3984375" style="1626" customWidth="1"/>
    <col min="15375" max="15379" width="6.3984375" style="1626" customWidth="1"/>
    <col min="15380" max="15380" width="9.19921875" style="1626" customWidth="1"/>
    <col min="15381" max="15616" width="9" style="1626"/>
    <col min="15617" max="15617" width="5.19921875" style="1626" customWidth="1"/>
    <col min="15618" max="15618" width="7.09765625" style="1626" customWidth="1"/>
    <col min="15619" max="15623" width="6.3984375" style="1626" customWidth="1"/>
    <col min="15624" max="15624" width="7.19921875" style="1626" customWidth="1"/>
    <col min="15625" max="15629" width="6.3984375" style="1626" customWidth="1"/>
    <col min="15630" max="15630" width="8.3984375" style="1626" customWidth="1"/>
    <col min="15631" max="15635" width="6.3984375" style="1626" customWidth="1"/>
    <col min="15636" max="15636" width="9.19921875" style="1626" customWidth="1"/>
    <col min="15637" max="15872" width="9" style="1626"/>
    <col min="15873" max="15873" width="5.19921875" style="1626" customWidth="1"/>
    <col min="15874" max="15874" width="7.09765625" style="1626" customWidth="1"/>
    <col min="15875" max="15879" width="6.3984375" style="1626" customWidth="1"/>
    <col min="15880" max="15880" width="7.19921875" style="1626" customWidth="1"/>
    <col min="15881" max="15885" width="6.3984375" style="1626" customWidth="1"/>
    <col min="15886" max="15886" width="8.3984375" style="1626" customWidth="1"/>
    <col min="15887" max="15891" width="6.3984375" style="1626" customWidth="1"/>
    <col min="15892" max="15892" width="9.19921875" style="1626" customWidth="1"/>
    <col min="15893" max="16128" width="9" style="1626"/>
    <col min="16129" max="16129" width="5.19921875" style="1626" customWidth="1"/>
    <col min="16130" max="16130" width="7.09765625" style="1626" customWidth="1"/>
    <col min="16131" max="16135" width="6.3984375" style="1626" customWidth="1"/>
    <col min="16136" max="16136" width="7.19921875" style="1626" customWidth="1"/>
    <col min="16137" max="16141" width="6.3984375" style="1626" customWidth="1"/>
    <col min="16142" max="16142" width="8.3984375" style="1626" customWidth="1"/>
    <col min="16143" max="16147" width="6.3984375" style="1626" customWidth="1"/>
    <col min="16148" max="16148" width="9.19921875" style="1626" customWidth="1"/>
    <col min="16149" max="16384" width="9" style="1626"/>
  </cols>
  <sheetData>
    <row r="1" spans="1:21" s="1623" customFormat="1" ht="20.100000000000001" customHeight="1">
      <c r="A1" s="3378" t="s">
        <v>5865</v>
      </c>
      <c r="B1" s="3378"/>
      <c r="C1" s="3378"/>
      <c r="D1" s="3378"/>
      <c r="E1" s="3378"/>
      <c r="F1" s="3378"/>
      <c r="G1" s="3378"/>
      <c r="H1" s="3378"/>
      <c r="I1" s="3378"/>
      <c r="J1" s="3378"/>
      <c r="K1" s="3378"/>
      <c r="L1" s="3378"/>
      <c r="M1" s="3378"/>
      <c r="N1" s="3378"/>
      <c r="O1" s="3378"/>
      <c r="P1" s="3378"/>
      <c r="Q1" s="3378"/>
      <c r="R1" s="3378"/>
      <c r="S1" s="3378"/>
      <c r="T1" s="3378"/>
    </row>
    <row r="2" spans="1:21" s="1624" customFormat="1" ht="25.5" customHeight="1">
      <c r="A2" s="3379" t="s">
        <v>5866</v>
      </c>
      <c r="B2" s="3379"/>
      <c r="C2" s="3379"/>
      <c r="D2" s="3379"/>
      <c r="E2" s="3379"/>
      <c r="F2" s="3379"/>
      <c r="G2" s="3379"/>
      <c r="H2" s="3379"/>
      <c r="I2" s="3379"/>
      <c r="J2" s="3379"/>
      <c r="K2" s="3379"/>
      <c r="L2" s="3379"/>
      <c r="M2" s="3379"/>
      <c r="N2" s="3379"/>
      <c r="O2" s="3379"/>
      <c r="P2" s="3379"/>
      <c r="Q2" s="3379"/>
      <c r="R2" s="3379"/>
      <c r="S2" s="3379"/>
      <c r="T2" s="3386"/>
    </row>
    <row r="3" spans="1:21" s="1616" customFormat="1" ht="14.25" customHeight="1">
      <c r="A3" s="3385" t="s">
        <v>5673</v>
      </c>
      <c r="B3" s="3385" t="s">
        <v>5789</v>
      </c>
      <c r="C3" s="3385" t="s">
        <v>5867</v>
      </c>
      <c r="D3" s="3385"/>
      <c r="E3" s="3385"/>
      <c r="F3" s="3385"/>
      <c r="G3" s="3385"/>
      <c r="H3" s="3385"/>
      <c r="I3" s="3385" t="s">
        <v>5868</v>
      </c>
      <c r="J3" s="3385"/>
      <c r="K3" s="3385"/>
      <c r="L3" s="3385"/>
      <c r="M3" s="3385"/>
      <c r="N3" s="3385"/>
      <c r="O3" s="3385" t="s">
        <v>5869</v>
      </c>
      <c r="P3" s="3385"/>
      <c r="Q3" s="3385"/>
      <c r="R3" s="3385"/>
      <c r="S3" s="3385"/>
      <c r="T3" s="3385"/>
    </row>
    <row r="4" spans="1:21" s="1616" customFormat="1" ht="14.25" customHeight="1">
      <c r="A4" s="3385"/>
      <c r="B4" s="3385"/>
      <c r="C4" s="1899" t="s">
        <v>5854</v>
      </c>
      <c r="D4" s="1899" t="s">
        <v>5855</v>
      </c>
      <c r="E4" s="1899" t="s">
        <v>5856</v>
      </c>
      <c r="F4" s="1899" t="s">
        <v>5857</v>
      </c>
      <c r="G4" s="1899" t="s">
        <v>5858</v>
      </c>
      <c r="H4" s="1899" t="s">
        <v>1281</v>
      </c>
      <c r="I4" s="1899" t="s">
        <v>5854</v>
      </c>
      <c r="J4" s="1899" t="s">
        <v>5855</v>
      </c>
      <c r="K4" s="1899" t="s">
        <v>5856</v>
      </c>
      <c r="L4" s="1899" t="s">
        <v>5857</v>
      </c>
      <c r="M4" s="1899" t="s">
        <v>5858</v>
      </c>
      <c r="N4" s="1899" t="s">
        <v>1281</v>
      </c>
      <c r="O4" s="1899" t="s">
        <v>5855</v>
      </c>
      <c r="P4" s="1899" t="s">
        <v>5856</v>
      </c>
      <c r="Q4" s="1899" t="s">
        <v>5857</v>
      </c>
      <c r="R4" s="1899" t="s">
        <v>5858</v>
      </c>
      <c r="S4" s="1899" t="s">
        <v>1353</v>
      </c>
      <c r="T4" s="1899" t="s">
        <v>1281</v>
      </c>
    </row>
    <row r="5" spans="1:21" s="1616" customFormat="1" ht="42" customHeight="1">
      <c r="A5" s="3385"/>
      <c r="B5" s="1900">
        <v>1</v>
      </c>
      <c r="C5" s="1900">
        <v>2</v>
      </c>
      <c r="D5" s="1900">
        <v>3</v>
      </c>
      <c r="E5" s="1900">
        <v>4</v>
      </c>
      <c r="F5" s="1900">
        <v>5</v>
      </c>
      <c r="G5" s="1900">
        <v>6</v>
      </c>
      <c r="H5" s="1900" t="s">
        <v>5870</v>
      </c>
      <c r="I5" s="1900">
        <v>8</v>
      </c>
      <c r="J5" s="1900">
        <v>9</v>
      </c>
      <c r="K5" s="1900">
        <v>10</v>
      </c>
      <c r="L5" s="1900">
        <v>11</v>
      </c>
      <c r="M5" s="1900">
        <v>12</v>
      </c>
      <c r="N5" s="1900" t="s">
        <v>5871</v>
      </c>
      <c r="O5" s="1900" t="s">
        <v>5872</v>
      </c>
      <c r="P5" s="1900" t="s">
        <v>5873</v>
      </c>
      <c r="Q5" s="1900" t="s">
        <v>5874</v>
      </c>
      <c r="R5" s="1900" t="s">
        <v>5875</v>
      </c>
      <c r="S5" s="1900">
        <v>18</v>
      </c>
      <c r="T5" s="1900" t="s">
        <v>5862</v>
      </c>
    </row>
    <row r="6" spans="1:21" s="1616" customFormat="1" ht="14.25" customHeight="1">
      <c r="A6" s="1899">
        <v>1</v>
      </c>
      <c r="B6" s="1905">
        <f>跨年度结转抵免境外所得税审核表!B6</f>
        <v>0</v>
      </c>
      <c r="C6" s="2074">
        <f>跨年度结转抵免境外所得税审核表!C6</f>
        <v>0</v>
      </c>
      <c r="D6" s="2074">
        <f>跨年度结转抵免境外所得税审核表!D6</f>
        <v>0</v>
      </c>
      <c r="E6" s="2074">
        <f>跨年度结转抵免境外所得税审核表!E6</f>
        <v>0</v>
      </c>
      <c r="F6" s="2074">
        <f>跨年度结转抵免境外所得税审核表!F6</f>
        <v>0</v>
      </c>
      <c r="G6" s="2074">
        <f>跨年度结转抵免境外所得税审核表!G6</f>
        <v>0</v>
      </c>
      <c r="H6" s="2074">
        <f>跨年度结转抵免境外所得税审核表!H6</f>
        <v>0</v>
      </c>
      <c r="I6" s="2074">
        <f>跨年度结转抵免境外所得税审核表!I6</f>
        <v>0</v>
      </c>
      <c r="J6" s="2074">
        <f>跨年度结转抵免境外所得税审核表!J6</f>
        <v>0</v>
      </c>
      <c r="K6" s="2074">
        <f>跨年度结转抵免境外所得税审核表!K6</f>
        <v>0</v>
      </c>
      <c r="L6" s="2074">
        <f>跨年度结转抵免境外所得税审核表!L6</f>
        <v>0</v>
      </c>
      <c r="M6" s="2074">
        <f>跨年度结转抵免境外所得税审核表!M6</f>
        <v>0</v>
      </c>
      <c r="N6" s="2074">
        <f>跨年度结转抵免境外所得税审核表!N6</f>
        <v>0</v>
      </c>
      <c r="O6" s="2074">
        <f>跨年度结转抵免境外所得税审核表!O6</f>
        <v>0</v>
      </c>
      <c r="P6" s="2074">
        <f>跨年度结转抵免境外所得税审核表!P6</f>
        <v>0</v>
      </c>
      <c r="Q6" s="2074">
        <f>跨年度结转抵免境外所得税审核表!Q6</f>
        <v>0</v>
      </c>
      <c r="R6" s="2074">
        <f>跨年度结转抵免境外所得税审核表!R6</f>
        <v>0</v>
      </c>
      <c r="S6" s="2074">
        <f>跨年度结转抵免境外所得税审核表!S6</f>
        <v>0</v>
      </c>
      <c r="T6" s="2074">
        <f>跨年度结转抵免境外所得税审核表!T6</f>
        <v>0</v>
      </c>
    </row>
    <row r="7" spans="1:21" s="1616" customFormat="1" ht="14.25" customHeight="1">
      <c r="A7" s="1899">
        <v>2</v>
      </c>
      <c r="B7" s="1905">
        <f>跨年度结转抵免境外所得税审核表!B7</f>
        <v>0</v>
      </c>
      <c r="C7" s="2074">
        <f>跨年度结转抵免境外所得税审核表!C7</f>
        <v>0</v>
      </c>
      <c r="D7" s="2074">
        <f>跨年度结转抵免境外所得税审核表!D7</f>
        <v>0</v>
      </c>
      <c r="E7" s="2074">
        <f>跨年度结转抵免境外所得税审核表!E7</f>
        <v>0</v>
      </c>
      <c r="F7" s="2074">
        <f>跨年度结转抵免境外所得税审核表!F7</f>
        <v>0</v>
      </c>
      <c r="G7" s="2074">
        <f>跨年度结转抵免境外所得税审核表!G7</f>
        <v>0</v>
      </c>
      <c r="H7" s="2074">
        <f>跨年度结转抵免境外所得税审核表!H7</f>
        <v>0</v>
      </c>
      <c r="I7" s="2074">
        <f>跨年度结转抵免境外所得税审核表!I7</f>
        <v>0</v>
      </c>
      <c r="J7" s="2074">
        <f>跨年度结转抵免境外所得税审核表!J7</f>
        <v>0</v>
      </c>
      <c r="K7" s="2074">
        <f>跨年度结转抵免境外所得税审核表!K7</f>
        <v>0</v>
      </c>
      <c r="L7" s="2074">
        <f>跨年度结转抵免境外所得税审核表!L7</f>
        <v>0</v>
      </c>
      <c r="M7" s="2074">
        <f>跨年度结转抵免境外所得税审核表!M7</f>
        <v>0</v>
      </c>
      <c r="N7" s="2074">
        <f>跨年度结转抵免境外所得税审核表!N7</f>
        <v>0</v>
      </c>
      <c r="O7" s="2074">
        <f>跨年度结转抵免境外所得税审核表!O7</f>
        <v>0</v>
      </c>
      <c r="P7" s="2074">
        <f>跨年度结转抵免境外所得税审核表!P7</f>
        <v>0</v>
      </c>
      <c r="Q7" s="2074">
        <f>跨年度结转抵免境外所得税审核表!Q7</f>
        <v>0</v>
      </c>
      <c r="R7" s="2074">
        <f>跨年度结转抵免境外所得税审核表!R7</f>
        <v>0</v>
      </c>
      <c r="S7" s="2074">
        <f>跨年度结转抵免境外所得税审核表!S7</f>
        <v>0</v>
      </c>
      <c r="T7" s="2074">
        <f>跨年度结转抵免境外所得税审核表!T7</f>
        <v>0</v>
      </c>
    </row>
    <row r="8" spans="1:21" s="1616" customFormat="1" ht="14.25" customHeight="1">
      <c r="A8" s="1899">
        <v>3</v>
      </c>
      <c r="B8" s="1905">
        <f>跨年度结转抵免境外所得税审核表!B8</f>
        <v>0</v>
      </c>
      <c r="C8" s="2074">
        <f>跨年度结转抵免境外所得税审核表!C8</f>
        <v>0</v>
      </c>
      <c r="D8" s="2074">
        <f>跨年度结转抵免境外所得税审核表!D8</f>
        <v>0</v>
      </c>
      <c r="E8" s="2074">
        <f>跨年度结转抵免境外所得税审核表!E8</f>
        <v>0</v>
      </c>
      <c r="F8" s="2074">
        <f>跨年度结转抵免境外所得税审核表!F8</f>
        <v>0</v>
      </c>
      <c r="G8" s="2074">
        <f>跨年度结转抵免境外所得税审核表!G8</f>
        <v>0</v>
      </c>
      <c r="H8" s="2074">
        <f>跨年度结转抵免境外所得税审核表!H8</f>
        <v>0</v>
      </c>
      <c r="I8" s="2074">
        <f>跨年度结转抵免境外所得税审核表!I8</f>
        <v>0</v>
      </c>
      <c r="J8" s="2074">
        <f>跨年度结转抵免境外所得税审核表!J8</f>
        <v>0</v>
      </c>
      <c r="K8" s="2074">
        <f>跨年度结转抵免境外所得税审核表!K8</f>
        <v>0</v>
      </c>
      <c r="L8" s="2074">
        <f>跨年度结转抵免境外所得税审核表!L8</f>
        <v>0</v>
      </c>
      <c r="M8" s="2074">
        <f>跨年度结转抵免境外所得税审核表!M8</f>
        <v>0</v>
      </c>
      <c r="N8" s="2074">
        <f>跨年度结转抵免境外所得税审核表!N8</f>
        <v>0</v>
      </c>
      <c r="O8" s="2074">
        <f>跨年度结转抵免境外所得税审核表!O8</f>
        <v>0</v>
      </c>
      <c r="P8" s="2074">
        <f>跨年度结转抵免境外所得税审核表!P8</f>
        <v>0</v>
      </c>
      <c r="Q8" s="2074">
        <f>跨年度结转抵免境外所得税审核表!Q8</f>
        <v>0</v>
      </c>
      <c r="R8" s="2074">
        <f>跨年度结转抵免境外所得税审核表!R8</f>
        <v>0</v>
      </c>
      <c r="S8" s="2074">
        <f>跨年度结转抵免境外所得税审核表!S8</f>
        <v>0</v>
      </c>
      <c r="T8" s="2074">
        <f>跨年度结转抵免境外所得税审核表!T8</f>
        <v>0</v>
      </c>
    </row>
    <row r="9" spans="1:21" s="1616" customFormat="1" ht="14.25" customHeight="1">
      <c r="A9" s="1899">
        <v>4</v>
      </c>
      <c r="B9" s="1905">
        <f>跨年度结转抵免境外所得税审核表!B9</f>
        <v>0</v>
      </c>
      <c r="C9" s="2074">
        <f>跨年度结转抵免境外所得税审核表!C9</f>
        <v>0</v>
      </c>
      <c r="D9" s="2074">
        <f>跨年度结转抵免境外所得税审核表!D9</f>
        <v>0</v>
      </c>
      <c r="E9" s="2074">
        <f>跨年度结转抵免境外所得税审核表!E9</f>
        <v>0</v>
      </c>
      <c r="F9" s="2074">
        <f>跨年度结转抵免境外所得税审核表!F9</f>
        <v>0</v>
      </c>
      <c r="G9" s="2074">
        <f>跨年度结转抵免境外所得税审核表!G9</f>
        <v>0</v>
      </c>
      <c r="H9" s="2074">
        <f>跨年度结转抵免境外所得税审核表!H9</f>
        <v>0</v>
      </c>
      <c r="I9" s="2074">
        <f>跨年度结转抵免境外所得税审核表!I9</f>
        <v>0</v>
      </c>
      <c r="J9" s="2074">
        <f>跨年度结转抵免境外所得税审核表!J9</f>
        <v>0</v>
      </c>
      <c r="K9" s="2074">
        <f>跨年度结转抵免境外所得税审核表!K9</f>
        <v>0</v>
      </c>
      <c r="L9" s="2074">
        <f>跨年度结转抵免境外所得税审核表!L9</f>
        <v>0</v>
      </c>
      <c r="M9" s="2074">
        <f>跨年度结转抵免境外所得税审核表!M9</f>
        <v>0</v>
      </c>
      <c r="N9" s="2074">
        <f>跨年度结转抵免境外所得税审核表!N9</f>
        <v>0</v>
      </c>
      <c r="O9" s="2074">
        <f>跨年度结转抵免境外所得税审核表!O9</f>
        <v>0</v>
      </c>
      <c r="P9" s="2074">
        <f>跨年度结转抵免境外所得税审核表!P9</f>
        <v>0</v>
      </c>
      <c r="Q9" s="2074">
        <f>跨年度结转抵免境外所得税审核表!Q9</f>
        <v>0</v>
      </c>
      <c r="R9" s="2074">
        <f>跨年度结转抵免境外所得税审核表!R9</f>
        <v>0</v>
      </c>
      <c r="S9" s="2074">
        <f>跨年度结转抵免境外所得税审核表!S9</f>
        <v>0</v>
      </c>
      <c r="T9" s="2074">
        <f>跨年度结转抵免境外所得税审核表!T9</f>
        <v>0</v>
      </c>
    </row>
    <row r="10" spans="1:21" s="1616" customFormat="1" ht="14.25" customHeight="1">
      <c r="A10" s="1899">
        <v>5</v>
      </c>
      <c r="B10" s="1905">
        <f>跨年度结转抵免境外所得税审核表!B10</f>
        <v>0</v>
      </c>
      <c r="C10" s="2074">
        <f>跨年度结转抵免境外所得税审核表!C10</f>
        <v>0</v>
      </c>
      <c r="D10" s="2074">
        <f>跨年度结转抵免境外所得税审核表!D10</f>
        <v>0</v>
      </c>
      <c r="E10" s="2074">
        <f>跨年度结转抵免境外所得税审核表!E10</f>
        <v>0</v>
      </c>
      <c r="F10" s="2074">
        <f>跨年度结转抵免境外所得税审核表!F10</f>
        <v>0</v>
      </c>
      <c r="G10" s="2074">
        <f>跨年度结转抵免境外所得税审核表!G10</f>
        <v>0</v>
      </c>
      <c r="H10" s="2074">
        <f>跨年度结转抵免境外所得税审核表!H10</f>
        <v>0</v>
      </c>
      <c r="I10" s="2074">
        <f>跨年度结转抵免境外所得税审核表!I10</f>
        <v>0</v>
      </c>
      <c r="J10" s="2074">
        <f>跨年度结转抵免境外所得税审核表!J10</f>
        <v>0</v>
      </c>
      <c r="K10" s="2074">
        <f>跨年度结转抵免境外所得税审核表!K10</f>
        <v>0</v>
      </c>
      <c r="L10" s="2074">
        <f>跨年度结转抵免境外所得税审核表!L10</f>
        <v>0</v>
      </c>
      <c r="M10" s="2074">
        <f>跨年度结转抵免境外所得税审核表!M10</f>
        <v>0</v>
      </c>
      <c r="N10" s="2074">
        <f>跨年度结转抵免境外所得税审核表!N10</f>
        <v>0</v>
      </c>
      <c r="O10" s="2074">
        <f>跨年度结转抵免境外所得税审核表!O10</f>
        <v>0</v>
      </c>
      <c r="P10" s="2074">
        <f>跨年度结转抵免境外所得税审核表!P10</f>
        <v>0</v>
      </c>
      <c r="Q10" s="2074">
        <f>跨年度结转抵免境外所得税审核表!Q10</f>
        <v>0</v>
      </c>
      <c r="R10" s="2074">
        <f>跨年度结转抵免境外所得税审核表!R10</f>
        <v>0</v>
      </c>
      <c r="S10" s="2074">
        <f>跨年度结转抵免境外所得税审核表!S10</f>
        <v>0</v>
      </c>
      <c r="T10" s="2074">
        <f>跨年度结转抵免境外所得税审核表!T10</f>
        <v>0</v>
      </c>
    </row>
    <row r="11" spans="1:21" s="1616" customFormat="1" ht="14.25" customHeight="1">
      <c r="A11" s="1899">
        <v>6</v>
      </c>
      <c r="B11" s="1905">
        <f>跨年度结转抵免境外所得税审核表!B11</f>
        <v>0</v>
      </c>
      <c r="C11" s="2074">
        <f>跨年度结转抵免境外所得税审核表!C11</f>
        <v>0</v>
      </c>
      <c r="D11" s="2074">
        <f>跨年度结转抵免境外所得税审核表!D11</f>
        <v>0</v>
      </c>
      <c r="E11" s="2074">
        <f>跨年度结转抵免境外所得税审核表!E11</f>
        <v>0</v>
      </c>
      <c r="F11" s="2074">
        <f>跨年度结转抵免境外所得税审核表!F11</f>
        <v>0</v>
      </c>
      <c r="G11" s="2074">
        <f>跨年度结转抵免境外所得税审核表!G11</f>
        <v>0</v>
      </c>
      <c r="H11" s="2074">
        <f>跨年度结转抵免境外所得税审核表!H11</f>
        <v>0</v>
      </c>
      <c r="I11" s="2074">
        <f>跨年度结转抵免境外所得税审核表!I11</f>
        <v>0</v>
      </c>
      <c r="J11" s="2074">
        <f>跨年度结转抵免境外所得税审核表!J11</f>
        <v>0</v>
      </c>
      <c r="K11" s="2074">
        <f>跨年度结转抵免境外所得税审核表!K11</f>
        <v>0</v>
      </c>
      <c r="L11" s="2074">
        <f>跨年度结转抵免境外所得税审核表!L11</f>
        <v>0</v>
      </c>
      <c r="M11" s="2074">
        <f>跨年度结转抵免境外所得税审核表!M11</f>
        <v>0</v>
      </c>
      <c r="N11" s="2074">
        <f>跨年度结转抵免境外所得税审核表!N11</f>
        <v>0</v>
      </c>
      <c r="O11" s="2074">
        <f>跨年度结转抵免境外所得税审核表!O11</f>
        <v>0</v>
      </c>
      <c r="P11" s="2074">
        <f>跨年度结转抵免境外所得税审核表!P11</f>
        <v>0</v>
      </c>
      <c r="Q11" s="2074">
        <f>跨年度结转抵免境外所得税审核表!Q11</f>
        <v>0</v>
      </c>
      <c r="R11" s="2074">
        <f>跨年度结转抵免境外所得税审核表!R11</f>
        <v>0</v>
      </c>
      <c r="S11" s="2074">
        <f>跨年度结转抵免境外所得税审核表!S11</f>
        <v>0</v>
      </c>
      <c r="T11" s="2074">
        <f>跨年度结转抵免境外所得税审核表!T11</f>
        <v>0</v>
      </c>
    </row>
    <row r="12" spans="1:21" s="1616" customFormat="1" ht="14.25" customHeight="1">
      <c r="A12" s="1899">
        <v>7</v>
      </c>
      <c r="B12" s="1905">
        <f>跨年度结转抵免境外所得税审核表!B12</f>
        <v>0</v>
      </c>
      <c r="C12" s="2074">
        <f>跨年度结转抵免境外所得税审核表!C12</f>
        <v>0</v>
      </c>
      <c r="D12" s="2074">
        <f>跨年度结转抵免境外所得税审核表!D12</f>
        <v>0</v>
      </c>
      <c r="E12" s="2074">
        <f>跨年度结转抵免境外所得税审核表!E12</f>
        <v>0</v>
      </c>
      <c r="F12" s="2074">
        <f>跨年度结转抵免境外所得税审核表!F12</f>
        <v>0</v>
      </c>
      <c r="G12" s="2074">
        <f>跨年度结转抵免境外所得税审核表!G12</f>
        <v>0</v>
      </c>
      <c r="H12" s="2074">
        <f>跨年度结转抵免境外所得税审核表!H12</f>
        <v>0</v>
      </c>
      <c r="I12" s="2074">
        <f>跨年度结转抵免境外所得税审核表!I12</f>
        <v>0</v>
      </c>
      <c r="J12" s="2074">
        <f>跨年度结转抵免境外所得税审核表!J12</f>
        <v>0</v>
      </c>
      <c r="K12" s="2074">
        <f>跨年度结转抵免境外所得税审核表!K12</f>
        <v>0</v>
      </c>
      <c r="L12" s="2074">
        <f>跨年度结转抵免境外所得税审核表!L12</f>
        <v>0</v>
      </c>
      <c r="M12" s="2074">
        <f>跨年度结转抵免境外所得税审核表!M12</f>
        <v>0</v>
      </c>
      <c r="N12" s="2074">
        <f>跨年度结转抵免境外所得税审核表!N12</f>
        <v>0</v>
      </c>
      <c r="O12" s="2074">
        <f>跨年度结转抵免境外所得税审核表!O12</f>
        <v>0</v>
      </c>
      <c r="P12" s="2074">
        <f>跨年度结转抵免境外所得税审核表!P12</f>
        <v>0</v>
      </c>
      <c r="Q12" s="2074">
        <f>跨年度结转抵免境外所得税审核表!Q12</f>
        <v>0</v>
      </c>
      <c r="R12" s="2074">
        <f>跨年度结转抵免境外所得税审核表!R12</f>
        <v>0</v>
      </c>
      <c r="S12" s="2074">
        <f>跨年度结转抵免境外所得税审核表!S12</f>
        <v>0</v>
      </c>
      <c r="T12" s="2074">
        <f>跨年度结转抵免境外所得税审核表!T12</f>
        <v>0</v>
      </c>
    </row>
    <row r="13" spans="1:21" s="1616" customFormat="1" ht="14.25" customHeight="1">
      <c r="A13" s="1899">
        <v>8</v>
      </c>
      <c r="B13" s="1905">
        <f>跨年度结转抵免境外所得税审核表!B13</f>
        <v>0</v>
      </c>
      <c r="C13" s="2074">
        <f>跨年度结转抵免境外所得税审核表!C13</f>
        <v>0</v>
      </c>
      <c r="D13" s="2074">
        <f>跨年度结转抵免境外所得税审核表!D13</f>
        <v>0</v>
      </c>
      <c r="E13" s="2074">
        <f>跨年度结转抵免境外所得税审核表!E13</f>
        <v>0</v>
      </c>
      <c r="F13" s="2074">
        <f>跨年度结转抵免境外所得税审核表!F13</f>
        <v>0</v>
      </c>
      <c r="G13" s="2074">
        <f>跨年度结转抵免境外所得税审核表!G13</f>
        <v>0</v>
      </c>
      <c r="H13" s="2074">
        <f>跨年度结转抵免境外所得税审核表!H13</f>
        <v>0</v>
      </c>
      <c r="I13" s="2074">
        <f>跨年度结转抵免境外所得税审核表!I13</f>
        <v>0</v>
      </c>
      <c r="J13" s="2074">
        <f>跨年度结转抵免境外所得税审核表!J13</f>
        <v>0</v>
      </c>
      <c r="K13" s="2074">
        <f>跨年度结转抵免境外所得税审核表!K13</f>
        <v>0</v>
      </c>
      <c r="L13" s="2074">
        <f>跨年度结转抵免境外所得税审核表!L13</f>
        <v>0</v>
      </c>
      <c r="M13" s="2074">
        <f>跨年度结转抵免境外所得税审核表!M13</f>
        <v>0</v>
      </c>
      <c r="N13" s="2074">
        <f>跨年度结转抵免境外所得税审核表!N13</f>
        <v>0</v>
      </c>
      <c r="O13" s="2074">
        <f>跨年度结转抵免境外所得税审核表!O13</f>
        <v>0</v>
      </c>
      <c r="P13" s="2074">
        <f>跨年度结转抵免境外所得税审核表!P13</f>
        <v>0</v>
      </c>
      <c r="Q13" s="2074">
        <f>跨年度结转抵免境外所得税审核表!Q13</f>
        <v>0</v>
      </c>
      <c r="R13" s="2074">
        <f>跨年度结转抵免境外所得税审核表!R13</f>
        <v>0</v>
      </c>
      <c r="S13" s="2074">
        <f>跨年度结转抵免境外所得税审核表!S13</f>
        <v>0</v>
      </c>
      <c r="T13" s="2074">
        <f>跨年度结转抵免境外所得税审核表!T13</f>
        <v>0</v>
      </c>
    </row>
    <row r="14" spans="1:21" s="1625" customFormat="1" ht="14.25" customHeight="1">
      <c r="A14" s="1899">
        <v>9</v>
      </c>
      <c r="B14" s="1905">
        <f>跨年度结转抵免境外所得税审核表!B14</f>
        <v>0</v>
      </c>
      <c r="C14" s="2074">
        <f>跨年度结转抵免境外所得税审核表!C14</f>
        <v>0</v>
      </c>
      <c r="D14" s="2074">
        <f>跨年度结转抵免境外所得税审核表!D14</f>
        <v>0</v>
      </c>
      <c r="E14" s="2074">
        <f>跨年度结转抵免境外所得税审核表!E14</f>
        <v>0</v>
      </c>
      <c r="F14" s="2074">
        <f>跨年度结转抵免境外所得税审核表!F14</f>
        <v>0</v>
      </c>
      <c r="G14" s="2074">
        <f>跨年度结转抵免境外所得税审核表!G14</f>
        <v>0</v>
      </c>
      <c r="H14" s="2074">
        <f>跨年度结转抵免境外所得税审核表!H14</f>
        <v>0</v>
      </c>
      <c r="I14" s="2074">
        <f>跨年度结转抵免境外所得税审核表!I14</f>
        <v>0</v>
      </c>
      <c r="J14" s="2074">
        <f>跨年度结转抵免境外所得税审核表!J14</f>
        <v>0</v>
      </c>
      <c r="K14" s="2074">
        <f>跨年度结转抵免境外所得税审核表!K14</f>
        <v>0</v>
      </c>
      <c r="L14" s="2074">
        <f>跨年度结转抵免境外所得税审核表!L14</f>
        <v>0</v>
      </c>
      <c r="M14" s="2074">
        <f>跨年度结转抵免境外所得税审核表!M14</f>
        <v>0</v>
      </c>
      <c r="N14" s="2074">
        <f>跨年度结转抵免境外所得税审核表!N14</f>
        <v>0</v>
      </c>
      <c r="O14" s="2074">
        <f>跨年度结转抵免境外所得税审核表!O14</f>
        <v>0</v>
      </c>
      <c r="P14" s="2074">
        <f>跨年度结转抵免境外所得税审核表!P14</f>
        <v>0</v>
      </c>
      <c r="Q14" s="2074">
        <f>跨年度结转抵免境外所得税审核表!Q14</f>
        <v>0</v>
      </c>
      <c r="R14" s="2074">
        <f>跨年度结转抵免境外所得税审核表!R14</f>
        <v>0</v>
      </c>
      <c r="S14" s="2074">
        <f>跨年度结转抵免境外所得税审核表!S14</f>
        <v>0</v>
      </c>
      <c r="T14" s="2074">
        <f>跨年度结转抵免境外所得税审核表!T14</f>
        <v>0</v>
      </c>
    </row>
    <row r="15" spans="1:21" s="1625" customFormat="1" ht="14.25" customHeight="1">
      <c r="A15" s="1899">
        <v>10</v>
      </c>
      <c r="B15" s="1912" t="s">
        <v>5484</v>
      </c>
      <c r="C15" s="2074">
        <f>跨年度结转抵免境外所得税审核表!C15</f>
        <v>0</v>
      </c>
      <c r="D15" s="2074">
        <f>跨年度结转抵免境外所得税审核表!D15</f>
        <v>0</v>
      </c>
      <c r="E15" s="2074">
        <f>跨年度结转抵免境外所得税审核表!E15</f>
        <v>0</v>
      </c>
      <c r="F15" s="2074">
        <f>跨年度结转抵免境外所得税审核表!F15</f>
        <v>0</v>
      </c>
      <c r="G15" s="2074">
        <f>跨年度结转抵免境外所得税审核表!G15</f>
        <v>0</v>
      </c>
      <c r="H15" s="2074">
        <f>跨年度结转抵免境外所得税审核表!H15</f>
        <v>0</v>
      </c>
      <c r="I15" s="2074">
        <f>跨年度结转抵免境外所得税审核表!I15</f>
        <v>0</v>
      </c>
      <c r="J15" s="2074">
        <f>跨年度结转抵免境外所得税审核表!J15</f>
        <v>0</v>
      </c>
      <c r="K15" s="2074">
        <f>跨年度结转抵免境外所得税审核表!K15</f>
        <v>0</v>
      </c>
      <c r="L15" s="2074">
        <f>跨年度结转抵免境外所得税审核表!L15</f>
        <v>0</v>
      </c>
      <c r="M15" s="2074">
        <f>跨年度结转抵免境外所得税审核表!M15</f>
        <v>0</v>
      </c>
      <c r="N15" s="2074">
        <f>跨年度结转抵免境外所得税审核表!N15</f>
        <v>0</v>
      </c>
      <c r="O15" s="2074">
        <f>跨年度结转抵免境外所得税审核表!O15</f>
        <v>0</v>
      </c>
      <c r="P15" s="2074">
        <f>跨年度结转抵免境外所得税审核表!P15</f>
        <v>0</v>
      </c>
      <c r="Q15" s="2074">
        <f>跨年度结转抵免境外所得税审核表!Q15</f>
        <v>0</v>
      </c>
      <c r="R15" s="2074">
        <f>跨年度结转抵免境外所得税审核表!R15</f>
        <v>0</v>
      </c>
      <c r="S15" s="2074">
        <f>跨年度结转抵免境外所得税审核表!S15</f>
        <v>0</v>
      </c>
      <c r="T15" s="2074">
        <f>跨年度结转抵免境外所得税审核表!T15</f>
        <v>0</v>
      </c>
      <c r="U15" s="1772" t="s">
        <v>6484</v>
      </c>
    </row>
    <row r="16" spans="1:21" s="1625" customFormat="1" ht="280.5" customHeight="1">
      <c r="A16" s="1913"/>
      <c r="B16" s="1964" t="s">
        <v>6513</v>
      </c>
      <c r="C16" s="1964"/>
      <c r="D16" s="1964"/>
      <c r="E16" s="1964"/>
      <c r="F16" s="1913"/>
      <c r="G16" s="1913"/>
      <c r="H16" s="1913"/>
      <c r="I16" s="1913"/>
      <c r="J16" s="1913"/>
      <c r="K16" s="1913"/>
      <c r="L16" s="1913"/>
      <c r="M16" s="1913"/>
      <c r="N16" s="1904" t="s">
        <v>5876</v>
      </c>
      <c r="O16" s="1964"/>
      <c r="P16" s="1964"/>
      <c r="Q16" s="1964"/>
      <c r="R16" s="1913"/>
      <c r="S16" s="1904" t="s">
        <v>5877</v>
      </c>
      <c r="T16" s="1913"/>
    </row>
  </sheetData>
  <mergeCells count="7">
    <mergeCell ref="A1:T1"/>
    <mergeCell ref="A2:T2"/>
    <mergeCell ref="A3:A5"/>
    <mergeCell ref="B3:B4"/>
    <mergeCell ref="C3:H3"/>
    <mergeCell ref="I3:N3"/>
    <mergeCell ref="O3:T3"/>
  </mergeCells>
  <phoneticPr fontId="51" type="noConversion"/>
  <hyperlinks>
    <hyperlink ref="U15" location="跨年度结转抵免境外所得税审核表!A1" display="跨年度结转抵免境外所得税审核表!A1"/>
  </hyperlinks>
  <printOptions horizontalCentered="1"/>
  <pageMargins left="0.78740157480314998" right="0.35433070866141703" top="0.511811023622047" bottom="0.11811023622047198" header="0.511811023622047" footer="0.511811023622047"/>
  <pageSetup paperSize="9" scale="90" orientation="landscape" r:id="rId1"/>
  <headerFooter alignWithMargins="0"/>
</worksheet>
</file>

<file path=xl/worksheets/sheet16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54">
    <tabColor rgb="FFFFFF00"/>
  </sheetPr>
  <dimension ref="A1:G20"/>
  <sheetViews>
    <sheetView topLeftCell="C1" workbookViewId="0">
      <selection activeCell="D28" sqref="D28"/>
    </sheetView>
  </sheetViews>
  <sheetFormatPr defaultRowHeight="15.6"/>
  <cols>
    <col min="1" max="1" width="5.19921875" style="1629" customWidth="1"/>
    <col min="2" max="2" width="56.09765625" style="1629" customWidth="1"/>
    <col min="3" max="3" width="19.19921875" style="1629" customWidth="1"/>
    <col min="4" max="4" width="22.5" style="1629" customWidth="1"/>
    <col min="5" max="256" width="9" style="1629"/>
    <col min="257" max="257" width="5.19921875" style="1629" customWidth="1"/>
    <col min="258" max="258" width="56.09765625" style="1629" customWidth="1"/>
    <col min="259" max="259" width="19.19921875" style="1629" customWidth="1"/>
    <col min="260" max="260" width="22.5" style="1629" customWidth="1"/>
    <col min="261" max="512" width="9" style="1629"/>
    <col min="513" max="513" width="5.19921875" style="1629" customWidth="1"/>
    <col min="514" max="514" width="56.09765625" style="1629" customWidth="1"/>
    <col min="515" max="515" width="19.19921875" style="1629" customWidth="1"/>
    <col min="516" max="516" width="22.5" style="1629" customWidth="1"/>
    <col min="517" max="768" width="9" style="1629"/>
    <col min="769" max="769" width="5.19921875" style="1629" customWidth="1"/>
    <col min="770" max="770" width="56.09765625" style="1629" customWidth="1"/>
    <col min="771" max="771" width="19.19921875" style="1629" customWidth="1"/>
    <col min="772" max="772" width="22.5" style="1629" customWidth="1"/>
    <col min="773" max="1024" width="9" style="1629"/>
    <col min="1025" max="1025" width="5.19921875" style="1629" customWidth="1"/>
    <col min="1026" max="1026" width="56.09765625" style="1629" customWidth="1"/>
    <col min="1027" max="1027" width="19.19921875" style="1629" customWidth="1"/>
    <col min="1028" max="1028" width="22.5" style="1629" customWidth="1"/>
    <col min="1029" max="1280" width="9" style="1629"/>
    <col min="1281" max="1281" width="5.19921875" style="1629" customWidth="1"/>
    <col min="1282" max="1282" width="56.09765625" style="1629" customWidth="1"/>
    <col min="1283" max="1283" width="19.19921875" style="1629" customWidth="1"/>
    <col min="1284" max="1284" width="22.5" style="1629" customWidth="1"/>
    <col min="1285" max="1536" width="9" style="1629"/>
    <col min="1537" max="1537" width="5.19921875" style="1629" customWidth="1"/>
    <col min="1538" max="1538" width="56.09765625" style="1629" customWidth="1"/>
    <col min="1539" max="1539" width="19.19921875" style="1629" customWidth="1"/>
    <col min="1540" max="1540" width="22.5" style="1629" customWidth="1"/>
    <col min="1541" max="1792" width="9" style="1629"/>
    <col min="1793" max="1793" width="5.19921875" style="1629" customWidth="1"/>
    <col min="1794" max="1794" width="56.09765625" style="1629" customWidth="1"/>
    <col min="1795" max="1795" width="19.19921875" style="1629" customWidth="1"/>
    <col min="1796" max="1796" width="22.5" style="1629" customWidth="1"/>
    <col min="1797" max="2048" width="9" style="1629"/>
    <col min="2049" max="2049" width="5.19921875" style="1629" customWidth="1"/>
    <col min="2050" max="2050" width="56.09765625" style="1629" customWidth="1"/>
    <col min="2051" max="2051" width="19.19921875" style="1629" customWidth="1"/>
    <col min="2052" max="2052" width="22.5" style="1629" customWidth="1"/>
    <col min="2053" max="2304" width="9" style="1629"/>
    <col min="2305" max="2305" width="5.19921875" style="1629" customWidth="1"/>
    <col min="2306" max="2306" width="56.09765625" style="1629" customWidth="1"/>
    <col min="2307" max="2307" width="19.19921875" style="1629" customWidth="1"/>
    <col min="2308" max="2308" width="22.5" style="1629" customWidth="1"/>
    <col min="2309" max="2560" width="9" style="1629"/>
    <col min="2561" max="2561" width="5.19921875" style="1629" customWidth="1"/>
    <col min="2562" max="2562" width="56.09765625" style="1629" customWidth="1"/>
    <col min="2563" max="2563" width="19.19921875" style="1629" customWidth="1"/>
    <col min="2564" max="2564" width="22.5" style="1629" customWidth="1"/>
    <col min="2565" max="2816" width="9" style="1629"/>
    <col min="2817" max="2817" width="5.19921875" style="1629" customWidth="1"/>
    <col min="2818" max="2818" width="56.09765625" style="1629" customWidth="1"/>
    <col min="2819" max="2819" width="19.19921875" style="1629" customWidth="1"/>
    <col min="2820" max="2820" width="22.5" style="1629" customWidth="1"/>
    <col min="2821" max="3072" width="9" style="1629"/>
    <col min="3073" max="3073" width="5.19921875" style="1629" customWidth="1"/>
    <col min="3074" max="3074" width="56.09765625" style="1629" customWidth="1"/>
    <col min="3075" max="3075" width="19.19921875" style="1629" customWidth="1"/>
    <col min="3076" max="3076" width="22.5" style="1629" customWidth="1"/>
    <col min="3077" max="3328" width="9" style="1629"/>
    <col min="3329" max="3329" width="5.19921875" style="1629" customWidth="1"/>
    <col min="3330" max="3330" width="56.09765625" style="1629" customWidth="1"/>
    <col min="3331" max="3331" width="19.19921875" style="1629" customWidth="1"/>
    <col min="3332" max="3332" width="22.5" style="1629" customWidth="1"/>
    <col min="3333" max="3584" width="9" style="1629"/>
    <col min="3585" max="3585" width="5.19921875" style="1629" customWidth="1"/>
    <col min="3586" max="3586" width="56.09765625" style="1629" customWidth="1"/>
    <col min="3587" max="3587" width="19.19921875" style="1629" customWidth="1"/>
    <col min="3588" max="3588" width="22.5" style="1629" customWidth="1"/>
    <col min="3589" max="3840" width="9" style="1629"/>
    <col min="3841" max="3841" width="5.19921875" style="1629" customWidth="1"/>
    <col min="3842" max="3842" width="56.09765625" style="1629" customWidth="1"/>
    <col min="3843" max="3843" width="19.19921875" style="1629" customWidth="1"/>
    <col min="3844" max="3844" width="22.5" style="1629" customWidth="1"/>
    <col min="3845" max="4096" width="9" style="1629"/>
    <col min="4097" max="4097" width="5.19921875" style="1629" customWidth="1"/>
    <col min="4098" max="4098" width="56.09765625" style="1629" customWidth="1"/>
    <col min="4099" max="4099" width="19.19921875" style="1629" customWidth="1"/>
    <col min="4100" max="4100" width="22.5" style="1629" customWidth="1"/>
    <col min="4101" max="4352" width="9" style="1629"/>
    <col min="4353" max="4353" width="5.19921875" style="1629" customWidth="1"/>
    <col min="4354" max="4354" width="56.09765625" style="1629" customWidth="1"/>
    <col min="4355" max="4355" width="19.19921875" style="1629" customWidth="1"/>
    <col min="4356" max="4356" width="22.5" style="1629" customWidth="1"/>
    <col min="4357" max="4608" width="9" style="1629"/>
    <col min="4609" max="4609" width="5.19921875" style="1629" customWidth="1"/>
    <col min="4610" max="4610" width="56.09765625" style="1629" customWidth="1"/>
    <col min="4611" max="4611" width="19.19921875" style="1629" customWidth="1"/>
    <col min="4612" max="4612" width="22.5" style="1629" customWidth="1"/>
    <col min="4613" max="4864" width="9" style="1629"/>
    <col min="4865" max="4865" width="5.19921875" style="1629" customWidth="1"/>
    <col min="4866" max="4866" width="56.09765625" style="1629" customWidth="1"/>
    <col min="4867" max="4867" width="19.19921875" style="1629" customWidth="1"/>
    <col min="4868" max="4868" width="22.5" style="1629" customWidth="1"/>
    <col min="4869" max="5120" width="9" style="1629"/>
    <col min="5121" max="5121" width="5.19921875" style="1629" customWidth="1"/>
    <col min="5122" max="5122" width="56.09765625" style="1629" customWidth="1"/>
    <col min="5123" max="5123" width="19.19921875" style="1629" customWidth="1"/>
    <col min="5124" max="5124" width="22.5" style="1629" customWidth="1"/>
    <col min="5125" max="5376" width="9" style="1629"/>
    <col min="5377" max="5377" width="5.19921875" style="1629" customWidth="1"/>
    <col min="5378" max="5378" width="56.09765625" style="1629" customWidth="1"/>
    <col min="5379" max="5379" width="19.19921875" style="1629" customWidth="1"/>
    <col min="5380" max="5380" width="22.5" style="1629" customWidth="1"/>
    <col min="5381" max="5632" width="9" style="1629"/>
    <col min="5633" max="5633" width="5.19921875" style="1629" customWidth="1"/>
    <col min="5634" max="5634" width="56.09765625" style="1629" customWidth="1"/>
    <col min="5635" max="5635" width="19.19921875" style="1629" customWidth="1"/>
    <col min="5636" max="5636" width="22.5" style="1629" customWidth="1"/>
    <col min="5637" max="5888" width="9" style="1629"/>
    <col min="5889" max="5889" width="5.19921875" style="1629" customWidth="1"/>
    <col min="5890" max="5890" width="56.09765625" style="1629" customWidth="1"/>
    <col min="5891" max="5891" width="19.19921875" style="1629" customWidth="1"/>
    <col min="5892" max="5892" width="22.5" style="1629" customWidth="1"/>
    <col min="5893" max="6144" width="9" style="1629"/>
    <col min="6145" max="6145" width="5.19921875" style="1629" customWidth="1"/>
    <col min="6146" max="6146" width="56.09765625" style="1629" customWidth="1"/>
    <col min="6147" max="6147" width="19.19921875" style="1629" customWidth="1"/>
    <col min="6148" max="6148" width="22.5" style="1629" customWidth="1"/>
    <col min="6149" max="6400" width="9" style="1629"/>
    <col min="6401" max="6401" width="5.19921875" style="1629" customWidth="1"/>
    <col min="6402" max="6402" width="56.09765625" style="1629" customWidth="1"/>
    <col min="6403" max="6403" width="19.19921875" style="1629" customWidth="1"/>
    <col min="6404" max="6404" width="22.5" style="1629" customWidth="1"/>
    <col min="6405" max="6656" width="9" style="1629"/>
    <col min="6657" max="6657" width="5.19921875" style="1629" customWidth="1"/>
    <col min="6658" max="6658" width="56.09765625" style="1629" customWidth="1"/>
    <col min="6659" max="6659" width="19.19921875" style="1629" customWidth="1"/>
    <col min="6660" max="6660" width="22.5" style="1629" customWidth="1"/>
    <col min="6661" max="6912" width="9" style="1629"/>
    <col min="6913" max="6913" width="5.19921875" style="1629" customWidth="1"/>
    <col min="6914" max="6914" width="56.09765625" style="1629" customWidth="1"/>
    <col min="6915" max="6915" width="19.19921875" style="1629" customWidth="1"/>
    <col min="6916" max="6916" width="22.5" style="1629" customWidth="1"/>
    <col min="6917" max="7168" width="9" style="1629"/>
    <col min="7169" max="7169" width="5.19921875" style="1629" customWidth="1"/>
    <col min="7170" max="7170" width="56.09765625" style="1629" customWidth="1"/>
    <col min="7171" max="7171" width="19.19921875" style="1629" customWidth="1"/>
    <col min="7172" max="7172" width="22.5" style="1629" customWidth="1"/>
    <col min="7173" max="7424" width="9" style="1629"/>
    <col min="7425" max="7425" width="5.19921875" style="1629" customWidth="1"/>
    <col min="7426" max="7426" width="56.09765625" style="1629" customWidth="1"/>
    <col min="7427" max="7427" width="19.19921875" style="1629" customWidth="1"/>
    <col min="7428" max="7428" width="22.5" style="1629" customWidth="1"/>
    <col min="7429" max="7680" width="9" style="1629"/>
    <col min="7681" max="7681" width="5.19921875" style="1629" customWidth="1"/>
    <col min="7682" max="7682" width="56.09765625" style="1629" customWidth="1"/>
    <col min="7683" max="7683" width="19.19921875" style="1629" customWidth="1"/>
    <col min="7684" max="7684" width="22.5" style="1629" customWidth="1"/>
    <col min="7685" max="7936" width="9" style="1629"/>
    <col min="7937" max="7937" width="5.19921875" style="1629" customWidth="1"/>
    <col min="7938" max="7938" width="56.09765625" style="1629" customWidth="1"/>
    <col min="7939" max="7939" width="19.19921875" style="1629" customWidth="1"/>
    <col min="7940" max="7940" width="22.5" style="1629" customWidth="1"/>
    <col min="7941" max="8192" width="9" style="1629"/>
    <col min="8193" max="8193" width="5.19921875" style="1629" customWidth="1"/>
    <col min="8194" max="8194" width="56.09765625" style="1629" customWidth="1"/>
    <col min="8195" max="8195" width="19.19921875" style="1629" customWidth="1"/>
    <col min="8196" max="8196" width="22.5" style="1629" customWidth="1"/>
    <col min="8197" max="8448" width="9" style="1629"/>
    <col min="8449" max="8449" width="5.19921875" style="1629" customWidth="1"/>
    <col min="8450" max="8450" width="56.09765625" style="1629" customWidth="1"/>
    <col min="8451" max="8451" width="19.19921875" style="1629" customWidth="1"/>
    <col min="8452" max="8452" width="22.5" style="1629" customWidth="1"/>
    <col min="8453" max="8704" width="9" style="1629"/>
    <col min="8705" max="8705" width="5.19921875" style="1629" customWidth="1"/>
    <col min="8706" max="8706" width="56.09765625" style="1629" customWidth="1"/>
    <col min="8707" max="8707" width="19.19921875" style="1629" customWidth="1"/>
    <col min="8708" max="8708" width="22.5" style="1629" customWidth="1"/>
    <col min="8709" max="8960" width="9" style="1629"/>
    <col min="8961" max="8961" width="5.19921875" style="1629" customWidth="1"/>
    <col min="8962" max="8962" width="56.09765625" style="1629" customWidth="1"/>
    <col min="8963" max="8963" width="19.19921875" style="1629" customWidth="1"/>
    <col min="8964" max="8964" width="22.5" style="1629" customWidth="1"/>
    <col min="8965" max="9216" width="9" style="1629"/>
    <col min="9217" max="9217" width="5.19921875" style="1629" customWidth="1"/>
    <col min="9218" max="9218" width="56.09765625" style="1629" customWidth="1"/>
    <col min="9219" max="9219" width="19.19921875" style="1629" customWidth="1"/>
    <col min="9220" max="9220" width="22.5" style="1629" customWidth="1"/>
    <col min="9221" max="9472" width="9" style="1629"/>
    <col min="9473" max="9473" width="5.19921875" style="1629" customWidth="1"/>
    <col min="9474" max="9474" width="56.09765625" style="1629" customWidth="1"/>
    <col min="9475" max="9475" width="19.19921875" style="1629" customWidth="1"/>
    <col min="9476" max="9476" width="22.5" style="1629" customWidth="1"/>
    <col min="9477" max="9728" width="9" style="1629"/>
    <col min="9729" max="9729" width="5.19921875" style="1629" customWidth="1"/>
    <col min="9730" max="9730" width="56.09765625" style="1629" customWidth="1"/>
    <col min="9731" max="9731" width="19.19921875" style="1629" customWidth="1"/>
    <col min="9732" max="9732" width="22.5" style="1629" customWidth="1"/>
    <col min="9733" max="9984" width="9" style="1629"/>
    <col min="9985" max="9985" width="5.19921875" style="1629" customWidth="1"/>
    <col min="9986" max="9986" width="56.09765625" style="1629" customWidth="1"/>
    <col min="9987" max="9987" width="19.19921875" style="1629" customWidth="1"/>
    <col min="9988" max="9988" width="22.5" style="1629" customWidth="1"/>
    <col min="9989" max="10240" width="9" style="1629"/>
    <col min="10241" max="10241" width="5.19921875" style="1629" customWidth="1"/>
    <col min="10242" max="10242" width="56.09765625" style="1629" customWidth="1"/>
    <col min="10243" max="10243" width="19.19921875" style="1629" customWidth="1"/>
    <col min="10244" max="10244" width="22.5" style="1629" customWidth="1"/>
    <col min="10245" max="10496" width="9" style="1629"/>
    <col min="10497" max="10497" width="5.19921875" style="1629" customWidth="1"/>
    <col min="10498" max="10498" width="56.09765625" style="1629" customWidth="1"/>
    <col min="10499" max="10499" width="19.19921875" style="1629" customWidth="1"/>
    <col min="10500" max="10500" width="22.5" style="1629" customWidth="1"/>
    <col min="10501" max="10752" width="9" style="1629"/>
    <col min="10753" max="10753" width="5.19921875" style="1629" customWidth="1"/>
    <col min="10754" max="10754" width="56.09765625" style="1629" customWidth="1"/>
    <col min="10755" max="10755" width="19.19921875" style="1629" customWidth="1"/>
    <col min="10756" max="10756" width="22.5" style="1629" customWidth="1"/>
    <col min="10757" max="11008" width="9" style="1629"/>
    <col min="11009" max="11009" width="5.19921875" style="1629" customWidth="1"/>
    <col min="11010" max="11010" width="56.09765625" style="1629" customWidth="1"/>
    <col min="11011" max="11011" width="19.19921875" style="1629" customWidth="1"/>
    <col min="11012" max="11012" width="22.5" style="1629" customWidth="1"/>
    <col min="11013" max="11264" width="9" style="1629"/>
    <col min="11265" max="11265" width="5.19921875" style="1629" customWidth="1"/>
    <col min="11266" max="11266" width="56.09765625" style="1629" customWidth="1"/>
    <col min="11267" max="11267" width="19.19921875" style="1629" customWidth="1"/>
    <col min="11268" max="11268" width="22.5" style="1629" customWidth="1"/>
    <col min="11269" max="11520" width="9" style="1629"/>
    <col min="11521" max="11521" width="5.19921875" style="1629" customWidth="1"/>
    <col min="11522" max="11522" width="56.09765625" style="1629" customWidth="1"/>
    <col min="11523" max="11523" width="19.19921875" style="1629" customWidth="1"/>
    <col min="11524" max="11524" width="22.5" style="1629" customWidth="1"/>
    <col min="11525" max="11776" width="9" style="1629"/>
    <col min="11777" max="11777" width="5.19921875" style="1629" customWidth="1"/>
    <col min="11778" max="11778" width="56.09765625" style="1629" customWidth="1"/>
    <col min="11779" max="11779" width="19.19921875" style="1629" customWidth="1"/>
    <col min="11780" max="11780" width="22.5" style="1629" customWidth="1"/>
    <col min="11781" max="12032" width="9" style="1629"/>
    <col min="12033" max="12033" width="5.19921875" style="1629" customWidth="1"/>
    <col min="12034" max="12034" width="56.09765625" style="1629" customWidth="1"/>
    <col min="12035" max="12035" width="19.19921875" style="1629" customWidth="1"/>
    <col min="12036" max="12036" width="22.5" style="1629" customWidth="1"/>
    <col min="12037" max="12288" width="9" style="1629"/>
    <col min="12289" max="12289" width="5.19921875" style="1629" customWidth="1"/>
    <col min="12290" max="12290" width="56.09765625" style="1629" customWidth="1"/>
    <col min="12291" max="12291" width="19.19921875" style="1629" customWidth="1"/>
    <col min="12292" max="12292" width="22.5" style="1629" customWidth="1"/>
    <col min="12293" max="12544" width="9" style="1629"/>
    <col min="12545" max="12545" width="5.19921875" style="1629" customWidth="1"/>
    <col min="12546" max="12546" width="56.09765625" style="1629" customWidth="1"/>
    <col min="12547" max="12547" width="19.19921875" style="1629" customWidth="1"/>
    <col min="12548" max="12548" width="22.5" style="1629" customWidth="1"/>
    <col min="12549" max="12800" width="9" style="1629"/>
    <col min="12801" max="12801" width="5.19921875" style="1629" customWidth="1"/>
    <col min="12802" max="12802" width="56.09765625" style="1629" customWidth="1"/>
    <col min="12803" max="12803" width="19.19921875" style="1629" customWidth="1"/>
    <col min="12804" max="12804" width="22.5" style="1629" customWidth="1"/>
    <col min="12805" max="13056" width="9" style="1629"/>
    <col min="13057" max="13057" width="5.19921875" style="1629" customWidth="1"/>
    <col min="13058" max="13058" width="56.09765625" style="1629" customWidth="1"/>
    <col min="13059" max="13059" width="19.19921875" style="1629" customWidth="1"/>
    <col min="13060" max="13060" width="22.5" style="1629" customWidth="1"/>
    <col min="13061" max="13312" width="9" style="1629"/>
    <col min="13313" max="13313" width="5.19921875" style="1629" customWidth="1"/>
    <col min="13314" max="13314" width="56.09765625" style="1629" customWidth="1"/>
    <col min="13315" max="13315" width="19.19921875" style="1629" customWidth="1"/>
    <col min="13316" max="13316" width="22.5" style="1629" customWidth="1"/>
    <col min="13317" max="13568" width="9" style="1629"/>
    <col min="13569" max="13569" width="5.19921875" style="1629" customWidth="1"/>
    <col min="13570" max="13570" width="56.09765625" style="1629" customWidth="1"/>
    <col min="13571" max="13571" width="19.19921875" style="1629" customWidth="1"/>
    <col min="13572" max="13572" width="22.5" style="1629" customWidth="1"/>
    <col min="13573" max="13824" width="9" style="1629"/>
    <col min="13825" max="13825" width="5.19921875" style="1629" customWidth="1"/>
    <col min="13826" max="13826" width="56.09765625" style="1629" customWidth="1"/>
    <col min="13827" max="13827" width="19.19921875" style="1629" customWidth="1"/>
    <col min="13828" max="13828" width="22.5" style="1629" customWidth="1"/>
    <col min="13829" max="14080" width="9" style="1629"/>
    <col min="14081" max="14081" width="5.19921875" style="1629" customWidth="1"/>
    <col min="14082" max="14082" width="56.09765625" style="1629" customWidth="1"/>
    <col min="14083" max="14083" width="19.19921875" style="1629" customWidth="1"/>
    <col min="14084" max="14084" width="22.5" style="1629" customWidth="1"/>
    <col min="14085" max="14336" width="9" style="1629"/>
    <col min="14337" max="14337" width="5.19921875" style="1629" customWidth="1"/>
    <col min="14338" max="14338" width="56.09765625" style="1629" customWidth="1"/>
    <col min="14339" max="14339" width="19.19921875" style="1629" customWidth="1"/>
    <col min="14340" max="14340" width="22.5" style="1629" customWidth="1"/>
    <col min="14341" max="14592" width="9" style="1629"/>
    <col min="14593" max="14593" width="5.19921875" style="1629" customWidth="1"/>
    <col min="14594" max="14594" width="56.09765625" style="1629" customWidth="1"/>
    <col min="14595" max="14595" width="19.19921875" style="1629" customWidth="1"/>
    <col min="14596" max="14596" width="22.5" style="1629" customWidth="1"/>
    <col min="14597" max="14848" width="9" style="1629"/>
    <col min="14849" max="14849" width="5.19921875" style="1629" customWidth="1"/>
    <col min="14850" max="14850" width="56.09765625" style="1629" customWidth="1"/>
    <col min="14851" max="14851" width="19.19921875" style="1629" customWidth="1"/>
    <col min="14852" max="14852" width="22.5" style="1629" customWidth="1"/>
    <col min="14853" max="15104" width="9" style="1629"/>
    <col min="15105" max="15105" width="5.19921875" style="1629" customWidth="1"/>
    <col min="15106" max="15106" width="56.09765625" style="1629" customWidth="1"/>
    <col min="15107" max="15107" width="19.19921875" style="1629" customWidth="1"/>
    <col min="15108" max="15108" width="22.5" style="1629" customWidth="1"/>
    <col min="15109" max="15360" width="9" style="1629"/>
    <col min="15361" max="15361" width="5.19921875" style="1629" customWidth="1"/>
    <col min="15362" max="15362" width="56.09765625" style="1629" customWidth="1"/>
    <col min="15363" max="15363" width="19.19921875" style="1629" customWidth="1"/>
    <col min="15364" max="15364" width="22.5" style="1629" customWidth="1"/>
    <col min="15365" max="15616" width="9" style="1629"/>
    <col min="15617" max="15617" width="5.19921875" style="1629" customWidth="1"/>
    <col min="15618" max="15618" width="56.09765625" style="1629" customWidth="1"/>
    <col min="15619" max="15619" width="19.19921875" style="1629" customWidth="1"/>
    <col min="15620" max="15620" width="22.5" style="1629" customWidth="1"/>
    <col min="15621" max="15872" width="9" style="1629"/>
    <col min="15873" max="15873" width="5.19921875" style="1629" customWidth="1"/>
    <col min="15874" max="15874" width="56.09765625" style="1629" customWidth="1"/>
    <col min="15875" max="15875" width="19.19921875" style="1629" customWidth="1"/>
    <col min="15876" max="15876" width="22.5" style="1629" customWidth="1"/>
    <col min="15877" max="16128" width="9" style="1629"/>
    <col min="16129" max="16129" width="5.19921875" style="1629" customWidth="1"/>
    <col min="16130" max="16130" width="56.09765625" style="1629" customWidth="1"/>
    <col min="16131" max="16131" width="19.19921875" style="1629" customWidth="1"/>
    <col min="16132" max="16132" width="22.5" style="1629" customWidth="1"/>
    <col min="16133" max="16384" width="9" style="1629"/>
  </cols>
  <sheetData>
    <row r="1" spans="1:7" s="1621" customFormat="1" ht="20.100000000000001" customHeight="1">
      <c r="A1" s="3438" t="s">
        <v>5878</v>
      </c>
      <c r="B1" s="3438"/>
      <c r="C1" s="3438"/>
      <c r="D1" s="2025"/>
    </row>
    <row r="2" spans="1:7" s="1622" customFormat="1" ht="25.5" customHeight="1">
      <c r="A2" s="3379" t="s">
        <v>5879</v>
      </c>
      <c r="B2" s="3379"/>
      <c r="C2" s="3379"/>
      <c r="D2" s="1914"/>
    </row>
    <row r="3" spans="1:7" s="1627" customFormat="1" ht="14.25" customHeight="1">
      <c r="A3" s="1912" t="s">
        <v>1854</v>
      </c>
      <c r="B3" s="1912" t="s">
        <v>4975</v>
      </c>
      <c r="C3" s="1912" t="s">
        <v>5880</v>
      </c>
      <c r="D3" s="1912" t="s">
        <v>4901</v>
      </c>
      <c r="G3" s="1628"/>
    </row>
    <row r="4" spans="1:7" s="1627" customFormat="1" ht="14.25" customHeight="1">
      <c r="A4" s="1912">
        <v>1</v>
      </c>
      <c r="B4" s="1915" t="s">
        <v>5881</v>
      </c>
      <c r="C4" s="2074">
        <f>跨地区经营汇总纳税企业年度分摊企业所得税审核表!C4</f>
        <v>0</v>
      </c>
      <c r="D4" s="1915" t="s">
        <v>5882</v>
      </c>
    </row>
    <row r="5" spans="1:7" s="1627" customFormat="1" ht="14.25" customHeight="1">
      <c r="A5" s="1912">
        <v>2</v>
      </c>
      <c r="B5" s="1915" t="s">
        <v>5883</v>
      </c>
      <c r="C5" s="2074">
        <f>跨地区经营汇总纳税企业年度分摊企业所得税审核表!C5</f>
        <v>0</v>
      </c>
      <c r="D5" s="1915" t="s">
        <v>5884</v>
      </c>
    </row>
    <row r="6" spans="1:7" s="1627" customFormat="1" ht="14.25" customHeight="1">
      <c r="A6" s="1912">
        <v>3</v>
      </c>
      <c r="B6" s="1915" t="s">
        <v>5885</v>
      </c>
      <c r="C6" s="2074">
        <f>跨地区经营汇总纳税企业年度分摊企业所得税审核表!C6</f>
        <v>0</v>
      </c>
      <c r="D6" s="1915" t="s">
        <v>5886</v>
      </c>
    </row>
    <row r="7" spans="1:7" s="1627" customFormat="1" ht="14.25" customHeight="1">
      <c r="A7" s="1912">
        <v>4</v>
      </c>
      <c r="B7" s="1916" t="s">
        <v>5887</v>
      </c>
      <c r="C7" s="2074">
        <f>跨地区经营汇总纳税企业年度分摊企业所得税审核表!C7</f>
        <v>0</v>
      </c>
      <c r="D7" s="1915"/>
    </row>
    <row r="8" spans="1:7" s="1627" customFormat="1" ht="14.25" customHeight="1">
      <c r="A8" s="1912">
        <v>5</v>
      </c>
      <c r="B8" s="1916" t="s">
        <v>5888</v>
      </c>
      <c r="C8" s="2074">
        <f>跨地区经营汇总纳税企业年度分摊企业所得税审核表!C8</f>
        <v>0</v>
      </c>
      <c r="D8" s="1915" t="s">
        <v>5889</v>
      </c>
    </row>
    <row r="9" spans="1:7" s="1627" customFormat="1" ht="14.25" customHeight="1">
      <c r="A9" s="1912">
        <v>6</v>
      </c>
      <c r="B9" s="1916" t="s">
        <v>5890</v>
      </c>
      <c r="C9" s="2074">
        <f>跨地区经营汇总纳税企业年度分摊企业所得税审核表!C9</f>
        <v>0</v>
      </c>
      <c r="D9" s="1915"/>
    </row>
    <row r="10" spans="1:7" s="1627" customFormat="1" ht="14.25" customHeight="1">
      <c r="A10" s="1912">
        <v>7</v>
      </c>
      <c r="B10" s="1916" t="s">
        <v>5891</v>
      </c>
      <c r="C10" s="2074">
        <f>跨地区经营汇总纳税企业年度分摊企业所得税审核表!C10</f>
        <v>0</v>
      </c>
      <c r="D10" s="1915"/>
    </row>
    <row r="11" spans="1:7" s="1627" customFormat="1" ht="14.25" customHeight="1">
      <c r="A11" s="1912">
        <v>8</v>
      </c>
      <c r="B11" s="1916" t="s">
        <v>5892</v>
      </c>
      <c r="C11" s="2074">
        <f>跨地区经营汇总纳税企业年度分摊企业所得税审核表!C11</f>
        <v>0</v>
      </c>
      <c r="D11" s="1915"/>
    </row>
    <row r="12" spans="1:7" s="1627" customFormat="1" ht="14.25" customHeight="1">
      <c r="A12" s="1912">
        <v>9</v>
      </c>
      <c r="B12" s="1916" t="s">
        <v>5893</v>
      </c>
      <c r="C12" s="2074">
        <f>跨地区经营汇总纳税企业年度分摊企业所得税审核表!C12</f>
        <v>0</v>
      </c>
      <c r="D12" s="1915"/>
    </row>
    <row r="13" spans="1:7" s="1627" customFormat="1" ht="14.25" customHeight="1">
      <c r="A13" s="1912">
        <v>10</v>
      </c>
      <c r="B13" s="1916" t="s">
        <v>5894</v>
      </c>
      <c r="C13" s="2074">
        <f>跨地区经营汇总纳税企业年度分摊企业所得税审核表!C13</f>
        <v>0</v>
      </c>
      <c r="D13" s="1915"/>
    </row>
    <row r="14" spans="1:7" s="1627" customFormat="1" ht="14.25" customHeight="1">
      <c r="A14" s="1912">
        <v>11</v>
      </c>
      <c r="B14" s="1916" t="s">
        <v>5895</v>
      </c>
      <c r="C14" s="2074">
        <f>跨地区经营汇总纳税企业年度分摊企业所得税审核表!C14</f>
        <v>0</v>
      </c>
      <c r="D14" s="1915"/>
    </row>
    <row r="15" spans="1:7" s="1627" customFormat="1" ht="14.25" customHeight="1">
      <c r="A15" s="1912">
        <v>12</v>
      </c>
      <c r="B15" s="1916" t="s">
        <v>5896</v>
      </c>
      <c r="C15" s="2074">
        <f>跨地区经营汇总纳税企业年度分摊企业所得税审核表!C15</f>
        <v>0</v>
      </c>
      <c r="D15" s="1915" t="s">
        <v>5897</v>
      </c>
    </row>
    <row r="16" spans="1:7" s="1627" customFormat="1" ht="14.25" customHeight="1">
      <c r="A16" s="1912">
        <v>13</v>
      </c>
      <c r="B16" s="1916" t="s">
        <v>5898</v>
      </c>
      <c r="C16" s="2074">
        <f>跨地区经营汇总纳税企业年度分摊企业所得税审核表!C16</f>
        <v>0</v>
      </c>
      <c r="D16" s="1915" t="s">
        <v>5899</v>
      </c>
    </row>
    <row r="17" spans="1:5" s="1627" customFormat="1" ht="14.25" customHeight="1">
      <c r="A17" s="1912">
        <v>14</v>
      </c>
      <c r="B17" s="1904" t="s">
        <v>5900</v>
      </c>
      <c r="C17" s="2074">
        <f>跨地区经营汇总纳税企业年度分摊企业所得税审核表!C17</f>
        <v>0</v>
      </c>
      <c r="D17" s="1915"/>
    </row>
    <row r="18" spans="1:5" s="1627" customFormat="1" ht="28.5" customHeight="1">
      <c r="A18" s="1912">
        <v>15</v>
      </c>
      <c r="B18" s="1904" t="s">
        <v>5901</v>
      </c>
      <c r="C18" s="2074">
        <f>跨地区经营汇总纳税企业年度分摊企业所得税审核表!C18</f>
        <v>0</v>
      </c>
      <c r="D18" s="1989" t="s">
        <v>5902</v>
      </c>
    </row>
    <row r="19" spans="1:5" s="1627" customFormat="1" ht="14.25" customHeight="1">
      <c r="A19" s="1912">
        <v>16</v>
      </c>
      <c r="B19" s="1916" t="s">
        <v>5903</v>
      </c>
      <c r="C19" s="2074">
        <f>跨地区经营汇总纳税企业年度分摊企业所得税审核表!C19</f>
        <v>0</v>
      </c>
      <c r="D19" s="1915"/>
    </row>
    <row r="20" spans="1:5" s="1627" customFormat="1" ht="14.25" customHeight="1">
      <c r="A20" s="1912">
        <v>17</v>
      </c>
      <c r="B20" s="1916" t="s">
        <v>5904</v>
      </c>
      <c r="C20" s="2074">
        <f>跨地区经营汇总纳税企业年度分摊企业所得税审核表!C20</f>
        <v>0</v>
      </c>
      <c r="D20" s="1915"/>
      <c r="E20" s="1772" t="s">
        <v>6486</v>
      </c>
    </row>
  </sheetData>
  <mergeCells count="2">
    <mergeCell ref="A1:C1"/>
    <mergeCell ref="A2:C2"/>
  </mergeCells>
  <phoneticPr fontId="51" type="noConversion"/>
  <hyperlinks>
    <hyperlink ref="E20" location="跨地区经营汇总纳税企业年度分摊企业所得税审核表!A1" display="跨地区经营汇总纳税企业年度分摊企业所得税审核表!A1"/>
  </hyperlinks>
  <printOptions horizontalCentered="1"/>
  <pageMargins left="0.78740157480314998" right="0.35433070866141703" top="0.511811023622047" bottom="0.11811023622047198" header="0.511811023622047" footer="0.511811023622047"/>
  <pageSetup paperSize="9" orientation="landscape" r:id="rId1"/>
  <headerFooter alignWithMargins="0"/>
</worksheet>
</file>

<file path=xl/worksheets/sheet16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55">
    <tabColor rgb="FFFFFF00"/>
  </sheetPr>
  <dimension ref="A1:J556"/>
  <sheetViews>
    <sheetView workbookViewId="0">
      <selection sqref="A1:H1"/>
    </sheetView>
  </sheetViews>
  <sheetFormatPr defaultColWidth="8" defaultRowHeight="0" customHeight="1" zeroHeight="1"/>
  <cols>
    <col min="1" max="1" width="5.19921875" style="1554" customWidth="1"/>
    <col min="2" max="2" width="20.3984375" style="1630" customWidth="1"/>
    <col min="3" max="3" width="17.59765625" style="1630" customWidth="1"/>
    <col min="4" max="4" width="12.09765625" style="1630" customWidth="1"/>
    <col min="5" max="5" width="11.8984375" style="1630" customWidth="1"/>
    <col min="6" max="6" width="12.19921875" style="1630" customWidth="1"/>
    <col min="7" max="7" width="8.69921875" style="1630" customWidth="1"/>
    <col min="8" max="8" width="17.5" style="1630" customWidth="1"/>
    <col min="9" max="9" width="14.09765625" style="1630" customWidth="1"/>
    <col min="10" max="256" width="8" style="1630"/>
    <col min="257" max="257" width="5.19921875" style="1630" customWidth="1"/>
    <col min="258" max="258" width="20.3984375" style="1630" customWidth="1"/>
    <col min="259" max="259" width="17.59765625" style="1630" customWidth="1"/>
    <col min="260" max="260" width="12.09765625" style="1630" customWidth="1"/>
    <col min="261" max="261" width="11.8984375" style="1630" customWidth="1"/>
    <col min="262" max="262" width="12.19921875" style="1630" customWidth="1"/>
    <col min="263" max="263" width="8.69921875" style="1630" customWidth="1"/>
    <col min="264" max="264" width="17.5" style="1630" customWidth="1"/>
    <col min="265" max="265" width="14.09765625" style="1630" customWidth="1"/>
    <col min="266" max="512" width="8" style="1630"/>
    <col min="513" max="513" width="5.19921875" style="1630" customWidth="1"/>
    <col min="514" max="514" width="20.3984375" style="1630" customWidth="1"/>
    <col min="515" max="515" width="17.59765625" style="1630" customWidth="1"/>
    <col min="516" max="516" width="12.09765625" style="1630" customWidth="1"/>
    <col min="517" max="517" width="11.8984375" style="1630" customWidth="1"/>
    <col min="518" max="518" width="12.19921875" style="1630" customWidth="1"/>
    <col min="519" max="519" width="8.69921875" style="1630" customWidth="1"/>
    <col min="520" max="520" width="17.5" style="1630" customWidth="1"/>
    <col min="521" max="521" width="14.09765625" style="1630" customWidth="1"/>
    <col min="522" max="768" width="8" style="1630"/>
    <col min="769" max="769" width="5.19921875" style="1630" customWidth="1"/>
    <col min="770" max="770" width="20.3984375" style="1630" customWidth="1"/>
    <col min="771" max="771" width="17.59765625" style="1630" customWidth="1"/>
    <col min="772" max="772" width="12.09765625" style="1630" customWidth="1"/>
    <col min="773" max="773" width="11.8984375" style="1630" customWidth="1"/>
    <col min="774" max="774" width="12.19921875" style="1630" customWidth="1"/>
    <col min="775" max="775" width="8.69921875" style="1630" customWidth="1"/>
    <col min="776" max="776" width="17.5" style="1630" customWidth="1"/>
    <col min="777" max="777" width="14.09765625" style="1630" customWidth="1"/>
    <col min="778" max="1024" width="8" style="1630"/>
    <col min="1025" max="1025" width="5.19921875" style="1630" customWidth="1"/>
    <col min="1026" max="1026" width="20.3984375" style="1630" customWidth="1"/>
    <col min="1027" max="1027" width="17.59765625" style="1630" customWidth="1"/>
    <col min="1028" max="1028" width="12.09765625" style="1630" customWidth="1"/>
    <col min="1029" max="1029" width="11.8984375" style="1630" customWidth="1"/>
    <col min="1030" max="1030" width="12.19921875" style="1630" customWidth="1"/>
    <col min="1031" max="1031" width="8.69921875" style="1630" customWidth="1"/>
    <col min="1032" max="1032" width="17.5" style="1630" customWidth="1"/>
    <col min="1033" max="1033" width="14.09765625" style="1630" customWidth="1"/>
    <col min="1034" max="1280" width="8" style="1630"/>
    <col min="1281" max="1281" width="5.19921875" style="1630" customWidth="1"/>
    <col min="1282" max="1282" width="20.3984375" style="1630" customWidth="1"/>
    <col min="1283" max="1283" width="17.59765625" style="1630" customWidth="1"/>
    <col min="1284" max="1284" width="12.09765625" style="1630" customWidth="1"/>
    <col min="1285" max="1285" width="11.8984375" style="1630" customWidth="1"/>
    <col min="1286" max="1286" width="12.19921875" style="1630" customWidth="1"/>
    <col min="1287" max="1287" width="8.69921875" style="1630" customWidth="1"/>
    <col min="1288" max="1288" width="17.5" style="1630" customWidth="1"/>
    <col min="1289" max="1289" width="14.09765625" style="1630" customWidth="1"/>
    <col min="1290" max="1536" width="8" style="1630"/>
    <col min="1537" max="1537" width="5.19921875" style="1630" customWidth="1"/>
    <col min="1538" max="1538" width="20.3984375" style="1630" customWidth="1"/>
    <col min="1539" max="1539" width="17.59765625" style="1630" customWidth="1"/>
    <col min="1540" max="1540" width="12.09765625" style="1630" customWidth="1"/>
    <col min="1541" max="1541" width="11.8984375" style="1630" customWidth="1"/>
    <col min="1542" max="1542" width="12.19921875" style="1630" customWidth="1"/>
    <col min="1543" max="1543" width="8.69921875" style="1630" customWidth="1"/>
    <col min="1544" max="1544" width="17.5" style="1630" customWidth="1"/>
    <col min="1545" max="1545" width="14.09765625" style="1630" customWidth="1"/>
    <col min="1546" max="1792" width="8" style="1630"/>
    <col min="1793" max="1793" width="5.19921875" style="1630" customWidth="1"/>
    <col min="1794" max="1794" width="20.3984375" style="1630" customWidth="1"/>
    <col min="1795" max="1795" width="17.59765625" style="1630" customWidth="1"/>
    <col min="1796" max="1796" width="12.09765625" style="1630" customWidth="1"/>
    <col min="1797" max="1797" width="11.8984375" style="1630" customWidth="1"/>
    <col min="1798" max="1798" width="12.19921875" style="1630" customWidth="1"/>
    <col min="1799" max="1799" width="8.69921875" style="1630" customWidth="1"/>
    <col min="1800" max="1800" width="17.5" style="1630" customWidth="1"/>
    <col min="1801" max="1801" width="14.09765625" style="1630" customWidth="1"/>
    <col min="1802" max="2048" width="8" style="1630"/>
    <col min="2049" max="2049" width="5.19921875" style="1630" customWidth="1"/>
    <col min="2050" max="2050" width="20.3984375" style="1630" customWidth="1"/>
    <col min="2051" max="2051" width="17.59765625" style="1630" customWidth="1"/>
    <col min="2052" max="2052" width="12.09765625" style="1630" customWidth="1"/>
    <col min="2053" max="2053" width="11.8984375" style="1630" customWidth="1"/>
    <col min="2054" max="2054" width="12.19921875" style="1630" customWidth="1"/>
    <col min="2055" max="2055" width="8.69921875" style="1630" customWidth="1"/>
    <col min="2056" max="2056" width="17.5" style="1630" customWidth="1"/>
    <col min="2057" max="2057" width="14.09765625" style="1630" customWidth="1"/>
    <col min="2058" max="2304" width="8" style="1630"/>
    <col min="2305" max="2305" width="5.19921875" style="1630" customWidth="1"/>
    <col min="2306" max="2306" width="20.3984375" style="1630" customWidth="1"/>
    <col min="2307" max="2307" width="17.59765625" style="1630" customWidth="1"/>
    <col min="2308" max="2308" width="12.09765625" style="1630" customWidth="1"/>
    <col min="2309" max="2309" width="11.8984375" style="1630" customWidth="1"/>
    <col min="2310" max="2310" width="12.19921875" style="1630" customWidth="1"/>
    <col min="2311" max="2311" width="8.69921875" style="1630" customWidth="1"/>
    <col min="2312" max="2312" width="17.5" style="1630" customWidth="1"/>
    <col min="2313" max="2313" width="14.09765625" style="1630" customWidth="1"/>
    <col min="2314" max="2560" width="8" style="1630"/>
    <col min="2561" max="2561" width="5.19921875" style="1630" customWidth="1"/>
    <col min="2562" max="2562" width="20.3984375" style="1630" customWidth="1"/>
    <col min="2563" max="2563" width="17.59765625" style="1630" customWidth="1"/>
    <col min="2564" max="2564" width="12.09765625" style="1630" customWidth="1"/>
    <col min="2565" max="2565" width="11.8984375" style="1630" customWidth="1"/>
    <col min="2566" max="2566" width="12.19921875" style="1630" customWidth="1"/>
    <col min="2567" max="2567" width="8.69921875" style="1630" customWidth="1"/>
    <col min="2568" max="2568" width="17.5" style="1630" customWidth="1"/>
    <col min="2569" max="2569" width="14.09765625" style="1630" customWidth="1"/>
    <col min="2570" max="2816" width="8" style="1630"/>
    <col min="2817" max="2817" width="5.19921875" style="1630" customWidth="1"/>
    <col min="2818" max="2818" width="20.3984375" style="1630" customWidth="1"/>
    <col min="2819" max="2819" width="17.59765625" style="1630" customWidth="1"/>
    <col min="2820" max="2820" width="12.09765625" style="1630" customWidth="1"/>
    <col min="2821" max="2821" width="11.8984375" style="1630" customWidth="1"/>
    <col min="2822" max="2822" width="12.19921875" style="1630" customWidth="1"/>
    <col min="2823" max="2823" width="8.69921875" style="1630" customWidth="1"/>
    <col min="2824" max="2824" width="17.5" style="1630" customWidth="1"/>
    <col min="2825" max="2825" width="14.09765625" style="1630" customWidth="1"/>
    <col min="2826" max="3072" width="8" style="1630"/>
    <col min="3073" max="3073" width="5.19921875" style="1630" customWidth="1"/>
    <col min="3074" max="3074" width="20.3984375" style="1630" customWidth="1"/>
    <col min="3075" max="3075" width="17.59765625" style="1630" customWidth="1"/>
    <col min="3076" max="3076" width="12.09765625" style="1630" customWidth="1"/>
    <col min="3077" max="3077" width="11.8984375" style="1630" customWidth="1"/>
    <col min="3078" max="3078" width="12.19921875" style="1630" customWidth="1"/>
    <col min="3079" max="3079" width="8.69921875" style="1630" customWidth="1"/>
    <col min="3080" max="3080" width="17.5" style="1630" customWidth="1"/>
    <col min="3081" max="3081" width="14.09765625" style="1630" customWidth="1"/>
    <col min="3082" max="3328" width="8" style="1630"/>
    <col min="3329" max="3329" width="5.19921875" style="1630" customWidth="1"/>
    <col min="3330" max="3330" width="20.3984375" style="1630" customWidth="1"/>
    <col min="3331" max="3331" width="17.59765625" style="1630" customWidth="1"/>
    <col min="3332" max="3332" width="12.09765625" style="1630" customWidth="1"/>
    <col min="3333" max="3333" width="11.8984375" style="1630" customWidth="1"/>
    <col min="3334" max="3334" width="12.19921875" style="1630" customWidth="1"/>
    <col min="3335" max="3335" width="8.69921875" style="1630" customWidth="1"/>
    <col min="3336" max="3336" width="17.5" style="1630" customWidth="1"/>
    <col min="3337" max="3337" width="14.09765625" style="1630" customWidth="1"/>
    <col min="3338" max="3584" width="8" style="1630"/>
    <col min="3585" max="3585" width="5.19921875" style="1630" customWidth="1"/>
    <col min="3586" max="3586" width="20.3984375" style="1630" customWidth="1"/>
    <col min="3587" max="3587" width="17.59765625" style="1630" customWidth="1"/>
    <col min="3588" max="3588" width="12.09765625" style="1630" customWidth="1"/>
    <col min="3589" max="3589" width="11.8984375" style="1630" customWidth="1"/>
    <col min="3590" max="3590" width="12.19921875" style="1630" customWidth="1"/>
    <col min="3591" max="3591" width="8.69921875" style="1630" customWidth="1"/>
    <col min="3592" max="3592" width="17.5" style="1630" customWidth="1"/>
    <col min="3593" max="3593" width="14.09765625" style="1630" customWidth="1"/>
    <col min="3594" max="3840" width="8" style="1630"/>
    <col min="3841" max="3841" width="5.19921875" style="1630" customWidth="1"/>
    <col min="3842" max="3842" width="20.3984375" style="1630" customWidth="1"/>
    <col min="3843" max="3843" width="17.59765625" style="1630" customWidth="1"/>
    <col min="3844" max="3844" width="12.09765625" style="1630" customWidth="1"/>
    <col min="3845" max="3845" width="11.8984375" style="1630" customWidth="1"/>
    <col min="3846" max="3846" width="12.19921875" style="1630" customWidth="1"/>
    <col min="3847" max="3847" width="8.69921875" style="1630" customWidth="1"/>
    <col min="3848" max="3848" width="17.5" style="1630" customWidth="1"/>
    <col min="3849" max="3849" width="14.09765625" style="1630" customWidth="1"/>
    <col min="3850" max="4096" width="8" style="1630"/>
    <col min="4097" max="4097" width="5.19921875" style="1630" customWidth="1"/>
    <col min="4098" max="4098" width="20.3984375" style="1630" customWidth="1"/>
    <col min="4099" max="4099" width="17.59765625" style="1630" customWidth="1"/>
    <col min="4100" max="4100" width="12.09765625" style="1630" customWidth="1"/>
    <col min="4101" max="4101" width="11.8984375" style="1630" customWidth="1"/>
    <col min="4102" max="4102" width="12.19921875" style="1630" customWidth="1"/>
    <col min="4103" max="4103" width="8.69921875" style="1630" customWidth="1"/>
    <col min="4104" max="4104" width="17.5" style="1630" customWidth="1"/>
    <col min="4105" max="4105" width="14.09765625" style="1630" customWidth="1"/>
    <col min="4106" max="4352" width="8" style="1630"/>
    <col min="4353" max="4353" width="5.19921875" style="1630" customWidth="1"/>
    <col min="4354" max="4354" width="20.3984375" style="1630" customWidth="1"/>
    <col min="4355" max="4355" width="17.59765625" style="1630" customWidth="1"/>
    <col min="4356" max="4356" width="12.09765625" style="1630" customWidth="1"/>
    <col min="4357" max="4357" width="11.8984375" style="1630" customWidth="1"/>
    <col min="4358" max="4358" width="12.19921875" style="1630" customWidth="1"/>
    <col min="4359" max="4359" width="8.69921875" style="1630" customWidth="1"/>
    <col min="4360" max="4360" width="17.5" style="1630" customWidth="1"/>
    <col min="4361" max="4361" width="14.09765625" style="1630" customWidth="1"/>
    <col min="4362" max="4608" width="8" style="1630"/>
    <col min="4609" max="4609" width="5.19921875" style="1630" customWidth="1"/>
    <col min="4610" max="4610" width="20.3984375" style="1630" customWidth="1"/>
    <col min="4611" max="4611" width="17.59765625" style="1630" customWidth="1"/>
    <col min="4612" max="4612" width="12.09765625" style="1630" customWidth="1"/>
    <col min="4613" max="4613" width="11.8984375" style="1630" customWidth="1"/>
    <col min="4614" max="4614" width="12.19921875" style="1630" customWidth="1"/>
    <col min="4615" max="4615" width="8.69921875" style="1630" customWidth="1"/>
    <col min="4616" max="4616" width="17.5" style="1630" customWidth="1"/>
    <col min="4617" max="4617" width="14.09765625" style="1630" customWidth="1"/>
    <col min="4618" max="4864" width="8" style="1630"/>
    <col min="4865" max="4865" width="5.19921875" style="1630" customWidth="1"/>
    <col min="4866" max="4866" width="20.3984375" style="1630" customWidth="1"/>
    <col min="4867" max="4867" width="17.59765625" style="1630" customWidth="1"/>
    <col min="4868" max="4868" width="12.09765625" style="1630" customWidth="1"/>
    <col min="4869" max="4869" width="11.8984375" style="1630" customWidth="1"/>
    <col min="4870" max="4870" width="12.19921875" style="1630" customWidth="1"/>
    <col min="4871" max="4871" width="8.69921875" style="1630" customWidth="1"/>
    <col min="4872" max="4872" width="17.5" style="1630" customWidth="1"/>
    <col min="4873" max="4873" width="14.09765625" style="1630" customWidth="1"/>
    <col min="4874" max="5120" width="8" style="1630"/>
    <col min="5121" max="5121" width="5.19921875" style="1630" customWidth="1"/>
    <col min="5122" max="5122" width="20.3984375" style="1630" customWidth="1"/>
    <col min="5123" max="5123" width="17.59765625" style="1630" customWidth="1"/>
    <col min="5124" max="5124" width="12.09765625" style="1630" customWidth="1"/>
    <col min="5125" max="5125" width="11.8984375" style="1630" customWidth="1"/>
    <col min="5126" max="5126" width="12.19921875" style="1630" customWidth="1"/>
    <col min="5127" max="5127" width="8.69921875" style="1630" customWidth="1"/>
    <col min="5128" max="5128" width="17.5" style="1630" customWidth="1"/>
    <col min="5129" max="5129" width="14.09765625" style="1630" customWidth="1"/>
    <col min="5130" max="5376" width="8" style="1630"/>
    <col min="5377" max="5377" width="5.19921875" style="1630" customWidth="1"/>
    <col min="5378" max="5378" width="20.3984375" style="1630" customWidth="1"/>
    <col min="5379" max="5379" width="17.59765625" style="1630" customWidth="1"/>
    <col min="5380" max="5380" width="12.09765625" style="1630" customWidth="1"/>
    <col min="5381" max="5381" width="11.8984375" style="1630" customWidth="1"/>
    <col min="5382" max="5382" width="12.19921875" style="1630" customWidth="1"/>
    <col min="5383" max="5383" width="8.69921875" style="1630" customWidth="1"/>
    <col min="5384" max="5384" width="17.5" style="1630" customWidth="1"/>
    <col min="5385" max="5385" width="14.09765625" style="1630" customWidth="1"/>
    <col min="5386" max="5632" width="8" style="1630"/>
    <col min="5633" max="5633" width="5.19921875" style="1630" customWidth="1"/>
    <col min="5634" max="5634" width="20.3984375" style="1630" customWidth="1"/>
    <col min="5635" max="5635" width="17.59765625" style="1630" customWidth="1"/>
    <col min="5636" max="5636" width="12.09765625" style="1630" customWidth="1"/>
    <col min="5637" max="5637" width="11.8984375" style="1630" customWidth="1"/>
    <col min="5638" max="5638" width="12.19921875" style="1630" customWidth="1"/>
    <col min="5639" max="5639" width="8.69921875" style="1630" customWidth="1"/>
    <col min="5640" max="5640" width="17.5" style="1630" customWidth="1"/>
    <col min="5641" max="5641" width="14.09765625" style="1630" customWidth="1"/>
    <col min="5642" max="5888" width="8" style="1630"/>
    <col min="5889" max="5889" width="5.19921875" style="1630" customWidth="1"/>
    <col min="5890" max="5890" width="20.3984375" style="1630" customWidth="1"/>
    <col min="5891" max="5891" width="17.59765625" style="1630" customWidth="1"/>
    <col min="5892" max="5892" width="12.09765625" style="1630" customWidth="1"/>
    <col min="5893" max="5893" width="11.8984375" style="1630" customWidth="1"/>
    <col min="5894" max="5894" width="12.19921875" style="1630" customWidth="1"/>
    <col min="5895" max="5895" width="8.69921875" style="1630" customWidth="1"/>
    <col min="5896" max="5896" width="17.5" style="1630" customWidth="1"/>
    <col min="5897" max="5897" width="14.09765625" style="1630" customWidth="1"/>
    <col min="5898" max="6144" width="8" style="1630"/>
    <col min="6145" max="6145" width="5.19921875" style="1630" customWidth="1"/>
    <col min="6146" max="6146" width="20.3984375" style="1630" customWidth="1"/>
    <col min="6147" max="6147" width="17.59765625" style="1630" customWidth="1"/>
    <col min="6148" max="6148" width="12.09765625" style="1630" customWidth="1"/>
    <col min="6149" max="6149" width="11.8984375" style="1630" customWidth="1"/>
    <col min="6150" max="6150" width="12.19921875" style="1630" customWidth="1"/>
    <col min="6151" max="6151" width="8.69921875" style="1630" customWidth="1"/>
    <col min="6152" max="6152" width="17.5" style="1630" customWidth="1"/>
    <col min="6153" max="6153" width="14.09765625" style="1630" customWidth="1"/>
    <col min="6154" max="6400" width="8" style="1630"/>
    <col min="6401" max="6401" width="5.19921875" style="1630" customWidth="1"/>
    <col min="6402" max="6402" width="20.3984375" style="1630" customWidth="1"/>
    <col min="6403" max="6403" width="17.59765625" style="1630" customWidth="1"/>
    <col min="6404" max="6404" width="12.09765625" style="1630" customWidth="1"/>
    <col min="6405" max="6405" width="11.8984375" style="1630" customWidth="1"/>
    <col min="6406" max="6406" width="12.19921875" style="1630" customWidth="1"/>
    <col min="6407" max="6407" width="8.69921875" style="1630" customWidth="1"/>
    <col min="6408" max="6408" width="17.5" style="1630" customWidth="1"/>
    <col min="6409" max="6409" width="14.09765625" style="1630" customWidth="1"/>
    <col min="6410" max="6656" width="8" style="1630"/>
    <col min="6657" max="6657" width="5.19921875" style="1630" customWidth="1"/>
    <col min="6658" max="6658" width="20.3984375" style="1630" customWidth="1"/>
    <col min="6659" max="6659" width="17.59765625" style="1630" customWidth="1"/>
    <col min="6660" max="6660" width="12.09765625" style="1630" customWidth="1"/>
    <col min="6661" max="6661" width="11.8984375" style="1630" customWidth="1"/>
    <col min="6662" max="6662" width="12.19921875" style="1630" customWidth="1"/>
    <col min="6663" max="6663" width="8.69921875" style="1630" customWidth="1"/>
    <col min="6664" max="6664" width="17.5" style="1630" customWidth="1"/>
    <col min="6665" max="6665" width="14.09765625" style="1630" customWidth="1"/>
    <col min="6666" max="6912" width="8" style="1630"/>
    <col min="6913" max="6913" width="5.19921875" style="1630" customWidth="1"/>
    <col min="6914" max="6914" width="20.3984375" style="1630" customWidth="1"/>
    <col min="6915" max="6915" width="17.59765625" style="1630" customWidth="1"/>
    <col min="6916" max="6916" width="12.09765625" style="1630" customWidth="1"/>
    <col min="6917" max="6917" width="11.8984375" style="1630" customWidth="1"/>
    <col min="6918" max="6918" width="12.19921875" style="1630" customWidth="1"/>
    <col min="6919" max="6919" width="8.69921875" style="1630" customWidth="1"/>
    <col min="6920" max="6920" width="17.5" style="1630" customWidth="1"/>
    <col min="6921" max="6921" width="14.09765625" style="1630" customWidth="1"/>
    <col min="6922" max="7168" width="8" style="1630"/>
    <col min="7169" max="7169" width="5.19921875" style="1630" customWidth="1"/>
    <col min="7170" max="7170" width="20.3984375" style="1630" customWidth="1"/>
    <col min="7171" max="7171" width="17.59765625" style="1630" customWidth="1"/>
    <col min="7172" max="7172" width="12.09765625" style="1630" customWidth="1"/>
    <col min="7173" max="7173" width="11.8984375" style="1630" customWidth="1"/>
    <col min="7174" max="7174" width="12.19921875" style="1630" customWidth="1"/>
    <col min="7175" max="7175" width="8.69921875" style="1630" customWidth="1"/>
    <col min="7176" max="7176" width="17.5" style="1630" customWidth="1"/>
    <col min="7177" max="7177" width="14.09765625" style="1630" customWidth="1"/>
    <col min="7178" max="7424" width="8" style="1630"/>
    <col min="7425" max="7425" width="5.19921875" style="1630" customWidth="1"/>
    <col min="7426" max="7426" width="20.3984375" style="1630" customWidth="1"/>
    <col min="7427" max="7427" width="17.59765625" style="1630" customWidth="1"/>
    <col min="7428" max="7428" width="12.09765625" style="1630" customWidth="1"/>
    <col min="7429" max="7429" width="11.8984375" style="1630" customWidth="1"/>
    <col min="7430" max="7430" width="12.19921875" style="1630" customWidth="1"/>
    <col min="7431" max="7431" width="8.69921875" style="1630" customWidth="1"/>
    <col min="7432" max="7432" width="17.5" style="1630" customWidth="1"/>
    <col min="7433" max="7433" width="14.09765625" style="1630" customWidth="1"/>
    <col min="7434" max="7680" width="8" style="1630"/>
    <col min="7681" max="7681" width="5.19921875" style="1630" customWidth="1"/>
    <col min="7682" max="7682" width="20.3984375" style="1630" customWidth="1"/>
    <col min="7683" max="7683" width="17.59765625" style="1630" customWidth="1"/>
    <col min="7684" max="7684" width="12.09765625" style="1630" customWidth="1"/>
    <col min="7685" max="7685" width="11.8984375" style="1630" customWidth="1"/>
    <col min="7686" max="7686" width="12.19921875" style="1630" customWidth="1"/>
    <col min="7687" max="7687" width="8.69921875" style="1630" customWidth="1"/>
    <col min="7688" max="7688" width="17.5" style="1630" customWidth="1"/>
    <col min="7689" max="7689" width="14.09765625" style="1630" customWidth="1"/>
    <col min="7690" max="7936" width="8" style="1630"/>
    <col min="7937" max="7937" width="5.19921875" style="1630" customWidth="1"/>
    <col min="7938" max="7938" width="20.3984375" style="1630" customWidth="1"/>
    <col min="7939" max="7939" width="17.59765625" style="1630" customWidth="1"/>
    <col min="7940" max="7940" width="12.09765625" style="1630" customWidth="1"/>
    <col min="7941" max="7941" width="11.8984375" style="1630" customWidth="1"/>
    <col min="7942" max="7942" width="12.19921875" style="1630" customWidth="1"/>
    <col min="7943" max="7943" width="8.69921875" style="1630" customWidth="1"/>
    <col min="7944" max="7944" width="17.5" style="1630" customWidth="1"/>
    <col min="7945" max="7945" width="14.09765625" style="1630" customWidth="1"/>
    <col min="7946" max="8192" width="8" style="1630"/>
    <col min="8193" max="8193" width="5.19921875" style="1630" customWidth="1"/>
    <col min="8194" max="8194" width="20.3984375" style="1630" customWidth="1"/>
    <col min="8195" max="8195" width="17.59765625" style="1630" customWidth="1"/>
    <col min="8196" max="8196" width="12.09765625" style="1630" customWidth="1"/>
    <col min="8197" max="8197" width="11.8984375" style="1630" customWidth="1"/>
    <col min="8198" max="8198" width="12.19921875" style="1630" customWidth="1"/>
    <col min="8199" max="8199" width="8.69921875" style="1630" customWidth="1"/>
    <col min="8200" max="8200" width="17.5" style="1630" customWidth="1"/>
    <col min="8201" max="8201" width="14.09765625" style="1630" customWidth="1"/>
    <col min="8202" max="8448" width="8" style="1630"/>
    <col min="8449" max="8449" width="5.19921875" style="1630" customWidth="1"/>
    <col min="8450" max="8450" width="20.3984375" style="1630" customWidth="1"/>
    <col min="8451" max="8451" width="17.59765625" style="1630" customWidth="1"/>
    <col min="8452" max="8452" width="12.09765625" style="1630" customWidth="1"/>
    <col min="8453" max="8453" width="11.8984375" style="1630" customWidth="1"/>
    <col min="8454" max="8454" width="12.19921875" style="1630" customWidth="1"/>
    <col min="8455" max="8455" width="8.69921875" style="1630" customWidth="1"/>
    <col min="8456" max="8456" width="17.5" style="1630" customWidth="1"/>
    <col min="8457" max="8457" width="14.09765625" style="1630" customWidth="1"/>
    <col min="8458" max="8704" width="8" style="1630"/>
    <col min="8705" max="8705" width="5.19921875" style="1630" customWidth="1"/>
    <col min="8706" max="8706" width="20.3984375" style="1630" customWidth="1"/>
    <col min="8707" max="8707" width="17.59765625" style="1630" customWidth="1"/>
    <col min="8708" max="8708" width="12.09765625" style="1630" customWidth="1"/>
    <col min="8709" max="8709" width="11.8984375" style="1630" customWidth="1"/>
    <col min="8710" max="8710" width="12.19921875" style="1630" customWidth="1"/>
    <col min="8711" max="8711" width="8.69921875" style="1630" customWidth="1"/>
    <col min="8712" max="8712" width="17.5" style="1630" customWidth="1"/>
    <col min="8713" max="8713" width="14.09765625" style="1630" customWidth="1"/>
    <col min="8714" max="8960" width="8" style="1630"/>
    <col min="8961" max="8961" width="5.19921875" style="1630" customWidth="1"/>
    <col min="8962" max="8962" width="20.3984375" style="1630" customWidth="1"/>
    <col min="8963" max="8963" width="17.59765625" style="1630" customWidth="1"/>
    <col min="8964" max="8964" width="12.09765625" style="1630" customWidth="1"/>
    <col min="8965" max="8965" width="11.8984375" style="1630" customWidth="1"/>
    <col min="8966" max="8966" width="12.19921875" style="1630" customWidth="1"/>
    <col min="8967" max="8967" width="8.69921875" style="1630" customWidth="1"/>
    <col min="8968" max="8968" width="17.5" style="1630" customWidth="1"/>
    <col min="8969" max="8969" width="14.09765625" style="1630" customWidth="1"/>
    <col min="8970" max="9216" width="8" style="1630"/>
    <col min="9217" max="9217" width="5.19921875" style="1630" customWidth="1"/>
    <col min="9218" max="9218" width="20.3984375" style="1630" customWidth="1"/>
    <col min="9219" max="9219" width="17.59765625" style="1630" customWidth="1"/>
    <col min="9220" max="9220" width="12.09765625" style="1630" customWidth="1"/>
    <col min="9221" max="9221" width="11.8984375" style="1630" customWidth="1"/>
    <col min="9222" max="9222" width="12.19921875" style="1630" customWidth="1"/>
    <col min="9223" max="9223" width="8.69921875" style="1630" customWidth="1"/>
    <col min="9224" max="9224" width="17.5" style="1630" customWidth="1"/>
    <col min="9225" max="9225" width="14.09765625" style="1630" customWidth="1"/>
    <col min="9226" max="9472" width="8" style="1630"/>
    <col min="9473" max="9473" width="5.19921875" style="1630" customWidth="1"/>
    <col min="9474" max="9474" width="20.3984375" style="1630" customWidth="1"/>
    <col min="9475" max="9475" width="17.59765625" style="1630" customWidth="1"/>
    <col min="9476" max="9476" width="12.09765625" style="1630" customWidth="1"/>
    <col min="9477" max="9477" width="11.8984375" style="1630" customWidth="1"/>
    <col min="9478" max="9478" width="12.19921875" style="1630" customWidth="1"/>
    <col min="9479" max="9479" width="8.69921875" style="1630" customWidth="1"/>
    <col min="9480" max="9480" width="17.5" style="1630" customWidth="1"/>
    <col min="9481" max="9481" width="14.09765625" style="1630" customWidth="1"/>
    <col min="9482" max="9728" width="8" style="1630"/>
    <col min="9729" max="9729" width="5.19921875" style="1630" customWidth="1"/>
    <col min="9730" max="9730" width="20.3984375" style="1630" customWidth="1"/>
    <col min="9731" max="9731" width="17.59765625" style="1630" customWidth="1"/>
    <col min="9732" max="9732" width="12.09765625" style="1630" customWidth="1"/>
    <col min="9733" max="9733" width="11.8984375" style="1630" customWidth="1"/>
    <col min="9734" max="9734" width="12.19921875" style="1630" customWidth="1"/>
    <col min="9735" max="9735" width="8.69921875" style="1630" customWidth="1"/>
    <col min="9736" max="9736" width="17.5" style="1630" customWidth="1"/>
    <col min="9737" max="9737" width="14.09765625" style="1630" customWidth="1"/>
    <col min="9738" max="9984" width="8" style="1630"/>
    <col min="9985" max="9985" width="5.19921875" style="1630" customWidth="1"/>
    <col min="9986" max="9986" width="20.3984375" style="1630" customWidth="1"/>
    <col min="9987" max="9987" width="17.59765625" style="1630" customWidth="1"/>
    <col min="9988" max="9988" width="12.09765625" style="1630" customWidth="1"/>
    <col min="9989" max="9989" width="11.8984375" style="1630" customWidth="1"/>
    <col min="9990" max="9990" width="12.19921875" style="1630" customWidth="1"/>
    <col min="9991" max="9991" width="8.69921875" style="1630" customWidth="1"/>
    <col min="9992" max="9992" width="17.5" style="1630" customWidth="1"/>
    <col min="9993" max="9993" width="14.09765625" style="1630" customWidth="1"/>
    <col min="9994" max="10240" width="8" style="1630"/>
    <col min="10241" max="10241" width="5.19921875" style="1630" customWidth="1"/>
    <col min="10242" max="10242" width="20.3984375" style="1630" customWidth="1"/>
    <col min="10243" max="10243" width="17.59765625" style="1630" customWidth="1"/>
    <col min="10244" max="10244" width="12.09765625" style="1630" customWidth="1"/>
    <col min="10245" max="10245" width="11.8984375" style="1630" customWidth="1"/>
    <col min="10246" max="10246" width="12.19921875" style="1630" customWidth="1"/>
    <col min="10247" max="10247" width="8.69921875" style="1630" customWidth="1"/>
    <col min="10248" max="10248" width="17.5" style="1630" customWidth="1"/>
    <col min="10249" max="10249" width="14.09765625" style="1630" customWidth="1"/>
    <col min="10250" max="10496" width="8" style="1630"/>
    <col min="10497" max="10497" width="5.19921875" style="1630" customWidth="1"/>
    <col min="10498" max="10498" width="20.3984375" style="1630" customWidth="1"/>
    <col min="10499" max="10499" width="17.59765625" style="1630" customWidth="1"/>
    <col min="10500" max="10500" width="12.09765625" style="1630" customWidth="1"/>
    <col min="10501" max="10501" width="11.8984375" style="1630" customWidth="1"/>
    <col min="10502" max="10502" width="12.19921875" style="1630" customWidth="1"/>
    <col min="10503" max="10503" width="8.69921875" style="1630" customWidth="1"/>
    <col min="10504" max="10504" width="17.5" style="1630" customWidth="1"/>
    <col min="10505" max="10505" width="14.09765625" style="1630" customWidth="1"/>
    <col min="10506" max="10752" width="8" style="1630"/>
    <col min="10753" max="10753" width="5.19921875" style="1630" customWidth="1"/>
    <col min="10754" max="10754" width="20.3984375" style="1630" customWidth="1"/>
    <col min="10755" max="10755" width="17.59765625" style="1630" customWidth="1"/>
    <col min="10756" max="10756" width="12.09765625" style="1630" customWidth="1"/>
    <col min="10757" max="10757" width="11.8984375" style="1630" customWidth="1"/>
    <col min="10758" max="10758" width="12.19921875" style="1630" customWidth="1"/>
    <col min="10759" max="10759" width="8.69921875" style="1630" customWidth="1"/>
    <col min="10760" max="10760" width="17.5" style="1630" customWidth="1"/>
    <col min="10761" max="10761" width="14.09765625" style="1630" customWidth="1"/>
    <col min="10762" max="11008" width="8" style="1630"/>
    <col min="11009" max="11009" width="5.19921875" style="1630" customWidth="1"/>
    <col min="11010" max="11010" width="20.3984375" style="1630" customWidth="1"/>
    <col min="11011" max="11011" width="17.59765625" style="1630" customWidth="1"/>
    <col min="11012" max="11012" width="12.09765625" style="1630" customWidth="1"/>
    <col min="11013" max="11013" width="11.8984375" style="1630" customWidth="1"/>
    <col min="11014" max="11014" width="12.19921875" style="1630" customWidth="1"/>
    <col min="11015" max="11015" width="8.69921875" style="1630" customWidth="1"/>
    <col min="11016" max="11016" width="17.5" style="1630" customWidth="1"/>
    <col min="11017" max="11017" width="14.09765625" style="1630" customWidth="1"/>
    <col min="11018" max="11264" width="8" style="1630"/>
    <col min="11265" max="11265" width="5.19921875" style="1630" customWidth="1"/>
    <col min="11266" max="11266" width="20.3984375" style="1630" customWidth="1"/>
    <col min="11267" max="11267" width="17.59765625" style="1630" customWidth="1"/>
    <col min="11268" max="11268" width="12.09765625" style="1630" customWidth="1"/>
    <col min="11269" max="11269" width="11.8984375" style="1630" customWidth="1"/>
    <col min="11270" max="11270" width="12.19921875" style="1630" customWidth="1"/>
    <col min="11271" max="11271" width="8.69921875" style="1630" customWidth="1"/>
    <col min="11272" max="11272" width="17.5" style="1630" customWidth="1"/>
    <col min="11273" max="11273" width="14.09765625" style="1630" customWidth="1"/>
    <col min="11274" max="11520" width="8" style="1630"/>
    <col min="11521" max="11521" width="5.19921875" style="1630" customWidth="1"/>
    <col min="11522" max="11522" width="20.3984375" style="1630" customWidth="1"/>
    <col min="11523" max="11523" width="17.59765625" style="1630" customWidth="1"/>
    <col min="11524" max="11524" width="12.09765625" style="1630" customWidth="1"/>
    <col min="11525" max="11525" width="11.8984375" style="1630" customWidth="1"/>
    <col min="11526" max="11526" width="12.19921875" style="1630" customWidth="1"/>
    <col min="11527" max="11527" width="8.69921875" style="1630" customWidth="1"/>
    <col min="11528" max="11528" width="17.5" style="1630" customWidth="1"/>
    <col min="11529" max="11529" width="14.09765625" style="1630" customWidth="1"/>
    <col min="11530" max="11776" width="8" style="1630"/>
    <col min="11777" max="11777" width="5.19921875" style="1630" customWidth="1"/>
    <col min="11778" max="11778" width="20.3984375" style="1630" customWidth="1"/>
    <col min="11779" max="11779" width="17.59765625" style="1630" customWidth="1"/>
    <col min="11780" max="11780" width="12.09765625" style="1630" customWidth="1"/>
    <col min="11781" max="11781" width="11.8984375" style="1630" customWidth="1"/>
    <col min="11782" max="11782" width="12.19921875" style="1630" customWidth="1"/>
    <col min="11783" max="11783" width="8.69921875" style="1630" customWidth="1"/>
    <col min="11784" max="11784" width="17.5" style="1630" customWidth="1"/>
    <col min="11785" max="11785" width="14.09765625" style="1630" customWidth="1"/>
    <col min="11786" max="12032" width="8" style="1630"/>
    <col min="12033" max="12033" width="5.19921875" style="1630" customWidth="1"/>
    <col min="12034" max="12034" width="20.3984375" style="1630" customWidth="1"/>
    <col min="12035" max="12035" width="17.59765625" style="1630" customWidth="1"/>
    <col min="12036" max="12036" width="12.09765625" style="1630" customWidth="1"/>
    <col min="12037" max="12037" width="11.8984375" style="1630" customWidth="1"/>
    <col min="12038" max="12038" width="12.19921875" style="1630" customWidth="1"/>
    <col min="12039" max="12039" width="8.69921875" style="1630" customWidth="1"/>
    <col min="12040" max="12040" width="17.5" style="1630" customWidth="1"/>
    <col min="12041" max="12041" width="14.09765625" style="1630" customWidth="1"/>
    <col min="12042" max="12288" width="8" style="1630"/>
    <col min="12289" max="12289" width="5.19921875" style="1630" customWidth="1"/>
    <col min="12290" max="12290" width="20.3984375" style="1630" customWidth="1"/>
    <col min="12291" max="12291" width="17.59765625" style="1630" customWidth="1"/>
    <col min="12292" max="12292" width="12.09765625" style="1630" customWidth="1"/>
    <col min="12293" max="12293" width="11.8984375" style="1630" customWidth="1"/>
    <col min="12294" max="12294" width="12.19921875" style="1630" customWidth="1"/>
    <col min="12295" max="12295" width="8.69921875" style="1630" customWidth="1"/>
    <col min="12296" max="12296" width="17.5" style="1630" customWidth="1"/>
    <col min="12297" max="12297" width="14.09765625" style="1630" customWidth="1"/>
    <col min="12298" max="12544" width="8" style="1630"/>
    <col min="12545" max="12545" width="5.19921875" style="1630" customWidth="1"/>
    <col min="12546" max="12546" width="20.3984375" style="1630" customWidth="1"/>
    <col min="12547" max="12547" width="17.59765625" style="1630" customWidth="1"/>
    <col min="12548" max="12548" width="12.09765625" style="1630" customWidth="1"/>
    <col min="12549" max="12549" width="11.8984375" style="1630" customWidth="1"/>
    <col min="12550" max="12550" width="12.19921875" style="1630" customWidth="1"/>
    <col min="12551" max="12551" width="8.69921875" style="1630" customWidth="1"/>
    <col min="12552" max="12552" width="17.5" style="1630" customWidth="1"/>
    <col min="12553" max="12553" width="14.09765625" style="1630" customWidth="1"/>
    <col min="12554" max="12800" width="8" style="1630"/>
    <col min="12801" max="12801" width="5.19921875" style="1630" customWidth="1"/>
    <col min="12802" max="12802" width="20.3984375" style="1630" customWidth="1"/>
    <col min="12803" max="12803" width="17.59765625" style="1630" customWidth="1"/>
    <col min="12804" max="12804" width="12.09765625" style="1630" customWidth="1"/>
    <col min="12805" max="12805" width="11.8984375" style="1630" customWidth="1"/>
    <col min="12806" max="12806" width="12.19921875" style="1630" customWidth="1"/>
    <col min="12807" max="12807" width="8.69921875" style="1630" customWidth="1"/>
    <col min="12808" max="12808" width="17.5" style="1630" customWidth="1"/>
    <col min="12809" max="12809" width="14.09765625" style="1630" customWidth="1"/>
    <col min="12810" max="13056" width="8" style="1630"/>
    <col min="13057" max="13057" width="5.19921875" style="1630" customWidth="1"/>
    <col min="13058" max="13058" width="20.3984375" style="1630" customWidth="1"/>
    <col min="13059" max="13059" width="17.59765625" style="1630" customWidth="1"/>
    <col min="13060" max="13060" width="12.09765625" style="1630" customWidth="1"/>
    <col min="13061" max="13061" width="11.8984375" style="1630" customWidth="1"/>
    <col min="13062" max="13062" width="12.19921875" style="1630" customWidth="1"/>
    <col min="13063" max="13063" width="8.69921875" style="1630" customWidth="1"/>
    <col min="13064" max="13064" width="17.5" style="1630" customWidth="1"/>
    <col min="13065" max="13065" width="14.09765625" style="1630" customWidth="1"/>
    <col min="13066" max="13312" width="8" style="1630"/>
    <col min="13313" max="13313" width="5.19921875" style="1630" customWidth="1"/>
    <col min="13314" max="13314" width="20.3984375" style="1630" customWidth="1"/>
    <col min="13315" max="13315" width="17.59765625" style="1630" customWidth="1"/>
    <col min="13316" max="13316" width="12.09765625" style="1630" customWidth="1"/>
    <col min="13317" max="13317" width="11.8984375" style="1630" customWidth="1"/>
    <col min="13318" max="13318" width="12.19921875" style="1630" customWidth="1"/>
    <col min="13319" max="13319" width="8.69921875" style="1630" customWidth="1"/>
    <col min="13320" max="13320" width="17.5" style="1630" customWidth="1"/>
    <col min="13321" max="13321" width="14.09765625" style="1630" customWidth="1"/>
    <col min="13322" max="13568" width="8" style="1630"/>
    <col min="13569" max="13569" width="5.19921875" style="1630" customWidth="1"/>
    <col min="13570" max="13570" width="20.3984375" style="1630" customWidth="1"/>
    <col min="13571" max="13571" width="17.59765625" style="1630" customWidth="1"/>
    <col min="13572" max="13572" width="12.09765625" style="1630" customWidth="1"/>
    <col min="13573" max="13573" width="11.8984375" style="1630" customWidth="1"/>
    <col min="13574" max="13574" width="12.19921875" style="1630" customWidth="1"/>
    <col min="13575" max="13575" width="8.69921875" style="1630" customWidth="1"/>
    <col min="13576" max="13576" width="17.5" style="1630" customWidth="1"/>
    <col min="13577" max="13577" width="14.09765625" style="1630" customWidth="1"/>
    <col min="13578" max="13824" width="8" style="1630"/>
    <col min="13825" max="13825" width="5.19921875" style="1630" customWidth="1"/>
    <col min="13826" max="13826" width="20.3984375" style="1630" customWidth="1"/>
    <col min="13827" max="13827" width="17.59765625" style="1630" customWidth="1"/>
    <col min="13828" max="13828" width="12.09765625" style="1630" customWidth="1"/>
    <col min="13829" max="13829" width="11.8984375" style="1630" customWidth="1"/>
    <col min="13830" max="13830" width="12.19921875" style="1630" customWidth="1"/>
    <col min="13831" max="13831" width="8.69921875" style="1630" customWidth="1"/>
    <col min="13832" max="13832" width="17.5" style="1630" customWidth="1"/>
    <col min="13833" max="13833" width="14.09765625" style="1630" customWidth="1"/>
    <col min="13834" max="14080" width="8" style="1630"/>
    <col min="14081" max="14081" width="5.19921875" style="1630" customWidth="1"/>
    <col min="14082" max="14082" width="20.3984375" style="1630" customWidth="1"/>
    <col min="14083" max="14083" width="17.59765625" style="1630" customWidth="1"/>
    <col min="14084" max="14084" width="12.09765625" style="1630" customWidth="1"/>
    <col min="14085" max="14085" width="11.8984375" style="1630" customWidth="1"/>
    <col min="14086" max="14086" width="12.19921875" style="1630" customWidth="1"/>
    <col min="14087" max="14087" width="8.69921875" style="1630" customWidth="1"/>
    <col min="14088" max="14088" width="17.5" style="1630" customWidth="1"/>
    <col min="14089" max="14089" width="14.09765625" style="1630" customWidth="1"/>
    <col min="14090" max="14336" width="8" style="1630"/>
    <col min="14337" max="14337" width="5.19921875" style="1630" customWidth="1"/>
    <col min="14338" max="14338" width="20.3984375" style="1630" customWidth="1"/>
    <col min="14339" max="14339" width="17.59765625" style="1630" customWidth="1"/>
    <col min="14340" max="14340" width="12.09765625" style="1630" customWidth="1"/>
    <col min="14341" max="14341" width="11.8984375" style="1630" customWidth="1"/>
    <col min="14342" max="14342" width="12.19921875" style="1630" customWidth="1"/>
    <col min="14343" max="14343" width="8.69921875" style="1630" customWidth="1"/>
    <col min="14344" max="14344" width="17.5" style="1630" customWidth="1"/>
    <col min="14345" max="14345" width="14.09765625" style="1630" customWidth="1"/>
    <col min="14346" max="14592" width="8" style="1630"/>
    <col min="14593" max="14593" width="5.19921875" style="1630" customWidth="1"/>
    <col min="14594" max="14594" width="20.3984375" style="1630" customWidth="1"/>
    <col min="14595" max="14595" width="17.59765625" style="1630" customWidth="1"/>
    <col min="14596" max="14596" width="12.09765625" style="1630" customWidth="1"/>
    <col min="14597" max="14597" width="11.8984375" style="1630" customWidth="1"/>
    <col min="14598" max="14598" width="12.19921875" style="1630" customWidth="1"/>
    <col min="14599" max="14599" width="8.69921875" style="1630" customWidth="1"/>
    <col min="14600" max="14600" width="17.5" style="1630" customWidth="1"/>
    <col min="14601" max="14601" width="14.09765625" style="1630" customWidth="1"/>
    <col min="14602" max="14848" width="8" style="1630"/>
    <col min="14849" max="14849" width="5.19921875" style="1630" customWidth="1"/>
    <col min="14850" max="14850" width="20.3984375" style="1630" customWidth="1"/>
    <col min="14851" max="14851" width="17.59765625" style="1630" customWidth="1"/>
    <col min="14852" max="14852" width="12.09765625" style="1630" customWidth="1"/>
    <col min="14853" max="14853" width="11.8984375" style="1630" customWidth="1"/>
    <col min="14854" max="14854" width="12.19921875" style="1630" customWidth="1"/>
    <col min="14855" max="14855" width="8.69921875" style="1630" customWidth="1"/>
    <col min="14856" max="14856" width="17.5" style="1630" customWidth="1"/>
    <col min="14857" max="14857" width="14.09765625" style="1630" customWidth="1"/>
    <col min="14858" max="15104" width="8" style="1630"/>
    <col min="15105" max="15105" width="5.19921875" style="1630" customWidth="1"/>
    <col min="15106" max="15106" width="20.3984375" style="1630" customWidth="1"/>
    <col min="15107" max="15107" width="17.59765625" style="1630" customWidth="1"/>
    <col min="15108" max="15108" width="12.09765625" style="1630" customWidth="1"/>
    <col min="15109" max="15109" width="11.8984375" style="1630" customWidth="1"/>
    <col min="15110" max="15110" width="12.19921875" style="1630" customWidth="1"/>
    <col min="15111" max="15111" width="8.69921875" style="1630" customWidth="1"/>
    <col min="15112" max="15112" width="17.5" style="1630" customWidth="1"/>
    <col min="15113" max="15113" width="14.09765625" style="1630" customWidth="1"/>
    <col min="15114" max="15360" width="8" style="1630"/>
    <col min="15361" max="15361" width="5.19921875" style="1630" customWidth="1"/>
    <col min="15362" max="15362" width="20.3984375" style="1630" customWidth="1"/>
    <col min="15363" max="15363" width="17.59765625" style="1630" customWidth="1"/>
    <col min="15364" max="15364" width="12.09765625" style="1630" customWidth="1"/>
    <col min="15365" max="15365" width="11.8984375" style="1630" customWidth="1"/>
    <col min="15366" max="15366" width="12.19921875" style="1630" customWidth="1"/>
    <col min="15367" max="15367" width="8.69921875" style="1630" customWidth="1"/>
    <col min="15368" max="15368" width="17.5" style="1630" customWidth="1"/>
    <col min="15369" max="15369" width="14.09765625" style="1630" customWidth="1"/>
    <col min="15370" max="15616" width="8" style="1630"/>
    <col min="15617" max="15617" width="5.19921875" style="1630" customWidth="1"/>
    <col min="15618" max="15618" width="20.3984375" style="1630" customWidth="1"/>
    <col min="15619" max="15619" width="17.59765625" style="1630" customWidth="1"/>
    <col min="15620" max="15620" width="12.09765625" style="1630" customWidth="1"/>
    <col min="15621" max="15621" width="11.8984375" style="1630" customWidth="1"/>
    <col min="15622" max="15622" width="12.19921875" style="1630" customWidth="1"/>
    <col min="15623" max="15623" width="8.69921875" style="1630" customWidth="1"/>
    <col min="15624" max="15624" width="17.5" style="1630" customWidth="1"/>
    <col min="15625" max="15625" width="14.09765625" style="1630" customWidth="1"/>
    <col min="15626" max="15872" width="8" style="1630"/>
    <col min="15873" max="15873" width="5.19921875" style="1630" customWidth="1"/>
    <col min="15874" max="15874" width="20.3984375" style="1630" customWidth="1"/>
    <col min="15875" max="15875" width="17.59765625" style="1630" customWidth="1"/>
    <col min="15876" max="15876" width="12.09765625" style="1630" customWidth="1"/>
    <col min="15877" max="15877" width="11.8984375" style="1630" customWidth="1"/>
    <col min="15878" max="15878" width="12.19921875" style="1630" customWidth="1"/>
    <col min="15879" max="15879" width="8.69921875" style="1630" customWidth="1"/>
    <col min="15880" max="15880" width="17.5" style="1630" customWidth="1"/>
    <col min="15881" max="15881" width="14.09765625" style="1630" customWidth="1"/>
    <col min="15882" max="16128" width="8" style="1630"/>
    <col min="16129" max="16129" width="5.19921875" style="1630" customWidth="1"/>
    <col min="16130" max="16130" width="20.3984375" style="1630" customWidth="1"/>
    <col min="16131" max="16131" width="17.59765625" style="1630" customWidth="1"/>
    <col min="16132" max="16132" width="12.09765625" style="1630" customWidth="1"/>
    <col min="16133" max="16133" width="11.8984375" style="1630" customWidth="1"/>
    <col min="16134" max="16134" width="12.19921875" style="1630" customWidth="1"/>
    <col min="16135" max="16135" width="8.69921875" style="1630" customWidth="1"/>
    <col min="16136" max="16136" width="17.5" style="1630" customWidth="1"/>
    <col min="16137" max="16137" width="14.09765625" style="1630" customWidth="1"/>
    <col min="16138" max="16384" width="8" style="1630"/>
  </cols>
  <sheetData>
    <row r="1" spans="1:9" ht="20.100000000000001" customHeight="1">
      <c r="A1" s="3440" t="s">
        <v>5905</v>
      </c>
      <c r="B1" s="3440"/>
      <c r="C1" s="3440"/>
      <c r="D1" s="3440"/>
      <c r="E1" s="3440"/>
      <c r="F1" s="3440"/>
      <c r="G1" s="3440"/>
      <c r="H1" s="3440"/>
      <c r="I1" s="1804"/>
    </row>
    <row r="2" spans="1:9" ht="25.5" customHeight="1">
      <c r="A2" s="3942" t="s">
        <v>2411</v>
      </c>
      <c r="B2" s="3942"/>
      <c r="C2" s="3942"/>
      <c r="D2" s="3942"/>
      <c r="E2" s="3942"/>
      <c r="F2" s="3942"/>
      <c r="G2" s="3942"/>
      <c r="H2" s="3943"/>
      <c r="I2" s="1945"/>
    </row>
    <row r="3" spans="1:9" s="1554" customFormat="1" ht="33.75" customHeight="1">
      <c r="A3" s="3388" t="s">
        <v>6797</v>
      </c>
      <c r="B3" s="3390"/>
      <c r="C3" s="2233">
        <v>10</v>
      </c>
      <c r="D3" s="3944" t="s">
        <v>6798</v>
      </c>
      <c r="E3" s="3944"/>
      <c r="F3" s="3944"/>
      <c r="G3" s="3944"/>
      <c r="H3" s="3944"/>
      <c r="I3" s="3944"/>
    </row>
    <row r="4" spans="1:9" s="1554" customFormat="1" ht="20.25" customHeight="1">
      <c r="A4" s="3945" t="s">
        <v>6799</v>
      </c>
      <c r="B4" s="3945"/>
      <c r="C4" s="3945"/>
      <c r="D4" s="3945"/>
      <c r="E4" s="3945"/>
      <c r="F4" s="3945"/>
      <c r="G4" s="3945"/>
      <c r="H4" s="3945"/>
      <c r="I4" s="3945"/>
    </row>
    <row r="5" spans="1:9" s="1554" customFormat="1" ht="21" customHeight="1">
      <c r="A5" s="3385" t="s">
        <v>5907</v>
      </c>
      <c r="B5" s="3385"/>
      <c r="C5" s="1808" t="s">
        <v>1623</v>
      </c>
      <c r="D5" s="3385" t="s">
        <v>2417</v>
      </c>
      <c r="E5" s="3385"/>
      <c r="F5" s="3385" t="s">
        <v>2418</v>
      </c>
      <c r="G5" s="3385"/>
      <c r="H5" s="1851" t="s">
        <v>2419</v>
      </c>
      <c r="I5" s="1851" t="s">
        <v>4901</v>
      </c>
    </row>
    <row r="6" spans="1:9" s="1631" customFormat="1" ht="24" customHeight="1">
      <c r="A6" s="3946">
        <f>企业所得税汇总纳税分支机构所得税分配表!A6</f>
        <v>0</v>
      </c>
      <c r="B6" s="3946"/>
      <c r="C6" s="2074">
        <f>企业所得税汇总纳税分支机构所得税分配表!C6</f>
        <v>0</v>
      </c>
      <c r="D6" s="3947">
        <f>企业所得税汇总纳税分支机构所得税分配表!D6</f>
        <v>0</v>
      </c>
      <c r="E6" s="3948"/>
      <c r="F6" s="3947">
        <f>企业所得税汇总纳税分支机构所得税分配表!F6</f>
        <v>0</v>
      </c>
      <c r="G6" s="3948"/>
      <c r="H6" s="2074">
        <f>企业所得税汇总纳税分支机构所得税分配表!H6</f>
        <v>0</v>
      </c>
      <c r="I6" s="1990" t="s">
        <v>5908</v>
      </c>
    </row>
    <row r="7" spans="1:9" s="1631" customFormat="1" ht="14.25" customHeight="1">
      <c r="A7" s="3489" t="s">
        <v>2421</v>
      </c>
      <c r="B7" s="3377" t="s">
        <v>5909</v>
      </c>
      <c r="C7" s="3385" t="s">
        <v>2423</v>
      </c>
      <c r="D7" s="3377" t="s">
        <v>2424</v>
      </c>
      <c r="E7" s="3377"/>
      <c r="F7" s="3377"/>
      <c r="G7" s="3385" t="s">
        <v>5910</v>
      </c>
      <c r="H7" s="3385" t="s">
        <v>2473</v>
      </c>
      <c r="I7" s="3385"/>
    </row>
    <row r="8" spans="1:9" s="1631" customFormat="1" ht="14.25" customHeight="1">
      <c r="A8" s="3489"/>
      <c r="B8" s="3377"/>
      <c r="C8" s="3385"/>
      <c r="D8" s="1851" t="s">
        <v>2441</v>
      </c>
      <c r="E8" s="1851" t="s">
        <v>5911</v>
      </c>
      <c r="F8" s="1851" t="s">
        <v>5912</v>
      </c>
      <c r="G8" s="3385"/>
      <c r="H8" s="3385"/>
      <c r="I8" s="3385"/>
    </row>
    <row r="9" spans="1:9" s="1554" customFormat="1" ht="14.25" customHeight="1">
      <c r="A9" s="3489"/>
      <c r="B9" s="1917" t="str">
        <f>IF(企业所得税汇总纳税分支机构所得税分配表!B9=0,"",企业所得税汇总纳税分支机构所得税分配表!B9)</f>
        <v/>
      </c>
      <c r="C9" s="2234" t="str">
        <f>IF(企业所得税汇总纳税分支机构所得税分配表!C9=0,"",企业所得税汇总纳税分支机构所得税分配表!C9)</f>
        <v/>
      </c>
      <c r="D9" s="2234" t="str">
        <f>IF(企业所得税汇总纳税分支机构所得税分配表!D9=0,"",企业所得税汇总纳税分支机构所得税分配表!D9)</f>
        <v/>
      </c>
      <c r="E9" s="2234" t="str">
        <f>IF(企业所得税汇总纳税分支机构所得税分配表!E9=0,"",企业所得税汇总纳税分支机构所得税分配表!E9)</f>
        <v/>
      </c>
      <c r="F9" s="2234" t="str">
        <f>IF(企业所得税汇总纳税分支机构所得税分配表!F9=0,"",企业所得税汇总纳税分支机构所得税分配表!F9)</f>
        <v/>
      </c>
      <c r="G9" s="2237" t="str">
        <f>IF(企业所得税汇总纳税分支机构所得税分配表!G9=0,"",企业所得税汇总纳税分支机构所得税分配表!G9)</f>
        <v/>
      </c>
      <c r="H9" s="2234" t="str">
        <f>IF(企业所得税汇总纳税分支机构所得税分配表!H9=0,"",企业所得税汇总纳税分支机构所得税分配表!H9)</f>
        <v/>
      </c>
      <c r="I9" s="1965"/>
    </row>
    <row r="10" spans="1:9" s="1554" customFormat="1" ht="14.25" customHeight="1">
      <c r="A10" s="3489"/>
      <c r="B10" s="2234" t="str">
        <f>IF(企业所得税汇总纳税分支机构所得税分配表!B10=0,"",企业所得税汇总纳税分支机构所得税分配表!B10)</f>
        <v/>
      </c>
      <c r="C10" s="2234" t="str">
        <f>IF(企业所得税汇总纳税分支机构所得税分配表!C10=0,"",企业所得税汇总纳税分支机构所得税分配表!C10)</f>
        <v/>
      </c>
      <c r="D10" s="2234" t="str">
        <f>IF(企业所得税汇总纳税分支机构所得税分配表!D10=0,"",企业所得税汇总纳税分支机构所得税分配表!D10)</f>
        <v/>
      </c>
      <c r="E10" s="2234" t="str">
        <f>IF(企业所得税汇总纳税分支机构所得税分配表!E10=0,"",企业所得税汇总纳税分支机构所得税分配表!E10)</f>
        <v/>
      </c>
      <c r="F10" s="2234" t="str">
        <f>IF(企业所得税汇总纳税分支机构所得税分配表!F10=0,"",企业所得税汇总纳税分支机构所得税分配表!F10)</f>
        <v/>
      </c>
      <c r="G10" s="2237" t="str">
        <f>IF(企业所得税汇总纳税分支机构所得税分配表!G10=0,"",企业所得税汇总纳税分支机构所得税分配表!G10)</f>
        <v/>
      </c>
      <c r="H10" s="2234" t="str">
        <f>IF(企业所得税汇总纳税分支机构所得税分配表!H10=0,"",企业所得税汇总纳税分支机构所得税分配表!H10)</f>
        <v/>
      </c>
      <c r="I10" s="1965"/>
    </row>
    <row r="11" spans="1:9" s="1554" customFormat="1" ht="14.25" customHeight="1">
      <c r="A11" s="3489"/>
      <c r="B11" s="2234" t="str">
        <f>IF(企业所得税汇总纳税分支机构所得税分配表!B11=0,"",企业所得税汇总纳税分支机构所得税分配表!B11)</f>
        <v/>
      </c>
      <c r="C11" s="2234" t="str">
        <f>IF(企业所得税汇总纳税分支机构所得税分配表!C11=0,"",企业所得税汇总纳税分支机构所得税分配表!C11)</f>
        <v/>
      </c>
      <c r="D11" s="2234" t="str">
        <f>IF(企业所得税汇总纳税分支机构所得税分配表!D11=0,"",企业所得税汇总纳税分支机构所得税分配表!D11)</f>
        <v/>
      </c>
      <c r="E11" s="2234" t="str">
        <f>IF(企业所得税汇总纳税分支机构所得税分配表!E11=0,"",企业所得税汇总纳税分支机构所得税分配表!E11)</f>
        <v/>
      </c>
      <c r="F11" s="2234" t="str">
        <f>IF(企业所得税汇总纳税分支机构所得税分配表!F11=0,"",企业所得税汇总纳税分支机构所得税分配表!F11)</f>
        <v/>
      </c>
      <c r="G11" s="2237" t="str">
        <f>IF(企业所得税汇总纳税分支机构所得税分配表!G11=0,"",企业所得税汇总纳税分支机构所得税分配表!G11)</f>
        <v/>
      </c>
      <c r="H11" s="2234" t="str">
        <f>IF(企业所得税汇总纳税分支机构所得税分配表!H11=0,"",企业所得税汇总纳税分支机构所得税分配表!H11)</f>
        <v/>
      </c>
      <c r="I11" s="1965"/>
    </row>
    <row r="12" spans="1:9" s="1554" customFormat="1" ht="14.25" customHeight="1">
      <c r="A12" s="3489"/>
      <c r="B12" s="2234" t="str">
        <f>IF(企业所得税汇总纳税分支机构所得税分配表!B12=0,"",企业所得税汇总纳税分支机构所得税分配表!B12)</f>
        <v/>
      </c>
      <c r="C12" s="2234" t="str">
        <f>IF(企业所得税汇总纳税分支机构所得税分配表!C12=0,"",企业所得税汇总纳税分支机构所得税分配表!C12)</f>
        <v/>
      </c>
      <c r="D12" s="2234" t="str">
        <f>IF(企业所得税汇总纳税分支机构所得税分配表!D12=0,"",企业所得税汇总纳税分支机构所得税分配表!D12)</f>
        <v/>
      </c>
      <c r="E12" s="2234" t="str">
        <f>IF(企业所得税汇总纳税分支机构所得税分配表!E12=0,"",企业所得税汇总纳税分支机构所得税分配表!E12)</f>
        <v/>
      </c>
      <c r="F12" s="2234" t="str">
        <f>IF(企业所得税汇总纳税分支机构所得税分配表!F12=0,"",企业所得税汇总纳税分支机构所得税分配表!F12)</f>
        <v/>
      </c>
      <c r="G12" s="2237" t="str">
        <f>IF(企业所得税汇总纳税分支机构所得税分配表!G12=0,"",企业所得税汇总纳税分支机构所得税分配表!G12)</f>
        <v/>
      </c>
      <c r="H12" s="2234" t="str">
        <f>IF(企业所得税汇总纳税分支机构所得税分配表!H12=0,"",企业所得税汇总纳税分支机构所得税分配表!H12)</f>
        <v/>
      </c>
      <c r="I12" s="1965"/>
    </row>
    <row r="13" spans="1:9" s="1554" customFormat="1" ht="14.25" customHeight="1">
      <c r="A13" s="3489"/>
      <c r="B13" s="2234" t="str">
        <f>IF(企业所得税汇总纳税分支机构所得税分配表!B13=0,"",企业所得税汇总纳税分支机构所得税分配表!B13)</f>
        <v/>
      </c>
      <c r="C13" s="2234" t="str">
        <f>IF(企业所得税汇总纳税分支机构所得税分配表!C13=0,"",企业所得税汇总纳税分支机构所得税分配表!C13)</f>
        <v/>
      </c>
      <c r="D13" s="2234" t="str">
        <f>IF(企业所得税汇总纳税分支机构所得税分配表!D13=0,"",企业所得税汇总纳税分支机构所得税分配表!D13)</f>
        <v/>
      </c>
      <c r="E13" s="2234" t="str">
        <f>IF(企业所得税汇总纳税分支机构所得税分配表!E13=0,"",企业所得税汇总纳税分支机构所得税分配表!E13)</f>
        <v/>
      </c>
      <c r="F13" s="2234" t="str">
        <f>IF(企业所得税汇总纳税分支机构所得税分配表!F13=0,"",企业所得税汇总纳税分支机构所得税分配表!F13)</f>
        <v/>
      </c>
      <c r="G13" s="2237" t="str">
        <f>IF(企业所得税汇总纳税分支机构所得税分配表!G13=0,"",企业所得税汇总纳税分支机构所得税分配表!G13)</f>
        <v/>
      </c>
      <c r="H13" s="2234" t="str">
        <f>IF(企业所得税汇总纳税分支机构所得税分配表!H13=0,"",企业所得税汇总纳税分支机构所得税分配表!H13)</f>
        <v/>
      </c>
      <c r="I13" s="1965"/>
    </row>
    <row r="14" spans="1:9" s="1554" customFormat="1" ht="14.25" customHeight="1">
      <c r="A14" s="3489"/>
      <c r="B14" s="2234" t="str">
        <f>IF(企业所得税汇总纳税分支机构所得税分配表!B14=0,"",企业所得税汇总纳税分支机构所得税分配表!B14)</f>
        <v/>
      </c>
      <c r="C14" s="2234" t="str">
        <f>IF(企业所得税汇总纳税分支机构所得税分配表!C14=0,"",企业所得税汇总纳税分支机构所得税分配表!C14)</f>
        <v/>
      </c>
      <c r="D14" s="2234" t="str">
        <f>IF(企业所得税汇总纳税分支机构所得税分配表!D14=0,"",企业所得税汇总纳税分支机构所得税分配表!D14)</f>
        <v/>
      </c>
      <c r="E14" s="2234" t="str">
        <f>IF(企业所得税汇总纳税分支机构所得税分配表!E14=0,"",企业所得税汇总纳税分支机构所得税分配表!E14)</f>
        <v/>
      </c>
      <c r="F14" s="2234" t="str">
        <f>IF(企业所得税汇总纳税分支机构所得税分配表!F14=0,"",企业所得税汇总纳税分支机构所得税分配表!F14)</f>
        <v/>
      </c>
      <c r="G14" s="2237" t="str">
        <f>IF(企业所得税汇总纳税分支机构所得税分配表!G14=0,"",企业所得税汇总纳税分支机构所得税分配表!G14)</f>
        <v/>
      </c>
      <c r="H14" s="2234" t="str">
        <f>IF(企业所得税汇总纳税分支机构所得税分配表!H14=0,"",企业所得税汇总纳税分支机构所得税分配表!H14)</f>
        <v/>
      </c>
      <c r="I14" s="1965"/>
    </row>
    <row r="15" spans="1:9" s="1554" customFormat="1" ht="14.25" customHeight="1">
      <c r="A15" s="3489"/>
      <c r="B15" s="2234" t="str">
        <f>IF(企业所得税汇总纳税分支机构所得税分配表!B15=0,"",企业所得税汇总纳税分支机构所得税分配表!B15)</f>
        <v/>
      </c>
      <c r="C15" s="2234" t="str">
        <f>IF(企业所得税汇总纳税分支机构所得税分配表!C15=0,"",企业所得税汇总纳税分支机构所得税分配表!C15)</f>
        <v/>
      </c>
      <c r="D15" s="2234" t="str">
        <f>IF(企业所得税汇总纳税分支机构所得税分配表!D15=0,"",企业所得税汇总纳税分支机构所得税分配表!D15)</f>
        <v/>
      </c>
      <c r="E15" s="2234" t="str">
        <f>IF(企业所得税汇总纳税分支机构所得税分配表!E15=0,"",企业所得税汇总纳税分支机构所得税分配表!E15)</f>
        <v/>
      </c>
      <c r="F15" s="2234" t="str">
        <f>IF(企业所得税汇总纳税分支机构所得税分配表!F15=0,"",企业所得税汇总纳税分支机构所得税分配表!F15)</f>
        <v/>
      </c>
      <c r="G15" s="2237" t="str">
        <f>IF(企业所得税汇总纳税分支机构所得税分配表!G15=0,"",企业所得税汇总纳税分支机构所得税分配表!G15)</f>
        <v/>
      </c>
      <c r="H15" s="2234" t="str">
        <f>IF(企业所得税汇总纳税分支机构所得税分配表!H15=0,"",企业所得税汇总纳税分支机构所得税分配表!H15)</f>
        <v/>
      </c>
      <c r="I15" s="1965"/>
    </row>
    <row r="16" spans="1:9" s="1554" customFormat="1" ht="14.25" customHeight="1">
      <c r="A16" s="3489"/>
      <c r="B16" s="2234" t="str">
        <f>IF(企业所得税汇总纳税分支机构所得税分配表!B16=0,"",企业所得税汇总纳税分支机构所得税分配表!B16)</f>
        <v/>
      </c>
      <c r="C16" s="2234" t="str">
        <f>IF(企业所得税汇总纳税分支机构所得税分配表!C16=0,"",企业所得税汇总纳税分支机构所得税分配表!C16)</f>
        <v/>
      </c>
      <c r="D16" s="2234" t="str">
        <f>IF(企业所得税汇总纳税分支机构所得税分配表!D16=0,"",企业所得税汇总纳税分支机构所得税分配表!D16)</f>
        <v/>
      </c>
      <c r="E16" s="2234" t="str">
        <f>IF(企业所得税汇总纳税分支机构所得税分配表!E16=0,"",企业所得税汇总纳税分支机构所得税分配表!E16)</f>
        <v/>
      </c>
      <c r="F16" s="2234" t="str">
        <f>IF(企业所得税汇总纳税分支机构所得税分配表!F16=0,"",企业所得税汇总纳税分支机构所得税分配表!F16)</f>
        <v/>
      </c>
      <c r="G16" s="2237" t="str">
        <f>IF(企业所得税汇总纳税分支机构所得税分配表!G16=0,"",企业所得税汇总纳税分支机构所得税分配表!G16)</f>
        <v/>
      </c>
      <c r="H16" s="2234" t="str">
        <f>IF(企业所得税汇总纳税分支机构所得税分配表!H16=0,"",企业所得税汇总纳税分支机构所得税分配表!H16)</f>
        <v/>
      </c>
      <c r="I16" s="1965"/>
    </row>
    <row r="17" spans="1:10" s="1554" customFormat="1" ht="14.25" customHeight="1">
      <c r="A17" s="3489"/>
      <c r="B17" s="2234" t="str">
        <f>IF(企业所得税汇总纳税分支机构所得税分配表!B17=0,"",企业所得税汇总纳税分支机构所得税分配表!B17)</f>
        <v/>
      </c>
      <c r="C17" s="2234" t="str">
        <f>IF(企业所得税汇总纳税分支机构所得税分配表!C17=0,"",企业所得税汇总纳税分支机构所得税分配表!C17)</f>
        <v/>
      </c>
      <c r="D17" s="2234" t="str">
        <f>IF(企业所得税汇总纳税分支机构所得税分配表!D17=0,"",企业所得税汇总纳税分支机构所得税分配表!D17)</f>
        <v/>
      </c>
      <c r="E17" s="2234" t="str">
        <f>IF(企业所得税汇总纳税分支机构所得税分配表!E17=0,"",企业所得税汇总纳税分支机构所得税分配表!E17)</f>
        <v/>
      </c>
      <c r="F17" s="2234" t="str">
        <f>IF(企业所得税汇总纳税分支机构所得税分配表!F17=0,"",企业所得税汇总纳税分支机构所得税分配表!F17)</f>
        <v/>
      </c>
      <c r="G17" s="2237" t="str">
        <f>IF(企业所得税汇总纳税分支机构所得税分配表!G17=0,"",企业所得税汇总纳税分支机构所得税分配表!G17)</f>
        <v/>
      </c>
      <c r="H17" s="2234" t="str">
        <f>IF(企业所得税汇总纳税分支机构所得税分配表!H17=0,"",企业所得税汇总纳税分支机构所得税分配表!H17)</f>
        <v/>
      </c>
      <c r="I17" s="1965"/>
    </row>
    <row r="18" spans="1:10" s="1554" customFormat="1" ht="14.25" customHeight="1">
      <c r="A18" s="3489"/>
      <c r="B18" s="2234" t="str">
        <f>IF(企业所得税汇总纳税分支机构所得税分配表!B18=0,"",企业所得税汇总纳税分支机构所得税分配表!B18)</f>
        <v/>
      </c>
      <c r="C18" s="2234" t="str">
        <f>IF(企业所得税汇总纳税分支机构所得税分配表!C18=0,"",企业所得税汇总纳税分支机构所得税分配表!C18)</f>
        <v/>
      </c>
      <c r="D18" s="2234" t="str">
        <f>IF(企业所得税汇总纳税分支机构所得税分配表!D18=0,"",企业所得税汇总纳税分支机构所得税分配表!D18)</f>
        <v/>
      </c>
      <c r="E18" s="2234" t="str">
        <f>IF(企业所得税汇总纳税分支机构所得税分配表!E18=0,"",企业所得税汇总纳税分支机构所得税分配表!E18)</f>
        <v/>
      </c>
      <c r="F18" s="2234" t="str">
        <f>IF(企业所得税汇总纳税分支机构所得税分配表!F18=0,"",企业所得税汇总纳税分支机构所得税分配表!F18)</f>
        <v/>
      </c>
      <c r="G18" s="2237" t="str">
        <f>IF(企业所得税汇总纳税分支机构所得税分配表!G18=0,"",企业所得税汇总纳税分支机构所得税分配表!G18)</f>
        <v/>
      </c>
      <c r="H18" s="2234" t="str">
        <f>IF(企业所得税汇总纳税分支机构所得税分配表!H18=0,"",企业所得税汇总纳税分支机构所得税分配表!H18)</f>
        <v/>
      </c>
      <c r="I18" s="1965"/>
    </row>
    <row r="19" spans="1:10" s="1554" customFormat="1" ht="14.25" customHeight="1">
      <c r="A19" s="3489"/>
      <c r="B19" s="2234" t="str">
        <f>IF(企业所得税汇总纳税分支机构所得税分配表!B19=0,"",企业所得税汇总纳税分支机构所得税分配表!B19)</f>
        <v/>
      </c>
      <c r="C19" s="2234" t="str">
        <f>IF(企业所得税汇总纳税分支机构所得税分配表!C19=0,"",企业所得税汇总纳税分支机构所得税分配表!C19)</f>
        <v/>
      </c>
      <c r="D19" s="2234" t="str">
        <f>IF(企业所得税汇总纳税分支机构所得税分配表!D19=0,"",企业所得税汇总纳税分支机构所得税分配表!D19)</f>
        <v/>
      </c>
      <c r="E19" s="2234" t="str">
        <f>IF(企业所得税汇总纳税分支机构所得税分配表!E19=0,"",企业所得税汇总纳税分支机构所得税分配表!E19)</f>
        <v/>
      </c>
      <c r="F19" s="2234" t="str">
        <f>IF(企业所得税汇总纳税分支机构所得税分配表!F19=0,"",企业所得税汇总纳税分支机构所得税分配表!F19)</f>
        <v/>
      </c>
      <c r="G19" s="2237" t="str">
        <f>IF(企业所得税汇总纳税分支机构所得税分配表!G19=0,"",企业所得税汇总纳税分支机构所得税分配表!G19)</f>
        <v/>
      </c>
      <c r="H19" s="2234" t="str">
        <f>IF(企业所得税汇总纳税分支机构所得税分配表!H19=0,"",企业所得税汇总纳税分支机构所得税分配表!H19)</f>
        <v/>
      </c>
      <c r="I19" s="1965"/>
    </row>
    <row r="20" spans="1:10" s="1554" customFormat="1" ht="14.25" customHeight="1">
      <c r="A20" s="3489"/>
      <c r="B20" s="2234" t="str">
        <f>IF(企业所得税汇总纳税分支机构所得税分配表!B20=0,"",企业所得税汇总纳税分支机构所得税分配表!B20)</f>
        <v/>
      </c>
      <c r="C20" s="2234" t="str">
        <f>IF(企业所得税汇总纳税分支机构所得税分配表!C20=0,"",企业所得税汇总纳税分支机构所得税分配表!C20)</f>
        <v/>
      </c>
      <c r="D20" s="2234" t="str">
        <f>IF(企业所得税汇总纳税分支机构所得税分配表!D20=0,"",企业所得税汇总纳税分支机构所得税分配表!D20)</f>
        <v/>
      </c>
      <c r="E20" s="2234" t="str">
        <f>IF(企业所得税汇总纳税分支机构所得税分配表!E20=0,"",企业所得税汇总纳税分支机构所得税分配表!E20)</f>
        <v/>
      </c>
      <c r="F20" s="2234" t="str">
        <f>IF(企业所得税汇总纳税分支机构所得税分配表!F20=0,"",企业所得税汇总纳税分支机构所得税分配表!F20)</f>
        <v/>
      </c>
      <c r="G20" s="2237" t="str">
        <f>IF(企业所得税汇总纳税分支机构所得税分配表!G20=0,"",企业所得税汇总纳税分支机构所得税分配表!G20)</f>
        <v/>
      </c>
      <c r="H20" s="2234" t="str">
        <f>IF(企业所得税汇总纳税分支机构所得税分配表!H20=0,"",企业所得税汇总纳税分支机构所得税分配表!H20)</f>
        <v/>
      </c>
      <c r="I20" s="1965"/>
    </row>
    <row r="21" spans="1:10" s="1554" customFormat="1" ht="14.25" customHeight="1">
      <c r="A21" s="3489"/>
      <c r="B21" s="2234" t="str">
        <f>IF(企业所得税汇总纳税分支机构所得税分配表!B21=0,"",企业所得税汇总纳税分支机构所得税分配表!B21)</f>
        <v/>
      </c>
      <c r="C21" s="2234" t="str">
        <f>IF(企业所得税汇总纳税分支机构所得税分配表!C21=0,"",企业所得税汇总纳税分支机构所得税分配表!C21)</f>
        <v/>
      </c>
      <c r="D21" s="2234" t="str">
        <f>IF(企业所得税汇总纳税分支机构所得税分配表!D21=0,"",企业所得税汇总纳税分支机构所得税分配表!D21)</f>
        <v/>
      </c>
      <c r="E21" s="2234" t="str">
        <f>IF(企业所得税汇总纳税分支机构所得税分配表!E21=0,"",企业所得税汇总纳税分支机构所得税分配表!E21)</f>
        <v/>
      </c>
      <c r="F21" s="2234" t="str">
        <f>IF(企业所得税汇总纳税分支机构所得税分配表!F21=0,"",企业所得税汇总纳税分支机构所得税分配表!F21)</f>
        <v/>
      </c>
      <c r="G21" s="2237" t="str">
        <f>IF(企业所得税汇总纳税分支机构所得税分配表!G21=0,"",企业所得税汇总纳税分支机构所得税分配表!G21)</f>
        <v/>
      </c>
      <c r="H21" s="2234" t="str">
        <f>IF(企业所得税汇总纳税分支机构所得税分配表!H21=0,"",企业所得税汇总纳税分支机构所得税分配表!H21)</f>
        <v/>
      </c>
      <c r="I21" s="1965"/>
    </row>
    <row r="22" spans="1:10" s="1554" customFormat="1" ht="14.25" customHeight="1">
      <c r="A22" s="3489"/>
      <c r="B22" s="2234" t="str">
        <f>IF(企业所得税汇总纳税分支机构所得税分配表!B22=0,"",企业所得税汇总纳税分支机构所得税分配表!B22)</f>
        <v/>
      </c>
      <c r="C22" s="2234" t="str">
        <f>IF(企业所得税汇总纳税分支机构所得税分配表!C22=0,"",企业所得税汇总纳税分支机构所得税分配表!C22)</f>
        <v/>
      </c>
      <c r="D22" s="2234" t="str">
        <f>IF(企业所得税汇总纳税分支机构所得税分配表!D22=0,"",企业所得税汇总纳税分支机构所得税分配表!D22)</f>
        <v/>
      </c>
      <c r="E22" s="2234" t="str">
        <f>IF(企业所得税汇总纳税分支机构所得税分配表!E22=0,"",企业所得税汇总纳税分支机构所得税分配表!E22)</f>
        <v/>
      </c>
      <c r="F22" s="2234" t="str">
        <f>IF(企业所得税汇总纳税分支机构所得税分配表!F22=0,"",企业所得税汇总纳税分支机构所得税分配表!F22)</f>
        <v/>
      </c>
      <c r="G22" s="2237" t="str">
        <f>IF(企业所得税汇总纳税分支机构所得税分配表!G22=0,"",企业所得税汇总纳税分支机构所得税分配表!G22)</f>
        <v/>
      </c>
      <c r="H22" s="2234" t="str">
        <f>IF(企业所得税汇总纳税分支机构所得税分配表!H22=0,"",企业所得税汇总纳税分支机构所得税分配表!H22)</f>
        <v/>
      </c>
      <c r="I22" s="1965"/>
    </row>
    <row r="23" spans="1:10" s="1554" customFormat="1" ht="14.25" customHeight="1">
      <c r="A23" s="3489"/>
      <c r="B23" s="1808" t="s">
        <v>5484</v>
      </c>
      <c r="C23" s="1966" t="s">
        <v>1243</v>
      </c>
      <c r="D23" s="2074">
        <f>企业所得税汇总纳税分支机构所得税分配表!D23</f>
        <v>0</v>
      </c>
      <c r="E23" s="2074">
        <f>企业所得税汇总纳税分支机构所得税分配表!E23</f>
        <v>0</v>
      </c>
      <c r="F23" s="2074">
        <f>企业所得税汇总纳税分支机构所得税分配表!F23</f>
        <v>0</v>
      </c>
      <c r="G23" s="2238">
        <f>企业所得税汇总纳税分支机构所得税分配表!G23</f>
        <v>0</v>
      </c>
      <c r="H23" s="2074">
        <f>企业所得税汇总纳税分支机构所得税分配表!H23</f>
        <v>0</v>
      </c>
      <c r="I23" s="1965"/>
      <c r="J23" s="1772" t="s">
        <v>6488</v>
      </c>
    </row>
    <row r="24" spans="1:10" ht="14.25" customHeight="1"/>
    <row r="25" spans="1:10" ht="14.25" customHeight="1"/>
    <row r="26" spans="1:10" ht="14.25" customHeight="1"/>
    <row r="27" spans="1:10" ht="14.25" customHeight="1"/>
    <row r="28" spans="1:10" ht="14.25" customHeight="1"/>
    <row r="29" spans="1:10" ht="14.25" customHeight="1"/>
    <row r="30" spans="1:10" ht="14.25" customHeight="1"/>
    <row r="31" spans="1:10" ht="14.25" customHeight="1"/>
    <row r="32" spans="1:10" ht="14.25" customHeight="1"/>
    <row r="33" ht="14.25" customHeight="1"/>
    <row r="34" ht="14.25" customHeight="1"/>
    <row r="35" ht="14.25" customHeight="1"/>
    <row r="36" ht="14.25" customHeight="1"/>
    <row r="37" ht="14.25" customHeight="1"/>
    <row r="38" ht="14.25" customHeight="1"/>
    <row r="39" ht="14.25" customHeight="1"/>
    <row r="40" ht="14.25" customHeight="1"/>
    <row r="41" ht="14.25" customHeight="1"/>
    <row r="42" ht="14.25" customHeight="1"/>
    <row r="43" ht="14.25" customHeight="1"/>
    <row r="44" ht="14.25" customHeight="1"/>
    <row r="45" ht="14.25" customHeight="1"/>
    <row r="46" ht="14.25" customHeight="1"/>
    <row r="47" ht="14.25" customHeight="1"/>
    <row r="48" ht="14.25" customHeight="1"/>
    <row r="49" ht="14.25" customHeight="1"/>
    <row r="50" ht="14.25" customHeight="1"/>
    <row r="51" ht="14.25" customHeight="1"/>
    <row r="52" ht="14.25" customHeight="1"/>
    <row r="53" ht="14.25" customHeight="1"/>
    <row r="54" ht="14.25" customHeight="1"/>
    <row r="55" ht="14.25" customHeight="1"/>
    <row r="56" ht="14.25" customHeight="1"/>
    <row r="57" ht="14.25" customHeight="1"/>
    <row r="58" ht="14.25" customHeight="1"/>
    <row r="59" ht="14.25" customHeight="1"/>
    <row r="60" ht="14.25" customHeight="1"/>
    <row r="61" ht="14.25" customHeight="1"/>
    <row r="62" ht="14.25" customHeight="1"/>
    <row r="63" ht="14.25" customHeight="1"/>
    <row r="64" ht="14.25" customHeight="1"/>
    <row r="65" ht="14.25" customHeight="1"/>
    <row r="66" ht="14.25" customHeight="1"/>
    <row r="67" ht="14.25" customHeight="1"/>
    <row r="68" ht="14.25" customHeight="1"/>
    <row r="69" ht="14.25" customHeight="1"/>
    <row r="70" ht="14.25" customHeight="1"/>
    <row r="71" ht="14.25" customHeight="1"/>
    <row r="72" ht="14.25" customHeight="1"/>
    <row r="73" ht="14.25" customHeight="1"/>
    <row r="74" ht="14.25" customHeight="1"/>
    <row r="75" ht="14.25" customHeight="1"/>
    <row r="76" ht="14.25" customHeight="1"/>
    <row r="77" ht="14.25" customHeight="1"/>
    <row r="78" ht="14.25" customHeight="1"/>
    <row r="79" ht="14.25" customHeight="1"/>
    <row r="80" ht="14.25" customHeight="1"/>
    <row r="81" ht="14.25" customHeight="1"/>
    <row r="82" ht="14.25" customHeight="1"/>
    <row r="83" ht="14.25" customHeight="1"/>
    <row r="84" ht="14.25" customHeight="1"/>
    <row r="85" ht="14.25" customHeight="1"/>
    <row r="86" ht="14.25" customHeight="1"/>
    <row r="87" ht="14.25" customHeight="1"/>
    <row r="88" ht="14.25" customHeight="1"/>
    <row r="89" ht="14.25" customHeight="1"/>
    <row r="90" ht="14.25" customHeight="1"/>
    <row r="91" ht="14.25" customHeight="1"/>
    <row r="92" ht="14.25" customHeight="1"/>
    <row r="93" ht="14.25" customHeight="1"/>
    <row r="94" ht="14.25" customHeight="1"/>
    <row r="95" ht="14.25" customHeight="1"/>
    <row r="96" ht="14.25" customHeight="1"/>
    <row r="97" ht="14.25" customHeight="1"/>
    <row r="98" ht="14.25" customHeight="1"/>
    <row r="99" ht="14.25" customHeight="1"/>
    <row r="100" ht="14.25" customHeight="1"/>
    <row r="101" ht="14.25" customHeight="1"/>
    <row r="102" ht="14.25" customHeight="1"/>
    <row r="103" ht="14.25" customHeight="1"/>
    <row r="104" ht="14.25" customHeight="1"/>
    <row r="105" ht="14.25" customHeight="1"/>
    <row r="106" ht="14.25" customHeight="1"/>
    <row r="107" ht="14.25" customHeight="1"/>
    <row r="108" ht="14.25" customHeight="1"/>
    <row r="109" ht="14.25" customHeight="1"/>
    <row r="110" ht="14.25" customHeight="1"/>
    <row r="111" ht="14.25" customHeight="1"/>
    <row r="112" ht="14.25" customHeight="1"/>
    <row r="113" ht="14.25" customHeight="1"/>
    <row r="114" ht="14.25" customHeight="1"/>
    <row r="115" ht="14.25" customHeight="1"/>
    <row r="116" ht="14.25" customHeight="1"/>
    <row r="117" ht="14.25" customHeight="1"/>
    <row r="118" ht="14.25" customHeight="1"/>
    <row r="119" ht="14.25" customHeight="1"/>
    <row r="120" ht="14.25" customHeight="1"/>
    <row r="121" ht="14.25" customHeight="1"/>
    <row r="122" ht="14.25" customHeight="1"/>
    <row r="123" ht="14.25" customHeight="1"/>
    <row r="124" ht="14.25" customHeight="1"/>
    <row r="125" ht="14.25" customHeight="1"/>
    <row r="126" ht="14.25" customHeight="1"/>
    <row r="127" ht="14.25" customHeight="1"/>
    <row r="128" ht="14.25" customHeight="1"/>
    <row r="129" ht="14.25" customHeight="1"/>
    <row r="130" ht="14.25" customHeight="1"/>
    <row r="131" ht="14.25" customHeight="1"/>
    <row r="132" ht="14.25" customHeight="1"/>
    <row r="133" ht="14.25" customHeight="1"/>
    <row r="134" ht="14.25" customHeight="1"/>
    <row r="135" ht="14.25" customHeight="1"/>
    <row r="136" ht="14.25" customHeight="1"/>
    <row r="137" ht="14.25" customHeight="1"/>
    <row r="138" ht="14.25" customHeight="1"/>
    <row r="139" ht="14.25" customHeight="1"/>
    <row r="140" ht="14.25" customHeight="1"/>
    <row r="141" ht="14.25" customHeight="1"/>
    <row r="142" ht="14.25" customHeight="1"/>
    <row r="143" ht="14.25" customHeight="1"/>
    <row r="144" ht="14.25" customHeight="1"/>
    <row r="145" ht="14.25" customHeight="1"/>
    <row r="146" ht="14.25" customHeight="1"/>
    <row r="147" ht="14.25" customHeight="1"/>
    <row r="148" ht="14.25" customHeight="1"/>
    <row r="149" ht="14.25" customHeight="1"/>
    <row r="150" ht="14.25" customHeight="1"/>
    <row r="151" ht="14.25" customHeight="1"/>
    <row r="152" ht="14.25" customHeight="1"/>
    <row r="153" ht="14.25" customHeight="1"/>
    <row r="154" ht="14.25" customHeight="1"/>
    <row r="155" ht="14.25" customHeight="1"/>
    <row r="156" ht="14.25" customHeight="1"/>
    <row r="157" ht="14.25" customHeight="1"/>
    <row r="158" ht="14.25" customHeight="1"/>
    <row r="159" ht="14.25" customHeight="1"/>
    <row r="160" ht="14.25" customHeight="1"/>
    <row r="161" ht="14.25" customHeight="1"/>
    <row r="162" ht="14.25" customHeight="1"/>
    <row r="163" ht="14.25" customHeight="1"/>
    <row r="164" ht="14.25" customHeight="1"/>
    <row r="165" ht="14.25" customHeight="1"/>
    <row r="166" ht="14.25" customHeight="1"/>
    <row r="167" ht="14.25" customHeight="1"/>
    <row r="168" ht="14.25" customHeight="1"/>
    <row r="169" ht="14.25" customHeight="1"/>
    <row r="170" ht="14.25" customHeight="1"/>
    <row r="171" ht="14.25" customHeight="1"/>
    <row r="172" ht="14.25" customHeight="1"/>
    <row r="173" ht="14.25" customHeight="1"/>
    <row r="174" ht="14.25" customHeight="1"/>
    <row r="175" ht="14.25" customHeight="1"/>
    <row r="176" ht="14.25" customHeight="1"/>
    <row r="177" ht="14.25" customHeight="1"/>
    <row r="178" ht="14.25" customHeight="1"/>
    <row r="179" ht="14.25" customHeight="1"/>
    <row r="180" ht="14.25" customHeight="1"/>
    <row r="181" ht="14.25" customHeight="1"/>
    <row r="182" ht="14.25" customHeight="1"/>
    <row r="183" ht="14.25" customHeight="1"/>
    <row r="184" ht="14.25" customHeight="1"/>
    <row r="185" ht="14.25" customHeight="1"/>
    <row r="186" ht="14.25" customHeight="1"/>
    <row r="187" ht="14.25" customHeight="1"/>
    <row r="188" ht="14.25" customHeight="1"/>
    <row r="189" ht="14.25" customHeight="1"/>
    <row r="190" ht="14.25" customHeight="1"/>
    <row r="191" ht="14.25" customHeight="1"/>
    <row r="192" ht="14.25" customHeight="1"/>
    <row r="193" ht="14.25" customHeight="1"/>
    <row r="194" ht="14.25" customHeight="1"/>
    <row r="195" ht="14.25" customHeight="1"/>
    <row r="196" ht="14.25" customHeight="1"/>
    <row r="197" ht="14.25" customHeight="1"/>
    <row r="198" ht="14.25" customHeight="1"/>
    <row r="199" ht="14.25" customHeight="1"/>
    <row r="200" ht="14.25" customHeight="1"/>
    <row r="201" ht="14.25" customHeight="1"/>
    <row r="202" ht="14.25" customHeight="1"/>
    <row r="203" ht="14.25" customHeight="1"/>
    <row r="204" ht="14.25" customHeight="1"/>
    <row r="205" ht="14.25" customHeight="1"/>
    <row r="206" ht="14.25" customHeight="1"/>
    <row r="207" ht="14.25" customHeight="1"/>
    <row r="208" ht="14.25" customHeight="1"/>
    <row r="209" ht="14.25" customHeight="1"/>
    <row r="210" ht="14.25" customHeight="1"/>
    <row r="211" ht="14.25" customHeight="1"/>
    <row r="212" ht="14.25" customHeight="1"/>
    <row r="213" ht="14.25" customHeight="1"/>
    <row r="214" ht="14.25" customHeight="1"/>
    <row r="215" ht="14.25" customHeight="1"/>
    <row r="216" ht="14.25" customHeight="1"/>
    <row r="217" ht="14.25" customHeight="1"/>
    <row r="218" ht="14.25" customHeight="1"/>
    <row r="219" ht="14.25" customHeight="1"/>
    <row r="220" ht="14.25" customHeight="1"/>
    <row r="221" ht="14.25" customHeight="1"/>
    <row r="222" ht="14.25" customHeight="1"/>
    <row r="223" ht="14.25" customHeight="1"/>
    <row r="224" ht="14.25" customHeight="1"/>
    <row r="225" ht="14.25" customHeight="1"/>
    <row r="226" ht="14.25" customHeight="1"/>
    <row r="227" ht="14.25" customHeight="1"/>
    <row r="228" ht="14.25" customHeight="1"/>
    <row r="229" ht="14.25" customHeight="1"/>
    <row r="230" ht="14.25" customHeight="1"/>
    <row r="231" ht="14.25" customHeight="1"/>
    <row r="232" ht="14.25" customHeight="1"/>
    <row r="233" ht="14.25" customHeight="1"/>
    <row r="234" ht="14.25" customHeight="1"/>
    <row r="235" ht="14.25" customHeight="1"/>
    <row r="236" ht="14.25" customHeight="1"/>
    <row r="237" ht="14.25" customHeight="1"/>
    <row r="238" ht="14.25" customHeight="1"/>
    <row r="239" ht="14.25" customHeight="1"/>
    <row r="240" ht="14.25" customHeight="1"/>
    <row r="241" ht="14.25" customHeight="1"/>
    <row r="242" ht="14.25" customHeight="1"/>
    <row r="243" ht="14.25" customHeight="1"/>
    <row r="244" ht="14.25" customHeight="1"/>
    <row r="245" ht="14.25" customHeight="1"/>
    <row r="246" ht="14.25" customHeight="1"/>
    <row r="247" ht="14.25" customHeight="1"/>
    <row r="248" ht="14.25" customHeight="1"/>
    <row r="249" ht="14.25" customHeight="1"/>
    <row r="250" ht="14.25" customHeight="1"/>
    <row r="251" ht="14.25" customHeight="1"/>
    <row r="252" ht="14.25" customHeight="1"/>
    <row r="253" ht="14.25" customHeight="1"/>
    <row r="254" ht="14.25" customHeight="1"/>
    <row r="255" ht="14.25" customHeight="1"/>
    <row r="256" ht="14.25" customHeight="1"/>
    <row r="257" ht="14.25" customHeight="1"/>
    <row r="258" ht="14.25" customHeight="1"/>
    <row r="259" ht="14.25" customHeight="1"/>
    <row r="260" ht="14.25" customHeight="1"/>
    <row r="261" ht="14.25" customHeight="1"/>
    <row r="262" ht="14.25" customHeight="1"/>
    <row r="263" ht="14.25" customHeight="1"/>
    <row r="264" ht="14.25" customHeight="1"/>
    <row r="265" ht="14.25" customHeight="1"/>
    <row r="266" ht="14.25" customHeight="1"/>
    <row r="267" ht="14.25" customHeight="1"/>
    <row r="268" ht="14.25" customHeight="1"/>
    <row r="269" ht="14.25" customHeight="1"/>
    <row r="270" ht="14.25" customHeight="1"/>
    <row r="271" ht="14.25" customHeight="1"/>
    <row r="272" ht="14.25" customHeight="1"/>
    <row r="273" ht="14.25" customHeight="1"/>
    <row r="274" ht="14.25" customHeight="1"/>
    <row r="275" ht="14.25" customHeight="1"/>
    <row r="276" ht="14.25" customHeight="1"/>
    <row r="277" ht="14.25" customHeight="1"/>
    <row r="278" ht="14.25" customHeight="1"/>
    <row r="279" ht="14.25" customHeight="1"/>
    <row r="280" ht="14.25" customHeight="1"/>
    <row r="281" ht="14.25" customHeight="1"/>
    <row r="282" ht="14.25" customHeight="1"/>
    <row r="283" ht="14.25" customHeight="1"/>
    <row r="284" ht="14.25" customHeight="1"/>
    <row r="285" ht="14.25" customHeight="1"/>
    <row r="286" ht="14.25" customHeight="1"/>
    <row r="287" ht="14.25" customHeight="1"/>
    <row r="288" ht="14.25" customHeight="1"/>
    <row r="289" ht="14.25" customHeight="1"/>
    <row r="290" ht="14.25" customHeight="1"/>
    <row r="291" ht="14.25" customHeight="1"/>
    <row r="292" ht="14.25" customHeight="1"/>
    <row r="293" ht="14.25" customHeight="1"/>
    <row r="294" ht="14.25" customHeight="1"/>
    <row r="295" ht="14.25" customHeight="1"/>
    <row r="296" ht="14.25" customHeight="1"/>
    <row r="297" ht="14.25" customHeight="1"/>
    <row r="298" ht="14.25" customHeight="1"/>
    <row r="299" ht="14.25" customHeight="1"/>
    <row r="300" ht="14.25" customHeight="1"/>
    <row r="301" ht="14.25" customHeight="1"/>
    <row r="302" ht="14.25" customHeight="1"/>
    <row r="303" ht="14.25" customHeight="1"/>
    <row r="304" ht="14.25" customHeight="1"/>
    <row r="305" ht="14.25" customHeight="1"/>
    <row r="306" ht="14.25" customHeight="1"/>
    <row r="307" ht="14.25" customHeight="1"/>
    <row r="308" ht="14.25" customHeight="1"/>
    <row r="309" ht="14.25" customHeight="1"/>
    <row r="310" ht="14.25" customHeight="1"/>
    <row r="311" ht="14.25" customHeight="1"/>
    <row r="312" ht="14.25" customHeight="1"/>
    <row r="313" ht="14.25" customHeight="1"/>
    <row r="314" ht="14.25" customHeight="1"/>
    <row r="315" ht="14.25" customHeight="1"/>
    <row r="316" ht="14.25" customHeight="1"/>
    <row r="317" ht="14.25" customHeight="1"/>
    <row r="318" ht="14.25" customHeight="1"/>
    <row r="319" ht="14.25" customHeight="1"/>
    <row r="320" ht="14.25" customHeight="1"/>
    <row r="321" ht="14.25" customHeight="1"/>
    <row r="322" ht="14.25" customHeight="1"/>
    <row r="323" ht="14.25" customHeight="1"/>
    <row r="324" ht="14.25" customHeight="1"/>
    <row r="325" ht="14.25" customHeight="1"/>
    <row r="326" ht="14.25" customHeight="1"/>
    <row r="327" ht="14.25" customHeight="1"/>
    <row r="328" ht="14.25" customHeight="1"/>
    <row r="329" ht="14.25" customHeight="1"/>
    <row r="330" ht="14.25" customHeight="1"/>
    <row r="331" ht="14.25" customHeight="1"/>
    <row r="332" ht="14.25" customHeight="1"/>
    <row r="333" ht="14.25" customHeight="1"/>
    <row r="334" ht="14.25" customHeight="1"/>
    <row r="335" ht="14.25" customHeight="1"/>
    <row r="336" ht="14.25" customHeight="1"/>
    <row r="337" ht="14.25" customHeight="1"/>
    <row r="338" ht="14.25" customHeight="1"/>
    <row r="339" ht="14.25" customHeight="1"/>
    <row r="340" ht="14.25" customHeight="1"/>
    <row r="341" ht="14.25" customHeight="1"/>
    <row r="342" ht="14.25" customHeight="1"/>
    <row r="343" ht="14.25" customHeight="1"/>
    <row r="344" ht="14.25" customHeight="1"/>
    <row r="345" ht="14.25" customHeight="1"/>
    <row r="346" ht="14.25" customHeight="1"/>
    <row r="347" ht="14.25" customHeight="1"/>
    <row r="348" ht="14.25" customHeight="1"/>
    <row r="349" ht="14.25" customHeight="1"/>
    <row r="350" ht="14.25" customHeight="1"/>
    <row r="351" ht="14.25" customHeight="1"/>
    <row r="352" ht="14.25" customHeight="1"/>
    <row r="353" ht="14.25" customHeight="1"/>
    <row r="354" ht="14.25" customHeight="1"/>
    <row r="355" ht="14.25" customHeight="1"/>
    <row r="356" ht="14.25" customHeight="1"/>
    <row r="357" ht="14.25" customHeight="1"/>
    <row r="358" ht="14.25" customHeight="1"/>
    <row r="359" ht="14.25" customHeight="1"/>
    <row r="360" ht="14.25" customHeight="1"/>
    <row r="361" ht="14.25" customHeight="1"/>
    <row r="362" ht="14.25" customHeight="1"/>
    <row r="363" ht="14.25" customHeight="1"/>
    <row r="364" ht="14.25" customHeight="1"/>
    <row r="365" ht="14.25" customHeight="1"/>
    <row r="366" ht="14.25" customHeight="1"/>
    <row r="367" ht="14.25" customHeight="1"/>
    <row r="368" ht="14.25" customHeight="1"/>
    <row r="369" ht="14.25" customHeight="1"/>
    <row r="370" ht="14.25" customHeight="1"/>
    <row r="371" ht="14.25" customHeight="1"/>
    <row r="372" ht="14.25" customHeight="1"/>
    <row r="373" ht="14.25" customHeight="1"/>
    <row r="374" ht="14.25" customHeight="1"/>
    <row r="375" ht="14.25" customHeight="1"/>
    <row r="376" ht="14.25" customHeight="1"/>
    <row r="377" ht="14.25" customHeight="1"/>
    <row r="378" ht="14.25" customHeight="1"/>
    <row r="379" ht="14.25" customHeight="1"/>
    <row r="380" ht="14.25" customHeight="1"/>
    <row r="381" ht="14.25" customHeight="1"/>
    <row r="382" ht="14.25" customHeight="1"/>
    <row r="383" ht="14.25" customHeight="1"/>
    <row r="384" ht="14.25" customHeight="1"/>
    <row r="385" ht="14.25" customHeight="1"/>
    <row r="386" ht="14.25" customHeight="1"/>
    <row r="387" ht="14.25" customHeight="1"/>
    <row r="388" ht="14.25" customHeight="1"/>
    <row r="389" ht="14.25" customHeight="1"/>
    <row r="390" ht="14.25" customHeight="1"/>
    <row r="391" ht="14.25" customHeight="1"/>
    <row r="392" ht="14.25" customHeight="1"/>
    <row r="393" ht="14.25" customHeight="1"/>
    <row r="394" ht="14.25" customHeight="1"/>
    <row r="395" ht="14.25" customHeight="1"/>
    <row r="396" ht="14.25" customHeight="1"/>
    <row r="397" ht="14.25" customHeight="1"/>
    <row r="398" ht="14.25" customHeight="1"/>
    <row r="399" ht="14.25" customHeight="1"/>
    <row r="400" ht="14.25" customHeight="1"/>
    <row r="401" ht="14.25" customHeight="1"/>
    <row r="402" ht="14.25" customHeight="1"/>
    <row r="403" ht="14.25" customHeight="1"/>
    <row r="404" ht="14.25" customHeight="1"/>
    <row r="405" ht="14.25" customHeight="1"/>
    <row r="406" ht="14.25" customHeight="1"/>
    <row r="407" ht="14.25" customHeight="1"/>
    <row r="408" ht="14.25" customHeight="1"/>
    <row r="409" ht="14.25" customHeight="1"/>
    <row r="410" ht="14.25" customHeight="1"/>
    <row r="411" ht="14.25" customHeight="1"/>
    <row r="412" ht="14.25" customHeight="1"/>
    <row r="413" ht="14.25" customHeight="1"/>
    <row r="414" ht="14.25" customHeight="1"/>
    <row r="415" ht="14.25" customHeight="1"/>
    <row r="416" ht="14.25" customHeight="1"/>
    <row r="417" ht="14.25" customHeight="1"/>
    <row r="418" ht="14.25" customHeight="1"/>
    <row r="419" ht="14.25" customHeight="1"/>
    <row r="420" ht="14.25" customHeight="1"/>
    <row r="421" ht="14.25" customHeight="1"/>
    <row r="422" ht="14.25" customHeight="1"/>
    <row r="423" ht="15.6"/>
    <row r="424" ht="15.6"/>
    <row r="425" ht="15.6"/>
    <row r="426" ht="15.6"/>
    <row r="427" ht="15.6"/>
    <row r="428" ht="15.6"/>
    <row r="429" ht="15.6"/>
    <row r="430" ht="15.6"/>
    <row r="431" ht="14.25" customHeight="1"/>
    <row r="432" ht="14.25" customHeight="1"/>
    <row r="433" ht="14.25" customHeight="1"/>
    <row r="434" ht="14.25" customHeight="1"/>
    <row r="435" ht="14.25" customHeight="1"/>
    <row r="436" ht="14.25" customHeight="1"/>
    <row r="437" ht="14.25" customHeight="1"/>
    <row r="438" ht="14.25" customHeight="1"/>
    <row r="439" ht="14.25" customHeight="1"/>
    <row r="440" ht="14.25" customHeight="1"/>
    <row r="441" ht="14.25" customHeight="1"/>
    <row r="442" ht="14.25" customHeight="1"/>
    <row r="443" ht="14.25" customHeight="1"/>
    <row r="444" ht="14.25" customHeight="1"/>
    <row r="445" ht="14.25" customHeight="1"/>
    <row r="446" ht="14.25" customHeight="1"/>
    <row r="447" ht="14.25" customHeight="1"/>
    <row r="448" ht="14.25" customHeight="1"/>
    <row r="449" ht="14.25" customHeight="1"/>
    <row r="450" ht="14.25" customHeight="1"/>
    <row r="451" ht="14.25" customHeight="1"/>
    <row r="452" ht="14.25" customHeight="1"/>
    <row r="453" ht="14.25" customHeight="1"/>
    <row r="454" ht="14.25" customHeight="1"/>
    <row r="455" ht="14.25" customHeight="1"/>
    <row r="456" ht="14.25" customHeight="1"/>
    <row r="457" ht="14.25" customHeight="1"/>
    <row r="458" ht="14.25" customHeight="1"/>
    <row r="459" ht="14.25" customHeight="1"/>
    <row r="460" ht="14.25" customHeight="1"/>
    <row r="461" ht="14.25" customHeight="1"/>
    <row r="462" ht="14.25" customHeight="1"/>
    <row r="463" ht="14.25" customHeight="1"/>
    <row r="464" ht="14.25" customHeight="1"/>
    <row r="465" ht="14.25" customHeight="1"/>
    <row r="466" ht="14.25" customHeight="1"/>
    <row r="467" ht="14.25" customHeight="1"/>
    <row r="468" ht="14.25" customHeight="1"/>
    <row r="469" ht="14.25" customHeight="1"/>
    <row r="470" ht="14.25" customHeight="1"/>
    <row r="471" ht="14.25" customHeight="1"/>
    <row r="472" ht="14.25" customHeight="1"/>
    <row r="473" ht="14.25" customHeight="1"/>
    <row r="474" ht="14.25" customHeight="1"/>
    <row r="475" ht="14.25" customHeight="1"/>
    <row r="476" ht="14.25" customHeight="1"/>
    <row r="477" ht="14.25" customHeight="1"/>
    <row r="478" ht="14.25" customHeight="1"/>
    <row r="479" ht="14.25" customHeight="1"/>
    <row r="480" ht="14.25" customHeight="1"/>
    <row r="481" ht="14.25" customHeight="1"/>
    <row r="482" ht="14.25" customHeight="1"/>
    <row r="483" ht="14.25" customHeight="1"/>
    <row r="484" ht="14.25" customHeight="1"/>
    <row r="485" ht="14.25" customHeight="1"/>
    <row r="486" ht="14.25" customHeight="1"/>
    <row r="487" ht="14.25" customHeight="1"/>
    <row r="488" ht="14.25" customHeight="1"/>
    <row r="489" ht="14.25" customHeight="1"/>
    <row r="490" ht="14.25" customHeight="1"/>
    <row r="491" ht="14.25" customHeight="1"/>
    <row r="492" ht="14.25" customHeight="1"/>
    <row r="493" ht="14.25" customHeight="1"/>
    <row r="494" ht="14.25" customHeight="1"/>
    <row r="495" ht="14.25" customHeight="1"/>
    <row r="496" ht="14.25" customHeight="1"/>
    <row r="497" ht="14.25" customHeight="1"/>
    <row r="498" ht="14.25" customHeight="1"/>
    <row r="499" ht="14.25" customHeight="1"/>
    <row r="500" ht="14.25" customHeight="1"/>
    <row r="501" ht="14.25" customHeight="1"/>
    <row r="502" ht="14.25" customHeight="1"/>
    <row r="503" ht="14.25" customHeight="1"/>
    <row r="504" ht="14.25" customHeight="1"/>
    <row r="505" ht="14.25" customHeight="1"/>
    <row r="506" ht="14.25" customHeight="1"/>
    <row r="507" ht="14.25" customHeight="1"/>
    <row r="508" ht="14.25" customHeight="1"/>
    <row r="509" ht="14.25" customHeight="1"/>
    <row r="510" ht="14.25" customHeight="1"/>
    <row r="511" ht="14.25" customHeight="1"/>
    <row r="512" ht="14.25" customHeight="1"/>
    <row r="513" ht="14.25" customHeight="1"/>
    <row r="514" ht="14.25" customHeight="1"/>
    <row r="515" ht="14.25" customHeight="1"/>
    <row r="516" ht="14.25" customHeight="1"/>
    <row r="517" ht="14.25" customHeight="1"/>
    <row r="518" ht="14.25" customHeight="1"/>
    <row r="519" ht="14.25" customHeight="1"/>
    <row r="520" ht="14.25" customHeight="1"/>
    <row r="521" ht="14.25" customHeight="1"/>
    <row r="522" ht="14.25" customHeight="1"/>
    <row r="523" ht="14.25" customHeight="1"/>
    <row r="524" ht="14.25" customHeight="1"/>
    <row r="525" ht="14.25" customHeight="1"/>
    <row r="526" ht="14.25" customHeight="1"/>
    <row r="527" ht="14.25" customHeight="1"/>
    <row r="528" ht="14.25" customHeight="1"/>
    <row r="529" ht="14.25" customHeight="1"/>
    <row r="530" ht="14.25" customHeight="1"/>
    <row r="531" ht="14.25" customHeight="1"/>
    <row r="532" ht="14.25" customHeight="1"/>
    <row r="533" ht="14.25" customHeight="1"/>
    <row r="534" ht="14.25" customHeight="1"/>
    <row r="535" ht="14.25" customHeight="1"/>
    <row r="536" ht="14.25" customHeight="1"/>
    <row r="537" ht="14.25" customHeight="1"/>
    <row r="538" ht="14.25" customHeight="1"/>
    <row r="539" ht="14.25" customHeight="1"/>
    <row r="540" ht="14.25" customHeight="1"/>
    <row r="541" ht="14.25" customHeight="1"/>
    <row r="542" ht="14.25" customHeight="1"/>
    <row r="543" ht="14.25" customHeight="1"/>
    <row r="544" ht="14.25" customHeight="1"/>
    <row r="545" ht="14.25" customHeight="1"/>
    <row r="546" ht="14.25" customHeight="1"/>
    <row r="547" ht="14.25" customHeight="1"/>
    <row r="548" ht="14.25" customHeight="1"/>
    <row r="549" ht="14.25" customHeight="1"/>
    <row r="550" ht="14.25" customHeight="1"/>
    <row r="551" ht="14.25" customHeight="1"/>
    <row r="552" ht="14.25" customHeight="1"/>
    <row r="553" ht="14.25" customHeight="1"/>
    <row r="554" ht="14.25" customHeight="1"/>
    <row r="555" ht="14.25" customHeight="1"/>
    <row r="556" ht="14.25" customHeight="1"/>
  </sheetData>
  <mergeCells count="18">
    <mergeCell ref="H7:H8"/>
    <mergeCell ref="I7:I8"/>
    <mergeCell ref="A6:B6"/>
    <mergeCell ref="D6:E6"/>
    <mergeCell ref="F6:G6"/>
    <mergeCell ref="A7:A23"/>
    <mergeCell ref="B7:B8"/>
    <mergeCell ref="C7:C8"/>
    <mergeCell ref="D7:F7"/>
    <mergeCell ref="G7:G8"/>
    <mergeCell ref="A5:B5"/>
    <mergeCell ref="D5:E5"/>
    <mergeCell ref="F5:G5"/>
    <mergeCell ref="A1:H1"/>
    <mergeCell ref="A2:H2"/>
    <mergeCell ref="A3:B3"/>
    <mergeCell ref="D3:I3"/>
    <mergeCell ref="A4:I4"/>
  </mergeCells>
  <phoneticPr fontId="51" type="noConversion"/>
  <dataValidations count="1">
    <dataValidation type="list" allowBlank="1" showInputMessage="1" showErrorMessage="1" sqref="C3">
      <formula1>"10,20,30,40"</formula1>
    </dataValidation>
  </dataValidations>
  <hyperlinks>
    <hyperlink ref="J23" location="企业所得税汇总纳税分支机构所得税分配表!A1" display="企业所得税汇总纳税分支机构所得税分配表!A1"/>
  </hyperlinks>
  <printOptions horizontalCentered="1"/>
  <pageMargins left="0.78740157480314998" right="0.35433070866141703" top="0.511811023622047" bottom="0.11811023622047198" header="0.511811023622047" footer="0.511811023622047"/>
  <pageSetup paperSize="9" orientation="portrait" r:id="rId1"/>
  <headerFooter alignWithMargins="0"/>
</worksheet>
</file>

<file path=xl/worksheets/sheet16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37"/>
  <dimension ref="A1:G15"/>
  <sheetViews>
    <sheetView zoomScaleNormal="100" workbookViewId="0">
      <selection activeCell="J16" sqref="J16"/>
    </sheetView>
  </sheetViews>
  <sheetFormatPr defaultColWidth="8.09765625" defaultRowHeight="15.6"/>
  <cols>
    <col min="1" max="1" width="20.3984375" style="2468" customWidth="1"/>
    <col min="2" max="2" width="18.59765625" style="2468" customWidth="1"/>
    <col min="3" max="3" width="15.8984375" style="2468" customWidth="1"/>
    <col min="4" max="4" width="20.3984375" style="2468" customWidth="1"/>
    <col min="5" max="5" width="14.5" style="2468" customWidth="1"/>
    <col min="6" max="6" width="5.5" style="2468" customWidth="1"/>
    <col min="7" max="256" width="8.09765625" style="2468"/>
    <col min="257" max="257" width="15.8984375" style="2468" customWidth="1"/>
    <col min="258" max="258" width="18.59765625" style="2468" customWidth="1"/>
    <col min="259" max="259" width="15.8984375" style="2468" customWidth="1"/>
    <col min="260" max="260" width="17.5" style="2468" customWidth="1"/>
    <col min="261" max="261" width="12.69921875" style="2468" customWidth="1"/>
    <col min="262" max="262" width="5.5" style="2468" customWidth="1"/>
    <col min="263" max="512" width="8.09765625" style="2468"/>
    <col min="513" max="513" width="15.8984375" style="2468" customWidth="1"/>
    <col min="514" max="514" width="18.59765625" style="2468" customWidth="1"/>
    <col min="515" max="515" width="15.8984375" style="2468" customWidth="1"/>
    <col min="516" max="516" width="17.5" style="2468" customWidth="1"/>
    <col min="517" max="517" width="12.69921875" style="2468" customWidth="1"/>
    <col min="518" max="518" width="5.5" style="2468" customWidth="1"/>
    <col min="519" max="768" width="8.09765625" style="2468"/>
    <col min="769" max="769" width="15.8984375" style="2468" customWidth="1"/>
    <col min="770" max="770" width="18.59765625" style="2468" customWidth="1"/>
    <col min="771" max="771" width="15.8984375" style="2468" customWidth="1"/>
    <col min="772" max="772" width="17.5" style="2468" customWidth="1"/>
    <col min="773" max="773" width="12.69921875" style="2468" customWidth="1"/>
    <col min="774" max="774" width="5.5" style="2468" customWidth="1"/>
    <col min="775" max="1024" width="8.09765625" style="2468"/>
    <col min="1025" max="1025" width="15.8984375" style="2468" customWidth="1"/>
    <col min="1026" max="1026" width="18.59765625" style="2468" customWidth="1"/>
    <col min="1027" max="1027" width="15.8984375" style="2468" customWidth="1"/>
    <col min="1028" max="1028" width="17.5" style="2468" customWidth="1"/>
    <col min="1029" max="1029" width="12.69921875" style="2468" customWidth="1"/>
    <col min="1030" max="1030" width="5.5" style="2468" customWidth="1"/>
    <col min="1031" max="1280" width="8.09765625" style="2468"/>
    <col min="1281" max="1281" width="15.8984375" style="2468" customWidth="1"/>
    <col min="1282" max="1282" width="18.59765625" style="2468" customWidth="1"/>
    <col min="1283" max="1283" width="15.8984375" style="2468" customWidth="1"/>
    <col min="1284" max="1284" width="17.5" style="2468" customWidth="1"/>
    <col min="1285" max="1285" width="12.69921875" style="2468" customWidth="1"/>
    <col min="1286" max="1286" width="5.5" style="2468" customWidth="1"/>
    <col min="1287" max="1536" width="8.09765625" style="2468"/>
    <col min="1537" max="1537" width="15.8984375" style="2468" customWidth="1"/>
    <col min="1538" max="1538" width="18.59765625" style="2468" customWidth="1"/>
    <col min="1539" max="1539" width="15.8984375" style="2468" customWidth="1"/>
    <col min="1540" max="1540" width="17.5" style="2468" customWidth="1"/>
    <col min="1541" max="1541" width="12.69921875" style="2468" customWidth="1"/>
    <col min="1542" max="1542" width="5.5" style="2468" customWidth="1"/>
    <col min="1543" max="1792" width="8.09765625" style="2468"/>
    <col min="1793" max="1793" width="15.8984375" style="2468" customWidth="1"/>
    <col min="1794" max="1794" width="18.59765625" style="2468" customWidth="1"/>
    <col min="1795" max="1795" width="15.8984375" style="2468" customWidth="1"/>
    <col min="1796" max="1796" width="17.5" style="2468" customWidth="1"/>
    <col min="1797" max="1797" width="12.69921875" style="2468" customWidth="1"/>
    <col min="1798" max="1798" width="5.5" style="2468" customWidth="1"/>
    <col min="1799" max="2048" width="8.09765625" style="2468"/>
    <col min="2049" max="2049" width="15.8984375" style="2468" customWidth="1"/>
    <col min="2050" max="2050" width="18.59765625" style="2468" customWidth="1"/>
    <col min="2051" max="2051" width="15.8984375" style="2468" customWidth="1"/>
    <col min="2052" max="2052" width="17.5" style="2468" customWidth="1"/>
    <col min="2053" max="2053" width="12.69921875" style="2468" customWidth="1"/>
    <col min="2054" max="2054" width="5.5" style="2468" customWidth="1"/>
    <col min="2055" max="2304" width="8.09765625" style="2468"/>
    <col min="2305" max="2305" width="15.8984375" style="2468" customWidth="1"/>
    <col min="2306" max="2306" width="18.59765625" style="2468" customWidth="1"/>
    <col min="2307" max="2307" width="15.8984375" style="2468" customWidth="1"/>
    <col min="2308" max="2308" width="17.5" style="2468" customWidth="1"/>
    <col min="2309" max="2309" width="12.69921875" style="2468" customWidth="1"/>
    <col min="2310" max="2310" width="5.5" style="2468" customWidth="1"/>
    <col min="2311" max="2560" width="8.09765625" style="2468"/>
    <col min="2561" max="2561" width="15.8984375" style="2468" customWidth="1"/>
    <col min="2562" max="2562" width="18.59765625" style="2468" customWidth="1"/>
    <col min="2563" max="2563" width="15.8984375" style="2468" customWidth="1"/>
    <col min="2564" max="2564" width="17.5" style="2468" customWidth="1"/>
    <col min="2565" max="2565" width="12.69921875" style="2468" customWidth="1"/>
    <col min="2566" max="2566" width="5.5" style="2468" customWidth="1"/>
    <col min="2567" max="2816" width="8.09765625" style="2468"/>
    <col min="2817" max="2817" width="15.8984375" style="2468" customWidth="1"/>
    <col min="2818" max="2818" width="18.59765625" style="2468" customWidth="1"/>
    <col min="2819" max="2819" width="15.8984375" style="2468" customWidth="1"/>
    <col min="2820" max="2820" width="17.5" style="2468" customWidth="1"/>
    <col min="2821" max="2821" width="12.69921875" style="2468" customWidth="1"/>
    <col min="2822" max="2822" width="5.5" style="2468" customWidth="1"/>
    <col min="2823" max="3072" width="8.09765625" style="2468"/>
    <col min="3073" max="3073" width="15.8984375" style="2468" customWidth="1"/>
    <col min="3074" max="3074" width="18.59765625" style="2468" customWidth="1"/>
    <col min="3075" max="3075" width="15.8984375" style="2468" customWidth="1"/>
    <col min="3076" max="3076" width="17.5" style="2468" customWidth="1"/>
    <col min="3077" max="3077" width="12.69921875" style="2468" customWidth="1"/>
    <col min="3078" max="3078" width="5.5" style="2468" customWidth="1"/>
    <col min="3079" max="3328" width="8.09765625" style="2468"/>
    <col min="3329" max="3329" width="15.8984375" style="2468" customWidth="1"/>
    <col min="3330" max="3330" width="18.59765625" style="2468" customWidth="1"/>
    <col min="3331" max="3331" width="15.8984375" style="2468" customWidth="1"/>
    <col min="3332" max="3332" width="17.5" style="2468" customWidth="1"/>
    <col min="3333" max="3333" width="12.69921875" style="2468" customWidth="1"/>
    <col min="3334" max="3334" width="5.5" style="2468" customWidth="1"/>
    <col min="3335" max="3584" width="8.09765625" style="2468"/>
    <col min="3585" max="3585" width="15.8984375" style="2468" customWidth="1"/>
    <col min="3586" max="3586" width="18.59765625" style="2468" customWidth="1"/>
    <col min="3587" max="3587" width="15.8984375" style="2468" customWidth="1"/>
    <col min="3588" max="3588" width="17.5" style="2468" customWidth="1"/>
    <col min="3589" max="3589" width="12.69921875" style="2468" customWidth="1"/>
    <col min="3590" max="3590" width="5.5" style="2468" customWidth="1"/>
    <col min="3591" max="3840" width="8.09765625" style="2468"/>
    <col min="3841" max="3841" width="15.8984375" style="2468" customWidth="1"/>
    <col min="3842" max="3842" width="18.59765625" style="2468" customWidth="1"/>
    <col min="3843" max="3843" width="15.8984375" style="2468" customWidth="1"/>
    <col min="3844" max="3844" width="17.5" style="2468" customWidth="1"/>
    <col min="3845" max="3845" width="12.69921875" style="2468" customWidth="1"/>
    <col min="3846" max="3846" width="5.5" style="2468" customWidth="1"/>
    <col min="3847" max="4096" width="8.09765625" style="2468"/>
    <col min="4097" max="4097" width="15.8984375" style="2468" customWidth="1"/>
    <col min="4098" max="4098" width="18.59765625" style="2468" customWidth="1"/>
    <col min="4099" max="4099" width="15.8984375" style="2468" customWidth="1"/>
    <col min="4100" max="4100" width="17.5" style="2468" customWidth="1"/>
    <col min="4101" max="4101" width="12.69921875" style="2468" customWidth="1"/>
    <col min="4102" max="4102" width="5.5" style="2468" customWidth="1"/>
    <col min="4103" max="4352" width="8.09765625" style="2468"/>
    <col min="4353" max="4353" width="15.8984375" style="2468" customWidth="1"/>
    <col min="4354" max="4354" width="18.59765625" style="2468" customWidth="1"/>
    <col min="4355" max="4355" width="15.8984375" style="2468" customWidth="1"/>
    <col min="4356" max="4356" width="17.5" style="2468" customWidth="1"/>
    <col min="4357" max="4357" width="12.69921875" style="2468" customWidth="1"/>
    <col min="4358" max="4358" width="5.5" style="2468" customWidth="1"/>
    <col min="4359" max="4608" width="8.09765625" style="2468"/>
    <col min="4609" max="4609" width="15.8984375" style="2468" customWidth="1"/>
    <col min="4610" max="4610" width="18.59765625" style="2468" customWidth="1"/>
    <col min="4611" max="4611" width="15.8984375" style="2468" customWidth="1"/>
    <col min="4612" max="4612" width="17.5" style="2468" customWidth="1"/>
    <col min="4613" max="4613" width="12.69921875" style="2468" customWidth="1"/>
    <col min="4614" max="4614" width="5.5" style="2468" customWidth="1"/>
    <col min="4615" max="4864" width="8.09765625" style="2468"/>
    <col min="4865" max="4865" width="15.8984375" style="2468" customWidth="1"/>
    <col min="4866" max="4866" width="18.59765625" style="2468" customWidth="1"/>
    <col min="4867" max="4867" width="15.8984375" style="2468" customWidth="1"/>
    <col min="4868" max="4868" width="17.5" style="2468" customWidth="1"/>
    <col min="4869" max="4869" width="12.69921875" style="2468" customWidth="1"/>
    <col min="4870" max="4870" width="5.5" style="2468" customWidth="1"/>
    <col min="4871" max="5120" width="8.09765625" style="2468"/>
    <col min="5121" max="5121" width="15.8984375" style="2468" customWidth="1"/>
    <col min="5122" max="5122" width="18.59765625" style="2468" customWidth="1"/>
    <col min="5123" max="5123" width="15.8984375" style="2468" customWidth="1"/>
    <col min="5124" max="5124" width="17.5" style="2468" customWidth="1"/>
    <col min="5125" max="5125" width="12.69921875" style="2468" customWidth="1"/>
    <col min="5126" max="5126" width="5.5" style="2468" customWidth="1"/>
    <col min="5127" max="5376" width="8.09765625" style="2468"/>
    <col min="5377" max="5377" width="15.8984375" style="2468" customWidth="1"/>
    <col min="5378" max="5378" width="18.59765625" style="2468" customWidth="1"/>
    <col min="5379" max="5379" width="15.8984375" style="2468" customWidth="1"/>
    <col min="5380" max="5380" width="17.5" style="2468" customWidth="1"/>
    <col min="5381" max="5381" width="12.69921875" style="2468" customWidth="1"/>
    <col min="5382" max="5382" width="5.5" style="2468" customWidth="1"/>
    <col min="5383" max="5632" width="8.09765625" style="2468"/>
    <col min="5633" max="5633" width="15.8984375" style="2468" customWidth="1"/>
    <col min="5634" max="5634" width="18.59765625" style="2468" customWidth="1"/>
    <col min="5635" max="5635" width="15.8984375" style="2468" customWidth="1"/>
    <col min="5636" max="5636" width="17.5" style="2468" customWidth="1"/>
    <col min="5637" max="5637" width="12.69921875" style="2468" customWidth="1"/>
    <col min="5638" max="5638" width="5.5" style="2468" customWidth="1"/>
    <col min="5639" max="5888" width="8.09765625" style="2468"/>
    <col min="5889" max="5889" width="15.8984375" style="2468" customWidth="1"/>
    <col min="5890" max="5890" width="18.59765625" style="2468" customWidth="1"/>
    <col min="5891" max="5891" width="15.8984375" style="2468" customWidth="1"/>
    <col min="5892" max="5892" width="17.5" style="2468" customWidth="1"/>
    <col min="5893" max="5893" width="12.69921875" style="2468" customWidth="1"/>
    <col min="5894" max="5894" width="5.5" style="2468" customWidth="1"/>
    <col min="5895" max="6144" width="8.09765625" style="2468"/>
    <col min="6145" max="6145" width="15.8984375" style="2468" customWidth="1"/>
    <col min="6146" max="6146" width="18.59765625" style="2468" customWidth="1"/>
    <col min="6147" max="6147" width="15.8984375" style="2468" customWidth="1"/>
    <col min="6148" max="6148" width="17.5" style="2468" customWidth="1"/>
    <col min="6149" max="6149" width="12.69921875" style="2468" customWidth="1"/>
    <col min="6150" max="6150" width="5.5" style="2468" customWidth="1"/>
    <col min="6151" max="6400" width="8.09765625" style="2468"/>
    <col min="6401" max="6401" width="15.8984375" style="2468" customWidth="1"/>
    <col min="6402" max="6402" width="18.59765625" style="2468" customWidth="1"/>
    <col min="6403" max="6403" width="15.8984375" style="2468" customWidth="1"/>
    <col min="6404" max="6404" width="17.5" style="2468" customWidth="1"/>
    <col min="6405" max="6405" width="12.69921875" style="2468" customWidth="1"/>
    <col min="6406" max="6406" width="5.5" style="2468" customWidth="1"/>
    <col min="6407" max="6656" width="8.09765625" style="2468"/>
    <col min="6657" max="6657" width="15.8984375" style="2468" customWidth="1"/>
    <col min="6658" max="6658" width="18.59765625" style="2468" customWidth="1"/>
    <col min="6659" max="6659" width="15.8984375" style="2468" customWidth="1"/>
    <col min="6660" max="6660" width="17.5" style="2468" customWidth="1"/>
    <col min="6661" max="6661" width="12.69921875" style="2468" customWidth="1"/>
    <col min="6662" max="6662" width="5.5" style="2468" customWidth="1"/>
    <col min="6663" max="6912" width="8.09765625" style="2468"/>
    <col min="6913" max="6913" width="15.8984375" style="2468" customWidth="1"/>
    <col min="6914" max="6914" width="18.59765625" style="2468" customWidth="1"/>
    <col min="6915" max="6915" width="15.8984375" style="2468" customWidth="1"/>
    <col min="6916" max="6916" width="17.5" style="2468" customWidth="1"/>
    <col min="6917" max="6917" width="12.69921875" style="2468" customWidth="1"/>
    <col min="6918" max="6918" width="5.5" style="2468" customWidth="1"/>
    <col min="6919" max="7168" width="8.09765625" style="2468"/>
    <col min="7169" max="7169" width="15.8984375" style="2468" customWidth="1"/>
    <col min="7170" max="7170" width="18.59765625" style="2468" customWidth="1"/>
    <col min="7171" max="7171" width="15.8984375" style="2468" customWidth="1"/>
    <col min="7172" max="7172" width="17.5" style="2468" customWidth="1"/>
    <col min="7173" max="7173" width="12.69921875" style="2468" customWidth="1"/>
    <col min="7174" max="7174" width="5.5" style="2468" customWidth="1"/>
    <col min="7175" max="7424" width="8.09765625" style="2468"/>
    <col min="7425" max="7425" width="15.8984375" style="2468" customWidth="1"/>
    <col min="7426" max="7426" width="18.59765625" style="2468" customWidth="1"/>
    <col min="7427" max="7427" width="15.8984375" style="2468" customWidth="1"/>
    <col min="7428" max="7428" width="17.5" style="2468" customWidth="1"/>
    <col min="7429" max="7429" width="12.69921875" style="2468" customWidth="1"/>
    <col min="7430" max="7430" width="5.5" style="2468" customWidth="1"/>
    <col min="7431" max="7680" width="8.09765625" style="2468"/>
    <col min="7681" max="7681" width="15.8984375" style="2468" customWidth="1"/>
    <col min="7682" max="7682" width="18.59765625" style="2468" customWidth="1"/>
    <col min="7683" max="7683" width="15.8984375" style="2468" customWidth="1"/>
    <col min="7684" max="7684" width="17.5" style="2468" customWidth="1"/>
    <col min="7685" max="7685" width="12.69921875" style="2468" customWidth="1"/>
    <col min="7686" max="7686" width="5.5" style="2468" customWidth="1"/>
    <col min="7687" max="7936" width="8.09765625" style="2468"/>
    <col min="7937" max="7937" width="15.8984375" style="2468" customWidth="1"/>
    <col min="7938" max="7938" width="18.59765625" style="2468" customWidth="1"/>
    <col min="7939" max="7939" width="15.8984375" style="2468" customWidth="1"/>
    <col min="7940" max="7940" width="17.5" style="2468" customWidth="1"/>
    <col min="7941" max="7941" width="12.69921875" style="2468" customWidth="1"/>
    <col min="7942" max="7942" width="5.5" style="2468" customWidth="1"/>
    <col min="7943" max="8192" width="8.09765625" style="2468"/>
    <col min="8193" max="8193" width="15.8984375" style="2468" customWidth="1"/>
    <col min="8194" max="8194" width="18.59765625" style="2468" customWidth="1"/>
    <col min="8195" max="8195" width="15.8984375" style="2468" customWidth="1"/>
    <col min="8196" max="8196" width="17.5" style="2468" customWidth="1"/>
    <col min="8197" max="8197" width="12.69921875" style="2468" customWidth="1"/>
    <col min="8198" max="8198" width="5.5" style="2468" customWidth="1"/>
    <col min="8199" max="8448" width="8.09765625" style="2468"/>
    <col min="8449" max="8449" width="15.8984375" style="2468" customWidth="1"/>
    <col min="8450" max="8450" width="18.59765625" style="2468" customWidth="1"/>
    <col min="8451" max="8451" width="15.8984375" style="2468" customWidth="1"/>
    <col min="8452" max="8452" width="17.5" style="2468" customWidth="1"/>
    <col min="8453" max="8453" width="12.69921875" style="2468" customWidth="1"/>
    <col min="8454" max="8454" width="5.5" style="2468" customWidth="1"/>
    <col min="8455" max="8704" width="8.09765625" style="2468"/>
    <col min="8705" max="8705" width="15.8984375" style="2468" customWidth="1"/>
    <col min="8706" max="8706" width="18.59765625" style="2468" customWidth="1"/>
    <col min="8707" max="8707" width="15.8984375" style="2468" customWidth="1"/>
    <col min="8708" max="8708" width="17.5" style="2468" customWidth="1"/>
    <col min="8709" max="8709" width="12.69921875" style="2468" customWidth="1"/>
    <col min="8710" max="8710" width="5.5" style="2468" customWidth="1"/>
    <col min="8711" max="8960" width="8.09765625" style="2468"/>
    <col min="8961" max="8961" width="15.8984375" style="2468" customWidth="1"/>
    <col min="8962" max="8962" width="18.59765625" style="2468" customWidth="1"/>
    <col min="8963" max="8963" width="15.8984375" style="2468" customWidth="1"/>
    <col min="8964" max="8964" width="17.5" style="2468" customWidth="1"/>
    <col min="8965" max="8965" width="12.69921875" style="2468" customWidth="1"/>
    <col min="8966" max="8966" width="5.5" style="2468" customWidth="1"/>
    <col min="8967" max="9216" width="8.09765625" style="2468"/>
    <col min="9217" max="9217" width="15.8984375" style="2468" customWidth="1"/>
    <col min="9218" max="9218" width="18.59765625" style="2468" customWidth="1"/>
    <col min="9219" max="9219" width="15.8984375" style="2468" customWidth="1"/>
    <col min="9220" max="9220" width="17.5" style="2468" customWidth="1"/>
    <col min="9221" max="9221" width="12.69921875" style="2468" customWidth="1"/>
    <col min="9222" max="9222" width="5.5" style="2468" customWidth="1"/>
    <col min="9223" max="9472" width="8.09765625" style="2468"/>
    <col min="9473" max="9473" width="15.8984375" style="2468" customWidth="1"/>
    <col min="9474" max="9474" width="18.59765625" style="2468" customWidth="1"/>
    <col min="9475" max="9475" width="15.8984375" style="2468" customWidth="1"/>
    <col min="9476" max="9476" width="17.5" style="2468" customWidth="1"/>
    <col min="9477" max="9477" width="12.69921875" style="2468" customWidth="1"/>
    <col min="9478" max="9478" width="5.5" style="2468" customWidth="1"/>
    <col min="9479" max="9728" width="8.09765625" style="2468"/>
    <col min="9729" max="9729" width="15.8984375" style="2468" customWidth="1"/>
    <col min="9730" max="9730" width="18.59765625" style="2468" customWidth="1"/>
    <col min="9731" max="9731" width="15.8984375" style="2468" customWidth="1"/>
    <col min="9732" max="9732" width="17.5" style="2468" customWidth="1"/>
    <col min="9733" max="9733" width="12.69921875" style="2468" customWidth="1"/>
    <col min="9734" max="9734" width="5.5" style="2468" customWidth="1"/>
    <col min="9735" max="9984" width="8.09765625" style="2468"/>
    <col min="9985" max="9985" width="15.8984375" style="2468" customWidth="1"/>
    <col min="9986" max="9986" width="18.59765625" style="2468" customWidth="1"/>
    <col min="9987" max="9987" width="15.8984375" style="2468" customWidth="1"/>
    <col min="9988" max="9988" width="17.5" style="2468" customWidth="1"/>
    <col min="9989" max="9989" width="12.69921875" style="2468" customWidth="1"/>
    <col min="9990" max="9990" width="5.5" style="2468" customWidth="1"/>
    <col min="9991" max="10240" width="8.09765625" style="2468"/>
    <col min="10241" max="10241" width="15.8984375" style="2468" customWidth="1"/>
    <col min="10242" max="10242" width="18.59765625" style="2468" customWidth="1"/>
    <col min="10243" max="10243" width="15.8984375" style="2468" customWidth="1"/>
    <col min="10244" max="10244" width="17.5" style="2468" customWidth="1"/>
    <col min="10245" max="10245" width="12.69921875" style="2468" customWidth="1"/>
    <col min="10246" max="10246" width="5.5" style="2468" customWidth="1"/>
    <col min="10247" max="10496" width="8.09765625" style="2468"/>
    <col min="10497" max="10497" width="15.8984375" style="2468" customWidth="1"/>
    <col min="10498" max="10498" width="18.59765625" style="2468" customWidth="1"/>
    <col min="10499" max="10499" width="15.8984375" style="2468" customWidth="1"/>
    <col min="10500" max="10500" width="17.5" style="2468" customWidth="1"/>
    <col min="10501" max="10501" width="12.69921875" style="2468" customWidth="1"/>
    <col min="10502" max="10502" width="5.5" style="2468" customWidth="1"/>
    <col min="10503" max="10752" width="8.09765625" style="2468"/>
    <col min="10753" max="10753" width="15.8984375" style="2468" customWidth="1"/>
    <col min="10754" max="10754" width="18.59765625" style="2468" customWidth="1"/>
    <col min="10755" max="10755" width="15.8984375" style="2468" customWidth="1"/>
    <col min="10756" max="10756" width="17.5" style="2468" customWidth="1"/>
    <col min="10757" max="10757" width="12.69921875" style="2468" customWidth="1"/>
    <col min="10758" max="10758" width="5.5" style="2468" customWidth="1"/>
    <col min="10759" max="11008" width="8.09765625" style="2468"/>
    <col min="11009" max="11009" width="15.8984375" style="2468" customWidth="1"/>
    <col min="11010" max="11010" width="18.59765625" style="2468" customWidth="1"/>
    <col min="11011" max="11011" width="15.8984375" style="2468" customWidth="1"/>
    <col min="11012" max="11012" width="17.5" style="2468" customWidth="1"/>
    <col min="11013" max="11013" width="12.69921875" style="2468" customWidth="1"/>
    <col min="11014" max="11014" width="5.5" style="2468" customWidth="1"/>
    <col min="11015" max="11264" width="8.09765625" style="2468"/>
    <col min="11265" max="11265" width="15.8984375" style="2468" customWidth="1"/>
    <col min="11266" max="11266" width="18.59765625" style="2468" customWidth="1"/>
    <col min="11267" max="11267" width="15.8984375" style="2468" customWidth="1"/>
    <col min="11268" max="11268" width="17.5" style="2468" customWidth="1"/>
    <col min="11269" max="11269" width="12.69921875" style="2468" customWidth="1"/>
    <col min="11270" max="11270" width="5.5" style="2468" customWidth="1"/>
    <col min="11271" max="11520" width="8.09765625" style="2468"/>
    <col min="11521" max="11521" width="15.8984375" style="2468" customWidth="1"/>
    <col min="11522" max="11522" width="18.59765625" style="2468" customWidth="1"/>
    <col min="11523" max="11523" width="15.8984375" style="2468" customWidth="1"/>
    <col min="11524" max="11524" width="17.5" style="2468" customWidth="1"/>
    <col min="11525" max="11525" width="12.69921875" style="2468" customWidth="1"/>
    <col min="11526" max="11526" width="5.5" style="2468" customWidth="1"/>
    <col min="11527" max="11776" width="8.09765625" style="2468"/>
    <col min="11777" max="11777" width="15.8984375" style="2468" customWidth="1"/>
    <col min="11778" max="11778" width="18.59765625" style="2468" customWidth="1"/>
    <col min="11779" max="11779" width="15.8984375" style="2468" customWidth="1"/>
    <col min="11780" max="11780" width="17.5" style="2468" customWidth="1"/>
    <col min="11781" max="11781" width="12.69921875" style="2468" customWidth="1"/>
    <col min="11782" max="11782" width="5.5" style="2468" customWidth="1"/>
    <col min="11783" max="12032" width="8.09765625" style="2468"/>
    <col min="12033" max="12033" width="15.8984375" style="2468" customWidth="1"/>
    <col min="12034" max="12034" width="18.59765625" style="2468" customWidth="1"/>
    <col min="12035" max="12035" width="15.8984375" style="2468" customWidth="1"/>
    <col min="12036" max="12036" width="17.5" style="2468" customWidth="1"/>
    <col min="12037" max="12037" width="12.69921875" style="2468" customWidth="1"/>
    <col min="12038" max="12038" width="5.5" style="2468" customWidth="1"/>
    <col min="12039" max="12288" width="8.09765625" style="2468"/>
    <col min="12289" max="12289" width="15.8984375" style="2468" customWidth="1"/>
    <col min="12290" max="12290" width="18.59765625" style="2468" customWidth="1"/>
    <col min="12291" max="12291" width="15.8984375" style="2468" customWidth="1"/>
    <col min="12292" max="12292" width="17.5" style="2468" customWidth="1"/>
    <col min="12293" max="12293" width="12.69921875" style="2468" customWidth="1"/>
    <col min="12294" max="12294" width="5.5" style="2468" customWidth="1"/>
    <col min="12295" max="12544" width="8.09765625" style="2468"/>
    <col min="12545" max="12545" width="15.8984375" style="2468" customWidth="1"/>
    <col min="12546" max="12546" width="18.59765625" style="2468" customWidth="1"/>
    <col min="12547" max="12547" width="15.8984375" style="2468" customWidth="1"/>
    <col min="12548" max="12548" width="17.5" style="2468" customWidth="1"/>
    <col min="12549" max="12549" width="12.69921875" style="2468" customWidth="1"/>
    <col min="12550" max="12550" width="5.5" style="2468" customWidth="1"/>
    <col min="12551" max="12800" width="8.09765625" style="2468"/>
    <col min="12801" max="12801" width="15.8984375" style="2468" customWidth="1"/>
    <col min="12802" max="12802" width="18.59765625" style="2468" customWidth="1"/>
    <col min="12803" max="12803" width="15.8984375" style="2468" customWidth="1"/>
    <col min="12804" max="12804" width="17.5" style="2468" customWidth="1"/>
    <col min="12805" max="12805" width="12.69921875" style="2468" customWidth="1"/>
    <col min="12806" max="12806" width="5.5" style="2468" customWidth="1"/>
    <col min="12807" max="13056" width="8.09765625" style="2468"/>
    <col min="13057" max="13057" width="15.8984375" style="2468" customWidth="1"/>
    <col min="13058" max="13058" width="18.59765625" style="2468" customWidth="1"/>
    <col min="13059" max="13059" width="15.8984375" style="2468" customWidth="1"/>
    <col min="13060" max="13060" width="17.5" style="2468" customWidth="1"/>
    <col min="13061" max="13061" width="12.69921875" style="2468" customWidth="1"/>
    <col min="13062" max="13062" width="5.5" style="2468" customWidth="1"/>
    <col min="13063" max="13312" width="8.09765625" style="2468"/>
    <col min="13313" max="13313" width="15.8984375" style="2468" customWidth="1"/>
    <col min="13314" max="13314" width="18.59765625" style="2468" customWidth="1"/>
    <col min="13315" max="13315" width="15.8984375" style="2468" customWidth="1"/>
    <col min="13316" max="13316" width="17.5" style="2468" customWidth="1"/>
    <col min="13317" max="13317" width="12.69921875" style="2468" customWidth="1"/>
    <col min="13318" max="13318" width="5.5" style="2468" customWidth="1"/>
    <col min="13319" max="13568" width="8.09765625" style="2468"/>
    <col min="13569" max="13569" width="15.8984375" style="2468" customWidth="1"/>
    <col min="13570" max="13570" width="18.59765625" style="2468" customWidth="1"/>
    <col min="13571" max="13571" width="15.8984375" style="2468" customWidth="1"/>
    <col min="13572" max="13572" width="17.5" style="2468" customWidth="1"/>
    <col min="13573" max="13573" width="12.69921875" style="2468" customWidth="1"/>
    <col min="13574" max="13574" width="5.5" style="2468" customWidth="1"/>
    <col min="13575" max="13824" width="8.09765625" style="2468"/>
    <col min="13825" max="13825" width="15.8984375" style="2468" customWidth="1"/>
    <col min="13826" max="13826" width="18.59765625" style="2468" customWidth="1"/>
    <col min="13827" max="13827" width="15.8984375" style="2468" customWidth="1"/>
    <col min="13828" max="13828" width="17.5" style="2468" customWidth="1"/>
    <col min="13829" max="13829" width="12.69921875" style="2468" customWidth="1"/>
    <col min="13830" max="13830" width="5.5" style="2468" customWidth="1"/>
    <col min="13831" max="14080" width="8.09765625" style="2468"/>
    <col min="14081" max="14081" width="15.8984375" style="2468" customWidth="1"/>
    <col min="14082" max="14082" width="18.59765625" style="2468" customWidth="1"/>
    <col min="14083" max="14083" width="15.8984375" style="2468" customWidth="1"/>
    <col min="14084" max="14084" width="17.5" style="2468" customWidth="1"/>
    <col min="14085" max="14085" width="12.69921875" style="2468" customWidth="1"/>
    <col min="14086" max="14086" width="5.5" style="2468" customWidth="1"/>
    <col min="14087" max="14336" width="8.09765625" style="2468"/>
    <col min="14337" max="14337" width="15.8984375" style="2468" customWidth="1"/>
    <col min="14338" max="14338" width="18.59765625" style="2468" customWidth="1"/>
    <col min="14339" max="14339" width="15.8984375" style="2468" customWidth="1"/>
    <col min="14340" max="14340" width="17.5" style="2468" customWidth="1"/>
    <col min="14341" max="14341" width="12.69921875" style="2468" customWidth="1"/>
    <col min="14342" max="14342" width="5.5" style="2468" customWidth="1"/>
    <col min="14343" max="14592" width="8.09765625" style="2468"/>
    <col min="14593" max="14593" width="15.8984375" style="2468" customWidth="1"/>
    <col min="14594" max="14594" width="18.59765625" style="2468" customWidth="1"/>
    <col min="14595" max="14595" width="15.8984375" style="2468" customWidth="1"/>
    <col min="14596" max="14596" width="17.5" style="2468" customWidth="1"/>
    <col min="14597" max="14597" width="12.69921875" style="2468" customWidth="1"/>
    <col min="14598" max="14598" width="5.5" style="2468" customWidth="1"/>
    <col min="14599" max="14848" width="8.09765625" style="2468"/>
    <col min="14849" max="14849" width="15.8984375" style="2468" customWidth="1"/>
    <col min="14850" max="14850" width="18.59765625" style="2468" customWidth="1"/>
    <col min="14851" max="14851" width="15.8984375" style="2468" customWidth="1"/>
    <col min="14852" max="14852" width="17.5" style="2468" customWidth="1"/>
    <col min="14853" max="14853" width="12.69921875" style="2468" customWidth="1"/>
    <col min="14854" max="14854" width="5.5" style="2468" customWidth="1"/>
    <col min="14855" max="15104" width="8.09765625" style="2468"/>
    <col min="15105" max="15105" width="15.8984375" style="2468" customWidth="1"/>
    <col min="15106" max="15106" width="18.59765625" style="2468" customWidth="1"/>
    <col min="15107" max="15107" width="15.8984375" style="2468" customWidth="1"/>
    <col min="15108" max="15108" width="17.5" style="2468" customWidth="1"/>
    <col min="15109" max="15109" width="12.69921875" style="2468" customWidth="1"/>
    <col min="15110" max="15110" width="5.5" style="2468" customWidth="1"/>
    <col min="15111" max="15360" width="8.09765625" style="2468"/>
    <col min="15361" max="15361" width="15.8984375" style="2468" customWidth="1"/>
    <col min="15362" max="15362" width="18.59765625" style="2468" customWidth="1"/>
    <col min="15363" max="15363" width="15.8984375" style="2468" customWidth="1"/>
    <col min="15364" max="15364" width="17.5" style="2468" customWidth="1"/>
    <col min="15365" max="15365" width="12.69921875" style="2468" customWidth="1"/>
    <col min="15366" max="15366" width="5.5" style="2468" customWidth="1"/>
    <col min="15367" max="15616" width="8.09765625" style="2468"/>
    <col min="15617" max="15617" width="15.8984375" style="2468" customWidth="1"/>
    <col min="15618" max="15618" width="18.59765625" style="2468" customWidth="1"/>
    <col min="15619" max="15619" width="15.8984375" style="2468" customWidth="1"/>
    <col min="15620" max="15620" width="17.5" style="2468" customWidth="1"/>
    <col min="15621" max="15621" width="12.69921875" style="2468" customWidth="1"/>
    <col min="15622" max="15622" width="5.5" style="2468" customWidth="1"/>
    <col min="15623" max="15872" width="8.09765625" style="2468"/>
    <col min="15873" max="15873" width="15.8984375" style="2468" customWidth="1"/>
    <col min="15874" max="15874" width="18.59765625" style="2468" customWidth="1"/>
    <col min="15875" max="15875" width="15.8984375" style="2468" customWidth="1"/>
    <col min="15876" max="15876" width="17.5" style="2468" customWidth="1"/>
    <col min="15877" max="15877" width="12.69921875" style="2468" customWidth="1"/>
    <col min="15878" max="15878" width="5.5" style="2468" customWidth="1"/>
    <col min="15879" max="16128" width="8.09765625" style="2468"/>
    <col min="16129" max="16129" width="15.8984375" style="2468" customWidth="1"/>
    <col min="16130" max="16130" width="18.59765625" style="2468" customWidth="1"/>
    <col min="16131" max="16131" width="15.8984375" style="2468" customWidth="1"/>
    <col min="16132" max="16132" width="17.5" style="2468" customWidth="1"/>
    <col min="16133" max="16133" width="12.69921875" style="2468" customWidth="1"/>
    <col min="16134" max="16134" width="5.5" style="2468" customWidth="1"/>
    <col min="16135" max="16384" width="8.09765625" style="2468"/>
  </cols>
  <sheetData>
    <row r="1" spans="1:7">
      <c r="A1" s="3956" t="s">
        <v>7172</v>
      </c>
      <c r="B1" s="3956"/>
      <c r="C1" s="3956"/>
      <c r="D1" s="3440"/>
      <c r="E1" s="3440"/>
      <c r="F1" s="3440"/>
      <c r="G1" s="2487"/>
    </row>
    <row r="2" spans="1:7" ht="34.200000000000003" customHeight="1">
      <c r="A2" s="2707" t="s">
        <v>7414</v>
      </c>
      <c r="B2" s="2707"/>
      <c r="C2" s="2707"/>
      <c r="D2" s="2707"/>
      <c r="E2" s="2707"/>
      <c r="F2" s="2707"/>
      <c r="G2" s="2707"/>
    </row>
    <row r="3" spans="1:7" ht="25.5" customHeight="1">
      <c r="A3" s="2500" t="s">
        <v>7173</v>
      </c>
      <c r="B3" s="3949">
        <f>基本情况!B2</f>
        <v>0</v>
      </c>
      <c r="C3" s="3949"/>
      <c r="D3" s="2522" t="s">
        <v>1625</v>
      </c>
      <c r="E3" s="3950" t="str">
        <f>基本情况!B48</f>
        <v>0</v>
      </c>
      <c r="F3" s="3950"/>
      <c r="G3" s="3950"/>
    </row>
    <row r="4" spans="1:7" ht="25.5" customHeight="1">
      <c r="A4" s="2499" t="s">
        <v>7174</v>
      </c>
      <c r="B4" s="3951">
        <f>基本情况!B31</f>
        <v>0</v>
      </c>
      <c r="C4" s="3952"/>
      <c r="D4" s="2492" t="s">
        <v>420</v>
      </c>
      <c r="E4" s="3953">
        <f>基本情况!B36</f>
        <v>0</v>
      </c>
      <c r="F4" s="3954"/>
      <c r="G4" s="3955"/>
    </row>
    <row r="5" spans="1:7" ht="25.5" customHeight="1">
      <c r="A5" s="2489" t="s">
        <v>7175</v>
      </c>
      <c r="B5" s="3963">
        <f>地税、基本情况!B4</f>
        <v>0</v>
      </c>
      <c r="C5" s="3964"/>
      <c r="D5" s="2493" t="s">
        <v>409</v>
      </c>
      <c r="E5" s="3965">
        <f>基本情况!B34</f>
        <v>0</v>
      </c>
      <c r="F5" s="3965"/>
      <c r="G5" s="3965"/>
    </row>
    <row r="6" spans="1:7" ht="25.5" customHeight="1">
      <c r="A6" s="2488" t="s">
        <v>7176</v>
      </c>
      <c r="B6" s="2481"/>
      <c r="C6" s="2489" t="s">
        <v>7177</v>
      </c>
      <c r="D6" s="2481"/>
      <c r="E6" s="2500" t="s">
        <v>7415</v>
      </c>
      <c r="F6" s="3966"/>
      <c r="G6" s="3967"/>
    </row>
    <row r="7" spans="1:7" ht="25.5" customHeight="1">
      <c r="A7" s="2497" t="s">
        <v>7178</v>
      </c>
      <c r="B7" s="2495"/>
      <c r="C7" s="3959" t="s">
        <v>7179</v>
      </c>
      <c r="D7" s="3960"/>
      <c r="E7" s="3961"/>
      <c r="F7" s="3962"/>
      <c r="G7" s="3962"/>
    </row>
    <row r="8" spans="1:7" ht="31.5" customHeight="1">
      <c r="A8" s="3957" t="s">
        <v>7180</v>
      </c>
      <c r="B8" s="3959" t="s">
        <v>7181</v>
      </c>
      <c r="C8" s="3960"/>
      <c r="D8" s="3960"/>
      <c r="E8" s="3961"/>
      <c r="F8" s="3962"/>
      <c r="G8" s="3962"/>
    </row>
    <row r="9" spans="1:7" ht="31.5" customHeight="1">
      <c r="A9" s="3958"/>
      <c r="B9" s="3959" t="s">
        <v>7182</v>
      </c>
      <c r="C9" s="3960"/>
      <c r="D9" s="3960"/>
      <c r="E9" s="2496"/>
      <c r="F9" s="2497" t="s">
        <v>7183</v>
      </c>
      <c r="G9" s="1225"/>
    </row>
    <row r="10" spans="1:7" ht="31.5" customHeight="1">
      <c r="A10" s="3958"/>
      <c r="B10" s="3959" t="s">
        <v>7184</v>
      </c>
      <c r="C10" s="3960"/>
      <c r="D10" s="3960"/>
      <c r="E10" s="3971"/>
      <c r="F10" s="3972"/>
      <c r="G10" s="3973"/>
    </row>
    <row r="11" spans="1:7" ht="31.5" customHeight="1">
      <c r="A11" s="3958"/>
      <c r="B11" s="3959" t="s">
        <v>7185</v>
      </c>
      <c r="C11" s="3960"/>
      <c r="D11" s="3960"/>
      <c r="E11" s="2496"/>
      <c r="F11" s="2494" t="s">
        <v>7183</v>
      </c>
      <c r="G11" s="1225"/>
    </row>
    <row r="12" spans="1:7" ht="31.5" customHeight="1">
      <c r="A12" s="3958"/>
      <c r="B12" s="3959" t="s">
        <v>7186</v>
      </c>
      <c r="C12" s="3960"/>
      <c r="D12" s="3960"/>
      <c r="E12" s="3971"/>
      <c r="F12" s="3972"/>
      <c r="G12" s="3973"/>
    </row>
    <row r="13" spans="1:7" ht="25.5" customHeight="1">
      <c r="A13" s="2489" t="s">
        <v>7187</v>
      </c>
      <c r="B13" s="3974"/>
      <c r="C13" s="3975"/>
      <c r="D13" s="3975"/>
      <c r="E13" s="3975"/>
      <c r="F13" s="3975"/>
      <c r="G13" s="3976"/>
    </row>
    <row r="14" spans="1:7" ht="54" customHeight="1">
      <c r="A14" s="2490" t="s">
        <v>7188</v>
      </c>
      <c r="B14" s="3977"/>
      <c r="C14" s="3978"/>
      <c r="D14" s="3978"/>
      <c r="E14" s="3978"/>
      <c r="F14" s="3978"/>
      <c r="G14" s="3979"/>
    </row>
    <row r="15" spans="1:7" ht="25.5" customHeight="1">
      <c r="A15" s="2491" t="s">
        <v>7189</v>
      </c>
      <c r="B15" s="3968">
        <f>基本情况!B12</f>
        <v>0</v>
      </c>
      <c r="C15" s="3969"/>
      <c r="D15" s="2491" t="s">
        <v>7190</v>
      </c>
      <c r="E15" s="3968" t="str">
        <f>基本情况!B21</f>
        <v>2017年3月16日</v>
      </c>
      <c r="F15" s="3969"/>
      <c r="G15" s="3970"/>
    </row>
  </sheetData>
  <mergeCells count="25">
    <mergeCell ref="B15:C15"/>
    <mergeCell ref="E15:G15"/>
    <mergeCell ref="E10:G10"/>
    <mergeCell ref="B11:D11"/>
    <mergeCell ref="B12:D12"/>
    <mergeCell ref="E12:G12"/>
    <mergeCell ref="B13:G13"/>
    <mergeCell ref="B14:G14"/>
    <mergeCell ref="B5:C5"/>
    <mergeCell ref="E5:G5"/>
    <mergeCell ref="F6:G6"/>
    <mergeCell ref="C7:D7"/>
    <mergeCell ref="E7:G7"/>
    <mergeCell ref="A8:A12"/>
    <mergeCell ref="B8:D8"/>
    <mergeCell ref="E8:G8"/>
    <mergeCell ref="B9:D9"/>
    <mergeCell ref="B10:D10"/>
    <mergeCell ref="B3:C3"/>
    <mergeCell ref="E3:G3"/>
    <mergeCell ref="B4:C4"/>
    <mergeCell ref="E4:G4"/>
    <mergeCell ref="A1:C1"/>
    <mergeCell ref="D1:F1"/>
    <mergeCell ref="A2:G2"/>
  </mergeCells>
  <phoneticPr fontId="51" type="noConversion"/>
  <dataValidations count="3">
    <dataValidation type="list" allowBlank="1" showInputMessage="1" showErrorMessage="1" sqref="B7 IX7 ST7 ACP7 AML7 AWH7 BGD7 BPZ7 BZV7 CJR7 CTN7 DDJ7 DNF7 DXB7 EGX7 EQT7 FAP7 FKL7 FUH7 GED7 GNZ7 GXV7 HHR7 HRN7 IBJ7 ILF7 IVB7 JEX7 JOT7 JYP7 KIL7 KSH7 LCD7 LLZ7 LVV7 MFR7 MPN7 MZJ7 NJF7 NTB7 OCX7 OMT7 OWP7 PGL7 PQH7 QAD7 QJZ7 QTV7 RDR7 RNN7 RXJ7 SHF7 SRB7 TAX7 TKT7 TUP7 UEL7 UOH7 UYD7 VHZ7 VRV7 WBR7 WLN7 WVJ7 B65543 IX65543 ST65543 ACP65543 AML65543 AWH65543 BGD65543 BPZ65543 BZV65543 CJR65543 CTN65543 DDJ65543 DNF65543 DXB65543 EGX65543 EQT65543 FAP65543 FKL65543 FUH65543 GED65543 GNZ65543 GXV65543 HHR65543 HRN65543 IBJ65543 ILF65543 IVB65543 JEX65543 JOT65543 JYP65543 KIL65543 KSH65543 LCD65543 LLZ65543 LVV65543 MFR65543 MPN65543 MZJ65543 NJF65543 NTB65543 OCX65543 OMT65543 OWP65543 PGL65543 PQH65543 QAD65543 QJZ65543 QTV65543 RDR65543 RNN65543 RXJ65543 SHF65543 SRB65543 TAX65543 TKT65543 TUP65543 UEL65543 UOH65543 UYD65543 VHZ65543 VRV65543 WBR65543 WLN65543 WVJ65543 B131079 IX131079 ST131079 ACP131079 AML131079 AWH131079 BGD131079 BPZ131079 BZV131079 CJR131079 CTN131079 DDJ131079 DNF131079 DXB131079 EGX131079 EQT131079 FAP131079 FKL131079 FUH131079 GED131079 GNZ131079 GXV131079 HHR131079 HRN131079 IBJ131079 ILF131079 IVB131079 JEX131079 JOT131079 JYP131079 KIL131079 KSH131079 LCD131079 LLZ131079 LVV131079 MFR131079 MPN131079 MZJ131079 NJF131079 NTB131079 OCX131079 OMT131079 OWP131079 PGL131079 PQH131079 QAD131079 QJZ131079 QTV131079 RDR131079 RNN131079 RXJ131079 SHF131079 SRB131079 TAX131079 TKT131079 TUP131079 UEL131079 UOH131079 UYD131079 VHZ131079 VRV131079 WBR131079 WLN131079 WVJ131079 B196615 IX196615 ST196615 ACP196615 AML196615 AWH196615 BGD196615 BPZ196615 BZV196615 CJR196615 CTN196615 DDJ196615 DNF196615 DXB196615 EGX196615 EQT196615 FAP196615 FKL196615 FUH196615 GED196615 GNZ196615 GXV196615 HHR196615 HRN196615 IBJ196615 ILF196615 IVB196615 JEX196615 JOT196615 JYP196615 KIL196615 KSH196615 LCD196615 LLZ196615 LVV196615 MFR196615 MPN196615 MZJ196615 NJF196615 NTB196615 OCX196615 OMT196615 OWP196615 PGL196615 PQH196615 QAD196615 QJZ196615 QTV196615 RDR196615 RNN196615 RXJ196615 SHF196615 SRB196615 TAX196615 TKT196615 TUP196615 UEL196615 UOH196615 UYD196615 VHZ196615 VRV196615 WBR196615 WLN196615 WVJ196615 B262151 IX262151 ST262151 ACP262151 AML262151 AWH262151 BGD262151 BPZ262151 BZV262151 CJR262151 CTN262151 DDJ262151 DNF262151 DXB262151 EGX262151 EQT262151 FAP262151 FKL262151 FUH262151 GED262151 GNZ262151 GXV262151 HHR262151 HRN262151 IBJ262151 ILF262151 IVB262151 JEX262151 JOT262151 JYP262151 KIL262151 KSH262151 LCD262151 LLZ262151 LVV262151 MFR262151 MPN262151 MZJ262151 NJF262151 NTB262151 OCX262151 OMT262151 OWP262151 PGL262151 PQH262151 QAD262151 QJZ262151 QTV262151 RDR262151 RNN262151 RXJ262151 SHF262151 SRB262151 TAX262151 TKT262151 TUP262151 UEL262151 UOH262151 UYD262151 VHZ262151 VRV262151 WBR262151 WLN262151 WVJ262151 B327687 IX327687 ST327687 ACP327687 AML327687 AWH327687 BGD327687 BPZ327687 BZV327687 CJR327687 CTN327687 DDJ327687 DNF327687 DXB327687 EGX327687 EQT327687 FAP327687 FKL327687 FUH327687 GED327687 GNZ327687 GXV327687 HHR327687 HRN327687 IBJ327687 ILF327687 IVB327687 JEX327687 JOT327687 JYP327687 KIL327687 KSH327687 LCD327687 LLZ327687 LVV327687 MFR327687 MPN327687 MZJ327687 NJF327687 NTB327687 OCX327687 OMT327687 OWP327687 PGL327687 PQH327687 QAD327687 QJZ327687 QTV327687 RDR327687 RNN327687 RXJ327687 SHF327687 SRB327687 TAX327687 TKT327687 TUP327687 UEL327687 UOH327687 UYD327687 VHZ327687 VRV327687 WBR327687 WLN327687 WVJ327687 B393223 IX393223 ST393223 ACP393223 AML393223 AWH393223 BGD393223 BPZ393223 BZV393223 CJR393223 CTN393223 DDJ393223 DNF393223 DXB393223 EGX393223 EQT393223 FAP393223 FKL393223 FUH393223 GED393223 GNZ393223 GXV393223 HHR393223 HRN393223 IBJ393223 ILF393223 IVB393223 JEX393223 JOT393223 JYP393223 KIL393223 KSH393223 LCD393223 LLZ393223 LVV393223 MFR393223 MPN393223 MZJ393223 NJF393223 NTB393223 OCX393223 OMT393223 OWP393223 PGL393223 PQH393223 QAD393223 QJZ393223 QTV393223 RDR393223 RNN393223 RXJ393223 SHF393223 SRB393223 TAX393223 TKT393223 TUP393223 UEL393223 UOH393223 UYD393223 VHZ393223 VRV393223 WBR393223 WLN393223 WVJ393223 B458759 IX458759 ST458759 ACP458759 AML458759 AWH458759 BGD458759 BPZ458759 BZV458759 CJR458759 CTN458759 DDJ458759 DNF458759 DXB458759 EGX458759 EQT458759 FAP458759 FKL458759 FUH458759 GED458759 GNZ458759 GXV458759 HHR458759 HRN458759 IBJ458759 ILF458759 IVB458759 JEX458759 JOT458759 JYP458759 KIL458759 KSH458759 LCD458759 LLZ458759 LVV458759 MFR458759 MPN458759 MZJ458759 NJF458759 NTB458759 OCX458759 OMT458759 OWP458759 PGL458759 PQH458759 QAD458759 QJZ458759 QTV458759 RDR458759 RNN458759 RXJ458759 SHF458759 SRB458759 TAX458759 TKT458759 TUP458759 UEL458759 UOH458759 UYD458759 VHZ458759 VRV458759 WBR458759 WLN458759 WVJ458759 B524295 IX524295 ST524295 ACP524295 AML524295 AWH524295 BGD524295 BPZ524295 BZV524295 CJR524295 CTN524295 DDJ524295 DNF524295 DXB524295 EGX524295 EQT524295 FAP524295 FKL524295 FUH524295 GED524295 GNZ524295 GXV524295 HHR524295 HRN524295 IBJ524295 ILF524295 IVB524295 JEX524295 JOT524295 JYP524295 KIL524295 KSH524295 LCD524295 LLZ524295 LVV524295 MFR524295 MPN524295 MZJ524295 NJF524295 NTB524295 OCX524295 OMT524295 OWP524295 PGL524295 PQH524295 QAD524295 QJZ524295 QTV524295 RDR524295 RNN524295 RXJ524295 SHF524295 SRB524295 TAX524295 TKT524295 TUP524295 UEL524295 UOH524295 UYD524295 VHZ524295 VRV524295 WBR524295 WLN524295 WVJ524295 B589831 IX589831 ST589831 ACP589831 AML589831 AWH589831 BGD589831 BPZ589831 BZV589831 CJR589831 CTN589831 DDJ589831 DNF589831 DXB589831 EGX589831 EQT589831 FAP589831 FKL589831 FUH589831 GED589831 GNZ589831 GXV589831 HHR589831 HRN589831 IBJ589831 ILF589831 IVB589831 JEX589831 JOT589831 JYP589831 KIL589831 KSH589831 LCD589831 LLZ589831 LVV589831 MFR589831 MPN589831 MZJ589831 NJF589831 NTB589831 OCX589831 OMT589831 OWP589831 PGL589831 PQH589831 QAD589831 QJZ589831 QTV589831 RDR589831 RNN589831 RXJ589831 SHF589831 SRB589831 TAX589831 TKT589831 TUP589831 UEL589831 UOH589831 UYD589831 VHZ589831 VRV589831 WBR589831 WLN589831 WVJ589831 B655367 IX655367 ST655367 ACP655367 AML655367 AWH655367 BGD655367 BPZ655367 BZV655367 CJR655367 CTN655367 DDJ655367 DNF655367 DXB655367 EGX655367 EQT655367 FAP655367 FKL655367 FUH655367 GED655367 GNZ655367 GXV655367 HHR655367 HRN655367 IBJ655367 ILF655367 IVB655367 JEX655367 JOT655367 JYP655367 KIL655367 KSH655367 LCD655367 LLZ655367 LVV655367 MFR655367 MPN655367 MZJ655367 NJF655367 NTB655367 OCX655367 OMT655367 OWP655367 PGL655367 PQH655367 QAD655367 QJZ655367 QTV655367 RDR655367 RNN655367 RXJ655367 SHF655367 SRB655367 TAX655367 TKT655367 TUP655367 UEL655367 UOH655367 UYD655367 VHZ655367 VRV655367 WBR655367 WLN655367 WVJ655367 B720903 IX720903 ST720903 ACP720903 AML720903 AWH720903 BGD720903 BPZ720903 BZV720903 CJR720903 CTN720903 DDJ720903 DNF720903 DXB720903 EGX720903 EQT720903 FAP720903 FKL720903 FUH720903 GED720903 GNZ720903 GXV720903 HHR720903 HRN720903 IBJ720903 ILF720903 IVB720903 JEX720903 JOT720903 JYP720903 KIL720903 KSH720903 LCD720903 LLZ720903 LVV720903 MFR720903 MPN720903 MZJ720903 NJF720903 NTB720903 OCX720903 OMT720903 OWP720903 PGL720903 PQH720903 QAD720903 QJZ720903 QTV720903 RDR720903 RNN720903 RXJ720903 SHF720903 SRB720903 TAX720903 TKT720903 TUP720903 UEL720903 UOH720903 UYD720903 VHZ720903 VRV720903 WBR720903 WLN720903 WVJ720903 B786439 IX786439 ST786439 ACP786439 AML786439 AWH786439 BGD786439 BPZ786439 BZV786439 CJR786439 CTN786439 DDJ786439 DNF786439 DXB786439 EGX786439 EQT786439 FAP786439 FKL786439 FUH786439 GED786439 GNZ786439 GXV786439 HHR786439 HRN786439 IBJ786439 ILF786439 IVB786439 JEX786439 JOT786439 JYP786439 KIL786439 KSH786439 LCD786439 LLZ786439 LVV786439 MFR786439 MPN786439 MZJ786439 NJF786439 NTB786439 OCX786439 OMT786439 OWP786439 PGL786439 PQH786439 QAD786439 QJZ786439 QTV786439 RDR786439 RNN786439 RXJ786439 SHF786439 SRB786439 TAX786439 TKT786439 TUP786439 UEL786439 UOH786439 UYD786439 VHZ786439 VRV786439 WBR786439 WLN786439 WVJ786439 B851975 IX851975 ST851975 ACP851975 AML851975 AWH851975 BGD851975 BPZ851975 BZV851975 CJR851975 CTN851975 DDJ851975 DNF851975 DXB851975 EGX851975 EQT851975 FAP851975 FKL851975 FUH851975 GED851975 GNZ851975 GXV851975 HHR851975 HRN851975 IBJ851975 ILF851975 IVB851975 JEX851975 JOT851975 JYP851975 KIL851975 KSH851975 LCD851975 LLZ851975 LVV851975 MFR851975 MPN851975 MZJ851975 NJF851975 NTB851975 OCX851975 OMT851975 OWP851975 PGL851975 PQH851975 QAD851975 QJZ851975 QTV851975 RDR851975 RNN851975 RXJ851975 SHF851975 SRB851975 TAX851975 TKT851975 TUP851975 UEL851975 UOH851975 UYD851975 VHZ851975 VRV851975 WBR851975 WLN851975 WVJ851975 B917511 IX917511 ST917511 ACP917511 AML917511 AWH917511 BGD917511 BPZ917511 BZV917511 CJR917511 CTN917511 DDJ917511 DNF917511 DXB917511 EGX917511 EQT917511 FAP917511 FKL917511 FUH917511 GED917511 GNZ917511 GXV917511 HHR917511 HRN917511 IBJ917511 ILF917511 IVB917511 JEX917511 JOT917511 JYP917511 KIL917511 KSH917511 LCD917511 LLZ917511 LVV917511 MFR917511 MPN917511 MZJ917511 NJF917511 NTB917511 OCX917511 OMT917511 OWP917511 PGL917511 PQH917511 QAD917511 QJZ917511 QTV917511 RDR917511 RNN917511 RXJ917511 SHF917511 SRB917511 TAX917511 TKT917511 TUP917511 UEL917511 UOH917511 UYD917511 VHZ917511 VRV917511 WBR917511 WLN917511 WVJ917511 B983047 IX983047 ST983047 ACP983047 AML983047 AWH983047 BGD983047 BPZ983047 BZV983047 CJR983047 CTN983047 DDJ983047 DNF983047 DXB983047 EGX983047 EQT983047 FAP983047 FKL983047 FUH983047 GED983047 GNZ983047 GXV983047 HHR983047 HRN983047 IBJ983047 ILF983047 IVB983047 JEX983047 JOT983047 JYP983047 KIL983047 KSH983047 LCD983047 LLZ983047 LVV983047 MFR983047 MPN983047 MZJ983047 NJF983047 NTB983047 OCX983047 OMT983047 OWP983047 PGL983047 PQH983047 QAD983047 QJZ983047 QTV983047 RDR983047 RNN983047 RXJ983047 SHF983047 SRB983047 TAX983047 TKT983047 TUP983047 UEL983047 UOH983047 UYD983047 VHZ983047 VRV983047 WBR983047 WLN983047 WVJ983047">
      <formula1>"法律形式改变,债务重组,股权收购,资产收购,合并,分立"</formula1>
    </dataValidation>
    <dataValidation type="list" allowBlank="1" showInputMessage="1" showErrorMessage="1" sqref="E7 JA7 SW7 ACS7 AMO7 AWK7 BGG7 BQC7 BZY7 CJU7 CTQ7 DDM7 DNI7 DXE7 EHA7 EQW7 FAS7 FKO7 FUK7 GEG7 GOC7 GXY7 HHU7 HRQ7 IBM7 ILI7 IVE7 JFA7 JOW7 JYS7 KIO7 KSK7 LCG7 LMC7 LVY7 MFU7 MPQ7 MZM7 NJI7 NTE7 ODA7 OMW7 OWS7 PGO7 PQK7 QAG7 QKC7 QTY7 RDU7 RNQ7 RXM7 SHI7 SRE7 TBA7 TKW7 TUS7 UEO7 UOK7 UYG7 VIC7 VRY7 WBU7 WLQ7 WVM7 E65543 JA65543 SW65543 ACS65543 AMO65543 AWK65543 BGG65543 BQC65543 BZY65543 CJU65543 CTQ65543 DDM65543 DNI65543 DXE65543 EHA65543 EQW65543 FAS65543 FKO65543 FUK65543 GEG65543 GOC65543 GXY65543 HHU65543 HRQ65543 IBM65543 ILI65543 IVE65543 JFA65543 JOW65543 JYS65543 KIO65543 KSK65543 LCG65543 LMC65543 LVY65543 MFU65543 MPQ65543 MZM65543 NJI65543 NTE65543 ODA65543 OMW65543 OWS65543 PGO65543 PQK65543 QAG65543 QKC65543 QTY65543 RDU65543 RNQ65543 RXM65543 SHI65543 SRE65543 TBA65543 TKW65543 TUS65543 UEO65543 UOK65543 UYG65543 VIC65543 VRY65543 WBU65543 WLQ65543 WVM65543 E131079 JA131079 SW131079 ACS131079 AMO131079 AWK131079 BGG131079 BQC131079 BZY131079 CJU131079 CTQ131079 DDM131079 DNI131079 DXE131079 EHA131079 EQW131079 FAS131079 FKO131079 FUK131079 GEG131079 GOC131079 GXY131079 HHU131079 HRQ131079 IBM131079 ILI131079 IVE131079 JFA131079 JOW131079 JYS131079 KIO131079 KSK131079 LCG131079 LMC131079 LVY131079 MFU131079 MPQ131079 MZM131079 NJI131079 NTE131079 ODA131079 OMW131079 OWS131079 PGO131079 PQK131079 QAG131079 QKC131079 QTY131079 RDU131079 RNQ131079 RXM131079 SHI131079 SRE131079 TBA131079 TKW131079 TUS131079 UEO131079 UOK131079 UYG131079 VIC131079 VRY131079 WBU131079 WLQ131079 WVM131079 E196615 JA196615 SW196615 ACS196615 AMO196615 AWK196615 BGG196615 BQC196615 BZY196615 CJU196615 CTQ196615 DDM196615 DNI196615 DXE196615 EHA196615 EQW196615 FAS196615 FKO196615 FUK196615 GEG196615 GOC196615 GXY196615 HHU196615 HRQ196615 IBM196615 ILI196615 IVE196615 JFA196615 JOW196615 JYS196615 KIO196615 KSK196615 LCG196615 LMC196615 LVY196615 MFU196615 MPQ196615 MZM196615 NJI196615 NTE196615 ODA196615 OMW196615 OWS196615 PGO196615 PQK196615 QAG196615 QKC196615 QTY196615 RDU196615 RNQ196615 RXM196615 SHI196615 SRE196615 TBA196615 TKW196615 TUS196615 UEO196615 UOK196615 UYG196615 VIC196615 VRY196615 WBU196615 WLQ196615 WVM196615 E262151 JA262151 SW262151 ACS262151 AMO262151 AWK262151 BGG262151 BQC262151 BZY262151 CJU262151 CTQ262151 DDM262151 DNI262151 DXE262151 EHA262151 EQW262151 FAS262151 FKO262151 FUK262151 GEG262151 GOC262151 GXY262151 HHU262151 HRQ262151 IBM262151 ILI262151 IVE262151 JFA262151 JOW262151 JYS262151 KIO262151 KSK262151 LCG262151 LMC262151 LVY262151 MFU262151 MPQ262151 MZM262151 NJI262151 NTE262151 ODA262151 OMW262151 OWS262151 PGO262151 PQK262151 QAG262151 QKC262151 QTY262151 RDU262151 RNQ262151 RXM262151 SHI262151 SRE262151 TBA262151 TKW262151 TUS262151 UEO262151 UOK262151 UYG262151 VIC262151 VRY262151 WBU262151 WLQ262151 WVM262151 E327687 JA327687 SW327687 ACS327687 AMO327687 AWK327687 BGG327687 BQC327687 BZY327687 CJU327687 CTQ327687 DDM327687 DNI327687 DXE327687 EHA327687 EQW327687 FAS327687 FKO327687 FUK327687 GEG327687 GOC327687 GXY327687 HHU327687 HRQ327687 IBM327687 ILI327687 IVE327687 JFA327687 JOW327687 JYS327687 KIO327687 KSK327687 LCG327687 LMC327687 LVY327687 MFU327687 MPQ327687 MZM327687 NJI327687 NTE327687 ODA327687 OMW327687 OWS327687 PGO327687 PQK327687 QAG327687 QKC327687 QTY327687 RDU327687 RNQ327687 RXM327687 SHI327687 SRE327687 TBA327687 TKW327687 TUS327687 UEO327687 UOK327687 UYG327687 VIC327687 VRY327687 WBU327687 WLQ327687 WVM327687 E393223 JA393223 SW393223 ACS393223 AMO393223 AWK393223 BGG393223 BQC393223 BZY393223 CJU393223 CTQ393223 DDM393223 DNI393223 DXE393223 EHA393223 EQW393223 FAS393223 FKO393223 FUK393223 GEG393223 GOC393223 GXY393223 HHU393223 HRQ393223 IBM393223 ILI393223 IVE393223 JFA393223 JOW393223 JYS393223 KIO393223 KSK393223 LCG393223 LMC393223 LVY393223 MFU393223 MPQ393223 MZM393223 NJI393223 NTE393223 ODA393223 OMW393223 OWS393223 PGO393223 PQK393223 QAG393223 QKC393223 QTY393223 RDU393223 RNQ393223 RXM393223 SHI393223 SRE393223 TBA393223 TKW393223 TUS393223 UEO393223 UOK393223 UYG393223 VIC393223 VRY393223 WBU393223 WLQ393223 WVM393223 E458759 JA458759 SW458759 ACS458759 AMO458759 AWK458759 BGG458759 BQC458759 BZY458759 CJU458759 CTQ458759 DDM458759 DNI458759 DXE458759 EHA458759 EQW458759 FAS458759 FKO458759 FUK458759 GEG458759 GOC458759 GXY458759 HHU458759 HRQ458759 IBM458759 ILI458759 IVE458759 JFA458759 JOW458759 JYS458759 KIO458759 KSK458759 LCG458759 LMC458759 LVY458759 MFU458759 MPQ458759 MZM458759 NJI458759 NTE458759 ODA458759 OMW458759 OWS458759 PGO458759 PQK458759 QAG458759 QKC458759 QTY458759 RDU458759 RNQ458759 RXM458759 SHI458759 SRE458759 TBA458759 TKW458759 TUS458759 UEO458759 UOK458759 UYG458759 VIC458759 VRY458759 WBU458759 WLQ458759 WVM458759 E524295 JA524295 SW524295 ACS524295 AMO524295 AWK524295 BGG524295 BQC524295 BZY524295 CJU524295 CTQ524295 DDM524295 DNI524295 DXE524295 EHA524295 EQW524295 FAS524295 FKO524295 FUK524295 GEG524295 GOC524295 GXY524295 HHU524295 HRQ524295 IBM524295 ILI524295 IVE524295 JFA524295 JOW524295 JYS524295 KIO524295 KSK524295 LCG524295 LMC524295 LVY524295 MFU524295 MPQ524295 MZM524295 NJI524295 NTE524295 ODA524295 OMW524295 OWS524295 PGO524295 PQK524295 QAG524295 QKC524295 QTY524295 RDU524295 RNQ524295 RXM524295 SHI524295 SRE524295 TBA524295 TKW524295 TUS524295 UEO524295 UOK524295 UYG524295 VIC524295 VRY524295 WBU524295 WLQ524295 WVM524295 E589831 JA589831 SW589831 ACS589831 AMO589831 AWK589831 BGG589831 BQC589831 BZY589831 CJU589831 CTQ589831 DDM589831 DNI589831 DXE589831 EHA589831 EQW589831 FAS589831 FKO589831 FUK589831 GEG589831 GOC589831 GXY589831 HHU589831 HRQ589831 IBM589831 ILI589831 IVE589831 JFA589831 JOW589831 JYS589831 KIO589831 KSK589831 LCG589831 LMC589831 LVY589831 MFU589831 MPQ589831 MZM589831 NJI589831 NTE589831 ODA589831 OMW589831 OWS589831 PGO589831 PQK589831 QAG589831 QKC589831 QTY589831 RDU589831 RNQ589831 RXM589831 SHI589831 SRE589831 TBA589831 TKW589831 TUS589831 UEO589831 UOK589831 UYG589831 VIC589831 VRY589831 WBU589831 WLQ589831 WVM589831 E655367 JA655367 SW655367 ACS655367 AMO655367 AWK655367 BGG655367 BQC655367 BZY655367 CJU655367 CTQ655367 DDM655367 DNI655367 DXE655367 EHA655367 EQW655367 FAS655367 FKO655367 FUK655367 GEG655367 GOC655367 GXY655367 HHU655367 HRQ655367 IBM655367 ILI655367 IVE655367 JFA655367 JOW655367 JYS655367 KIO655367 KSK655367 LCG655367 LMC655367 LVY655367 MFU655367 MPQ655367 MZM655367 NJI655367 NTE655367 ODA655367 OMW655367 OWS655367 PGO655367 PQK655367 QAG655367 QKC655367 QTY655367 RDU655367 RNQ655367 RXM655367 SHI655367 SRE655367 TBA655367 TKW655367 TUS655367 UEO655367 UOK655367 UYG655367 VIC655367 VRY655367 WBU655367 WLQ655367 WVM655367 E720903 JA720903 SW720903 ACS720903 AMO720903 AWK720903 BGG720903 BQC720903 BZY720903 CJU720903 CTQ720903 DDM720903 DNI720903 DXE720903 EHA720903 EQW720903 FAS720903 FKO720903 FUK720903 GEG720903 GOC720903 GXY720903 HHU720903 HRQ720903 IBM720903 ILI720903 IVE720903 JFA720903 JOW720903 JYS720903 KIO720903 KSK720903 LCG720903 LMC720903 LVY720903 MFU720903 MPQ720903 MZM720903 NJI720903 NTE720903 ODA720903 OMW720903 OWS720903 PGO720903 PQK720903 QAG720903 QKC720903 QTY720903 RDU720903 RNQ720903 RXM720903 SHI720903 SRE720903 TBA720903 TKW720903 TUS720903 UEO720903 UOK720903 UYG720903 VIC720903 VRY720903 WBU720903 WLQ720903 WVM720903 E786439 JA786439 SW786439 ACS786439 AMO786439 AWK786439 BGG786439 BQC786439 BZY786439 CJU786439 CTQ786439 DDM786439 DNI786439 DXE786439 EHA786439 EQW786439 FAS786439 FKO786439 FUK786439 GEG786439 GOC786439 GXY786439 HHU786439 HRQ786439 IBM786439 ILI786439 IVE786439 JFA786439 JOW786439 JYS786439 KIO786439 KSK786439 LCG786439 LMC786439 LVY786439 MFU786439 MPQ786439 MZM786439 NJI786439 NTE786439 ODA786439 OMW786439 OWS786439 PGO786439 PQK786439 QAG786439 QKC786439 QTY786439 RDU786439 RNQ786439 RXM786439 SHI786439 SRE786439 TBA786439 TKW786439 TUS786439 UEO786439 UOK786439 UYG786439 VIC786439 VRY786439 WBU786439 WLQ786439 WVM786439 E851975 JA851975 SW851975 ACS851975 AMO851975 AWK851975 BGG851975 BQC851975 BZY851975 CJU851975 CTQ851975 DDM851975 DNI851975 DXE851975 EHA851975 EQW851975 FAS851975 FKO851975 FUK851975 GEG851975 GOC851975 GXY851975 HHU851975 HRQ851975 IBM851975 ILI851975 IVE851975 JFA851975 JOW851975 JYS851975 KIO851975 KSK851975 LCG851975 LMC851975 LVY851975 MFU851975 MPQ851975 MZM851975 NJI851975 NTE851975 ODA851975 OMW851975 OWS851975 PGO851975 PQK851975 QAG851975 QKC851975 QTY851975 RDU851975 RNQ851975 RXM851975 SHI851975 SRE851975 TBA851975 TKW851975 TUS851975 UEO851975 UOK851975 UYG851975 VIC851975 VRY851975 WBU851975 WLQ851975 WVM851975 E917511 JA917511 SW917511 ACS917511 AMO917511 AWK917511 BGG917511 BQC917511 BZY917511 CJU917511 CTQ917511 DDM917511 DNI917511 DXE917511 EHA917511 EQW917511 FAS917511 FKO917511 FUK917511 GEG917511 GOC917511 GXY917511 HHU917511 HRQ917511 IBM917511 ILI917511 IVE917511 JFA917511 JOW917511 JYS917511 KIO917511 KSK917511 LCG917511 LMC917511 LVY917511 MFU917511 MPQ917511 MZM917511 NJI917511 NTE917511 ODA917511 OMW917511 OWS917511 PGO917511 PQK917511 QAG917511 QKC917511 QTY917511 RDU917511 RNQ917511 RXM917511 SHI917511 SRE917511 TBA917511 TKW917511 TUS917511 UEO917511 UOK917511 UYG917511 VIC917511 VRY917511 WBU917511 WLQ917511 WVM917511 E983047 JA983047 SW983047 ACS983047 AMO983047 AWK983047 BGG983047 BQC983047 BZY983047 CJU983047 CTQ983047 DDM983047 DNI983047 DXE983047 EHA983047 EQW983047 FAS983047 FKO983047 FUK983047 GEG983047 GOC983047 GXY983047 HHU983047 HRQ983047 IBM983047 ILI983047 IVE983047 JFA983047 JOW983047 JYS983047 KIO983047 KSK983047 LCG983047 LMC983047 LVY983047 MFU983047 MPQ983047 MZM983047 NJI983047 NTE983047 ODA983047 OMW983047 OWS983047 PGO983047 PQK983047 QAG983047 QKC983047 QTY983047 RDU983047 RNQ983047 RXM983047 SHI983047 SRE983047 TBA983047 TKW983047 TUS983047 UEO983047 UOK983047 UYG983047 VIC983047 VRY983047 WBU983047 WLQ983047 WVM983047">
      <formula1>"债务人,债权人,收购方,转让方,被收购企业,合并企业,被合并企业,被合并企业股东,分立企业,被分立企业,被分立企业股东"</formula1>
    </dataValidation>
    <dataValidation type="list" allowBlank="1" showInputMessage="1" showErrorMessage="1" sqref="E8:E12 JA8:JA12 SW8:SW12 ACS8:ACS12 AMO8:AMO12 AWK8:AWK12 BGG8:BGG12 BQC8:BQC12 BZY8:BZY12 CJU8:CJU12 CTQ8:CTQ12 DDM8:DDM12 DNI8:DNI12 DXE8:DXE12 EHA8:EHA12 EQW8:EQW12 FAS8:FAS12 FKO8:FKO12 FUK8:FUK12 GEG8:GEG12 GOC8:GOC12 GXY8:GXY12 HHU8:HHU12 HRQ8:HRQ12 IBM8:IBM12 ILI8:ILI12 IVE8:IVE12 JFA8:JFA12 JOW8:JOW12 JYS8:JYS12 KIO8:KIO12 KSK8:KSK12 LCG8:LCG12 LMC8:LMC12 LVY8:LVY12 MFU8:MFU12 MPQ8:MPQ12 MZM8:MZM12 NJI8:NJI12 NTE8:NTE12 ODA8:ODA12 OMW8:OMW12 OWS8:OWS12 PGO8:PGO12 PQK8:PQK12 QAG8:QAG12 QKC8:QKC12 QTY8:QTY12 RDU8:RDU12 RNQ8:RNQ12 RXM8:RXM12 SHI8:SHI12 SRE8:SRE12 TBA8:TBA12 TKW8:TKW12 TUS8:TUS12 UEO8:UEO12 UOK8:UOK12 UYG8:UYG12 VIC8:VIC12 VRY8:VRY12 WBU8:WBU12 WLQ8:WLQ12 WVM8:WVM12 E65544:E65548 JA65544:JA65548 SW65544:SW65548 ACS65544:ACS65548 AMO65544:AMO65548 AWK65544:AWK65548 BGG65544:BGG65548 BQC65544:BQC65548 BZY65544:BZY65548 CJU65544:CJU65548 CTQ65544:CTQ65548 DDM65544:DDM65548 DNI65544:DNI65548 DXE65544:DXE65548 EHA65544:EHA65548 EQW65544:EQW65548 FAS65544:FAS65548 FKO65544:FKO65548 FUK65544:FUK65548 GEG65544:GEG65548 GOC65544:GOC65548 GXY65544:GXY65548 HHU65544:HHU65548 HRQ65544:HRQ65548 IBM65544:IBM65548 ILI65544:ILI65548 IVE65544:IVE65548 JFA65544:JFA65548 JOW65544:JOW65548 JYS65544:JYS65548 KIO65544:KIO65548 KSK65544:KSK65548 LCG65544:LCG65548 LMC65544:LMC65548 LVY65544:LVY65548 MFU65544:MFU65548 MPQ65544:MPQ65548 MZM65544:MZM65548 NJI65544:NJI65548 NTE65544:NTE65548 ODA65544:ODA65548 OMW65544:OMW65548 OWS65544:OWS65548 PGO65544:PGO65548 PQK65544:PQK65548 QAG65544:QAG65548 QKC65544:QKC65548 QTY65544:QTY65548 RDU65544:RDU65548 RNQ65544:RNQ65548 RXM65544:RXM65548 SHI65544:SHI65548 SRE65544:SRE65548 TBA65544:TBA65548 TKW65544:TKW65548 TUS65544:TUS65548 UEO65544:UEO65548 UOK65544:UOK65548 UYG65544:UYG65548 VIC65544:VIC65548 VRY65544:VRY65548 WBU65544:WBU65548 WLQ65544:WLQ65548 WVM65544:WVM65548 E131080:E131084 JA131080:JA131084 SW131080:SW131084 ACS131080:ACS131084 AMO131080:AMO131084 AWK131080:AWK131084 BGG131080:BGG131084 BQC131080:BQC131084 BZY131080:BZY131084 CJU131080:CJU131084 CTQ131080:CTQ131084 DDM131080:DDM131084 DNI131080:DNI131084 DXE131080:DXE131084 EHA131080:EHA131084 EQW131080:EQW131084 FAS131080:FAS131084 FKO131080:FKO131084 FUK131080:FUK131084 GEG131080:GEG131084 GOC131080:GOC131084 GXY131080:GXY131084 HHU131080:HHU131084 HRQ131080:HRQ131084 IBM131080:IBM131084 ILI131080:ILI131084 IVE131080:IVE131084 JFA131080:JFA131084 JOW131080:JOW131084 JYS131080:JYS131084 KIO131080:KIO131084 KSK131080:KSK131084 LCG131080:LCG131084 LMC131080:LMC131084 LVY131080:LVY131084 MFU131080:MFU131084 MPQ131080:MPQ131084 MZM131080:MZM131084 NJI131080:NJI131084 NTE131080:NTE131084 ODA131080:ODA131084 OMW131080:OMW131084 OWS131080:OWS131084 PGO131080:PGO131084 PQK131080:PQK131084 QAG131080:QAG131084 QKC131080:QKC131084 QTY131080:QTY131084 RDU131080:RDU131084 RNQ131080:RNQ131084 RXM131080:RXM131084 SHI131080:SHI131084 SRE131080:SRE131084 TBA131080:TBA131084 TKW131080:TKW131084 TUS131080:TUS131084 UEO131080:UEO131084 UOK131080:UOK131084 UYG131080:UYG131084 VIC131080:VIC131084 VRY131080:VRY131084 WBU131080:WBU131084 WLQ131080:WLQ131084 WVM131080:WVM131084 E196616:E196620 JA196616:JA196620 SW196616:SW196620 ACS196616:ACS196620 AMO196616:AMO196620 AWK196616:AWK196620 BGG196616:BGG196620 BQC196616:BQC196620 BZY196616:BZY196620 CJU196616:CJU196620 CTQ196616:CTQ196620 DDM196616:DDM196620 DNI196616:DNI196620 DXE196616:DXE196620 EHA196616:EHA196620 EQW196616:EQW196620 FAS196616:FAS196620 FKO196616:FKO196620 FUK196616:FUK196620 GEG196616:GEG196620 GOC196616:GOC196620 GXY196616:GXY196620 HHU196616:HHU196620 HRQ196616:HRQ196620 IBM196616:IBM196620 ILI196616:ILI196620 IVE196616:IVE196620 JFA196616:JFA196620 JOW196616:JOW196620 JYS196616:JYS196620 KIO196616:KIO196620 KSK196616:KSK196620 LCG196616:LCG196620 LMC196616:LMC196620 LVY196616:LVY196620 MFU196616:MFU196620 MPQ196616:MPQ196620 MZM196616:MZM196620 NJI196616:NJI196620 NTE196616:NTE196620 ODA196616:ODA196620 OMW196616:OMW196620 OWS196616:OWS196620 PGO196616:PGO196620 PQK196616:PQK196620 QAG196616:QAG196620 QKC196616:QKC196620 QTY196616:QTY196620 RDU196616:RDU196620 RNQ196616:RNQ196620 RXM196616:RXM196620 SHI196616:SHI196620 SRE196616:SRE196620 TBA196616:TBA196620 TKW196616:TKW196620 TUS196616:TUS196620 UEO196616:UEO196620 UOK196616:UOK196620 UYG196616:UYG196620 VIC196616:VIC196620 VRY196616:VRY196620 WBU196616:WBU196620 WLQ196616:WLQ196620 WVM196616:WVM196620 E262152:E262156 JA262152:JA262156 SW262152:SW262156 ACS262152:ACS262156 AMO262152:AMO262156 AWK262152:AWK262156 BGG262152:BGG262156 BQC262152:BQC262156 BZY262152:BZY262156 CJU262152:CJU262156 CTQ262152:CTQ262156 DDM262152:DDM262156 DNI262152:DNI262156 DXE262152:DXE262156 EHA262152:EHA262156 EQW262152:EQW262156 FAS262152:FAS262156 FKO262152:FKO262156 FUK262152:FUK262156 GEG262152:GEG262156 GOC262152:GOC262156 GXY262152:GXY262156 HHU262152:HHU262156 HRQ262152:HRQ262156 IBM262152:IBM262156 ILI262152:ILI262156 IVE262152:IVE262156 JFA262152:JFA262156 JOW262152:JOW262156 JYS262152:JYS262156 KIO262152:KIO262156 KSK262152:KSK262156 LCG262152:LCG262156 LMC262152:LMC262156 LVY262152:LVY262156 MFU262152:MFU262156 MPQ262152:MPQ262156 MZM262152:MZM262156 NJI262152:NJI262156 NTE262152:NTE262156 ODA262152:ODA262156 OMW262152:OMW262156 OWS262152:OWS262156 PGO262152:PGO262156 PQK262152:PQK262156 QAG262152:QAG262156 QKC262152:QKC262156 QTY262152:QTY262156 RDU262152:RDU262156 RNQ262152:RNQ262156 RXM262152:RXM262156 SHI262152:SHI262156 SRE262152:SRE262156 TBA262152:TBA262156 TKW262152:TKW262156 TUS262152:TUS262156 UEO262152:UEO262156 UOK262152:UOK262156 UYG262152:UYG262156 VIC262152:VIC262156 VRY262152:VRY262156 WBU262152:WBU262156 WLQ262152:WLQ262156 WVM262152:WVM262156 E327688:E327692 JA327688:JA327692 SW327688:SW327692 ACS327688:ACS327692 AMO327688:AMO327692 AWK327688:AWK327692 BGG327688:BGG327692 BQC327688:BQC327692 BZY327688:BZY327692 CJU327688:CJU327692 CTQ327688:CTQ327692 DDM327688:DDM327692 DNI327688:DNI327692 DXE327688:DXE327692 EHA327688:EHA327692 EQW327688:EQW327692 FAS327688:FAS327692 FKO327688:FKO327692 FUK327688:FUK327692 GEG327688:GEG327692 GOC327688:GOC327692 GXY327688:GXY327692 HHU327688:HHU327692 HRQ327688:HRQ327692 IBM327688:IBM327692 ILI327688:ILI327692 IVE327688:IVE327692 JFA327688:JFA327692 JOW327688:JOW327692 JYS327688:JYS327692 KIO327688:KIO327692 KSK327688:KSK327692 LCG327688:LCG327692 LMC327688:LMC327692 LVY327688:LVY327692 MFU327688:MFU327692 MPQ327688:MPQ327692 MZM327688:MZM327692 NJI327688:NJI327692 NTE327688:NTE327692 ODA327688:ODA327692 OMW327688:OMW327692 OWS327688:OWS327692 PGO327688:PGO327692 PQK327688:PQK327692 QAG327688:QAG327692 QKC327688:QKC327692 QTY327688:QTY327692 RDU327688:RDU327692 RNQ327688:RNQ327692 RXM327688:RXM327692 SHI327688:SHI327692 SRE327688:SRE327692 TBA327688:TBA327692 TKW327688:TKW327692 TUS327688:TUS327692 UEO327688:UEO327692 UOK327688:UOK327692 UYG327688:UYG327692 VIC327688:VIC327692 VRY327688:VRY327692 WBU327688:WBU327692 WLQ327688:WLQ327692 WVM327688:WVM327692 E393224:E393228 JA393224:JA393228 SW393224:SW393228 ACS393224:ACS393228 AMO393224:AMO393228 AWK393224:AWK393228 BGG393224:BGG393228 BQC393224:BQC393228 BZY393224:BZY393228 CJU393224:CJU393228 CTQ393224:CTQ393228 DDM393224:DDM393228 DNI393224:DNI393228 DXE393224:DXE393228 EHA393224:EHA393228 EQW393224:EQW393228 FAS393224:FAS393228 FKO393224:FKO393228 FUK393224:FUK393228 GEG393224:GEG393228 GOC393224:GOC393228 GXY393224:GXY393228 HHU393224:HHU393228 HRQ393224:HRQ393228 IBM393224:IBM393228 ILI393224:ILI393228 IVE393224:IVE393228 JFA393224:JFA393228 JOW393224:JOW393228 JYS393224:JYS393228 KIO393224:KIO393228 KSK393224:KSK393228 LCG393224:LCG393228 LMC393224:LMC393228 LVY393224:LVY393228 MFU393224:MFU393228 MPQ393224:MPQ393228 MZM393224:MZM393228 NJI393224:NJI393228 NTE393224:NTE393228 ODA393224:ODA393228 OMW393224:OMW393228 OWS393224:OWS393228 PGO393224:PGO393228 PQK393224:PQK393228 QAG393224:QAG393228 QKC393224:QKC393228 QTY393224:QTY393228 RDU393224:RDU393228 RNQ393224:RNQ393228 RXM393224:RXM393228 SHI393224:SHI393228 SRE393224:SRE393228 TBA393224:TBA393228 TKW393224:TKW393228 TUS393224:TUS393228 UEO393224:UEO393228 UOK393224:UOK393228 UYG393224:UYG393228 VIC393224:VIC393228 VRY393224:VRY393228 WBU393224:WBU393228 WLQ393224:WLQ393228 WVM393224:WVM393228 E458760:E458764 JA458760:JA458764 SW458760:SW458764 ACS458760:ACS458764 AMO458760:AMO458764 AWK458760:AWK458764 BGG458760:BGG458764 BQC458760:BQC458764 BZY458760:BZY458764 CJU458760:CJU458764 CTQ458760:CTQ458764 DDM458760:DDM458764 DNI458760:DNI458764 DXE458760:DXE458764 EHA458760:EHA458764 EQW458760:EQW458764 FAS458760:FAS458764 FKO458760:FKO458764 FUK458760:FUK458764 GEG458760:GEG458764 GOC458760:GOC458764 GXY458760:GXY458764 HHU458760:HHU458764 HRQ458760:HRQ458764 IBM458760:IBM458764 ILI458760:ILI458764 IVE458760:IVE458764 JFA458760:JFA458764 JOW458760:JOW458764 JYS458760:JYS458764 KIO458760:KIO458764 KSK458760:KSK458764 LCG458760:LCG458764 LMC458760:LMC458764 LVY458760:LVY458764 MFU458760:MFU458764 MPQ458760:MPQ458764 MZM458760:MZM458764 NJI458760:NJI458764 NTE458760:NTE458764 ODA458760:ODA458764 OMW458760:OMW458764 OWS458760:OWS458764 PGO458760:PGO458764 PQK458760:PQK458764 QAG458760:QAG458764 QKC458760:QKC458764 QTY458760:QTY458764 RDU458760:RDU458764 RNQ458760:RNQ458764 RXM458760:RXM458764 SHI458760:SHI458764 SRE458760:SRE458764 TBA458760:TBA458764 TKW458760:TKW458764 TUS458760:TUS458764 UEO458760:UEO458764 UOK458760:UOK458764 UYG458760:UYG458764 VIC458760:VIC458764 VRY458760:VRY458764 WBU458760:WBU458764 WLQ458760:WLQ458764 WVM458760:WVM458764 E524296:E524300 JA524296:JA524300 SW524296:SW524300 ACS524296:ACS524300 AMO524296:AMO524300 AWK524296:AWK524300 BGG524296:BGG524300 BQC524296:BQC524300 BZY524296:BZY524300 CJU524296:CJU524300 CTQ524296:CTQ524300 DDM524296:DDM524300 DNI524296:DNI524300 DXE524296:DXE524300 EHA524296:EHA524300 EQW524296:EQW524300 FAS524296:FAS524300 FKO524296:FKO524300 FUK524296:FUK524300 GEG524296:GEG524300 GOC524296:GOC524300 GXY524296:GXY524300 HHU524296:HHU524300 HRQ524296:HRQ524300 IBM524296:IBM524300 ILI524296:ILI524300 IVE524296:IVE524300 JFA524296:JFA524300 JOW524296:JOW524300 JYS524296:JYS524300 KIO524296:KIO524300 KSK524296:KSK524300 LCG524296:LCG524300 LMC524296:LMC524300 LVY524296:LVY524300 MFU524296:MFU524300 MPQ524296:MPQ524300 MZM524296:MZM524300 NJI524296:NJI524300 NTE524296:NTE524300 ODA524296:ODA524300 OMW524296:OMW524300 OWS524296:OWS524300 PGO524296:PGO524300 PQK524296:PQK524300 QAG524296:QAG524300 QKC524296:QKC524300 QTY524296:QTY524300 RDU524296:RDU524300 RNQ524296:RNQ524300 RXM524296:RXM524300 SHI524296:SHI524300 SRE524296:SRE524300 TBA524296:TBA524300 TKW524296:TKW524300 TUS524296:TUS524300 UEO524296:UEO524300 UOK524296:UOK524300 UYG524296:UYG524300 VIC524296:VIC524300 VRY524296:VRY524300 WBU524296:WBU524300 WLQ524296:WLQ524300 WVM524296:WVM524300 E589832:E589836 JA589832:JA589836 SW589832:SW589836 ACS589832:ACS589836 AMO589832:AMO589836 AWK589832:AWK589836 BGG589832:BGG589836 BQC589832:BQC589836 BZY589832:BZY589836 CJU589832:CJU589836 CTQ589832:CTQ589836 DDM589832:DDM589836 DNI589832:DNI589836 DXE589832:DXE589836 EHA589832:EHA589836 EQW589832:EQW589836 FAS589832:FAS589836 FKO589832:FKO589836 FUK589832:FUK589836 GEG589832:GEG589836 GOC589832:GOC589836 GXY589832:GXY589836 HHU589832:HHU589836 HRQ589832:HRQ589836 IBM589832:IBM589836 ILI589832:ILI589836 IVE589832:IVE589836 JFA589832:JFA589836 JOW589832:JOW589836 JYS589832:JYS589836 KIO589832:KIO589836 KSK589832:KSK589836 LCG589832:LCG589836 LMC589832:LMC589836 LVY589832:LVY589836 MFU589832:MFU589836 MPQ589832:MPQ589836 MZM589832:MZM589836 NJI589832:NJI589836 NTE589832:NTE589836 ODA589832:ODA589836 OMW589832:OMW589836 OWS589832:OWS589836 PGO589832:PGO589836 PQK589832:PQK589836 QAG589832:QAG589836 QKC589832:QKC589836 QTY589832:QTY589836 RDU589832:RDU589836 RNQ589832:RNQ589836 RXM589832:RXM589836 SHI589832:SHI589836 SRE589832:SRE589836 TBA589832:TBA589836 TKW589832:TKW589836 TUS589832:TUS589836 UEO589832:UEO589836 UOK589832:UOK589836 UYG589832:UYG589836 VIC589832:VIC589836 VRY589832:VRY589836 WBU589832:WBU589836 WLQ589832:WLQ589836 WVM589832:WVM589836 E655368:E655372 JA655368:JA655372 SW655368:SW655372 ACS655368:ACS655372 AMO655368:AMO655372 AWK655368:AWK655372 BGG655368:BGG655372 BQC655368:BQC655372 BZY655368:BZY655372 CJU655368:CJU655372 CTQ655368:CTQ655372 DDM655368:DDM655372 DNI655368:DNI655372 DXE655368:DXE655372 EHA655368:EHA655372 EQW655368:EQW655372 FAS655368:FAS655372 FKO655368:FKO655372 FUK655368:FUK655372 GEG655368:GEG655372 GOC655368:GOC655372 GXY655368:GXY655372 HHU655368:HHU655372 HRQ655368:HRQ655372 IBM655368:IBM655372 ILI655368:ILI655372 IVE655368:IVE655372 JFA655368:JFA655372 JOW655368:JOW655372 JYS655368:JYS655372 KIO655368:KIO655372 KSK655368:KSK655372 LCG655368:LCG655372 LMC655368:LMC655372 LVY655368:LVY655372 MFU655368:MFU655372 MPQ655368:MPQ655372 MZM655368:MZM655372 NJI655368:NJI655372 NTE655368:NTE655372 ODA655368:ODA655372 OMW655368:OMW655372 OWS655368:OWS655372 PGO655368:PGO655372 PQK655368:PQK655372 QAG655368:QAG655372 QKC655368:QKC655372 QTY655368:QTY655372 RDU655368:RDU655372 RNQ655368:RNQ655372 RXM655368:RXM655372 SHI655368:SHI655372 SRE655368:SRE655372 TBA655368:TBA655372 TKW655368:TKW655372 TUS655368:TUS655372 UEO655368:UEO655372 UOK655368:UOK655372 UYG655368:UYG655372 VIC655368:VIC655372 VRY655368:VRY655372 WBU655368:WBU655372 WLQ655368:WLQ655372 WVM655368:WVM655372 E720904:E720908 JA720904:JA720908 SW720904:SW720908 ACS720904:ACS720908 AMO720904:AMO720908 AWK720904:AWK720908 BGG720904:BGG720908 BQC720904:BQC720908 BZY720904:BZY720908 CJU720904:CJU720908 CTQ720904:CTQ720908 DDM720904:DDM720908 DNI720904:DNI720908 DXE720904:DXE720908 EHA720904:EHA720908 EQW720904:EQW720908 FAS720904:FAS720908 FKO720904:FKO720908 FUK720904:FUK720908 GEG720904:GEG720908 GOC720904:GOC720908 GXY720904:GXY720908 HHU720904:HHU720908 HRQ720904:HRQ720908 IBM720904:IBM720908 ILI720904:ILI720908 IVE720904:IVE720908 JFA720904:JFA720908 JOW720904:JOW720908 JYS720904:JYS720908 KIO720904:KIO720908 KSK720904:KSK720908 LCG720904:LCG720908 LMC720904:LMC720908 LVY720904:LVY720908 MFU720904:MFU720908 MPQ720904:MPQ720908 MZM720904:MZM720908 NJI720904:NJI720908 NTE720904:NTE720908 ODA720904:ODA720908 OMW720904:OMW720908 OWS720904:OWS720908 PGO720904:PGO720908 PQK720904:PQK720908 QAG720904:QAG720908 QKC720904:QKC720908 QTY720904:QTY720908 RDU720904:RDU720908 RNQ720904:RNQ720908 RXM720904:RXM720908 SHI720904:SHI720908 SRE720904:SRE720908 TBA720904:TBA720908 TKW720904:TKW720908 TUS720904:TUS720908 UEO720904:UEO720908 UOK720904:UOK720908 UYG720904:UYG720908 VIC720904:VIC720908 VRY720904:VRY720908 WBU720904:WBU720908 WLQ720904:WLQ720908 WVM720904:WVM720908 E786440:E786444 JA786440:JA786444 SW786440:SW786444 ACS786440:ACS786444 AMO786440:AMO786444 AWK786440:AWK786444 BGG786440:BGG786444 BQC786440:BQC786444 BZY786440:BZY786444 CJU786440:CJU786444 CTQ786440:CTQ786444 DDM786440:DDM786444 DNI786440:DNI786444 DXE786440:DXE786444 EHA786440:EHA786444 EQW786440:EQW786444 FAS786440:FAS786444 FKO786440:FKO786444 FUK786440:FUK786444 GEG786440:GEG786444 GOC786440:GOC786444 GXY786440:GXY786444 HHU786440:HHU786444 HRQ786440:HRQ786444 IBM786440:IBM786444 ILI786440:ILI786444 IVE786440:IVE786444 JFA786440:JFA786444 JOW786440:JOW786444 JYS786440:JYS786444 KIO786440:KIO786444 KSK786440:KSK786444 LCG786440:LCG786444 LMC786440:LMC786444 LVY786440:LVY786444 MFU786440:MFU786444 MPQ786440:MPQ786444 MZM786440:MZM786444 NJI786440:NJI786444 NTE786440:NTE786444 ODA786440:ODA786444 OMW786440:OMW786444 OWS786440:OWS786444 PGO786440:PGO786444 PQK786440:PQK786444 QAG786440:QAG786444 QKC786440:QKC786444 QTY786440:QTY786444 RDU786440:RDU786444 RNQ786440:RNQ786444 RXM786440:RXM786444 SHI786440:SHI786444 SRE786440:SRE786444 TBA786440:TBA786444 TKW786440:TKW786444 TUS786440:TUS786444 UEO786440:UEO786444 UOK786440:UOK786444 UYG786440:UYG786444 VIC786440:VIC786444 VRY786440:VRY786444 WBU786440:WBU786444 WLQ786440:WLQ786444 WVM786440:WVM786444 E851976:E851980 JA851976:JA851980 SW851976:SW851980 ACS851976:ACS851980 AMO851976:AMO851980 AWK851976:AWK851980 BGG851976:BGG851980 BQC851976:BQC851980 BZY851976:BZY851980 CJU851976:CJU851980 CTQ851976:CTQ851980 DDM851976:DDM851980 DNI851976:DNI851980 DXE851976:DXE851980 EHA851976:EHA851980 EQW851976:EQW851980 FAS851976:FAS851980 FKO851976:FKO851980 FUK851976:FUK851980 GEG851976:GEG851980 GOC851976:GOC851980 GXY851976:GXY851980 HHU851976:HHU851980 HRQ851976:HRQ851980 IBM851976:IBM851980 ILI851976:ILI851980 IVE851976:IVE851980 JFA851976:JFA851980 JOW851976:JOW851980 JYS851976:JYS851980 KIO851976:KIO851980 KSK851976:KSK851980 LCG851976:LCG851980 LMC851976:LMC851980 LVY851976:LVY851980 MFU851976:MFU851980 MPQ851976:MPQ851980 MZM851976:MZM851980 NJI851976:NJI851980 NTE851976:NTE851980 ODA851976:ODA851980 OMW851976:OMW851980 OWS851976:OWS851980 PGO851976:PGO851980 PQK851976:PQK851980 QAG851976:QAG851980 QKC851976:QKC851980 QTY851976:QTY851980 RDU851976:RDU851980 RNQ851976:RNQ851980 RXM851976:RXM851980 SHI851976:SHI851980 SRE851976:SRE851980 TBA851976:TBA851980 TKW851976:TKW851980 TUS851976:TUS851980 UEO851976:UEO851980 UOK851976:UOK851980 UYG851976:UYG851980 VIC851976:VIC851980 VRY851976:VRY851980 WBU851976:WBU851980 WLQ851976:WLQ851980 WVM851976:WVM851980 E917512:E917516 JA917512:JA917516 SW917512:SW917516 ACS917512:ACS917516 AMO917512:AMO917516 AWK917512:AWK917516 BGG917512:BGG917516 BQC917512:BQC917516 BZY917512:BZY917516 CJU917512:CJU917516 CTQ917512:CTQ917516 DDM917512:DDM917516 DNI917512:DNI917516 DXE917512:DXE917516 EHA917512:EHA917516 EQW917512:EQW917516 FAS917512:FAS917516 FKO917512:FKO917516 FUK917512:FUK917516 GEG917512:GEG917516 GOC917512:GOC917516 GXY917512:GXY917516 HHU917512:HHU917516 HRQ917512:HRQ917516 IBM917512:IBM917516 ILI917512:ILI917516 IVE917512:IVE917516 JFA917512:JFA917516 JOW917512:JOW917516 JYS917512:JYS917516 KIO917512:KIO917516 KSK917512:KSK917516 LCG917512:LCG917516 LMC917512:LMC917516 LVY917512:LVY917516 MFU917512:MFU917516 MPQ917512:MPQ917516 MZM917512:MZM917516 NJI917512:NJI917516 NTE917512:NTE917516 ODA917512:ODA917516 OMW917512:OMW917516 OWS917512:OWS917516 PGO917512:PGO917516 PQK917512:PQK917516 QAG917512:QAG917516 QKC917512:QKC917516 QTY917512:QTY917516 RDU917512:RDU917516 RNQ917512:RNQ917516 RXM917512:RXM917516 SHI917512:SHI917516 SRE917512:SRE917516 TBA917512:TBA917516 TKW917512:TKW917516 TUS917512:TUS917516 UEO917512:UEO917516 UOK917512:UOK917516 UYG917512:UYG917516 VIC917512:VIC917516 VRY917512:VRY917516 WBU917512:WBU917516 WLQ917512:WLQ917516 WVM917512:WVM917516 E983048:E983052 JA983048:JA983052 SW983048:SW983052 ACS983048:ACS983052 AMO983048:AMO983052 AWK983048:AWK983052 BGG983048:BGG983052 BQC983048:BQC983052 BZY983048:BZY983052 CJU983048:CJU983052 CTQ983048:CTQ983052 DDM983048:DDM983052 DNI983048:DNI983052 DXE983048:DXE983052 EHA983048:EHA983052 EQW983048:EQW983052 FAS983048:FAS983052 FKO983048:FKO983052 FUK983048:FUK983052 GEG983048:GEG983052 GOC983048:GOC983052 GXY983048:GXY983052 HHU983048:HHU983052 HRQ983048:HRQ983052 IBM983048:IBM983052 ILI983048:ILI983052 IVE983048:IVE983052 JFA983048:JFA983052 JOW983048:JOW983052 JYS983048:JYS983052 KIO983048:KIO983052 KSK983048:KSK983052 LCG983048:LCG983052 LMC983048:LMC983052 LVY983048:LVY983052 MFU983048:MFU983052 MPQ983048:MPQ983052 MZM983048:MZM983052 NJI983048:NJI983052 NTE983048:NTE983052 ODA983048:ODA983052 OMW983048:OMW983052 OWS983048:OWS983052 PGO983048:PGO983052 PQK983048:PQK983052 QAG983048:QAG983052 QKC983048:QKC983052 QTY983048:QTY983052 RDU983048:RDU983052 RNQ983048:RNQ983052 RXM983048:RXM983052 SHI983048:SHI983052 SRE983048:SRE983052 TBA983048:TBA983052 TKW983048:TKW983052 TUS983048:TUS983052 UEO983048:UEO983052 UOK983048:UOK983052 UYG983048:UYG983052 VIC983048:VIC983052 VRY983048:VRY983052 WBU983048:WBU983052 WLQ983048:WLQ983052 WVM983048:WVM983052">
      <formula1>"是,否"</formula1>
    </dataValidation>
  </dataValidations>
  <pageMargins left="0.78740157480314998" right="0.35433070866141703" top="0.511811023622047" bottom="0.11811023622047198" header="0.511811023622047" footer="0.511811023622047"/>
  <pageSetup paperSize="9" orientation="landscape" blackAndWhite="1" r:id="rId1"/>
</worksheet>
</file>

<file path=xl/worksheets/sheet16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70"/>
  <dimension ref="A1:G24"/>
  <sheetViews>
    <sheetView topLeftCell="A7" workbookViewId="0">
      <selection activeCell="J16" sqref="J16"/>
    </sheetView>
  </sheetViews>
  <sheetFormatPr defaultColWidth="8.09765625" defaultRowHeight="30" customHeight="1"/>
  <cols>
    <col min="1" max="1" width="9.8984375" style="2468" customWidth="1"/>
    <col min="2" max="2" width="22.09765625" style="2468" customWidth="1"/>
    <col min="3" max="3" width="17.09765625" style="2468" customWidth="1"/>
    <col min="4" max="4" width="24.19921875" style="2468" customWidth="1"/>
    <col min="5" max="5" width="14.69921875" style="2468" customWidth="1"/>
    <col min="6" max="256" width="8.09765625" style="2468"/>
    <col min="257" max="257" width="9.8984375" style="2468" customWidth="1"/>
    <col min="258" max="258" width="28.09765625" style="2468" customWidth="1"/>
    <col min="259" max="259" width="12.8984375" style="2468" customWidth="1"/>
    <col min="260" max="260" width="34.19921875" style="2468" customWidth="1"/>
    <col min="261" max="261" width="13.8984375" style="2468" customWidth="1"/>
    <col min="262" max="512" width="8.09765625" style="2468"/>
    <col min="513" max="513" width="9.8984375" style="2468" customWidth="1"/>
    <col min="514" max="514" width="28.09765625" style="2468" customWidth="1"/>
    <col min="515" max="515" width="12.8984375" style="2468" customWidth="1"/>
    <col min="516" max="516" width="34.19921875" style="2468" customWidth="1"/>
    <col min="517" max="517" width="13.8984375" style="2468" customWidth="1"/>
    <col min="518" max="768" width="8.09765625" style="2468"/>
    <col min="769" max="769" width="9.8984375" style="2468" customWidth="1"/>
    <col min="770" max="770" width="28.09765625" style="2468" customWidth="1"/>
    <col min="771" max="771" width="12.8984375" style="2468" customWidth="1"/>
    <col min="772" max="772" width="34.19921875" style="2468" customWidth="1"/>
    <col min="773" max="773" width="13.8984375" style="2468" customWidth="1"/>
    <col min="774" max="1024" width="8.09765625" style="2468"/>
    <col min="1025" max="1025" width="9.8984375" style="2468" customWidth="1"/>
    <col min="1026" max="1026" width="28.09765625" style="2468" customWidth="1"/>
    <col min="1027" max="1027" width="12.8984375" style="2468" customWidth="1"/>
    <col min="1028" max="1028" width="34.19921875" style="2468" customWidth="1"/>
    <col min="1029" max="1029" width="13.8984375" style="2468" customWidth="1"/>
    <col min="1030" max="1280" width="8.09765625" style="2468"/>
    <col min="1281" max="1281" width="9.8984375" style="2468" customWidth="1"/>
    <col min="1282" max="1282" width="28.09765625" style="2468" customWidth="1"/>
    <col min="1283" max="1283" width="12.8984375" style="2468" customWidth="1"/>
    <col min="1284" max="1284" width="34.19921875" style="2468" customWidth="1"/>
    <col min="1285" max="1285" width="13.8984375" style="2468" customWidth="1"/>
    <col min="1286" max="1536" width="8.09765625" style="2468"/>
    <col min="1537" max="1537" width="9.8984375" style="2468" customWidth="1"/>
    <col min="1538" max="1538" width="28.09765625" style="2468" customWidth="1"/>
    <col min="1539" max="1539" width="12.8984375" style="2468" customWidth="1"/>
    <col min="1540" max="1540" width="34.19921875" style="2468" customWidth="1"/>
    <col min="1541" max="1541" width="13.8984375" style="2468" customWidth="1"/>
    <col min="1542" max="1792" width="8.09765625" style="2468"/>
    <col min="1793" max="1793" width="9.8984375" style="2468" customWidth="1"/>
    <col min="1794" max="1794" width="28.09765625" style="2468" customWidth="1"/>
    <col min="1795" max="1795" width="12.8984375" style="2468" customWidth="1"/>
    <col min="1796" max="1796" width="34.19921875" style="2468" customWidth="1"/>
    <col min="1797" max="1797" width="13.8984375" style="2468" customWidth="1"/>
    <col min="1798" max="2048" width="8.09765625" style="2468"/>
    <col min="2049" max="2049" width="9.8984375" style="2468" customWidth="1"/>
    <col min="2050" max="2050" width="28.09765625" style="2468" customWidth="1"/>
    <col min="2051" max="2051" width="12.8984375" style="2468" customWidth="1"/>
    <col min="2052" max="2052" width="34.19921875" style="2468" customWidth="1"/>
    <col min="2053" max="2053" width="13.8984375" style="2468" customWidth="1"/>
    <col min="2054" max="2304" width="8.09765625" style="2468"/>
    <col min="2305" max="2305" width="9.8984375" style="2468" customWidth="1"/>
    <col min="2306" max="2306" width="28.09765625" style="2468" customWidth="1"/>
    <col min="2307" max="2307" width="12.8984375" style="2468" customWidth="1"/>
    <col min="2308" max="2308" width="34.19921875" style="2468" customWidth="1"/>
    <col min="2309" max="2309" width="13.8984375" style="2468" customWidth="1"/>
    <col min="2310" max="2560" width="8.09765625" style="2468"/>
    <col min="2561" max="2561" width="9.8984375" style="2468" customWidth="1"/>
    <col min="2562" max="2562" width="28.09765625" style="2468" customWidth="1"/>
    <col min="2563" max="2563" width="12.8984375" style="2468" customWidth="1"/>
    <col min="2564" max="2564" width="34.19921875" style="2468" customWidth="1"/>
    <col min="2565" max="2565" width="13.8984375" style="2468" customWidth="1"/>
    <col min="2566" max="2816" width="8.09765625" style="2468"/>
    <col min="2817" max="2817" width="9.8984375" style="2468" customWidth="1"/>
    <col min="2818" max="2818" width="28.09765625" style="2468" customWidth="1"/>
    <col min="2819" max="2819" width="12.8984375" style="2468" customWidth="1"/>
    <col min="2820" max="2820" width="34.19921875" style="2468" customWidth="1"/>
    <col min="2821" max="2821" width="13.8984375" style="2468" customWidth="1"/>
    <col min="2822" max="3072" width="8.09765625" style="2468"/>
    <col min="3073" max="3073" width="9.8984375" style="2468" customWidth="1"/>
    <col min="3074" max="3074" width="28.09765625" style="2468" customWidth="1"/>
    <col min="3075" max="3075" width="12.8984375" style="2468" customWidth="1"/>
    <col min="3076" max="3076" width="34.19921875" style="2468" customWidth="1"/>
    <col min="3077" max="3077" width="13.8984375" style="2468" customWidth="1"/>
    <col min="3078" max="3328" width="8.09765625" style="2468"/>
    <col min="3329" max="3329" width="9.8984375" style="2468" customWidth="1"/>
    <col min="3330" max="3330" width="28.09765625" style="2468" customWidth="1"/>
    <col min="3331" max="3331" width="12.8984375" style="2468" customWidth="1"/>
    <col min="3332" max="3332" width="34.19921875" style="2468" customWidth="1"/>
    <col min="3333" max="3333" width="13.8984375" style="2468" customWidth="1"/>
    <col min="3334" max="3584" width="8.09765625" style="2468"/>
    <col min="3585" max="3585" width="9.8984375" style="2468" customWidth="1"/>
    <col min="3586" max="3586" width="28.09765625" style="2468" customWidth="1"/>
    <col min="3587" max="3587" width="12.8984375" style="2468" customWidth="1"/>
    <col min="3588" max="3588" width="34.19921875" style="2468" customWidth="1"/>
    <col min="3589" max="3589" width="13.8984375" style="2468" customWidth="1"/>
    <col min="3590" max="3840" width="8.09765625" style="2468"/>
    <col min="3841" max="3841" width="9.8984375" style="2468" customWidth="1"/>
    <col min="3842" max="3842" width="28.09765625" style="2468" customWidth="1"/>
    <col min="3843" max="3843" width="12.8984375" style="2468" customWidth="1"/>
    <col min="3844" max="3844" width="34.19921875" style="2468" customWidth="1"/>
    <col min="3845" max="3845" width="13.8984375" style="2468" customWidth="1"/>
    <col min="3846" max="4096" width="8.09765625" style="2468"/>
    <col min="4097" max="4097" width="9.8984375" style="2468" customWidth="1"/>
    <col min="4098" max="4098" width="28.09765625" style="2468" customWidth="1"/>
    <col min="4099" max="4099" width="12.8984375" style="2468" customWidth="1"/>
    <col min="4100" max="4100" width="34.19921875" style="2468" customWidth="1"/>
    <col min="4101" max="4101" width="13.8984375" style="2468" customWidth="1"/>
    <col min="4102" max="4352" width="8.09765625" style="2468"/>
    <col min="4353" max="4353" width="9.8984375" style="2468" customWidth="1"/>
    <col min="4354" max="4354" width="28.09765625" style="2468" customWidth="1"/>
    <col min="4355" max="4355" width="12.8984375" style="2468" customWidth="1"/>
    <col min="4356" max="4356" width="34.19921875" style="2468" customWidth="1"/>
    <col min="4357" max="4357" width="13.8984375" style="2468" customWidth="1"/>
    <col min="4358" max="4608" width="8.09765625" style="2468"/>
    <col min="4609" max="4609" width="9.8984375" style="2468" customWidth="1"/>
    <col min="4610" max="4610" width="28.09765625" style="2468" customWidth="1"/>
    <col min="4611" max="4611" width="12.8984375" style="2468" customWidth="1"/>
    <col min="4612" max="4612" width="34.19921875" style="2468" customWidth="1"/>
    <col min="4613" max="4613" width="13.8984375" style="2468" customWidth="1"/>
    <col min="4614" max="4864" width="8.09765625" style="2468"/>
    <col min="4865" max="4865" width="9.8984375" style="2468" customWidth="1"/>
    <col min="4866" max="4866" width="28.09765625" style="2468" customWidth="1"/>
    <col min="4867" max="4867" width="12.8984375" style="2468" customWidth="1"/>
    <col min="4868" max="4868" width="34.19921875" style="2468" customWidth="1"/>
    <col min="4869" max="4869" width="13.8984375" style="2468" customWidth="1"/>
    <col min="4870" max="5120" width="8.09765625" style="2468"/>
    <col min="5121" max="5121" width="9.8984375" style="2468" customWidth="1"/>
    <col min="5122" max="5122" width="28.09765625" style="2468" customWidth="1"/>
    <col min="5123" max="5123" width="12.8984375" style="2468" customWidth="1"/>
    <col min="5124" max="5124" width="34.19921875" style="2468" customWidth="1"/>
    <col min="5125" max="5125" width="13.8984375" style="2468" customWidth="1"/>
    <col min="5126" max="5376" width="8.09765625" style="2468"/>
    <col min="5377" max="5377" width="9.8984375" style="2468" customWidth="1"/>
    <col min="5378" max="5378" width="28.09765625" style="2468" customWidth="1"/>
    <col min="5379" max="5379" width="12.8984375" style="2468" customWidth="1"/>
    <col min="5380" max="5380" width="34.19921875" style="2468" customWidth="1"/>
    <col min="5381" max="5381" width="13.8984375" style="2468" customWidth="1"/>
    <col min="5382" max="5632" width="8.09765625" style="2468"/>
    <col min="5633" max="5633" width="9.8984375" style="2468" customWidth="1"/>
    <col min="5634" max="5634" width="28.09765625" style="2468" customWidth="1"/>
    <col min="5635" max="5635" width="12.8984375" style="2468" customWidth="1"/>
    <col min="5636" max="5636" width="34.19921875" style="2468" customWidth="1"/>
    <col min="5637" max="5637" width="13.8984375" style="2468" customWidth="1"/>
    <col min="5638" max="5888" width="8.09765625" style="2468"/>
    <col min="5889" max="5889" width="9.8984375" style="2468" customWidth="1"/>
    <col min="5890" max="5890" width="28.09765625" style="2468" customWidth="1"/>
    <col min="5891" max="5891" width="12.8984375" style="2468" customWidth="1"/>
    <col min="5892" max="5892" width="34.19921875" style="2468" customWidth="1"/>
    <col min="5893" max="5893" width="13.8984375" style="2468" customWidth="1"/>
    <col min="5894" max="6144" width="8.09765625" style="2468"/>
    <col min="6145" max="6145" width="9.8984375" style="2468" customWidth="1"/>
    <col min="6146" max="6146" width="28.09765625" style="2468" customWidth="1"/>
    <col min="6147" max="6147" width="12.8984375" style="2468" customWidth="1"/>
    <col min="6148" max="6148" width="34.19921875" style="2468" customWidth="1"/>
    <col min="6149" max="6149" width="13.8984375" style="2468" customWidth="1"/>
    <col min="6150" max="6400" width="8.09765625" style="2468"/>
    <col min="6401" max="6401" width="9.8984375" style="2468" customWidth="1"/>
    <col min="6402" max="6402" width="28.09765625" style="2468" customWidth="1"/>
    <col min="6403" max="6403" width="12.8984375" style="2468" customWidth="1"/>
    <col min="6404" max="6404" width="34.19921875" style="2468" customWidth="1"/>
    <col min="6405" max="6405" width="13.8984375" style="2468" customWidth="1"/>
    <col min="6406" max="6656" width="8.09765625" style="2468"/>
    <col min="6657" max="6657" width="9.8984375" style="2468" customWidth="1"/>
    <col min="6658" max="6658" width="28.09765625" style="2468" customWidth="1"/>
    <col min="6659" max="6659" width="12.8984375" style="2468" customWidth="1"/>
    <col min="6660" max="6660" width="34.19921875" style="2468" customWidth="1"/>
    <col min="6661" max="6661" width="13.8984375" style="2468" customWidth="1"/>
    <col min="6662" max="6912" width="8.09765625" style="2468"/>
    <col min="6913" max="6913" width="9.8984375" style="2468" customWidth="1"/>
    <col min="6914" max="6914" width="28.09765625" style="2468" customWidth="1"/>
    <col min="6915" max="6915" width="12.8984375" style="2468" customWidth="1"/>
    <col min="6916" max="6916" width="34.19921875" style="2468" customWidth="1"/>
    <col min="6917" max="6917" width="13.8984375" style="2468" customWidth="1"/>
    <col min="6918" max="7168" width="8.09765625" style="2468"/>
    <col min="7169" max="7169" width="9.8984375" style="2468" customWidth="1"/>
    <col min="7170" max="7170" width="28.09765625" style="2468" customWidth="1"/>
    <col min="7171" max="7171" width="12.8984375" style="2468" customWidth="1"/>
    <col min="7172" max="7172" width="34.19921875" style="2468" customWidth="1"/>
    <col min="7173" max="7173" width="13.8984375" style="2468" customWidth="1"/>
    <col min="7174" max="7424" width="8.09765625" style="2468"/>
    <col min="7425" max="7425" width="9.8984375" style="2468" customWidth="1"/>
    <col min="7426" max="7426" width="28.09765625" style="2468" customWidth="1"/>
    <col min="7427" max="7427" width="12.8984375" style="2468" customWidth="1"/>
    <col min="7428" max="7428" width="34.19921875" style="2468" customWidth="1"/>
    <col min="7429" max="7429" width="13.8984375" style="2468" customWidth="1"/>
    <col min="7430" max="7680" width="8.09765625" style="2468"/>
    <col min="7681" max="7681" width="9.8984375" style="2468" customWidth="1"/>
    <col min="7682" max="7682" width="28.09765625" style="2468" customWidth="1"/>
    <col min="7683" max="7683" width="12.8984375" style="2468" customWidth="1"/>
    <col min="7684" max="7684" width="34.19921875" style="2468" customWidth="1"/>
    <col min="7685" max="7685" width="13.8984375" style="2468" customWidth="1"/>
    <col min="7686" max="7936" width="8.09765625" style="2468"/>
    <col min="7937" max="7937" width="9.8984375" style="2468" customWidth="1"/>
    <col min="7938" max="7938" width="28.09765625" style="2468" customWidth="1"/>
    <col min="7939" max="7939" width="12.8984375" style="2468" customWidth="1"/>
    <col min="7940" max="7940" width="34.19921875" style="2468" customWidth="1"/>
    <col min="7941" max="7941" width="13.8984375" style="2468" customWidth="1"/>
    <col min="7942" max="8192" width="8.09765625" style="2468"/>
    <col min="8193" max="8193" width="9.8984375" style="2468" customWidth="1"/>
    <col min="8194" max="8194" width="28.09765625" style="2468" customWidth="1"/>
    <col min="8195" max="8195" width="12.8984375" style="2468" customWidth="1"/>
    <col min="8196" max="8196" width="34.19921875" style="2468" customWidth="1"/>
    <col min="8197" max="8197" width="13.8984375" style="2468" customWidth="1"/>
    <col min="8198" max="8448" width="8.09765625" style="2468"/>
    <col min="8449" max="8449" width="9.8984375" style="2468" customWidth="1"/>
    <col min="8450" max="8450" width="28.09765625" style="2468" customWidth="1"/>
    <col min="8451" max="8451" width="12.8984375" style="2468" customWidth="1"/>
    <col min="8452" max="8452" width="34.19921875" style="2468" customWidth="1"/>
    <col min="8453" max="8453" width="13.8984375" style="2468" customWidth="1"/>
    <col min="8454" max="8704" width="8.09765625" style="2468"/>
    <col min="8705" max="8705" width="9.8984375" style="2468" customWidth="1"/>
    <col min="8706" max="8706" width="28.09765625" style="2468" customWidth="1"/>
    <col min="8707" max="8707" width="12.8984375" style="2468" customWidth="1"/>
    <col min="8708" max="8708" width="34.19921875" style="2468" customWidth="1"/>
    <col min="8709" max="8709" width="13.8984375" style="2468" customWidth="1"/>
    <col min="8710" max="8960" width="8.09765625" style="2468"/>
    <col min="8961" max="8961" width="9.8984375" style="2468" customWidth="1"/>
    <col min="8962" max="8962" width="28.09765625" style="2468" customWidth="1"/>
    <col min="8963" max="8963" width="12.8984375" style="2468" customWidth="1"/>
    <col min="8964" max="8964" width="34.19921875" style="2468" customWidth="1"/>
    <col min="8965" max="8965" width="13.8984375" style="2468" customWidth="1"/>
    <col min="8966" max="9216" width="8.09765625" style="2468"/>
    <col min="9217" max="9217" width="9.8984375" style="2468" customWidth="1"/>
    <col min="9218" max="9218" width="28.09765625" style="2468" customWidth="1"/>
    <col min="9219" max="9219" width="12.8984375" style="2468" customWidth="1"/>
    <col min="9220" max="9220" width="34.19921875" style="2468" customWidth="1"/>
    <col min="9221" max="9221" width="13.8984375" style="2468" customWidth="1"/>
    <col min="9222" max="9472" width="8.09765625" style="2468"/>
    <col min="9473" max="9473" width="9.8984375" style="2468" customWidth="1"/>
    <col min="9474" max="9474" width="28.09765625" style="2468" customWidth="1"/>
    <col min="9475" max="9475" width="12.8984375" style="2468" customWidth="1"/>
    <col min="9476" max="9476" width="34.19921875" style="2468" customWidth="1"/>
    <col min="9477" max="9477" width="13.8984375" style="2468" customWidth="1"/>
    <col min="9478" max="9728" width="8.09765625" style="2468"/>
    <col min="9729" max="9729" width="9.8984375" style="2468" customWidth="1"/>
    <col min="9730" max="9730" width="28.09765625" style="2468" customWidth="1"/>
    <col min="9731" max="9731" width="12.8984375" style="2468" customWidth="1"/>
    <col min="9732" max="9732" width="34.19921875" style="2468" customWidth="1"/>
    <col min="9733" max="9733" width="13.8984375" style="2468" customWidth="1"/>
    <col min="9734" max="9984" width="8.09765625" style="2468"/>
    <col min="9985" max="9985" width="9.8984375" style="2468" customWidth="1"/>
    <col min="9986" max="9986" width="28.09765625" style="2468" customWidth="1"/>
    <col min="9987" max="9987" width="12.8984375" style="2468" customWidth="1"/>
    <col min="9988" max="9988" width="34.19921875" style="2468" customWidth="1"/>
    <col min="9989" max="9989" width="13.8984375" style="2468" customWidth="1"/>
    <col min="9990" max="10240" width="8.09765625" style="2468"/>
    <col min="10241" max="10241" width="9.8984375" style="2468" customWidth="1"/>
    <col min="10242" max="10242" width="28.09765625" style="2468" customWidth="1"/>
    <col min="10243" max="10243" width="12.8984375" style="2468" customWidth="1"/>
    <col min="10244" max="10244" width="34.19921875" style="2468" customWidth="1"/>
    <col min="10245" max="10245" width="13.8984375" style="2468" customWidth="1"/>
    <col min="10246" max="10496" width="8.09765625" style="2468"/>
    <col min="10497" max="10497" width="9.8984375" style="2468" customWidth="1"/>
    <col min="10498" max="10498" width="28.09765625" style="2468" customWidth="1"/>
    <col min="10499" max="10499" width="12.8984375" style="2468" customWidth="1"/>
    <col min="10500" max="10500" width="34.19921875" style="2468" customWidth="1"/>
    <col min="10501" max="10501" width="13.8984375" style="2468" customWidth="1"/>
    <col min="10502" max="10752" width="8.09765625" style="2468"/>
    <col min="10753" max="10753" width="9.8984375" style="2468" customWidth="1"/>
    <col min="10754" max="10754" width="28.09765625" style="2468" customWidth="1"/>
    <col min="10755" max="10755" width="12.8984375" style="2468" customWidth="1"/>
    <col min="10756" max="10756" width="34.19921875" style="2468" customWidth="1"/>
    <col min="10757" max="10757" width="13.8984375" style="2468" customWidth="1"/>
    <col min="10758" max="11008" width="8.09765625" style="2468"/>
    <col min="11009" max="11009" width="9.8984375" style="2468" customWidth="1"/>
    <col min="11010" max="11010" width="28.09765625" style="2468" customWidth="1"/>
    <col min="11011" max="11011" width="12.8984375" style="2468" customWidth="1"/>
    <col min="11012" max="11012" width="34.19921875" style="2468" customWidth="1"/>
    <col min="11013" max="11013" width="13.8984375" style="2468" customWidth="1"/>
    <col min="11014" max="11264" width="8.09765625" style="2468"/>
    <col min="11265" max="11265" width="9.8984375" style="2468" customWidth="1"/>
    <col min="11266" max="11266" width="28.09765625" style="2468" customWidth="1"/>
    <col min="11267" max="11267" width="12.8984375" style="2468" customWidth="1"/>
    <col min="11268" max="11268" width="34.19921875" style="2468" customWidth="1"/>
    <col min="11269" max="11269" width="13.8984375" style="2468" customWidth="1"/>
    <col min="11270" max="11520" width="8.09765625" style="2468"/>
    <col min="11521" max="11521" width="9.8984375" style="2468" customWidth="1"/>
    <col min="11522" max="11522" width="28.09765625" style="2468" customWidth="1"/>
    <col min="11523" max="11523" width="12.8984375" style="2468" customWidth="1"/>
    <col min="11524" max="11524" width="34.19921875" style="2468" customWidth="1"/>
    <col min="11525" max="11525" width="13.8984375" style="2468" customWidth="1"/>
    <col min="11526" max="11776" width="8.09765625" style="2468"/>
    <col min="11777" max="11777" width="9.8984375" style="2468" customWidth="1"/>
    <col min="11778" max="11778" width="28.09765625" style="2468" customWidth="1"/>
    <col min="11779" max="11779" width="12.8984375" style="2468" customWidth="1"/>
    <col min="11780" max="11780" width="34.19921875" style="2468" customWidth="1"/>
    <col min="11781" max="11781" width="13.8984375" style="2468" customWidth="1"/>
    <col min="11782" max="12032" width="8.09765625" style="2468"/>
    <col min="12033" max="12033" width="9.8984375" style="2468" customWidth="1"/>
    <col min="12034" max="12034" width="28.09765625" style="2468" customWidth="1"/>
    <col min="12035" max="12035" width="12.8984375" style="2468" customWidth="1"/>
    <col min="12036" max="12036" width="34.19921875" style="2468" customWidth="1"/>
    <col min="12037" max="12037" width="13.8984375" style="2468" customWidth="1"/>
    <col min="12038" max="12288" width="8.09765625" style="2468"/>
    <col min="12289" max="12289" width="9.8984375" style="2468" customWidth="1"/>
    <col min="12290" max="12290" width="28.09765625" style="2468" customWidth="1"/>
    <col min="12291" max="12291" width="12.8984375" style="2468" customWidth="1"/>
    <col min="12292" max="12292" width="34.19921875" style="2468" customWidth="1"/>
    <col min="12293" max="12293" width="13.8984375" style="2468" customWidth="1"/>
    <col min="12294" max="12544" width="8.09765625" style="2468"/>
    <col min="12545" max="12545" width="9.8984375" style="2468" customWidth="1"/>
    <col min="12546" max="12546" width="28.09765625" style="2468" customWidth="1"/>
    <col min="12547" max="12547" width="12.8984375" style="2468" customWidth="1"/>
    <col min="12548" max="12548" width="34.19921875" style="2468" customWidth="1"/>
    <col min="12549" max="12549" width="13.8984375" style="2468" customWidth="1"/>
    <col min="12550" max="12800" width="8.09765625" style="2468"/>
    <col min="12801" max="12801" width="9.8984375" style="2468" customWidth="1"/>
    <col min="12802" max="12802" width="28.09765625" style="2468" customWidth="1"/>
    <col min="12803" max="12803" width="12.8984375" style="2468" customWidth="1"/>
    <col min="12804" max="12804" width="34.19921875" style="2468" customWidth="1"/>
    <col min="12805" max="12805" width="13.8984375" style="2468" customWidth="1"/>
    <col min="12806" max="13056" width="8.09765625" style="2468"/>
    <col min="13057" max="13057" width="9.8984375" style="2468" customWidth="1"/>
    <col min="13058" max="13058" width="28.09765625" style="2468" customWidth="1"/>
    <col min="13059" max="13059" width="12.8984375" style="2468" customWidth="1"/>
    <col min="13060" max="13060" width="34.19921875" style="2468" customWidth="1"/>
    <col min="13061" max="13061" width="13.8984375" style="2468" customWidth="1"/>
    <col min="13062" max="13312" width="8.09765625" style="2468"/>
    <col min="13313" max="13313" width="9.8984375" style="2468" customWidth="1"/>
    <col min="13314" max="13314" width="28.09765625" style="2468" customWidth="1"/>
    <col min="13315" max="13315" width="12.8984375" style="2468" customWidth="1"/>
    <col min="13316" max="13316" width="34.19921875" style="2468" customWidth="1"/>
    <col min="13317" max="13317" width="13.8984375" style="2468" customWidth="1"/>
    <col min="13318" max="13568" width="8.09765625" style="2468"/>
    <col min="13569" max="13569" width="9.8984375" style="2468" customWidth="1"/>
    <col min="13570" max="13570" width="28.09765625" style="2468" customWidth="1"/>
    <col min="13571" max="13571" width="12.8984375" style="2468" customWidth="1"/>
    <col min="13572" max="13572" width="34.19921875" style="2468" customWidth="1"/>
    <col min="13573" max="13573" width="13.8984375" style="2468" customWidth="1"/>
    <col min="13574" max="13824" width="8.09765625" style="2468"/>
    <col min="13825" max="13825" width="9.8984375" style="2468" customWidth="1"/>
    <col min="13826" max="13826" width="28.09765625" style="2468" customWidth="1"/>
    <col min="13827" max="13827" width="12.8984375" style="2468" customWidth="1"/>
    <col min="13828" max="13828" width="34.19921875" style="2468" customWidth="1"/>
    <col min="13829" max="13829" width="13.8984375" style="2468" customWidth="1"/>
    <col min="13830" max="14080" width="8.09765625" style="2468"/>
    <col min="14081" max="14081" width="9.8984375" style="2468" customWidth="1"/>
    <col min="14082" max="14082" width="28.09765625" style="2468" customWidth="1"/>
    <col min="14083" max="14083" width="12.8984375" style="2468" customWidth="1"/>
    <col min="14084" max="14084" width="34.19921875" style="2468" customWidth="1"/>
    <col min="14085" max="14085" width="13.8984375" style="2468" customWidth="1"/>
    <col min="14086" max="14336" width="8.09765625" style="2468"/>
    <col min="14337" max="14337" width="9.8984375" style="2468" customWidth="1"/>
    <col min="14338" max="14338" width="28.09765625" style="2468" customWidth="1"/>
    <col min="14339" max="14339" width="12.8984375" style="2468" customWidth="1"/>
    <col min="14340" max="14340" width="34.19921875" style="2468" customWidth="1"/>
    <col min="14341" max="14341" width="13.8984375" style="2468" customWidth="1"/>
    <col min="14342" max="14592" width="8.09765625" style="2468"/>
    <col min="14593" max="14593" width="9.8984375" style="2468" customWidth="1"/>
    <col min="14594" max="14594" width="28.09765625" style="2468" customWidth="1"/>
    <col min="14595" max="14595" width="12.8984375" style="2468" customWidth="1"/>
    <col min="14596" max="14596" width="34.19921875" style="2468" customWidth="1"/>
    <col min="14597" max="14597" width="13.8984375" style="2468" customWidth="1"/>
    <col min="14598" max="14848" width="8.09765625" style="2468"/>
    <col min="14849" max="14849" width="9.8984375" style="2468" customWidth="1"/>
    <col min="14850" max="14850" width="28.09765625" style="2468" customWidth="1"/>
    <col min="14851" max="14851" width="12.8984375" style="2468" customWidth="1"/>
    <col min="14852" max="14852" width="34.19921875" style="2468" customWidth="1"/>
    <col min="14853" max="14853" width="13.8984375" style="2468" customWidth="1"/>
    <col min="14854" max="15104" width="8.09765625" style="2468"/>
    <col min="15105" max="15105" width="9.8984375" style="2468" customWidth="1"/>
    <col min="15106" max="15106" width="28.09765625" style="2468" customWidth="1"/>
    <col min="15107" max="15107" width="12.8984375" style="2468" customWidth="1"/>
    <col min="15108" max="15108" width="34.19921875" style="2468" customWidth="1"/>
    <col min="15109" max="15109" width="13.8984375" style="2468" customWidth="1"/>
    <col min="15110" max="15360" width="8.09765625" style="2468"/>
    <col min="15361" max="15361" width="9.8984375" style="2468" customWidth="1"/>
    <col min="15362" max="15362" width="28.09765625" style="2468" customWidth="1"/>
    <col min="15363" max="15363" width="12.8984375" style="2468" customWidth="1"/>
    <col min="15364" max="15364" width="34.19921875" style="2468" customWidth="1"/>
    <col min="15365" max="15365" width="13.8984375" style="2468" customWidth="1"/>
    <col min="15366" max="15616" width="8.09765625" style="2468"/>
    <col min="15617" max="15617" width="9.8984375" style="2468" customWidth="1"/>
    <col min="15618" max="15618" width="28.09765625" style="2468" customWidth="1"/>
    <col min="15619" max="15619" width="12.8984375" style="2468" customWidth="1"/>
    <col min="15620" max="15620" width="34.19921875" style="2468" customWidth="1"/>
    <col min="15621" max="15621" width="13.8984375" style="2468" customWidth="1"/>
    <col min="15622" max="15872" width="8.09765625" style="2468"/>
    <col min="15873" max="15873" width="9.8984375" style="2468" customWidth="1"/>
    <col min="15874" max="15874" width="28.09765625" style="2468" customWidth="1"/>
    <col min="15875" max="15875" width="12.8984375" style="2468" customWidth="1"/>
    <col min="15876" max="15876" width="34.19921875" style="2468" customWidth="1"/>
    <col min="15877" max="15877" width="13.8984375" style="2468" customWidth="1"/>
    <col min="15878" max="16128" width="8.09765625" style="2468"/>
    <col min="16129" max="16129" width="9.8984375" style="2468" customWidth="1"/>
    <col min="16130" max="16130" width="28.09765625" style="2468" customWidth="1"/>
    <col min="16131" max="16131" width="12.8984375" style="2468" customWidth="1"/>
    <col min="16132" max="16132" width="34.19921875" style="2468" customWidth="1"/>
    <col min="16133" max="16133" width="13.8984375" style="2468" customWidth="1"/>
    <col min="16134" max="16384" width="8.09765625" style="2468"/>
  </cols>
  <sheetData>
    <row r="1" spans="1:7" ht="20.100000000000001" customHeight="1">
      <c r="A1" s="3983" t="s">
        <v>7191</v>
      </c>
      <c r="B1" s="3983"/>
      <c r="C1" s="3983"/>
      <c r="D1" s="3983"/>
      <c r="E1" s="3983"/>
      <c r="F1" s="2525"/>
    </row>
    <row r="2" spans="1:7" ht="24" customHeight="1">
      <c r="A2" s="3984" t="s">
        <v>7416</v>
      </c>
      <c r="B2" s="3984"/>
      <c r="C2" s="3984"/>
      <c r="D2" s="3984"/>
      <c r="E2" s="3984"/>
    </row>
    <row r="3" spans="1:7" ht="25.5" customHeight="1">
      <c r="A3" s="3985" t="s">
        <v>7192</v>
      </c>
      <c r="B3" s="3986"/>
      <c r="C3" s="2497" t="s">
        <v>7193</v>
      </c>
      <c r="D3" s="3987" t="s">
        <v>7194</v>
      </c>
      <c r="E3" s="3987"/>
      <c r="G3" s="2524"/>
    </row>
    <row r="4" spans="1:7" ht="25.5" customHeight="1">
      <c r="A4" s="3981"/>
      <c r="B4" s="3981"/>
      <c r="C4" s="2482"/>
      <c r="D4" s="3981"/>
      <c r="E4" s="3981"/>
    </row>
    <row r="5" spans="1:7" ht="25.5" customHeight="1">
      <c r="A5" s="3980" t="s">
        <v>7195</v>
      </c>
      <c r="B5" s="3980"/>
      <c r="C5" s="2498" t="s">
        <v>7196</v>
      </c>
      <c r="D5" s="3980" t="s">
        <v>7197</v>
      </c>
      <c r="E5" s="3980"/>
    </row>
    <row r="6" spans="1:7" ht="25.5" customHeight="1">
      <c r="A6" s="3981"/>
      <c r="B6" s="3981"/>
      <c r="C6" s="2482"/>
      <c r="D6" s="3982"/>
      <c r="E6" s="3982"/>
    </row>
    <row r="7" spans="1:7" ht="25.5" customHeight="1">
      <c r="A7" s="3982"/>
      <c r="B7" s="3982"/>
      <c r="C7" s="2482"/>
      <c r="D7" s="3982"/>
      <c r="E7" s="3982"/>
    </row>
    <row r="8" spans="1:7" ht="25.5" customHeight="1">
      <c r="A8" s="3982"/>
      <c r="B8" s="3982"/>
      <c r="C8" s="2482"/>
      <c r="D8" s="3982"/>
      <c r="E8" s="3982"/>
    </row>
    <row r="9" spans="1:7" ht="25.5" customHeight="1">
      <c r="A9" s="3982"/>
      <c r="B9" s="3982"/>
      <c r="C9" s="2482"/>
      <c r="D9" s="3982"/>
      <c r="E9" s="3982"/>
    </row>
    <row r="10" spans="1:7" ht="25.5" customHeight="1">
      <c r="A10" s="3987" t="s">
        <v>7198</v>
      </c>
      <c r="B10" s="3987"/>
      <c r="C10" s="3988"/>
      <c r="D10" s="3988"/>
      <c r="E10" s="3988"/>
    </row>
    <row r="11" spans="1:7" ht="25.5" customHeight="1">
      <c r="A11" s="3987" t="s">
        <v>7199</v>
      </c>
      <c r="B11" s="3987"/>
      <c r="C11" s="3991"/>
      <c r="D11" s="3991"/>
      <c r="E11" s="3991"/>
    </row>
    <row r="12" spans="1:7" ht="25.5" customHeight="1">
      <c r="A12" s="3987" t="s">
        <v>7200</v>
      </c>
      <c r="B12" s="3987"/>
      <c r="C12" s="3992"/>
      <c r="D12" s="2497" t="s">
        <v>7201</v>
      </c>
      <c r="E12" s="1225"/>
    </row>
    <row r="13" spans="1:7" ht="25.5" customHeight="1">
      <c r="A13" s="3987"/>
      <c r="B13" s="3987"/>
      <c r="C13" s="3993"/>
      <c r="D13" s="2497" t="s">
        <v>7202</v>
      </c>
      <c r="E13" s="1225"/>
    </row>
    <row r="14" spans="1:7" ht="25.5" customHeight="1">
      <c r="A14" s="3987"/>
      <c r="B14" s="3987"/>
      <c r="C14" s="3993"/>
      <c r="D14" s="2497" t="s">
        <v>7203</v>
      </c>
      <c r="E14" s="1225"/>
    </row>
    <row r="15" spans="1:7" ht="25.5" customHeight="1">
      <c r="A15" s="3987"/>
      <c r="B15" s="3987"/>
      <c r="C15" s="3994"/>
      <c r="D15" s="2497" t="s">
        <v>7204</v>
      </c>
      <c r="E15" s="1225"/>
    </row>
    <row r="16" spans="1:7" ht="25.5" customHeight="1">
      <c r="A16" s="3987" t="s">
        <v>7205</v>
      </c>
      <c r="B16" s="3987" t="s">
        <v>7206</v>
      </c>
      <c r="C16" s="3995"/>
      <c r="D16" s="2497" t="s">
        <v>7207</v>
      </c>
      <c r="E16" s="1225"/>
    </row>
    <row r="17" spans="1:7" ht="25.5" customHeight="1">
      <c r="A17" s="3987"/>
      <c r="B17" s="3987"/>
      <c r="C17" s="3995"/>
      <c r="D17" s="2497" t="s">
        <v>7208</v>
      </c>
      <c r="E17" s="1225"/>
    </row>
    <row r="18" spans="1:7" ht="25.5" customHeight="1">
      <c r="A18" s="3987"/>
      <c r="B18" s="3987"/>
      <c r="C18" s="3995"/>
      <c r="D18" s="2497" t="s">
        <v>7209</v>
      </c>
      <c r="E18" s="1225"/>
    </row>
    <row r="19" spans="1:7" ht="25.5" customHeight="1">
      <c r="A19" s="3987"/>
      <c r="B19" s="3987"/>
      <c r="C19" s="3995"/>
      <c r="D19" s="2497" t="s">
        <v>7210</v>
      </c>
      <c r="E19" s="1225"/>
    </row>
    <row r="20" spans="1:7" ht="25.5" customHeight="1">
      <c r="A20" s="3987"/>
      <c r="B20" s="2497" t="s">
        <v>7211</v>
      </c>
      <c r="C20" s="3996"/>
      <c r="D20" s="3997"/>
      <c r="E20" s="3998"/>
    </row>
    <row r="21" spans="1:7" ht="25.5" customHeight="1">
      <c r="A21" s="3987"/>
      <c r="B21" s="2497" t="s">
        <v>7212</v>
      </c>
      <c r="C21" s="1225"/>
      <c r="D21" s="2497" t="s">
        <v>7213</v>
      </c>
      <c r="E21" s="1225"/>
    </row>
    <row r="22" spans="1:7" ht="25.5" customHeight="1">
      <c r="A22" s="3987" t="s">
        <v>7214</v>
      </c>
      <c r="B22" s="2497" t="s">
        <v>7215</v>
      </c>
      <c r="C22" s="1225"/>
      <c r="D22" s="2497" t="s">
        <v>7216</v>
      </c>
      <c r="E22" s="1225"/>
    </row>
    <row r="23" spans="1:7" ht="25.5" customHeight="1">
      <c r="A23" s="3989"/>
      <c r="B23" s="2512" t="s">
        <v>7217</v>
      </c>
      <c r="C23" s="2549"/>
      <c r="D23" s="2512" t="s">
        <v>7218</v>
      </c>
      <c r="E23" s="2549"/>
    </row>
    <row r="24" spans="1:7" ht="25.5" customHeight="1">
      <c r="A24" s="2519" t="s">
        <v>7189</v>
      </c>
      <c r="B24" s="3990">
        <f>基本情况!B12</f>
        <v>0</v>
      </c>
      <c r="C24" s="3965"/>
      <c r="D24" s="2519" t="s">
        <v>7190</v>
      </c>
      <c r="E24" s="2523" t="str">
        <f>基本情况!B21</f>
        <v>2017年3月16日</v>
      </c>
      <c r="F24" s="2485"/>
      <c r="G24" s="2485"/>
    </row>
  </sheetData>
  <mergeCells count="28">
    <mergeCell ref="A22:A23"/>
    <mergeCell ref="B24:C24"/>
    <mergeCell ref="A11:B11"/>
    <mergeCell ref="C11:E11"/>
    <mergeCell ref="A12:B15"/>
    <mergeCell ref="C12:C15"/>
    <mergeCell ref="A16:A21"/>
    <mergeCell ref="B16:B19"/>
    <mergeCell ref="C16:C19"/>
    <mergeCell ref="C20:E20"/>
    <mergeCell ref="A8:B8"/>
    <mergeCell ref="D8:E8"/>
    <mergeCell ref="A9:B9"/>
    <mergeCell ref="D9:E9"/>
    <mergeCell ref="A10:B10"/>
    <mergeCell ref="C10:E10"/>
    <mergeCell ref="A1:E1"/>
    <mergeCell ref="A2:E2"/>
    <mergeCell ref="A3:B3"/>
    <mergeCell ref="D3:E3"/>
    <mergeCell ref="A4:B4"/>
    <mergeCell ref="D4:E4"/>
    <mergeCell ref="A5:B5"/>
    <mergeCell ref="D5:E5"/>
    <mergeCell ref="A6:B6"/>
    <mergeCell ref="D6:E6"/>
    <mergeCell ref="A7:B7"/>
    <mergeCell ref="D7:E7"/>
  </mergeCells>
  <phoneticPr fontId="51" type="noConversion"/>
  <dataValidations count="1">
    <dataValidation type="list" allowBlank="1" showInputMessage="1" showErrorMessage="1" sqref="C10:E10 IY10:JA10 SU10:SW10 ACQ10:ACS10 AMM10:AMO10 AWI10:AWK10 BGE10:BGG10 BQA10:BQC10 BZW10:BZY10 CJS10:CJU10 CTO10:CTQ10 DDK10:DDM10 DNG10:DNI10 DXC10:DXE10 EGY10:EHA10 EQU10:EQW10 FAQ10:FAS10 FKM10:FKO10 FUI10:FUK10 GEE10:GEG10 GOA10:GOC10 GXW10:GXY10 HHS10:HHU10 HRO10:HRQ10 IBK10:IBM10 ILG10:ILI10 IVC10:IVE10 JEY10:JFA10 JOU10:JOW10 JYQ10:JYS10 KIM10:KIO10 KSI10:KSK10 LCE10:LCG10 LMA10:LMC10 LVW10:LVY10 MFS10:MFU10 MPO10:MPQ10 MZK10:MZM10 NJG10:NJI10 NTC10:NTE10 OCY10:ODA10 OMU10:OMW10 OWQ10:OWS10 PGM10:PGO10 PQI10:PQK10 QAE10:QAG10 QKA10:QKC10 QTW10:QTY10 RDS10:RDU10 RNO10:RNQ10 RXK10:RXM10 SHG10:SHI10 SRC10:SRE10 TAY10:TBA10 TKU10:TKW10 TUQ10:TUS10 UEM10:UEO10 UOI10:UOK10 UYE10:UYG10 VIA10:VIC10 VRW10:VRY10 WBS10:WBU10 WLO10:WLQ10 WVK10:WVM10 C65546:E65546 IY65546:JA65546 SU65546:SW65546 ACQ65546:ACS65546 AMM65546:AMO65546 AWI65546:AWK65546 BGE65546:BGG65546 BQA65546:BQC65546 BZW65546:BZY65546 CJS65546:CJU65546 CTO65546:CTQ65546 DDK65546:DDM65546 DNG65546:DNI65546 DXC65546:DXE65546 EGY65546:EHA65546 EQU65546:EQW65546 FAQ65546:FAS65546 FKM65546:FKO65546 FUI65546:FUK65546 GEE65546:GEG65546 GOA65546:GOC65546 GXW65546:GXY65546 HHS65546:HHU65546 HRO65546:HRQ65546 IBK65546:IBM65546 ILG65546:ILI65546 IVC65546:IVE65546 JEY65546:JFA65546 JOU65546:JOW65546 JYQ65546:JYS65546 KIM65546:KIO65546 KSI65546:KSK65546 LCE65546:LCG65546 LMA65546:LMC65546 LVW65546:LVY65546 MFS65546:MFU65546 MPO65546:MPQ65546 MZK65546:MZM65546 NJG65546:NJI65546 NTC65546:NTE65546 OCY65546:ODA65546 OMU65546:OMW65546 OWQ65546:OWS65546 PGM65546:PGO65546 PQI65546:PQK65546 QAE65546:QAG65546 QKA65546:QKC65546 QTW65546:QTY65546 RDS65546:RDU65546 RNO65546:RNQ65546 RXK65546:RXM65546 SHG65546:SHI65546 SRC65546:SRE65546 TAY65546:TBA65546 TKU65546:TKW65546 TUQ65546:TUS65546 UEM65546:UEO65546 UOI65546:UOK65546 UYE65546:UYG65546 VIA65546:VIC65546 VRW65546:VRY65546 WBS65546:WBU65546 WLO65546:WLQ65546 WVK65546:WVM65546 C131082:E131082 IY131082:JA131082 SU131082:SW131082 ACQ131082:ACS131082 AMM131082:AMO131082 AWI131082:AWK131082 BGE131082:BGG131082 BQA131082:BQC131082 BZW131082:BZY131082 CJS131082:CJU131082 CTO131082:CTQ131082 DDK131082:DDM131082 DNG131082:DNI131082 DXC131082:DXE131082 EGY131082:EHA131082 EQU131082:EQW131082 FAQ131082:FAS131082 FKM131082:FKO131082 FUI131082:FUK131082 GEE131082:GEG131082 GOA131082:GOC131082 GXW131082:GXY131082 HHS131082:HHU131082 HRO131082:HRQ131082 IBK131082:IBM131082 ILG131082:ILI131082 IVC131082:IVE131082 JEY131082:JFA131082 JOU131082:JOW131082 JYQ131082:JYS131082 KIM131082:KIO131082 KSI131082:KSK131082 LCE131082:LCG131082 LMA131082:LMC131082 LVW131082:LVY131082 MFS131082:MFU131082 MPO131082:MPQ131082 MZK131082:MZM131082 NJG131082:NJI131082 NTC131082:NTE131082 OCY131082:ODA131082 OMU131082:OMW131082 OWQ131082:OWS131082 PGM131082:PGO131082 PQI131082:PQK131082 QAE131082:QAG131082 QKA131082:QKC131082 QTW131082:QTY131082 RDS131082:RDU131082 RNO131082:RNQ131082 RXK131082:RXM131082 SHG131082:SHI131082 SRC131082:SRE131082 TAY131082:TBA131082 TKU131082:TKW131082 TUQ131082:TUS131082 UEM131082:UEO131082 UOI131082:UOK131082 UYE131082:UYG131082 VIA131082:VIC131082 VRW131082:VRY131082 WBS131082:WBU131082 WLO131082:WLQ131082 WVK131082:WVM131082 C196618:E196618 IY196618:JA196618 SU196618:SW196618 ACQ196618:ACS196618 AMM196618:AMO196618 AWI196618:AWK196618 BGE196618:BGG196618 BQA196618:BQC196618 BZW196618:BZY196618 CJS196618:CJU196618 CTO196618:CTQ196618 DDK196618:DDM196618 DNG196618:DNI196618 DXC196618:DXE196618 EGY196618:EHA196618 EQU196618:EQW196618 FAQ196618:FAS196618 FKM196618:FKO196618 FUI196618:FUK196618 GEE196618:GEG196618 GOA196618:GOC196618 GXW196618:GXY196618 HHS196618:HHU196618 HRO196618:HRQ196618 IBK196618:IBM196618 ILG196618:ILI196618 IVC196618:IVE196618 JEY196618:JFA196618 JOU196618:JOW196618 JYQ196618:JYS196618 KIM196618:KIO196618 KSI196618:KSK196618 LCE196618:LCG196618 LMA196618:LMC196618 LVW196618:LVY196618 MFS196618:MFU196618 MPO196618:MPQ196618 MZK196618:MZM196618 NJG196618:NJI196618 NTC196618:NTE196618 OCY196618:ODA196618 OMU196618:OMW196618 OWQ196618:OWS196618 PGM196618:PGO196618 PQI196618:PQK196618 QAE196618:QAG196618 QKA196618:QKC196618 QTW196618:QTY196618 RDS196618:RDU196618 RNO196618:RNQ196618 RXK196618:RXM196618 SHG196618:SHI196618 SRC196618:SRE196618 TAY196618:TBA196618 TKU196618:TKW196618 TUQ196618:TUS196618 UEM196618:UEO196618 UOI196618:UOK196618 UYE196618:UYG196618 VIA196618:VIC196618 VRW196618:VRY196618 WBS196618:WBU196618 WLO196618:WLQ196618 WVK196618:WVM196618 C262154:E262154 IY262154:JA262154 SU262154:SW262154 ACQ262154:ACS262154 AMM262154:AMO262154 AWI262154:AWK262154 BGE262154:BGG262154 BQA262154:BQC262154 BZW262154:BZY262154 CJS262154:CJU262154 CTO262154:CTQ262154 DDK262154:DDM262154 DNG262154:DNI262154 DXC262154:DXE262154 EGY262154:EHA262154 EQU262154:EQW262154 FAQ262154:FAS262154 FKM262154:FKO262154 FUI262154:FUK262154 GEE262154:GEG262154 GOA262154:GOC262154 GXW262154:GXY262154 HHS262154:HHU262154 HRO262154:HRQ262154 IBK262154:IBM262154 ILG262154:ILI262154 IVC262154:IVE262154 JEY262154:JFA262154 JOU262154:JOW262154 JYQ262154:JYS262154 KIM262154:KIO262154 KSI262154:KSK262154 LCE262154:LCG262154 LMA262154:LMC262154 LVW262154:LVY262154 MFS262154:MFU262154 MPO262154:MPQ262154 MZK262154:MZM262154 NJG262154:NJI262154 NTC262154:NTE262154 OCY262154:ODA262154 OMU262154:OMW262154 OWQ262154:OWS262154 PGM262154:PGO262154 PQI262154:PQK262154 QAE262154:QAG262154 QKA262154:QKC262154 QTW262154:QTY262154 RDS262154:RDU262154 RNO262154:RNQ262154 RXK262154:RXM262154 SHG262154:SHI262154 SRC262154:SRE262154 TAY262154:TBA262154 TKU262154:TKW262154 TUQ262154:TUS262154 UEM262154:UEO262154 UOI262154:UOK262154 UYE262154:UYG262154 VIA262154:VIC262154 VRW262154:VRY262154 WBS262154:WBU262154 WLO262154:WLQ262154 WVK262154:WVM262154 C327690:E327690 IY327690:JA327690 SU327690:SW327690 ACQ327690:ACS327690 AMM327690:AMO327690 AWI327690:AWK327690 BGE327690:BGG327690 BQA327690:BQC327690 BZW327690:BZY327690 CJS327690:CJU327690 CTO327690:CTQ327690 DDK327690:DDM327690 DNG327690:DNI327690 DXC327690:DXE327690 EGY327690:EHA327690 EQU327690:EQW327690 FAQ327690:FAS327690 FKM327690:FKO327690 FUI327690:FUK327690 GEE327690:GEG327690 GOA327690:GOC327690 GXW327690:GXY327690 HHS327690:HHU327690 HRO327690:HRQ327690 IBK327690:IBM327690 ILG327690:ILI327690 IVC327690:IVE327690 JEY327690:JFA327690 JOU327690:JOW327690 JYQ327690:JYS327690 KIM327690:KIO327690 KSI327690:KSK327690 LCE327690:LCG327690 LMA327690:LMC327690 LVW327690:LVY327690 MFS327690:MFU327690 MPO327690:MPQ327690 MZK327690:MZM327690 NJG327690:NJI327690 NTC327690:NTE327690 OCY327690:ODA327690 OMU327690:OMW327690 OWQ327690:OWS327690 PGM327690:PGO327690 PQI327690:PQK327690 QAE327690:QAG327690 QKA327690:QKC327690 QTW327690:QTY327690 RDS327690:RDU327690 RNO327690:RNQ327690 RXK327690:RXM327690 SHG327690:SHI327690 SRC327690:SRE327690 TAY327690:TBA327690 TKU327690:TKW327690 TUQ327690:TUS327690 UEM327690:UEO327690 UOI327690:UOK327690 UYE327690:UYG327690 VIA327690:VIC327690 VRW327690:VRY327690 WBS327690:WBU327690 WLO327690:WLQ327690 WVK327690:WVM327690 C393226:E393226 IY393226:JA393226 SU393226:SW393226 ACQ393226:ACS393226 AMM393226:AMO393226 AWI393226:AWK393226 BGE393226:BGG393226 BQA393226:BQC393226 BZW393226:BZY393226 CJS393226:CJU393226 CTO393226:CTQ393226 DDK393226:DDM393226 DNG393226:DNI393226 DXC393226:DXE393226 EGY393226:EHA393226 EQU393226:EQW393226 FAQ393226:FAS393226 FKM393226:FKO393226 FUI393226:FUK393226 GEE393226:GEG393226 GOA393226:GOC393226 GXW393226:GXY393226 HHS393226:HHU393226 HRO393226:HRQ393226 IBK393226:IBM393226 ILG393226:ILI393226 IVC393226:IVE393226 JEY393226:JFA393226 JOU393226:JOW393226 JYQ393226:JYS393226 KIM393226:KIO393226 KSI393226:KSK393226 LCE393226:LCG393226 LMA393226:LMC393226 LVW393226:LVY393226 MFS393226:MFU393226 MPO393226:MPQ393226 MZK393226:MZM393226 NJG393226:NJI393226 NTC393226:NTE393226 OCY393226:ODA393226 OMU393226:OMW393226 OWQ393226:OWS393226 PGM393226:PGO393226 PQI393226:PQK393226 QAE393226:QAG393226 QKA393226:QKC393226 QTW393226:QTY393226 RDS393226:RDU393226 RNO393226:RNQ393226 RXK393226:RXM393226 SHG393226:SHI393226 SRC393226:SRE393226 TAY393226:TBA393226 TKU393226:TKW393226 TUQ393226:TUS393226 UEM393226:UEO393226 UOI393226:UOK393226 UYE393226:UYG393226 VIA393226:VIC393226 VRW393226:VRY393226 WBS393226:WBU393226 WLO393226:WLQ393226 WVK393226:WVM393226 C458762:E458762 IY458762:JA458762 SU458762:SW458762 ACQ458762:ACS458762 AMM458762:AMO458762 AWI458762:AWK458762 BGE458762:BGG458762 BQA458762:BQC458762 BZW458762:BZY458762 CJS458762:CJU458762 CTO458762:CTQ458762 DDK458762:DDM458762 DNG458762:DNI458762 DXC458762:DXE458762 EGY458762:EHA458762 EQU458762:EQW458762 FAQ458762:FAS458762 FKM458762:FKO458762 FUI458762:FUK458762 GEE458762:GEG458762 GOA458762:GOC458762 GXW458762:GXY458762 HHS458762:HHU458762 HRO458762:HRQ458762 IBK458762:IBM458762 ILG458762:ILI458762 IVC458762:IVE458762 JEY458762:JFA458762 JOU458762:JOW458762 JYQ458762:JYS458762 KIM458762:KIO458762 KSI458762:KSK458762 LCE458762:LCG458762 LMA458762:LMC458762 LVW458762:LVY458762 MFS458762:MFU458762 MPO458762:MPQ458762 MZK458762:MZM458762 NJG458762:NJI458762 NTC458762:NTE458762 OCY458762:ODA458762 OMU458762:OMW458762 OWQ458762:OWS458762 PGM458762:PGO458762 PQI458762:PQK458762 QAE458762:QAG458762 QKA458762:QKC458762 QTW458762:QTY458762 RDS458762:RDU458762 RNO458762:RNQ458762 RXK458762:RXM458762 SHG458762:SHI458762 SRC458762:SRE458762 TAY458762:TBA458762 TKU458762:TKW458762 TUQ458762:TUS458762 UEM458762:UEO458762 UOI458762:UOK458762 UYE458762:UYG458762 VIA458762:VIC458762 VRW458762:VRY458762 WBS458762:WBU458762 WLO458762:WLQ458762 WVK458762:WVM458762 C524298:E524298 IY524298:JA524298 SU524298:SW524298 ACQ524298:ACS524298 AMM524298:AMO524298 AWI524298:AWK524298 BGE524298:BGG524298 BQA524298:BQC524298 BZW524298:BZY524298 CJS524298:CJU524298 CTO524298:CTQ524298 DDK524298:DDM524298 DNG524298:DNI524298 DXC524298:DXE524298 EGY524298:EHA524298 EQU524298:EQW524298 FAQ524298:FAS524298 FKM524298:FKO524298 FUI524298:FUK524298 GEE524298:GEG524298 GOA524298:GOC524298 GXW524298:GXY524298 HHS524298:HHU524298 HRO524298:HRQ524298 IBK524298:IBM524298 ILG524298:ILI524298 IVC524298:IVE524298 JEY524298:JFA524298 JOU524298:JOW524298 JYQ524298:JYS524298 KIM524298:KIO524298 KSI524298:KSK524298 LCE524298:LCG524298 LMA524298:LMC524298 LVW524298:LVY524298 MFS524298:MFU524298 MPO524298:MPQ524298 MZK524298:MZM524298 NJG524298:NJI524298 NTC524298:NTE524298 OCY524298:ODA524298 OMU524298:OMW524298 OWQ524298:OWS524298 PGM524298:PGO524298 PQI524298:PQK524298 QAE524298:QAG524298 QKA524298:QKC524298 QTW524298:QTY524298 RDS524298:RDU524298 RNO524298:RNQ524298 RXK524298:RXM524298 SHG524298:SHI524298 SRC524298:SRE524298 TAY524298:TBA524298 TKU524298:TKW524298 TUQ524298:TUS524298 UEM524298:UEO524298 UOI524298:UOK524298 UYE524298:UYG524298 VIA524298:VIC524298 VRW524298:VRY524298 WBS524298:WBU524298 WLO524298:WLQ524298 WVK524298:WVM524298 C589834:E589834 IY589834:JA589834 SU589834:SW589834 ACQ589834:ACS589834 AMM589834:AMO589834 AWI589834:AWK589834 BGE589834:BGG589834 BQA589834:BQC589834 BZW589834:BZY589834 CJS589834:CJU589834 CTO589834:CTQ589834 DDK589834:DDM589834 DNG589834:DNI589834 DXC589834:DXE589834 EGY589834:EHA589834 EQU589834:EQW589834 FAQ589834:FAS589834 FKM589834:FKO589834 FUI589834:FUK589834 GEE589834:GEG589834 GOA589834:GOC589834 GXW589834:GXY589834 HHS589834:HHU589834 HRO589834:HRQ589834 IBK589834:IBM589834 ILG589834:ILI589834 IVC589834:IVE589834 JEY589834:JFA589834 JOU589834:JOW589834 JYQ589834:JYS589834 KIM589834:KIO589834 KSI589834:KSK589834 LCE589834:LCG589834 LMA589834:LMC589834 LVW589834:LVY589834 MFS589834:MFU589834 MPO589834:MPQ589834 MZK589834:MZM589834 NJG589834:NJI589834 NTC589834:NTE589834 OCY589834:ODA589834 OMU589834:OMW589834 OWQ589834:OWS589834 PGM589834:PGO589834 PQI589834:PQK589834 QAE589834:QAG589834 QKA589834:QKC589834 QTW589834:QTY589834 RDS589834:RDU589834 RNO589834:RNQ589834 RXK589834:RXM589834 SHG589834:SHI589834 SRC589834:SRE589834 TAY589834:TBA589834 TKU589834:TKW589834 TUQ589834:TUS589834 UEM589834:UEO589834 UOI589834:UOK589834 UYE589834:UYG589834 VIA589834:VIC589834 VRW589834:VRY589834 WBS589834:WBU589834 WLO589834:WLQ589834 WVK589834:WVM589834 C655370:E655370 IY655370:JA655370 SU655370:SW655370 ACQ655370:ACS655370 AMM655370:AMO655370 AWI655370:AWK655370 BGE655370:BGG655370 BQA655370:BQC655370 BZW655370:BZY655370 CJS655370:CJU655370 CTO655370:CTQ655370 DDK655370:DDM655370 DNG655370:DNI655370 DXC655370:DXE655370 EGY655370:EHA655370 EQU655370:EQW655370 FAQ655370:FAS655370 FKM655370:FKO655370 FUI655370:FUK655370 GEE655370:GEG655370 GOA655370:GOC655370 GXW655370:GXY655370 HHS655370:HHU655370 HRO655370:HRQ655370 IBK655370:IBM655370 ILG655370:ILI655370 IVC655370:IVE655370 JEY655370:JFA655370 JOU655370:JOW655370 JYQ655370:JYS655370 KIM655370:KIO655370 KSI655370:KSK655370 LCE655370:LCG655370 LMA655370:LMC655370 LVW655370:LVY655370 MFS655370:MFU655370 MPO655370:MPQ655370 MZK655370:MZM655370 NJG655370:NJI655370 NTC655370:NTE655370 OCY655370:ODA655370 OMU655370:OMW655370 OWQ655370:OWS655370 PGM655370:PGO655370 PQI655370:PQK655370 QAE655370:QAG655370 QKA655370:QKC655370 QTW655370:QTY655370 RDS655370:RDU655370 RNO655370:RNQ655370 RXK655370:RXM655370 SHG655370:SHI655370 SRC655370:SRE655370 TAY655370:TBA655370 TKU655370:TKW655370 TUQ655370:TUS655370 UEM655370:UEO655370 UOI655370:UOK655370 UYE655370:UYG655370 VIA655370:VIC655370 VRW655370:VRY655370 WBS655370:WBU655370 WLO655370:WLQ655370 WVK655370:WVM655370 C720906:E720906 IY720906:JA720906 SU720906:SW720906 ACQ720906:ACS720906 AMM720906:AMO720906 AWI720906:AWK720906 BGE720906:BGG720906 BQA720906:BQC720906 BZW720906:BZY720906 CJS720906:CJU720906 CTO720906:CTQ720906 DDK720906:DDM720906 DNG720906:DNI720906 DXC720906:DXE720906 EGY720906:EHA720906 EQU720906:EQW720906 FAQ720906:FAS720906 FKM720906:FKO720906 FUI720906:FUK720906 GEE720906:GEG720906 GOA720906:GOC720906 GXW720906:GXY720906 HHS720906:HHU720906 HRO720906:HRQ720906 IBK720906:IBM720906 ILG720906:ILI720906 IVC720906:IVE720906 JEY720906:JFA720906 JOU720906:JOW720906 JYQ720906:JYS720906 KIM720906:KIO720906 KSI720906:KSK720906 LCE720906:LCG720906 LMA720906:LMC720906 LVW720906:LVY720906 MFS720906:MFU720906 MPO720906:MPQ720906 MZK720906:MZM720906 NJG720906:NJI720906 NTC720906:NTE720906 OCY720906:ODA720906 OMU720906:OMW720906 OWQ720906:OWS720906 PGM720906:PGO720906 PQI720906:PQK720906 QAE720906:QAG720906 QKA720906:QKC720906 QTW720906:QTY720906 RDS720906:RDU720906 RNO720906:RNQ720906 RXK720906:RXM720906 SHG720906:SHI720906 SRC720906:SRE720906 TAY720906:TBA720906 TKU720906:TKW720906 TUQ720906:TUS720906 UEM720906:UEO720906 UOI720906:UOK720906 UYE720906:UYG720906 VIA720906:VIC720906 VRW720906:VRY720906 WBS720906:WBU720906 WLO720906:WLQ720906 WVK720906:WVM720906 C786442:E786442 IY786442:JA786442 SU786442:SW786442 ACQ786442:ACS786442 AMM786442:AMO786442 AWI786442:AWK786442 BGE786442:BGG786442 BQA786442:BQC786442 BZW786442:BZY786442 CJS786442:CJU786442 CTO786442:CTQ786442 DDK786442:DDM786442 DNG786442:DNI786442 DXC786442:DXE786442 EGY786442:EHA786442 EQU786442:EQW786442 FAQ786442:FAS786442 FKM786442:FKO786442 FUI786442:FUK786442 GEE786442:GEG786442 GOA786442:GOC786442 GXW786442:GXY786442 HHS786442:HHU786442 HRO786442:HRQ786442 IBK786442:IBM786442 ILG786442:ILI786442 IVC786442:IVE786442 JEY786442:JFA786442 JOU786442:JOW786442 JYQ786442:JYS786442 KIM786442:KIO786442 KSI786442:KSK786442 LCE786442:LCG786442 LMA786442:LMC786442 LVW786442:LVY786442 MFS786442:MFU786442 MPO786442:MPQ786442 MZK786442:MZM786442 NJG786442:NJI786442 NTC786442:NTE786442 OCY786442:ODA786442 OMU786442:OMW786442 OWQ786442:OWS786442 PGM786442:PGO786442 PQI786442:PQK786442 QAE786442:QAG786442 QKA786442:QKC786442 QTW786442:QTY786442 RDS786442:RDU786442 RNO786442:RNQ786442 RXK786442:RXM786442 SHG786442:SHI786442 SRC786442:SRE786442 TAY786442:TBA786442 TKU786442:TKW786442 TUQ786442:TUS786442 UEM786442:UEO786442 UOI786442:UOK786442 UYE786442:UYG786442 VIA786442:VIC786442 VRW786442:VRY786442 WBS786442:WBU786442 WLO786442:WLQ786442 WVK786442:WVM786442 C851978:E851978 IY851978:JA851978 SU851978:SW851978 ACQ851978:ACS851978 AMM851978:AMO851978 AWI851978:AWK851978 BGE851978:BGG851978 BQA851978:BQC851978 BZW851978:BZY851978 CJS851978:CJU851978 CTO851978:CTQ851978 DDK851978:DDM851978 DNG851978:DNI851978 DXC851978:DXE851978 EGY851978:EHA851978 EQU851978:EQW851978 FAQ851978:FAS851978 FKM851978:FKO851978 FUI851978:FUK851978 GEE851978:GEG851978 GOA851978:GOC851978 GXW851978:GXY851978 HHS851978:HHU851978 HRO851978:HRQ851978 IBK851978:IBM851978 ILG851978:ILI851978 IVC851978:IVE851978 JEY851978:JFA851978 JOU851978:JOW851978 JYQ851978:JYS851978 KIM851978:KIO851978 KSI851978:KSK851978 LCE851978:LCG851978 LMA851978:LMC851978 LVW851978:LVY851978 MFS851978:MFU851978 MPO851978:MPQ851978 MZK851978:MZM851978 NJG851978:NJI851978 NTC851978:NTE851978 OCY851978:ODA851978 OMU851978:OMW851978 OWQ851978:OWS851978 PGM851978:PGO851978 PQI851978:PQK851978 QAE851978:QAG851978 QKA851978:QKC851978 QTW851978:QTY851978 RDS851978:RDU851978 RNO851978:RNQ851978 RXK851978:RXM851978 SHG851978:SHI851978 SRC851978:SRE851978 TAY851978:TBA851978 TKU851978:TKW851978 TUQ851978:TUS851978 UEM851978:UEO851978 UOI851978:UOK851978 UYE851978:UYG851978 VIA851978:VIC851978 VRW851978:VRY851978 WBS851978:WBU851978 WLO851978:WLQ851978 WVK851978:WVM851978 C917514:E917514 IY917514:JA917514 SU917514:SW917514 ACQ917514:ACS917514 AMM917514:AMO917514 AWI917514:AWK917514 BGE917514:BGG917514 BQA917514:BQC917514 BZW917514:BZY917514 CJS917514:CJU917514 CTO917514:CTQ917514 DDK917514:DDM917514 DNG917514:DNI917514 DXC917514:DXE917514 EGY917514:EHA917514 EQU917514:EQW917514 FAQ917514:FAS917514 FKM917514:FKO917514 FUI917514:FUK917514 GEE917514:GEG917514 GOA917514:GOC917514 GXW917514:GXY917514 HHS917514:HHU917514 HRO917514:HRQ917514 IBK917514:IBM917514 ILG917514:ILI917514 IVC917514:IVE917514 JEY917514:JFA917514 JOU917514:JOW917514 JYQ917514:JYS917514 KIM917514:KIO917514 KSI917514:KSK917514 LCE917514:LCG917514 LMA917514:LMC917514 LVW917514:LVY917514 MFS917514:MFU917514 MPO917514:MPQ917514 MZK917514:MZM917514 NJG917514:NJI917514 NTC917514:NTE917514 OCY917514:ODA917514 OMU917514:OMW917514 OWQ917514:OWS917514 PGM917514:PGO917514 PQI917514:PQK917514 QAE917514:QAG917514 QKA917514:QKC917514 QTW917514:QTY917514 RDS917514:RDU917514 RNO917514:RNQ917514 RXK917514:RXM917514 SHG917514:SHI917514 SRC917514:SRE917514 TAY917514:TBA917514 TKU917514:TKW917514 TUQ917514:TUS917514 UEM917514:UEO917514 UOI917514:UOK917514 UYE917514:UYG917514 VIA917514:VIC917514 VRW917514:VRY917514 WBS917514:WBU917514 WLO917514:WLQ917514 WVK917514:WVM917514 C983050:E983050 IY983050:JA983050 SU983050:SW983050 ACQ983050:ACS983050 AMM983050:AMO983050 AWI983050:AWK983050 BGE983050:BGG983050 BQA983050:BQC983050 BZW983050:BZY983050 CJS983050:CJU983050 CTO983050:CTQ983050 DDK983050:DDM983050 DNG983050:DNI983050 DXC983050:DXE983050 EGY983050:EHA983050 EQU983050:EQW983050 FAQ983050:FAS983050 FKM983050:FKO983050 FUI983050:FUK983050 GEE983050:GEG983050 GOA983050:GOC983050 GXW983050:GXY983050 HHS983050:HHU983050 HRO983050:HRQ983050 IBK983050:IBM983050 ILG983050:ILI983050 IVC983050:IVE983050 JEY983050:JFA983050 JOU983050:JOW983050 JYQ983050:JYS983050 KIM983050:KIO983050 KSI983050:KSK983050 LCE983050:LCG983050 LMA983050:LMC983050 LVW983050:LVY983050 MFS983050:MFU983050 MPO983050:MPQ983050 MZK983050:MZM983050 NJG983050:NJI983050 NTC983050:NTE983050 OCY983050:ODA983050 OMU983050:OMW983050 OWQ983050:OWS983050 PGM983050:PGO983050 PQI983050:PQK983050 QAE983050:QAG983050 QKA983050:QKC983050 QTW983050:QTY983050 RDS983050:RDU983050 RNO983050:RNQ983050 RXK983050:RXM983050 SHG983050:SHI983050 SRC983050:SRE983050 TAY983050:TBA983050 TKU983050:TKW983050 TUQ983050:TUS983050 UEM983050:UEO983050 UOI983050:UOK983050 UYE983050:UYG983050 VIA983050:VIC983050 VRW983050:VRY983050 WBS983050:WBU983050 WLO983050:WLQ983050 WVK983050:WVM983050">
      <formula1>"重组所得超过应纳税所得额50%,债转股"</formula1>
    </dataValidation>
  </dataValidations>
  <pageMargins left="0.78740157480314998" right="0.35433070866141703" top="0.511811023622047" bottom="0.11811023622047198" header="0.511811023622047" footer="0.511811023622047"/>
  <pageSetup paperSize="9" orientation="portrait" blackAndWhite="1" r:id="rId1"/>
  <drawing r:id="rId2"/>
</worksheet>
</file>

<file path=xl/worksheets/sheet16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71"/>
  <dimension ref="A1:I62"/>
  <sheetViews>
    <sheetView topLeftCell="A28" zoomScale="90" zoomScaleNormal="90" workbookViewId="0">
      <selection activeCell="J16" sqref="J16"/>
    </sheetView>
  </sheetViews>
  <sheetFormatPr defaultColWidth="8.09765625" defaultRowHeight="15.6"/>
  <cols>
    <col min="1" max="1" width="17.69921875" style="2470" customWidth="1"/>
    <col min="2" max="2" width="14.09765625" style="2470" customWidth="1"/>
    <col min="3" max="3" width="12.8984375" style="2470" customWidth="1"/>
    <col min="4" max="4" width="16.59765625" style="2470" customWidth="1"/>
    <col min="5" max="5" width="24.69921875" style="2470" customWidth="1"/>
    <col min="6" max="6" width="10.59765625" style="2470" customWidth="1"/>
    <col min="7" max="7" width="16" style="2470" customWidth="1"/>
    <col min="8" max="8" width="14.19921875" style="2470" customWidth="1"/>
    <col min="9" max="9" width="9.69921875" style="2470" customWidth="1"/>
    <col min="10" max="256" width="8.09765625" style="2470"/>
    <col min="257" max="257" width="17.69921875" style="2470" customWidth="1"/>
    <col min="258" max="258" width="14.09765625" style="2470" customWidth="1"/>
    <col min="259" max="259" width="12.8984375" style="2470" customWidth="1"/>
    <col min="260" max="260" width="13.69921875" style="2470" customWidth="1"/>
    <col min="261" max="261" width="24.69921875" style="2470" customWidth="1"/>
    <col min="262" max="262" width="10.59765625" style="2470" customWidth="1"/>
    <col min="263" max="263" width="16" style="2470" customWidth="1"/>
    <col min="264" max="264" width="14.19921875" style="2470" customWidth="1"/>
    <col min="265" max="265" width="9.69921875" style="2470" customWidth="1"/>
    <col min="266" max="512" width="8.09765625" style="2470"/>
    <col min="513" max="513" width="17.69921875" style="2470" customWidth="1"/>
    <col min="514" max="514" width="14.09765625" style="2470" customWidth="1"/>
    <col min="515" max="515" width="12.8984375" style="2470" customWidth="1"/>
    <col min="516" max="516" width="13.69921875" style="2470" customWidth="1"/>
    <col min="517" max="517" width="24.69921875" style="2470" customWidth="1"/>
    <col min="518" max="518" width="10.59765625" style="2470" customWidth="1"/>
    <col min="519" max="519" width="16" style="2470" customWidth="1"/>
    <col min="520" max="520" width="14.19921875" style="2470" customWidth="1"/>
    <col min="521" max="521" width="9.69921875" style="2470" customWidth="1"/>
    <col min="522" max="768" width="8.09765625" style="2470"/>
    <col min="769" max="769" width="17.69921875" style="2470" customWidth="1"/>
    <col min="770" max="770" width="14.09765625" style="2470" customWidth="1"/>
    <col min="771" max="771" width="12.8984375" style="2470" customWidth="1"/>
    <col min="772" max="772" width="13.69921875" style="2470" customWidth="1"/>
    <col min="773" max="773" width="24.69921875" style="2470" customWidth="1"/>
    <col min="774" max="774" width="10.59765625" style="2470" customWidth="1"/>
    <col min="775" max="775" width="16" style="2470" customWidth="1"/>
    <col min="776" max="776" width="14.19921875" style="2470" customWidth="1"/>
    <col min="777" max="777" width="9.69921875" style="2470" customWidth="1"/>
    <col min="778" max="1024" width="8.09765625" style="2470"/>
    <col min="1025" max="1025" width="17.69921875" style="2470" customWidth="1"/>
    <col min="1026" max="1026" width="14.09765625" style="2470" customWidth="1"/>
    <col min="1027" max="1027" width="12.8984375" style="2470" customWidth="1"/>
    <col min="1028" max="1028" width="13.69921875" style="2470" customWidth="1"/>
    <col min="1029" max="1029" width="24.69921875" style="2470" customWidth="1"/>
    <col min="1030" max="1030" width="10.59765625" style="2470" customWidth="1"/>
    <col min="1031" max="1031" width="16" style="2470" customWidth="1"/>
    <col min="1032" max="1032" width="14.19921875" style="2470" customWidth="1"/>
    <col min="1033" max="1033" width="9.69921875" style="2470" customWidth="1"/>
    <col min="1034" max="1280" width="8.09765625" style="2470"/>
    <col min="1281" max="1281" width="17.69921875" style="2470" customWidth="1"/>
    <col min="1282" max="1282" width="14.09765625" style="2470" customWidth="1"/>
    <col min="1283" max="1283" width="12.8984375" style="2470" customWidth="1"/>
    <col min="1284" max="1284" width="13.69921875" style="2470" customWidth="1"/>
    <col min="1285" max="1285" width="24.69921875" style="2470" customWidth="1"/>
    <col min="1286" max="1286" width="10.59765625" style="2470" customWidth="1"/>
    <col min="1287" max="1287" width="16" style="2470" customWidth="1"/>
    <col min="1288" max="1288" width="14.19921875" style="2470" customWidth="1"/>
    <col min="1289" max="1289" width="9.69921875" style="2470" customWidth="1"/>
    <col min="1290" max="1536" width="8.09765625" style="2470"/>
    <col min="1537" max="1537" width="17.69921875" style="2470" customWidth="1"/>
    <col min="1538" max="1538" width="14.09765625" style="2470" customWidth="1"/>
    <col min="1539" max="1539" width="12.8984375" style="2470" customWidth="1"/>
    <col min="1540" max="1540" width="13.69921875" style="2470" customWidth="1"/>
    <col min="1541" max="1541" width="24.69921875" style="2470" customWidth="1"/>
    <col min="1542" max="1542" width="10.59765625" style="2470" customWidth="1"/>
    <col min="1543" max="1543" width="16" style="2470" customWidth="1"/>
    <col min="1544" max="1544" width="14.19921875" style="2470" customWidth="1"/>
    <col min="1545" max="1545" width="9.69921875" style="2470" customWidth="1"/>
    <col min="1546" max="1792" width="8.09765625" style="2470"/>
    <col min="1793" max="1793" width="17.69921875" style="2470" customWidth="1"/>
    <col min="1794" max="1794" width="14.09765625" style="2470" customWidth="1"/>
    <col min="1795" max="1795" width="12.8984375" style="2470" customWidth="1"/>
    <col min="1796" max="1796" width="13.69921875" style="2470" customWidth="1"/>
    <col min="1797" max="1797" width="24.69921875" style="2470" customWidth="1"/>
    <col min="1798" max="1798" width="10.59765625" style="2470" customWidth="1"/>
    <col min="1799" max="1799" width="16" style="2470" customWidth="1"/>
    <col min="1800" max="1800" width="14.19921875" style="2470" customWidth="1"/>
    <col min="1801" max="1801" width="9.69921875" style="2470" customWidth="1"/>
    <col min="1802" max="2048" width="8.09765625" style="2470"/>
    <col min="2049" max="2049" width="17.69921875" style="2470" customWidth="1"/>
    <col min="2050" max="2050" width="14.09765625" style="2470" customWidth="1"/>
    <col min="2051" max="2051" width="12.8984375" style="2470" customWidth="1"/>
    <col min="2052" max="2052" width="13.69921875" style="2470" customWidth="1"/>
    <col min="2053" max="2053" width="24.69921875" style="2470" customWidth="1"/>
    <col min="2054" max="2054" width="10.59765625" style="2470" customWidth="1"/>
    <col min="2055" max="2055" width="16" style="2470" customWidth="1"/>
    <col min="2056" max="2056" width="14.19921875" style="2470" customWidth="1"/>
    <col min="2057" max="2057" width="9.69921875" style="2470" customWidth="1"/>
    <col min="2058" max="2304" width="8.09765625" style="2470"/>
    <col min="2305" max="2305" width="17.69921875" style="2470" customWidth="1"/>
    <col min="2306" max="2306" width="14.09765625" style="2470" customWidth="1"/>
    <col min="2307" max="2307" width="12.8984375" style="2470" customWidth="1"/>
    <col min="2308" max="2308" width="13.69921875" style="2470" customWidth="1"/>
    <col min="2309" max="2309" width="24.69921875" style="2470" customWidth="1"/>
    <col min="2310" max="2310" width="10.59765625" style="2470" customWidth="1"/>
    <col min="2311" max="2311" width="16" style="2470" customWidth="1"/>
    <col min="2312" max="2312" width="14.19921875" style="2470" customWidth="1"/>
    <col min="2313" max="2313" width="9.69921875" style="2470" customWidth="1"/>
    <col min="2314" max="2560" width="8.09765625" style="2470"/>
    <col min="2561" max="2561" width="17.69921875" style="2470" customWidth="1"/>
    <col min="2562" max="2562" width="14.09765625" style="2470" customWidth="1"/>
    <col min="2563" max="2563" width="12.8984375" style="2470" customWidth="1"/>
    <col min="2564" max="2564" width="13.69921875" style="2470" customWidth="1"/>
    <col min="2565" max="2565" width="24.69921875" style="2470" customWidth="1"/>
    <col min="2566" max="2566" width="10.59765625" style="2470" customWidth="1"/>
    <col min="2567" max="2567" width="16" style="2470" customWidth="1"/>
    <col min="2568" max="2568" width="14.19921875" style="2470" customWidth="1"/>
    <col min="2569" max="2569" width="9.69921875" style="2470" customWidth="1"/>
    <col min="2570" max="2816" width="8.09765625" style="2470"/>
    <col min="2817" max="2817" width="17.69921875" style="2470" customWidth="1"/>
    <col min="2818" max="2818" width="14.09765625" style="2470" customWidth="1"/>
    <col min="2819" max="2819" width="12.8984375" style="2470" customWidth="1"/>
    <col min="2820" max="2820" width="13.69921875" style="2470" customWidth="1"/>
    <col min="2821" max="2821" width="24.69921875" style="2470" customWidth="1"/>
    <col min="2822" max="2822" width="10.59765625" style="2470" customWidth="1"/>
    <col min="2823" max="2823" width="16" style="2470" customWidth="1"/>
    <col min="2824" max="2824" width="14.19921875" style="2470" customWidth="1"/>
    <col min="2825" max="2825" width="9.69921875" style="2470" customWidth="1"/>
    <col min="2826" max="3072" width="8.09765625" style="2470"/>
    <col min="3073" max="3073" width="17.69921875" style="2470" customWidth="1"/>
    <col min="3074" max="3074" width="14.09765625" style="2470" customWidth="1"/>
    <col min="3075" max="3075" width="12.8984375" style="2470" customWidth="1"/>
    <col min="3076" max="3076" width="13.69921875" style="2470" customWidth="1"/>
    <col min="3077" max="3077" width="24.69921875" style="2470" customWidth="1"/>
    <col min="3078" max="3078" width="10.59765625" style="2470" customWidth="1"/>
    <col min="3079" max="3079" width="16" style="2470" customWidth="1"/>
    <col min="3080" max="3080" width="14.19921875" style="2470" customWidth="1"/>
    <col min="3081" max="3081" width="9.69921875" style="2470" customWidth="1"/>
    <col min="3082" max="3328" width="8.09765625" style="2470"/>
    <col min="3329" max="3329" width="17.69921875" style="2470" customWidth="1"/>
    <col min="3330" max="3330" width="14.09765625" style="2470" customWidth="1"/>
    <col min="3331" max="3331" width="12.8984375" style="2470" customWidth="1"/>
    <col min="3332" max="3332" width="13.69921875" style="2470" customWidth="1"/>
    <col min="3333" max="3333" width="24.69921875" style="2470" customWidth="1"/>
    <col min="3334" max="3334" width="10.59765625" style="2470" customWidth="1"/>
    <col min="3335" max="3335" width="16" style="2470" customWidth="1"/>
    <col min="3336" max="3336" width="14.19921875" style="2470" customWidth="1"/>
    <col min="3337" max="3337" width="9.69921875" style="2470" customWidth="1"/>
    <col min="3338" max="3584" width="8.09765625" style="2470"/>
    <col min="3585" max="3585" width="17.69921875" style="2470" customWidth="1"/>
    <col min="3586" max="3586" width="14.09765625" style="2470" customWidth="1"/>
    <col min="3587" max="3587" width="12.8984375" style="2470" customWidth="1"/>
    <col min="3588" max="3588" width="13.69921875" style="2470" customWidth="1"/>
    <col min="3589" max="3589" width="24.69921875" style="2470" customWidth="1"/>
    <col min="3590" max="3590" width="10.59765625" style="2470" customWidth="1"/>
    <col min="3591" max="3591" width="16" style="2470" customWidth="1"/>
    <col min="3592" max="3592" width="14.19921875" style="2470" customWidth="1"/>
    <col min="3593" max="3593" width="9.69921875" style="2470" customWidth="1"/>
    <col min="3594" max="3840" width="8.09765625" style="2470"/>
    <col min="3841" max="3841" width="17.69921875" style="2470" customWidth="1"/>
    <col min="3842" max="3842" width="14.09765625" style="2470" customWidth="1"/>
    <col min="3843" max="3843" width="12.8984375" style="2470" customWidth="1"/>
    <col min="3844" max="3844" width="13.69921875" style="2470" customWidth="1"/>
    <col min="3845" max="3845" width="24.69921875" style="2470" customWidth="1"/>
    <col min="3846" max="3846" width="10.59765625" style="2470" customWidth="1"/>
    <col min="3847" max="3847" width="16" style="2470" customWidth="1"/>
    <col min="3848" max="3848" width="14.19921875" style="2470" customWidth="1"/>
    <col min="3849" max="3849" width="9.69921875" style="2470" customWidth="1"/>
    <col min="3850" max="4096" width="8.09765625" style="2470"/>
    <col min="4097" max="4097" width="17.69921875" style="2470" customWidth="1"/>
    <col min="4098" max="4098" width="14.09765625" style="2470" customWidth="1"/>
    <col min="4099" max="4099" width="12.8984375" style="2470" customWidth="1"/>
    <col min="4100" max="4100" width="13.69921875" style="2470" customWidth="1"/>
    <col min="4101" max="4101" width="24.69921875" style="2470" customWidth="1"/>
    <col min="4102" max="4102" width="10.59765625" style="2470" customWidth="1"/>
    <col min="4103" max="4103" width="16" style="2470" customWidth="1"/>
    <col min="4104" max="4104" width="14.19921875" style="2470" customWidth="1"/>
    <col min="4105" max="4105" width="9.69921875" style="2470" customWidth="1"/>
    <col min="4106" max="4352" width="8.09765625" style="2470"/>
    <col min="4353" max="4353" width="17.69921875" style="2470" customWidth="1"/>
    <col min="4354" max="4354" width="14.09765625" style="2470" customWidth="1"/>
    <col min="4355" max="4355" width="12.8984375" style="2470" customWidth="1"/>
    <col min="4356" max="4356" width="13.69921875" style="2470" customWidth="1"/>
    <col min="4357" max="4357" width="24.69921875" style="2470" customWidth="1"/>
    <col min="4358" max="4358" width="10.59765625" style="2470" customWidth="1"/>
    <col min="4359" max="4359" width="16" style="2470" customWidth="1"/>
    <col min="4360" max="4360" width="14.19921875" style="2470" customWidth="1"/>
    <col min="4361" max="4361" width="9.69921875" style="2470" customWidth="1"/>
    <col min="4362" max="4608" width="8.09765625" style="2470"/>
    <col min="4609" max="4609" width="17.69921875" style="2470" customWidth="1"/>
    <col min="4610" max="4610" width="14.09765625" style="2470" customWidth="1"/>
    <col min="4611" max="4611" width="12.8984375" style="2470" customWidth="1"/>
    <col min="4612" max="4612" width="13.69921875" style="2470" customWidth="1"/>
    <col min="4613" max="4613" width="24.69921875" style="2470" customWidth="1"/>
    <col min="4614" max="4614" width="10.59765625" style="2470" customWidth="1"/>
    <col min="4615" max="4615" width="16" style="2470" customWidth="1"/>
    <col min="4616" max="4616" width="14.19921875" style="2470" customWidth="1"/>
    <col min="4617" max="4617" width="9.69921875" style="2470" customWidth="1"/>
    <col min="4618" max="4864" width="8.09765625" style="2470"/>
    <col min="4865" max="4865" width="17.69921875" style="2470" customWidth="1"/>
    <col min="4866" max="4866" width="14.09765625" style="2470" customWidth="1"/>
    <col min="4867" max="4867" width="12.8984375" style="2470" customWidth="1"/>
    <col min="4868" max="4868" width="13.69921875" style="2470" customWidth="1"/>
    <col min="4869" max="4869" width="24.69921875" style="2470" customWidth="1"/>
    <col min="4870" max="4870" width="10.59765625" style="2470" customWidth="1"/>
    <col min="4871" max="4871" width="16" style="2470" customWidth="1"/>
    <col min="4872" max="4872" width="14.19921875" style="2470" customWidth="1"/>
    <col min="4873" max="4873" width="9.69921875" style="2470" customWidth="1"/>
    <col min="4874" max="5120" width="8.09765625" style="2470"/>
    <col min="5121" max="5121" width="17.69921875" style="2470" customWidth="1"/>
    <col min="5122" max="5122" width="14.09765625" style="2470" customWidth="1"/>
    <col min="5123" max="5123" width="12.8984375" style="2470" customWidth="1"/>
    <col min="5124" max="5124" width="13.69921875" style="2470" customWidth="1"/>
    <col min="5125" max="5125" width="24.69921875" style="2470" customWidth="1"/>
    <col min="5126" max="5126" width="10.59765625" style="2470" customWidth="1"/>
    <col min="5127" max="5127" width="16" style="2470" customWidth="1"/>
    <col min="5128" max="5128" width="14.19921875" style="2470" customWidth="1"/>
    <col min="5129" max="5129" width="9.69921875" style="2470" customWidth="1"/>
    <col min="5130" max="5376" width="8.09765625" style="2470"/>
    <col min="5377" max="5377" width="17.69921875" style="2470" customWidth="1"/>
    <col min="5378" max="5378" width="14.09765625" style="2470" customWidth="1"/>
    <col min="5379" max="5379" width="12.8984375" style="2470" customWidth="1"/>
    <col min="5380" max="5380" width="13.69921875" style="2470" customWidth="1"/>
    <col min="5381" max="5381" width="24.69921875" style="2470" customWidth="1"/>
    <col min="5382" max="5382" width="10.59765625" style="2470" customWidth="1"/>
    <col min="5383" max="5383" width="16" style="2470" customWidth="1"/>
    <col min="5384" max="5384" width="14.19921875" style="2470" customWidth="1"/>
    <col min="5385" max="5385" width="9.69921875" style="2470" customWidth="1"/>
    <col min="5386" max="5632" width="8.09765625" style="2470"/>
    <col min="5633" max="5633" width="17.69921875" style="2470" customWidth="1"/>
    <col min="5634" max="5634" width="14.09765625" style="2470" customWidth="1"/>
    <col min="5635" max="5635" width="12.8984375" style="2470" customWidth="1"/>
    <col min="5636" max="5636" width="13.69921875" style="2470" customWidth="1"/>
    <col min="5637" max="5637" width="24.69921875" style="2470" customWidth="1"/>
    <col min="5638" max="5638" width="10.59765625" style="2470" customWidth="1"/>
    <col min="5639" max="5639" width="16" style="2470" customWidth="1"/>
    <col min="5640" max="5640" width="14.19921875" style="2470" customWidth="1"/>
    <col min="5641" max="5641" width="9.69921875" style="2470" customWidth="1"/>
    <col min="5642" max="5888" width="8.09765625" style="2470"/>
    <col min="5889" max="5889" width="17.69921875" style="2470" customWidth="1"/>
    <col min="5890" max="5890" width="14.09765625" style="2470" customWidth="1"/>
    <col min="5891" max="5891" width="12.8984375" style="2470" customWidth="1"/>
    <col min="5892" max="5892" width="13.69921875" style="2470" customWidth="1"/>
    <col min="5893" max="5893" width="24.69921875" style="2470" customWidth="1"/>
    <col min="5894" max="5894" width="10.59765625" style="2470" customWidth="1"/>
    <col min="5895" max="5895" width="16" style="2470" customWidth="1"/>
    <col min="5896" max="5896" width="14.19921875" style="2470" customWidth="1"/>
    <col min="5897" max="5897" width="9.69921875" style="2470" customWidth="1"/>
    <col min="5898" max="6144" width="8.09765625" style="2470"/>
    <col min="6145" max="6145" width="17.69921875" style="2470" customWidth="1"/>
    <col min="6146" max="6146" width="14.09765625" style="2470" customWidth="1"/>
    <col min="6147" max="6147" width="12.8984375" style="2470" customWidth="1"/>
    <col min="6148" max="6148" width="13.69921875" style="2470" customWidth="1"/>
    <col min="6149" max="6149" width="24.69921875" style="2470" customWidth="1"/>
    <col min="6150" max="6150" width="10.59765625" style="2470" customWidth="1"/>
    <col min="6151" max="6151" width="16" style="2470" customWidth="1"/>
    <col min="6152" max="6152" width="14.19921875" style="2470" customWidth="1"/>
    <col min="6153" max="6153" width="9.69921875" style="2470" customWidth="1"/>
    <col min="6154" max="6400" width="8.09765625" style="2470"/>
    <col min="6401" max="6401" width="17.69921875" style="2470" customWidth="1"/>
    <col min="6402" max="6402" width="14.09765625" style="2470" customWidth="1"/>
    <col min="6403" max="6403" width="12.8984375" style="2470" customWidth="1"/>
    <col min="6404" max="6404" width="13.69921875" style="2470" customWidth="1"/>
    <col min="6405" max="6405" width="24.69921875" style="2470" customWidth="1"/>
    <col min="6406" max="6406" width="10.59765625" style="2470" customWidth="1"/>
    <col min="6407" max="6407" width="16" style="2470" customWidth="1"/>
    <col min="6408" max="6408" width="14.19921875" style="2470" customWidth="1"/>
    <col min="6409" max="6409" width="9.69921875" style="2470" customWidth="1"/>
    <col min="6410" max="6656" width="8.09765625" style="2470"/>
    <col min="6657" max="6657" width="17.69921875" style="2470" customWidth="1"/>
    <col min="6658" max="6658" width="14.09765625" style="2470" customWidth="1"/>
    <col min="6659" max="6659" width="12.8984375" style="2470" customWidth="1"/>
    <col min="6660" max="6660" width="13.69921875" style="2470" customWidth="1"/>
    <col min="6661" max="6661" width="24.69921875" style="2470" customWidth="1"/>
    <col min="6662" max="6662" width="10.59765625" style="2470" customWidth="1"/>
    <col min="6663" max="6663" width="16" style="2470" customWidth="1"/>
    <col min="6664" max="6664" width="14.19921875" style="2470" customWidth="1"/>
    <col min="6665" max="6665" width="9.69921875" style="2470" customWidth="1"/>
    <col min="6666" max="6912" width="8.09765625" style="2470"/>
    <col min="6913" max="6913" width="17.69921875" style="2470" customWidth="1"/>
    <col min="6914" max="6914" width="14.09765625" style="2470" customWidth="1"/>
    <col min="6915" max="6915" width="12.8984375" style="2470" customWidth="1"/>
    <col min="6916" max="6916" width="13.69921875" style="2470" customWidth="1"/>
    <col min="6917" max="6917" width="24.69921875" style="2470" customWidth="1"/>
    <col min="6918" max="6918" width="10.59765625" style="2470" customWidth="1"/>
    <col min="6919" max="6919" width="16" style="2470" customWidth="1"/>
    <col min="6920" max="6920" width="14.19921875" style="2470" customWidth="1"/>
    <col min="6921" max="6921" width="9.69921875" style="2470" customWidth="1"/>
    <col min="6922" max="7168" width="8.09765625" style="2470"/>
    <col min="7169" max="7169" width="17.69921875" style="2470" customWidth="1"/>
    <col min="7170" max="7170" width="14.09765625" style="2470" customWidth="1"/>
    <col min="7171" max="7171" width="12.8984375" style="2470" customWidth="1"/>
    <col min="7172" max="7172" width="13.69921875" style="2470" customWidth="1"/>
    <col min="7173" max="7173" width="24.69921875" style="2470" customWidth="1"/>
    <col min="7174" max="7174" width="10.59765625" style="2470" customWidth="1"/>
    <col min="7175" max="7175" width="16" style="2470" customWidth="1"/>
    <col min="7176" max="7176" width="14.19921875" style="2470" customWidth="1"/>
    <col min="7177" max="7177" width="9.69921875" style="2470" customWidth="1"/>
    <col min="7178" max="7424" width="8.09765625" style="2470"/>
    <col min="7425" max="7425" width="17.69921875" style="2470" customWidth="1"/>
    <col min="7426" max="7426" width="14.09765625" style="2470" customWidth="1"/>
    <col min="7427" max="7427" width="12.8984375" style="2470" customWidth="1"/>
    <col min="7428" max="7428" width="13.69921875" style="2470" customWidth="1"/>
    <col min="7429" max="7429" width="24.69921875" style="2470" customWidth="1"/>
    <col min="7430" max="7430" width="10.59765625" style="2470" customWidth="1"/>
    <col min="7431" max="7431" width="16" style="2470" customWidth="1"/>
    <col min="7432" max="7432" width="14.19921875" style="2470" customWidth="1"/>
    <col min="7433" max="7433" width="9.69921875" style="2470" customWidth="1"/>
    <col min="7434" max="7680" width="8.09765625" style="2470"/>
    <col min="7681" max="7681" width="17.69921875" style="2470" customWidth="1"/>
    <col min="7682" max="7682" width="14.09765625" style="2470" customWidth="1"/>
    <col min="7683" max="7683" width="12.8984375" style="2470" customWidth="1"/>
    <col min="7684" max="7684" width="13.69921875" style="2470" customWidth="1"/>
    <col min="7685" max="7685" width="24.69921875" style="2470" customWidth="1"/>
    <col min="7686" max="7686" width="10.59765625" style="2470" customWidth="1"/>
    <col min="7687" max="7687" width="16" style="2470" customWidth="1"/>
    <col min="7688" max="7688" width="14.19921875" style="2470" customWidth="1"/>
    <col min="7689" max="7689" width="9.69921875" style="2470" customWidth="1"/>
    <col min="7690" max="7936" width="8.09765625" style="2470"/>
    <col min="7937" max="7937" width="17.69921875" style="2470" customWidth="1"/>
    <col min="7938" max="7938" width="14.09765625" style="2470" customWidth="1"/>
    <col min="7939" max="7939" width="12.8984375" style="2470" customWidth="1"/>
    <col min="7940" max="7940" width="13.69921875" style="2470" customWidth="1"/>
    <col min="7941" max="7941" width="24.69921875" style="2470" customWidth="1"/>
    <col min="7942" max="7942" width="10.59765625" style="2470" customWidth="1"/>
    <col min="7943" max="7943" width="16" style="2470" customWidth="1"/>
    <col min="7944" max="7944" width="14.19921875" style="2470" customWidth="1"/>
    <col min="7945" max="7945" width="9.69921875" style="2470" customWidth="1"/>
    <col min="7946" max="8192" width="8.09765625" style="2470"/>
    <col min="8193" max="8193" width="17.69921875" style="2470" customWidth="1"/>
    <col min="8194" max="8194" width="14.09765625" style="2470" customWidth="1"/>
    <col min="8195" max="8195" width="12.8984375" style="2470" customWidth="1"/>
    <col min="8196" max="8196" width="13.69921875" style="2470" customWidth="1"/>
    <col min="8197" max="8197" width="24.69921875" style="2470" customWidth="1"/>
    <col min="8198" max="8198" width="10.59765625" style="2470" customWidth="1"/>
    <col min="8199" max="8199" width="16" style="2470" customWidth="1"/>
    <col min="8200" max="8200" width="14.19921875" style="2470" customWidth="1"/>
    <col min="8201" max="8201" width="9.69921875" style="2470" customWidth="1"/>
    <col min="8202" max="8448" width="8.09765625" style="2470"/>
    <col min="8449" max="8449" width="17.69921875" style="2470" customWidth="1"/>
    <col min="8450" max="8450" width="14.09765625" style="2470" customWidth="1"/>
    <col min="8451" max="8451" width="12.8984375" style="2470" customWidth="1"/>
    <col min="8452" max="8452" width="13.69921875" style="2470" customWidth="1"/>
    <col min="8453" max="8453" width="24.69921875" style="2470" customWidth="1"/>
    <col min="8454" max="8454" width="10.59765625" style="2470" customWidth="1"/>
    <col min="8455" max="8455" width="16" style="2470" customWidth="1"/>
    <col min="8456" max="8456" width="14.19921875" style="2470" customWidth="1"/>
    <col min="8457" max="8457" width="9.69921875" style="2470" customWidth="1"/>
    <col min="8458" max="8704" width="8.09765625" style="2470"/>
    <col min="8705" max="8705" width="17.69921875" style="2470" customWidth="1"/>
    <col min="8706" max="8706" width="14.09765625" style="2470" customWidth="1"/>
    <col min="8707" max="8707" width="12.8984375" style="2470" customWidth="1"/>
    <col min="8708" max="8708" width="13.69921875" style="2470" customWidth="1"/>
    <col min="8709" max="8709" width="24.69921875" style="2470" customWidth="1"/>
    <col min="8710" max="8710" width="10.59765625" style="2470" customWidth="1"/>
    <col min="8711" max="8711" width="16" style="2470" customWidth="1"/>
    <col min="8712" max="8712" width="14.19921875" style="2470" customWidth="1"/>
    <col min="8713" max="8713" width="9.69921875" style="2470" customWidth="1"/>
    <col min="8714" max="8960" width="8.09765625" style="2470"/>
    <col min="8961" max="8961" width="17.69921875" style="2470" customWidth="1"/>
    <col min="8962" max="8962" width="14.09765625" style="2470" customWidth="1"/>
    <col min="8963" max="8963" width="12.8984375" style="2470" customWidth="1"/>
    <col min="8964" max="8964" width="13.69921875" style="2470" customWidth="1"/>
    <col min="8965" max="8965" width="24.69921875" style="2470" customWidth="1"/>
    <col min="8966" max="8966" width="10.59765625" style="2470" customWidth="1"/>
    <col min="8967" max="8967" width="16" style="2470" customWidth="1"/>
    <col min="8968" max="8968" width="14.19921875" style="2470" customWidth="1"/>
    <col min="8969" max="8969" width="9.69921875" style="2470" customWidth="1"/>
    <col min="8970" max="9216" width="8.09765625" style="2470"/>
    <col min="9217" max="9217" width="17.69921875" style="2470" customWidth="1"/>
    <col min="9218" max="9218" width="14.09765625" style="2470" customWidth="1"/>
    <col min="9219" max="9219" width="12.8984375" style="2470" customWidth="1"/>
    <col min="9220" max="9220" width="13.69921875" style="2470" customWidth="1"/>
    <col min="9221" max="9221" width="24.69921875" style="2470" customWidth="1"/>
    <col min="9222" max="9222" width="10.59765625" style="2470" customWidth="1"/>
    <col min="9223" max="9223" width="16" style="2470" customWidth="1"/>
    <col min="9224" max="9224" width="14.19921875" style="2470" customWidth="1"/>
    <col min="9225" max="9225" width="9.69921875" style="2470" customWidth="1"/>
    <col min="9226" max="9472" width="8.09765625" style="2470"/>
    <col min="9473" max="9473" width="17.69921875" style="2470" customWidth="1"/>
    <col min="9474" max="9474" width="14.09765625" style="2470" customWidth="1"/>
    <col min="9475" max="9475" width="12.8984375" style="2470" customWidth="1"/>
    <col min="9476" max="9476" width="13.69921875" style="2470" customWidth="1"/>
    <col min="9477" max="9477" width="24.69921875" style="2470" customWidth="1"/>
    <col min="9478" max="9478" width="10.59765625" style="2470" customWidth="1"/>
    <col min="9479" max="9479" width="16" style="2470" customWidth="1"/>
    <col min="9480" max="9480" width="14.19921875" style="2470" customWidth="1"/>
    <col min="9481" max="9481" width="9.69921875" style="2470" customWidth="1"/>
    <col min="9482" max="9728" width="8.09765625" style="2470"/>
    <col min="9729" max="9729" width="17.69921875" style="2470" customWidth="1"/>
    <col min="9730" max="9730" width="14.09765625" style="2470" customWidth="1"/>
    <col min="9731" max="9731" width="12.8984375" style="2470" customWidth="1"/>
    <col min="9732" max="9732" width="13.69921875" style="2470" customWidth="1"/>
    <col min="9733" max="9733" width="24.69921875" style="2470" customWidth="1"/>
    <col min="9734" max="9734" width="10.59765625" style="2470" customWidth="1"/>
    <col min="9735" max="9735" width="16" style="2470" customWidth="1"/>
    <col min="9736" max="9736" width="14.19921875" style="2470" customWidth="1"/>
    <col min="9737" max="9737" width="9.69921875" style="2470" customWidth="1"/>
    <col min="9738" max="9984" width="8.09765625" style="2470"/>
    <col min="9985" max="9985" width="17.69921875" style="2470" customWidth="1"/>
    <col min="9986" max="9986" width="14.09765625" style="2470" customWidth="1"/>
    <col min="9987" max="9987" width="12.8984375" style="2470" customWidth="1"/>
    <col min="9988" max="9988" width="13.69921875" style="2470" customWidth="1"/>
    <col min="9989" max="9989" width="24.69921875" style="2470" customWidth="1"/>
    <col min="9990" max="9990" width="10.59765625" style="2470" customWidth="1"/>
    <col min="9991" max="9991" width="16" style="2470" customWidth="1"/>
    <col min="9992" max="9992" width="14.19921875" style="2470" customWidth="1"/>
    <col min="9993" max="9993" width="9.69921875" style="2470" customWidth="1"/>
    <col min="9994" max="10240" width="8.09765625" style="2470"/>
    <col min="10241" max="10241" width="17.69921875" style="2470" customWidth="1"/>
    <col min="10242" max="10242" width="14.09765625" style="2470" customWidth="1"/>
    <col min="10243" max="10243" width="12.8984375" style="2470" customWidth="1"/>
    <col min="10244" max="10244" width="13.69921875" style="2470" customWidth="1"/>
    <col min="10245" max="10245" width="24.69921875" style="2470" customWidth="1"/>
    <col min="10246" max="10246" width="10.59765625" style="2470" customWidth="1"/>
    <col min="10247" max="10247" width="16" style="2470" customWidth="1"/>
    <col min="10248" max="10248" width="14.19921875" style="2470" customWidth="1"/>
    <col min="10249" max="10249" width="9.69921875" style="2470" customWidth="1"/>
    <col min="10250" max="10496" width="8.09765625" style="2470"/>
    <col min="10497" max="10497" width="17.69921875" style="2470" customWidth="1"/>
    <col min="10498" max="10498" width="14.09765625" style="2470" customWidth="1"/>
    <col min="10499" max="10499" width="12.8984375" style="2470" customWidth="1"/>
    <col min="10500" max="10500" width="13.69921875" style="2470" customWidth="1"/>
    <col min="10501" max="10501" width="24.69921875" style="2470" customWidth="1"/>
    <col min="10502" max="10502" width="10.59765625" style="2470" customWidth="1"/>
    <col min="10503" max="10503" width="16" style="2470" customWidth="1"/>
    <col min="10504" max="10504" width="14.19921875" style="2470" customWidth="1"/>
    <col min="10505" max="10505" width="9.69921875" style="2470" customWidth="1"/>
    <col min="10506" max="10752" width="8.09765625" style="2470"/>
    <col min="10753" max="10753" width="17.69921875" style="2470" customWidth="1"/>
    <col min="10754" max="10754" width="14.09765625" style="2470" customWidth="1"/>
    <col min="10755" max="10755" width="12.8984375" style="2470" customWidth="1"/>
    <col min="10756" max="10756" width="13.69921875" style="2470" customWidth="1"/>
    <col min="10757" max="10757" width="24.69921875" style="2470" customWidth="1"/>
    <col min="10758" max="10758" width="10.59765625" style="2470" customWidth="1"/>
    <col min="10759" max="10759" width="16" style="2470" customWidth="1"/>
    <col min="10760" max="10760" width="14.19921875" style="2470" customWidth="1"/>
    <col min="10761" max="10761" width="9.69921875" style="2470" customWidth="1"/>
    <col min="10762" max="11008" width="8.09765625" style="2470"/>
    <col min="11009" max="11009" width="17.69921875" style="2470" customWidth="1"/>
    <col min="11010" max="11010" width="14.09765625" style="2470" customWidth="1"/>
    <col min="11011" max="11011" width="12.8984375" style="2470" customWidth="1"/>
    <col min="11012" max="11012" width="13.69921875" style="2470" customWidth="1"/>
    <col min="11013" max="11013" width="24.69921875" style="2470" customWidth="1"/>
    <col min="11014" max="11014" width="10.59765625" style="2470" customWidth="1"/>
    <col min="11015" max="11015" width="16" style="2470" customWidth="1"/>
    <col min="11016" max="11016" width="14.19921875" style="2470" customWidth="1"/>
    <col min="11017" max="11017" width="9.69921875" style="2470" customWidth="1"/>
    <col min="11018" max="11264" width="8.09765625" style="2470"/>
    <col min="11265" max="11265" width="17.69921875" style="2470" customWidth="1"/>
    <col min="11266" max="11266" width="14.09765625" style="2470" customWidth="1"/>
    <col min="11267" max="11267" width="12.8984375" style="2470" customWidth="1"/>
    <col min="11268" max="11268" width="13.69921875" style="2470" customWidth="1"/>
    <col min="11269" max="11269" width="24.69921875" style="2470" customWidth="1"/>
    <col min="11270" max="11270" width="10.59765625" style="2470" customWidth="1"/>
    <col min="11271" max="11271" width="16" style="2470" customWidth="1"/>
    <col min="11272" max="11272" width="14.19921875" style="2470" customWidth="1"/>
    <col min="11273" max="11273" width="9.69921875" style="2470" customWidth="1"/>
    <col min="11274" max="11520" width="8.09765625" style="2470"/>
    <col min="11521" max="11521" width="17.69921875" style="2470" customWidth="1"/>
    <col min="11522" max="11522" width="14.09765625" style="2470" customWidth="1"/>
    <col min="11523" max="11523" width="12.8984375" style="2470" customWidth="1"/>
    <col min="11524" max="11524" width="13.69921875" style="2470" customWidth="1"/>
    <col min="11525" max="11525" width="24.69921875" style="2470" customWidth="1"/>
    <col min="11526" max="11526" width="10.59765625" style="2470" customWidth="1"/>
    <col min="11527" max="11527" width="16" style="2470" customWidth="1"/>
    <col min="11528" max="11528" width="14.19921875" style="2470" customWidth="1"/>
    <col min="11529" max="11529" width="9.69921875" style="2470" customWidth="1"/>
    <col min="11530" max="11776" width="8.09765625" style="2470"/>
    <col min="11777" max="11777" width="17.69921875" style="2470" customWidth="1"/>
    <col min="11778" max="11778" width="14.09765625" style="2470" customWidth="1"/>
    <col min="11779" max="11779" width="12.8984375" style="2470" customWidth="1"/>
    <col min="11780" max="11780" width="13.69921875" style="2470" customWidth="1"/>
    <col min="11781" max="11781" width="24.69921875" style="2470" customWidth="1"/>
    <col min="11782" max="11782" width="10.59765625" style="2470" customWidth="1"/>
    <col min="11783" max="11783" width="16" style="2470" customWidth="1"/>
    <col min="11784" max="11784" width="14.19921875" style="2470" customWidth="1"/>
    <col min="11785" max="11785" width="9.69921875" style="2470" customWidth="1"/>
    <col min="11786" max="12032" width="8.09765625" style="2470"/>
    <col min="12033" max="12033" width="17.69921875" style="2470" customWidth="1"/>
    <col min="12034" max="12034" width="14.09765625" style="2470" customWidth="1"/>
    <col min="12035" max="12035" width="12.8984375" style="2470" customWidth="1"/>
    <col min="12036" max="12036" width="13.69921875" style="2470" customWidth="1"/>
    <col min="12037" max="12037" width="24.69921875" style="2470" customWidth="1"/>
    <col min="12038" max="12038" width="10.59765625" style="2470" customWidth="1"/>
    <col min="12039" max="12039" width="16" style="2470" customWidth="1"/>
    <col min="12040" max="12040" width="14.19921875" style="2470" customWidth="1"/>
    <col min="12041" max="12041" width="9.69921875" style="2470" customWidth="1"/>
    <col min="12042" max="12288" width="8.09765625" style="2470"/>
    <col min="12289" max="12289" width="17.69921875" style="2470" customWidth="1"/>
    <col min="12290" max="12290" width="14.09765625" style="2470" customWidth="1"/>
    <col min="12291" max="12291" width="12.8984375" style="2470" customWidth="1"/>
    <col min="12292" max="12292" width="13.69921875" style="2470" customWidth="1"/>
    <col min="12293" max="12293" width="24.69921875" style="2470" customWidth="1"/>
    <col min="12294" max="12294" width="10.59765625" style="2470" customWidth="1"/>
    <col min="12295" max="12295" width="16" style="2470" customWidth="1"/>
    <col min="12296" max="12296" width="14.19921875" style="2470" customWidth="1"/>
    <col min="12297" max="12297" width="9.69921875" style="2470" customWidth="1"/>
    <col min="12298" max="12544" width="8.09765625" style="2470"/>
    <col min="12545" max="12545" width="17.69921875" style="2470" customWidth="1"/>
    <col min="12546" max="12546" width="14.09765625" style="2470" customWidth="1"/>
    <col min="12547" max="12547" width="12.8984375" style="2470" customWidth="1"/>
    <col min="12548" max="12548" width="13.69921875" style="2470" customWidth="1"/>
    <col min="12549" max="12549" width="24.69921875" style="2470" customWidth="1"/>
    <col min="12550" max="12550" width="10.59765625" style="2470" customWidth="1"/>
    <col min="12551" max="12551" width="16" style="2470" customWidth="1"/>
    <col min="12552" max="12552" width="14.19921875" style="2470" customWidth="1"/>
    <col min="12553" max="12553" width="9.69921875" style="2470" customWidth="1"/>
    <col min="12554" max="12800" width="8.09765625" style="2470"/>
    <col min="12801" max="12801" width="17.69921875" style="2470" customWidth="1"/>
    <col min="12802" max="12802" width="14.09765625" style="2470" customWidth="1"/>
    <col min="12803" max="12803" width="12.8984375" style="2470" customWidth="1"/>
    <col min="12804" max="12804" width="13.69921875" style="2470" customWidth="1"/>
    <col min="12805" max="12805" width="24.69921875" style="2470" customWidth="1"/>
    <col min="12806" max="12806" width="10.59765625" style="2470" customWidth="1"/>
    <col min="12807" max="12807" width="16" style="2470" customWidth="1"/>
    <col min="12808" max="12808" width="14.19921875" style="2470" customWidth="1"/>
    <col min="12809" max="12809" width="9.69921875" style="2470" customWidth="1"/>
    <col min="12810" max="13056" width="8.09765625" style="2470"/>
    <col min="13057" max="13057" width="17.69921875" style="2470" customWidth="1"/>
    <col min="13058" max="13058" width="14.09765625" style="2470" customWidth="1"/>
    <col min="13059" max="13059" width="12.8984375" style="2470" customWidth="1"/>
    <col min="13060" max="13060" width="13.69921875" style="2470" customWidth="1"/>
    <col min="13061" max="13061" width="24.69921875" style="2470" customWidth="1"/>
    <col min="13062" max="13062" width="10.59765625" style="2470" customWidth="1"/>
    <col min="13063" max="13063" width="16" style="2470" customWidth="1"/>
    <col min="13064" max="13064" width="14.19921875" style="2470" customWidth="1"/>
    <col min="13065" max="13065" width="9.69921875" style="2470" customWidth="1"/>
    <col min="13066" max="13312" width="8.09765625" style="2470"/>
    <col min="13313" max="13313" width="17.69921875" style="2470" customWidth="1"/>
    <col min="13314" max="13314" width="14.09765625" style="2470" customWidth="1"/>
    <col min="13315" max="13315" width="12.8984375" style="2470" customWidth="1"/>
    <col min="13316" max="13316" width="13.69921875" style="2470" customWidth="1"/>
    <col min="13317" max="13317" width="24.69921875" style="2470" customWidth="1"/>
    <col min="13318" max="13318" width="10.59765625" style="2470" customWidth="1"/>
    <col min="13319" max="13319" width="16" style="2470" customWidth="1"/>
    <col min="13320" max="13320" width="14.19921875" style="2470" customWidth="1"/>
    <col min="13321" max="13321" width="9.69921875" style="2470" customWidth="1"/>
    <col min="13322" max="13568" width="8.09765625" style="2470"/>
    <col min="13569" max="13569" width="17.69921875" style="2470" customWidth="1"/>
    <col min="13570" max="13570" width="14.09765625" style="2470" customWidth="1"/>
    <col min="13571" max="13571" width="12.8984375" style="2470" customWidth="1"/>
    <col min="13572" max="13572" width="13.69921875" style="2470" customWidth="1"/>
    <col min="13573" max="13573" width="24.69921875" style="2470" customWidth="1"/>
    <col min="13574" max="13574" width="10.59765625" style="2470" customWidth="1"/>
    <col min="13575" max="13575" width="16" style="2470" customWidth="1"/>
    <col min="13576" max="13576" width="14.19921875" style="2470" customWidth="1"/>
    <col min="13577" max="13577" width="9.69921875" style="2470" customWidth="1"/>
    <col min="13578" max="13824" width="8.09765625" style="2470"/>
    <col min="13825" max="13825" width="17.69921875" style="2470" customWidth="1"/>
    <col min="13826" max="13826" width="14.09765625" style="2470" customWidth="1"/>
    <col min="13827" max="13827" width="12.8984375" style="2470" customWidth="1"/>
    <col min="13828" max="13828" width="13.69921875" style="2470" customWidth="1"/>
    <col min="13829" max="13829" width="24.69921875" style="2470" customWidth="1"/>
    <col min="13830" max="13830" width="10.59765625" style="2470" customWidth="1"/>
    <col min="13831" max="13831" width="16" style="2470" customWidth="1"/>
    <col min="13832" max="13832" width="14.19921875" style="2470" customWidth="1"/>
    <col min="13833" max="13833" width="9.69921875" style="2470" customWidth="1"/>
    <col min="13834" max="14080" width="8.09765625" style="2470"/>
    <col min="14081" max="14081" width="17.69921875" style="2470" customWidth="1"/>
    <col min="14082" max="14082" width="14.09765625" style="2470" customWidth="1"/>
    <col min="14083" max="14083" width="12.8984375" style="2470" customWidth="1"/>
    <col min="14084" max="14084" width="13.69921875" style="2470" customWidth="1"/>
    <col min="14085" max="14085" width="24.69921875" style="2470" customWidth="1"/>
    <col min="14086" max="14086" width="10.59765625" style="2470" customWidth="1"/>
    <col min="14087" max="14087" width="16" style="2470" customWidth="1"/>
    <col min="14088" max="14088" width="14.19921875" style="2470" customWidth="1"/>
    <col min="14089" max="14089" width="9.69921875" style="2470" customWidth="1"/>
    <col min="14090" max="14336" width="8.09765625" style="2470"/>
    <col min="14337" max="14337" width="17.69921875" style="2470" customWidth="1"/>
    <col min="14338" max="14338" width="14.09765625" style="2470" customWidth="1"/>
    <col min="14339" max="14339" width="12.8984375" style="2470" customWidth="1"/>
    <col min="14340" max="14340" width="13.69921875" style="2470" customWidth="1"/>
    <col min="14341" max="14341" width="24.69921875" style="2470" customWidth="1"/>
    <col min="14342" max="14342" width="10.59765625" style="2470" customWidth="1"/>
    <col min="14343" max="14343" width="16" style="2470" customWidth="1"/>
    <col min="14344" max="14344" width="14.19921875" style="2470" customWidth="1"/>
    <col min="14345" max="14345" width="9.69921875" style="2470" customWidth="1"/>
    <col min="14346" max="14592" width="8.09765625" style="2470"/>
    <col min="14593" max="14593" width="17.69921875" style="2470" customWidth="1"/>
    <col min="14594" max="14594" width="14.09765625" style="2470" customWidth="1"/>
    <col min="14595" max="14595" width="12.8984375" style="2470" customWidth="1"/>
    <col min="14596" max="14596" width="13.69921875" style="2470" customWidth="1"/>
    <col min="14597" max="14597" width="24.69921875" style="2470" customWidth="1"/>
    <col min="14598" max="14598" width="10.59765625" style="2470" customWidth="1"/>
    <col min="14599" max="14599" width="16" style="2470" customWidth="1"/>
    <col min="14600" max="14600" width="14.19921875" style="2470" customWidth="1"/>
    <col min="14601" max="14601" width="9.69921875" style="2470" customWidth="1"/>
    <col min="14602" max="14848" width="8.09765625" style="2470"/>
    <col min="14849" max="14849" width="17.69921875" style="2470" customWidth="1"/>
    <col min="14850" max="14850" width="14.09765625" style="2470" customWidth="1"/>
    <col min="14851" max="14851" width="12.8984375" style="2470" customWidth="1"/>
    <col min="14852" max="14852" width="13.69921875" style="2470" customWidth="1"/>
    <col min="14853" max="14853" width="24.69921875" style="2470" customWidth="1"/>
    <col min="14854" max="14854" width="10.59765625" style="2470" customWidth="1"/>
    <col min="14855" max="14855" width="16" style="2470" customWidth="1"/>
    <col min="14856" max="14856" width="14.19921875" style="2470" customWidth="1"/>
    <col min="14857" max="14857" width="9.69921875" style="2470" customWidth="1"/>
    <col min="14858" max="15104" width="8.09765625" style="2470"/>
    <col min="15105" max="15105" width="17.69921875" style="2470" customWidth="1"/>
    <col min="15106" max="15106" width="14.09765625" style="2470" customWidth="1"/>
    <col min="15107" max="15107" width="12.8984375" style="2470" customWidth="1"/>
    <col min="15108" max="15108" width="13.69921875" style="2470" customWidth="1"/>
    <col min="15109" max="15109" width="24.69921875" style="2470" customWidth="1"/>
    <col min="15110" max="15110" width="10.59765625" style="2470" customWidth="1"/>
    <col min="15111" max="15111" width="16" style="2470" customWidth="1"/>
    <col min="15112" max="15112" width="14.19921875" style="2470" customWidth="1"/>
    <col min="15113" max="15113" width="9.69921875" style="2470" customWidth="1"/>
    <col min="15114" max="15360" width="8.09765625" style="2470"/>
    <col min="15361" max="15361" width="17.69921875" style="2470" customWidth="1"/>
    <col min="15362" max="15362" width="14.09765625" style="2470" customWidth="1"/>
    <col min="15363" max="15363" width="12.8984375" style="2470" customWidth="1"/>
    <col min="15364" max="15364" width="13.69921875" style="2470" customWidth="1"/>
    <col min="15365" max="15365" width="24.69921875" style="2470" customWidth="1"/>
    <col min="15366" max="15366" width="10.59765625" style="2470" customWidth="1"/>
    <col min="15367" max="15367" width="16" style="2470" customWidth="1"/>
    <col min="15368" max="15368" width="14.19921875" style="2470" customWidth="1"/>
    <col min="15369" max="15369" width="9.69921875" style="2470" customWidth="1"/>
    <col min="15370" max="15616" width="8.09765625" style="2470"/>
    <col min="15617" max="15617" width="17.69921875" style="2470" customWidth="1"/>
    <col min="15618" max="15618" width="14.09765625" style="2470" customWidth="1"/>
    <col min="15619" max="15619" width="12.8984375" style="2470" customWidth="1"/>
    <col min="15620" max="15620" width="13.69921875" style="2470" customWidth="1"/>
    <col min="15621" max="15621" width="24.69921875" style="2470" customWidth="1"/>
    <col min="15622" max="15622" width="10.59765625" style="2470" customWidth="1"/>
    <col min="15623" max="15623" width="16" style="2470" customWidth="1"/>
    <col min="15624" max="15624" width="14.19921875" style="2470" customWidth="1"/>
    <col min="15625" max="15625" width="9.69921875" style="2470" customWidth="1"/>
    <col min="15626" max="15872" width="8.09765625" style="2470"/>
    <col min="15873" max="15873" width="17.69921875" style="2470" customWidth="1"/>
    <col min="15874" max="15874" width="14.09765625" style="2470" customWidth="1"/>
    <col min="15875" max="15875" width="12.8984375" style="2470" customWidth="1"/>
    <col min="15876" max="15876" width="13.69921875" style="2470" customWidth="1"/>
    <col min="15877" max="15877" width="24.69921875" style="2470" customWidth="1"/>
    <col min="15878" max="15878" width="10.59765625" style="2470" customWidth="1"/>
    <col min="15879" max="15879" width="16" style="2470" customWidth="1"/>
    <col min="15880" max="15880" width="14.19921875" style="2470" customWidth="1"/>
    <col min="15881" max="15881" width="9.69921875" style="2470" customWidth="1"/>
    <col min="15882" max="16128" width="8.09765625" style="2470"/>
    <col min="16129" max="16129" width="17.69921875" style="2470" customWidth="1"/>
    <col min="16130" max="16130" width="14.09765625" style="2470" customWidth="1"/>
    <col min="16131" max="16131" width="12.8984375" style="2470" customWidth="1"/>
    <col min="16132" max="16132" width="13.69921875" style="2470" customWidth="1"/>
    <col min="16133" max="16133" width="24.69921875" style="2470" customWidth="1"/>
    <col min="16134" max="16134" width="10.59765625" style="2470" customWidth="1"/>
    <col min="16135" max="16135" width="16" style="2470" customWidth="1"/>
    <col min="16136" max="16136" width="14.19921875" style="2470" customWidth="1"/>
    <col min="16137" max="16137" width="9.69921875" style="2470" customWidth="1"/>
    <col min="16138" max="16384" width="8.09765625" style="2470"/>
  </cols>
  <sheetData>
    <row r="1" spans="1:9" ht="17.100000000000001" customHeight="1">
      <c r="A1" s="3983" t="s">
        <v>7219</v>
      </c>
      <c r="B1" s="3983"/>
      <c r="C1" s="3983"/>
      <c r="D1" s="3983"/>
      <c r="E1" s="3983"/>
      <c r="F1" s="3983"/>
      <c r="G1" s="3983"/>
      <c r="H1" s="3983"/>
      <c r="I1" s="3983"/>
    </row>
    <row r="2" spans="1:9" ht="24" customHeight="1">
      <c r="A2" s="2707" t="s">
        <v>7417</v>
      </c>
      <c r="B2" s="2707"/>
      <c r="C2" s="2707"/>
      <c r="D2" s="2707"/>
      <c r="E2" s="2707"/>
      <c r="F2" s="2707"/>
      <c r="G2" s="2707"/>
      <c r="H2" s="2707"/>
      <c r="I2" s="2707"/>
    </row>
    <row r="3" spans="1:9" ht="25.2" customHeight="1">
      <c r="A3" s="3999" t="s">
        <v>7220</v>
      </c>
      <c r="B3" s="3999"/>
      <c r="C3" s="2471"/>
      <c r="D3" s="3999" t="s">
        <v>7221</v>
      </c>
      <c r="E3" s="3999"/>
      <c r="F3" s="2503"/>
      <c r="G3" s="4000" t="s">
        <v>7222</v>
      </c>
      <c r="H3" s="4000"/>
      <c r="I3" s="2503"/>
    </row>
    <row r="4" spans="1:9" ht="25.2" customHeight="1">
      <c r="A4" s="3999" t="s">
        <v>7223</v>
      </c>
      <c r="B4" s="3999"/>
      <c r="C4" s="2471"/>
      <c r="D4" s="3999" t="s">
        <v>7224</v>
      </c>
      <c r="E4" s="3999"/>
      <c r="F4" s="2503"/>
      <c r="G4" s="3999" t="s">
        <v>7225</v>
      </c>
      <c r="H4" s="3999"/>
      <c r="I4" s="2503"/>
    </row>
    <row r="5" spans="1:9" ht="25.2" customHeight="1">
      <c r="A5" s="4000" t="s">
        <v>7226</v>
      </c>
      <c r="B5" s="4000"/>
      <c r="C5" s="2471"/>
      <c r="D5" s="3999" t="s">
        <v>7227</v>
      </c>
      <c r="E5" s="3999"/>
      <c r="F5" s="3991"/>
      <c r="G5" s="3999" t="s">
        <v>7228</v>
      </c>
      <c r="H5" s="3999"/>
      <c r="I5" s="3991"/>
    </row>
    <row r="6" spans="1:9" ht="25.2" customHeight="1">
      <c r="A6" s="4000" t="s">
        <v>7229</v>
      </c>
      <c r="B6" s="4000"/>
      <c r="C6" s="2471"/>
      <c r="D6" s="3999"/>
      <c r="E6" s="3999"/>
      <c r="F6" s="3991"/>
      <c r="G6" s="3999"/>
      <c r="H6" s="3999"/>
      <c r="I6" s="3991"/>
    </row>
    <row r="7" spans="1:9" ht="25.2" customHeight="1">
      <c r="A7" s="4000" t="s">
        <v>7230</v>
      </c>
      <c r="B7" s="4000"/>
      <c r="C7" s="2471"/>
      <c r="D7" s="3999" t="s">
        <v>7231</v>
      </c>
      <c r="E7" s="3999"/>
      <c r="F7" s="3991"/>
      <c r="G7" s="3999" t="s">
        <v>7232</v>
      </c>
      <c r="H7" s="3999"/>
      <c r="I7" s="3991"/>
    </row>
    <row r="8" spans="1:9" ht="25.2" customHeight="1">
      <c r="A8" s="4000" t="s">
        <v>7233</v>
      </c>
      <c r="B8" s="4000"/>
      <c r="C8" s="2471"/>
      <c r="D8" s="3999"/>
      <c r="E8" s="3999"/>
      <c r="F8" s="3991"/>
      <c r="G8" s="3999"/>
      <c r="H8" s="3999"/>
      <c r="I8" s="3991"/>
    </row>
    <row r="9" spans="1:9" ht="25.2" customHeight="1">
      <c r="A9" s="4000" t="s">
        <v>7234</v>
      </c>
      <c r="B9" s="4000"/>
      <c r="C9" s="2471"/>
      <c r="D9" s="3999" t="s">
        <v>7235</v>
      </c>
      <c r="E9" s="3999"/>
      <c r="F9" s="3991"/>
      <c r="G9" s="3999" t="s">
        <v>7236</v>
      </c>
      <c r="H9" s="3999"/>
      <c r="I9" s="3991"/>
    </row>
    <row r="10" spans="1:9" ht="25.2" customHeight="1">
      <c r="A10" s="4000" t="s">
        <v>7237</v>
      </c>
      <c r="B10" s="4000"/>
      <c r="C10" s="2471"/>
      <c r="D10" s="3999"/>
      <c r="E10" s="3999"/>
      <c r="F10" s="3991"/>
      <c r="G10" s="3999"/>
      <c r="H10" s="3999"/>
      <c r="I10" s="3991"/>
    </row>
    <row r="11" spans="1:9" ht="25.2" customHeight="1">
      <c r="A11" s="4000" t="s">
        <v>7238</v>
      </c>
      <c r="B11" s="4000"/>
      <c r="C11" s="2471"/>
      <c r="D11" s="3999" t="s">
        <v>7239</v>
      </c>
      <c r="E11" s="3999"/>
      <c r="F11" s="3991"/>
      <c r="G11" s="3999" t="s">
        <v>7240</v>
      </c>
      <c r="H11" s="3999"/>
      <c r="I11" s="3991"/>
    </row>
    <row r="12" spans="1:9" ht="25.2" customHeight="1">
      <c r="A12" s="4000" t="s">
        <v>7241</v>
      </c>
      <c r="B12" s="4000"/>
      <c r="C12" s="2471"/>
      <c r="D12" s="3999"/>
      <c r="E12" s="3999"/>
      <c r="F12" s="3991"/>
      <c r="G12" s="3999"/>
      <c r="H12" s="3999"/>
      <c r="I12" s="3991"/>
    </row>
    <row r="13" spans="1:9" ht="25.2" customHeight="1">
      <c r="A13" s="4000" t="s">
        <v>7242</v>
      </c>
      <c r="B13" s="4000"/>
      <c r="C13" s="2471"/>
      <c r="D13" s="3999" t="s">
        <v>7243</v>
      </c>
      <c r="E13" s="3999"/>
      <c r="F13" s="3991"/>
      <c r="G13" s="3999" t="s">
        <v>7244</v>
      </c>
      <c r="H13" s="3999"/>
      <c r="I13" s="3991"/>
    </row>
    <row r="14" spans="1:9" ht="25.2" customHeight="1">
      <c r="A14" s="4000" t="s">
        <v>7245</v>
      </c>
      <c r="B14" s="4000"/>
      <c r="C14" s="2471"/>
      <c r="D14" s="3999"/>
      <c r="E14" s="3999"/>
      <c r="F14" s="3991"/>
      <c r="G14" s="3999"/>
      <c r="H14" s="3999"/>
      <c r="I14" s="3991"/>
    </row>
    <row r="15" spans="1:9" ht="25.2" customHeight="1">
      <c r="A15" s="4000" t="s">
        <v>7246</v>
      </c>
      <c r="B15" s="4000"/>
      <c r="C15" s="2471"/>
      <c r="D15" s="3999" t="s">
        <v>7247</v>
      </c>
      <c r="E15" s="3999"/>
      <c r="F15" s="3991"/>
      <c r="G15" s="3999" t="s">
        <v>7248</v>
      </c>
      <c r="H15" s="3999"/>
      <c r="I15" s="3991"/>
    </row>
    <row r="16" spans="1:9" ht="25.2" customHeight="1">
      <c r="A16" s="4000" t="s">
        <v>7249</v>
      </c>
      <c r="B16" s="4000"/>
      <c r="C16" s="2471"/>
      <c r="D16" s="3999"/>
      <c r="E16" s="3999"/>
      <c r="F16" s="3991"/>
      <c r="G16" s="3999"/>
      <c r="H16" s="3999"/>
      <c r="I16" s="3991"/>
    </row>
    <row r="17" spans="1:9" ht="25.2" customHeight="1">
      <c r="A17" s="4000" t="s">
        <v>7250</v>
      </c>
      <c r="B17" s="4000"/>
      <c r="C17" s="2471"/>
      <c r="D17" s="3999" t="s">
        <v>7251</v>
      </c>
      <c r="E17" s="3999"/>
      <c r="F17" s="3991"/>
      <c r="G17" s="4001" t="s">
        <v>7252</v>
      </c>
      <c r="H17" s="4001"/>
      <c r="I17" s="3991"/>
    </row>
    <row r="18" spans="1:9" ht="25.2" customHeight="1">
      <c r="A18" s="4000" t="s">
        <v>7253</v>
      </c>
      <c r="B18" s="4000"/>
      <c r="C18" s="2471"/>
      <c r="D18" s="3999"/>
      <c r="E18" s="3999"/>
      <c r="F18" s="3991"/>
      <c r="G18" s="4001"/>
      <c r="H18" s="4001"/>
      <c r="I18" s="3991"/>
    </row>
    <row r="19" spans="1:9" ht="25.2" customHeight="1">
      <c r="A19" s="4000" t="s">
        <v>7254</v>
      </c>
      <c r="B19" s="4000"/>
      <c r="C19" s="4000"/>
      <c r="D19" s="4003"/>
      <c r="E19" s="4003"/>
      <c r="F19" s="3987" t="s">
        <v>7255</v>
      </c>
      <c r="G19" s="3987"/>
      <c r="H19" s="3987"/>
      <c r="I19" s="2526"/>
    </row>
    <row r="20" spans="1:9" ht="25.2" customHeight="1">
      <c r="A20" s="3987" t="s">
        <v>7256</v>
      </c>
      <c r="B20" s="3987"/>
      <c r="C20" s="2526"/>
      <c r="D20" s="3987" t="s">
        <v>7257</v>
      </c>
      <c r="E20" s="3987"/>
      <c r="F20" s="2526"/>
      <c r="G20" s="3987" t="s">
        <v>7258</v>
      </c>
      <c r="H20" s="3987"/>
      <c r="I20" s="2526"/>
    </row>
    <row r="21" spans="1:9" ht="25.2" customHeight="1">
      <c r="A21" s="3987" t="s">
        <v>7259</v>
      </c>
      <c r="B21" s="3987"/>
      <c r="C21" s="2503"/>
      <c r="D21" s="3987" t="s">
        <v>7260</v>
      </c>
      <c r="E21" s="3987"/>
      <c r="F21" s="2503"/>
      <c r="G21" s="3987" t="s">
        <v>7261</v>
      </c>
      <c r="H21" s="3987"/>
      <c r="I21" s="2533"/>
    </row>
    <row r="22" spans="1:9" ht="25.2" customHeight="1">
      <c r="A22" s="3987" t="s">
        <v>7262</v>
      </c>
      <c r="B22" s="3987"/>
      <c r="C22" s="3987"/>
      <c r="D22" s="3987"/>
      <c r="E22" s="3987"/>
      <c r="F22" s="3988"/>
      <c r="G22" s="3988"/>
      <c r="H22" s="3988"/>
      <c r="I22" s="3988"/>
    </row>
    <row r="23" spans="1:9" ht="17.100000000000001" customHeight="1">
      <c r="A23" s="3987" t="s">
        <v>7263</v>
      </c>
      <c r="B23" s="2509" t="s">
        <v>284</v>
      </c>
      <c r="C23" s="2509" t="s">
        <v>7264</v>
      </c>
      <c r="D23" s="2509" t="s">
        <v>7265</v>
      </c>
      <c r="E23" s="2509" t="s">
        <v>7408</v>
      </c>
      <c r="F23" s="4002" t="s">
        <v>7267</v>
      </c>
      <c r="G23" s="3987" t="s">
        <v>7268</v>
      </c>
      <c r="H23" s="3987"/>
      <c r="I23" s="3987"/>
    </row>
    <row r="24" spans="1:9" ht="17.100000000000001" customHeight="1">
      <c r="A24" s="3987"/>
      <c r="B24" s="1571"/>
      <c r="C24" s="2528"/>
      <c r="D24" s="2528"/>
      <c r="E24" s="2528"/>
      <c r="F24" s="4002"/>
      <c r="G24" s="2509" t="s">
        <v>284</v>
      </c>
      <c r="H24" s="2509" t="s">
        <v>7264</v>
      </c>
      <c r="I24" s="2509" t="s">
        <v>1256</v>
      </c>
    </row>
    <row r="25" spans="1:9" ht="17.100000000000001" customHeight="1">
      <c r="A25" s="3987"/>
      <c r="B25" s="1571"/>
      <c r="C25" s="2528"/>
      <c r="D25" s="2528"/>
      <c r="E25" s="2528"/>
      <c r="F25" s="4002"/>
      <c r="G25" s="2483"/>
      <c r="H25" s="2527"/>
      <c r="I25" s="2527"/>
    </row>
    <row r="26" spans="1:9" ht="17.100000000000001" customHeight="1">
      <c r="A26" s="3987"/>
      <c r="B26" s="1571"/>
      <c r="C26" s="2528"/>
      <c r="D26" s="2528"/>
      <c r="E26" s="2528"/>
      <c r="F26" s="2503"/>
      <c r="G26" s="2509" t="s">
        <v>703</v>
      </c>
      <c r="H26" s="2529"/>
      <c r="I26" s="2529"/>
    </row>
    <row r="27" spans="1:9" ht="17.100000000000001" customHeight="1">
      <c r="A27" s="3987" t="s">
        <v>7269</v>
      </c>
      <c r="B27" s="2509" t="s">
        <v>284</v>
      </c>
      <c r="C27" s="2509" t="s">
        <v>7264</v>
      </c>
      <c r="D27" s="2509" t="s">
        <v>7265</v>
      </c>
      <c r="E27" s="2509" t="s">
        <v>7266</v>
      </c>
      <c r="F27" s="4002" t="s">
        <v>7267</v>
      </c>
      <c r="G27" s="3987" t="s">
        <v>7268</v>
      </c>
      <c r="H27" s="3987"/>
      <c r="I27" s="3987"/>
    </row>
    <row r="28" spans="1:9" ht="17.100000000000001" customHeight="1">
      <c r="A28" s="3987"/>
      <c r="B28" s="1571"/>
      <c r="C28" s="2527"/>
      <c r="D28" s="2527"/>
      <c r="E28" s="2527"/>
      <c r="F28" s="4002"/>
      <c r="G28" s="2509" t="s">
        <v>284</v>
      </c>
      <c r="H28" s="2509" t="s">
        <v>7264</v>
      </c>
      <c r="I28" s="2509" t="s">
        <v>1256</v>
      </c>
    </row>
    <row r="29" spans="1:9" ht="17.100000000000001" customHeight="1">
      <c r="A29" s="3987"/>
      <c r="B29" s="1571"/>
      <c r="C29" s="2527"/>
      <c r="D29" s="2527"/>
      <c r="E29" s="2527"/>
      <c r="F29" s="4002"/>
      <c r="G29" s="2483"/>
      <c r="H29" s="2527"/>
      <c r="I29" s="2527"/>
    </row>
    <row r="30" spans="1:9" ht="17.100000000000001" customHeight="1">
      <c r="A30" s="3987"/>
      <c r="B30" s="1571"/>
      <c r="C30" s="2527"/>
      <c r="D30" s="2527"/>
      <c r="E30" s="2527"/>
      <c r="F30" s="2503"/>
      <c r="G30" s="2509" t="s">
        <v>703</v>
      </c>
      <c r="H30" s="2529"/>
      <c r="I30" s="2529"/>
    </row>
    <row r="31" spans="1:9" ht="17.100000000000001" customHeight="1">
      <c r="A31" s="3987" t="s">
        <v>7270</v>
      </c>
      <c r="B31" s="2509" t="s">
        <v>284</v>
      </c>
      <c r="C31" s="2509" t="s">
        <v>7264</v>
      </c>
      <c r="D31" s="2509" t="s">
        <v>7265</v>
      </c>
      <c r="E31" s="2509" t="s">
        <v>7266</v>
      </c>
      <c r="F31" s="4002" t="s">
        <v>7267</v>
      </c>
      <c r="G31" s="3987" t="s">
        <v>7268</v>
      </c>
      <c r="H31" s="3987"/>
      <c r="I31" s="3987"/>
    </row>
    <row r="32" spans="1:9" ht="17.100000000000001" customHeight="1">
      <c r="A32" s="3987"/>
      <c r="B32" s="1571"/>
      <c r="C32" s="2527"/>
      <c r="D32" s="2527"/>
      <c r="E32" s="2527"/>
      <c r="F32" s="4002"/>
      <c r="G32" s="2509" t="s">
        <v>284</v>
      </c>
      <c r="H32" s="2509" t="s">
        <v>7264</v>
      </c>
      <c r="I32" s="2509" t="s">
        <v>1256</v>
      </c>
    </row>
    <row r="33" spans="1:9" ht="17.100000000000001" customHeight="1">
      <c r="A33" s="3987"/>
      <c r="B33" s="1571"/>
      <c r="C33" s="2527"/>
      <c r="D33" s="2527"/>
      <c r="E33" s="2527"/>
      <c r="F33" s="4002"/>
      <c r="G33" s="2483"/>
      <c r="H33" s="2527"/>
      <c r="I33" s="2527"/>
    </row>
    <row r="34" spans="1:9" ht="17.100000000000001" customHeight="1">
      <c r="A34" s="3987"/>
      <c r="B34" s="1571"/>
      <c r="C34" s="2527"/>
      <c r="D34" s="2527"/>
      <c r="E34" s="2527"/>
      <c r="F34" s="2503"/>
      <c r="G34" s="2509" t="s">
        <v>703</v>
      </c>
      <c r="H34" s="2529"/>
      <c r="I34" s="2529"/>
    </row>
    <row r="35" spans="1:9" ht="17.100000000000001" customHeight="1">
      <c r="A35" s="3987" t="s">
        <v>7271</v>
      </c>
      <c r="B35" s="2509" t="s">
        <v>284</v>
      </c>
      <c r="C35" s="2509" t="s">
        <v>7264</v>
      </c>
      <c r="D35" s="2509" t="s">
        <v>7265</v>
      </c>
      <c r="E35" s="2509" t="s">
        <v>7266</v>
      </c>
      <c r="F35" s="4002" t="s">
        <v>7267</v>
      </c>
      <c r="G35" s="3987" t="s">
        <v>7268</v>
      </c>
      <c r="H35" s="3987"/>
      <c r="I35" s="3987"/>
    </row>
    <row r="36" spans="1:9" ht="17.100000000000001" customHeight="1">
      <c r="A36" s="3987"/>
      <c r="B36" s="1571"/>
      <c r="C36" s="2527"/>
      <c r="D36" s="2527"/>
      <c r="E36" s="2527"/>
      <c r="F36" s="4002"/>
      <c r="G36" s="2509" t="s">
        <v>284</v>
      </c>
      <c r="H36" s="2509" t="s">
        <v>7264</v>
      </c>
      <c r="I36" s="2509" t="s">
        <v>1256</v>
      </c>
    </row>
    <row r="37" spans="1:9" ht="17.100000000000001" customHeight="1">
      <c r="A37" s="3987"/>
      <c r="B37" s="1571"/>
      <c r="C37" s="2527"/>
      <c r="D37" s="2527"/>
      <c r="E37" s="2527"/>
      <c r="F37" s="4002"/>
      <c r="G37" s="2483"/>
      <c r="H37" s="2527"/>
      <c r="I37" s="2527"/>
    </row>
    <row r="38" spans="1:9" ht="17.100000000000001" customHeight="1">
      <c r="A38" s="3987"/>
      <c r="B38" s="1571"/>
      <c r="C38" s="2527"/>
      <c r="D38" s="2527"/>
      <c r="E38" s="2527"/>
      <c r="F38" s="2503"/>
      <c r="G38" s="2509" t="s">
        <v>703</v>
      </c>
      <c r="H38" s="2529"/>
      <c r="I38" s="2529"/>
    </row>
    <row r="39" spans="1:9" ht="17.100000000000001" customHeight="1">
      <c r="A39" s="3987" t="s">
        <v>7272</v>
      </c>
      <c r="B39" s="2509" t="s">
        <v>284</v>
      </c>
      <c r="C39" s="2509" t="s">
        <v>7264</v>
      </c>
      <c r="D39" s="2509" t="s">
        <v>7265</v>
      </c>
      <c r="E39" s="2509" t="s">
        <v>7266</v>
      </c>
      <c r="F39" s="4002" t="s">
        <v>7267</v>
      </c>
      <c r="G39" s="3987" t="s">
        <v>7268</v>
      </c>
      <c r="H39" s="3987"/>
      <c r="I39" s="3987"/>
    </row>
    <row r="40" spans="1:9" ht="17.100000000000001" customHeight="1">
      <c r="A40" s="3987"/>
      <c r="B40" s="1571"/>
      <c r="C40" s="2527"/>
      <c r="D40" s="2527"/>
      <c r="E40" s="2527"/>
      <c r="F40" s="4002"/>
      <c r="G40" s="2509" t="s">
        <v>284</v>
      </c>
      <c r="H40" s="2509" t="s">
        <v>7264</v>
      </c>
      <c r="I40" s="2509" t="s">
        <v>1256</v>
      </c>
    </row>
    <row r="41" spans="1:9" ht="17.100000000000001" customHeight="1">
      <c r="A41" s="3987"/>
      <c r="B41" s="1571"/>
      <c r="C41" s="2527"/>
      <c r="D41" s="2527"/>
      <c r="E41" s="2527"/>
      <c r="F41" s="4002"/>
      <c r="G41" s="2483"/>
      <c r="H41" s="2527"/>
      <c r="I41" s="2527"/>
    </row>
    <row r="42" spans="1:9" ht="17.100000000000001" customHeight="1">
      <c r="A42" s="3987"/>
      <c r="B42" s="1571"/>
      <c r="C42" s="2527"/>
      <c r="D42" s="2527"/>
      <c r="E42" s="2527"/>
      <c r="F42" s="2503"/>
      <c r="G42" s="2509" t="s">
        <v>703</v>
      </c>
      <c r="H42" s="2529"/>
      <c r="I42" s="2529"/>
    </row>
    <row r="43" spans="1:9" ht="17.100000000000001" customHeight="1">
      <c r="A43" s="3987" t="s">
        <v>7273</v>
      </c>
      <c r="B43" s="2509" t="s">
        <v>284</v>
      </c>
      <c r="C43" s="2509" t="s">
        <v>7264</v>
      </c>
      <c r="D43" s="2509" t="s">
        <v>7265</v>
      </c>
      <c r="E43" s="2509" t="s">
        <v>7266</v>
      </c>
      <c r="F43" s="4002" t="s">
        <v>7267</v>
      </c>
      <c r="G43" s="3987" t="s">
        <v>7268</v>
      </c>
      <c r="H43" s="3987"/>
      <c r="I43" s="3987"/>
    </row>
    <row r="44" spans="1:9" ht="17.100000000000001" customHeight="1">
      <c r="A44" s="3987"/>
      <c r="B44" s="1571"/>
      <c r="C44" s="2527"/>
      <c r="D44" s="2527"/>
      <c r="E44" s="2529"/>
      <c r="F44" s="4002"/>
      <c r="G44" s="2508" t="s">
        <v>284</v>
      </c>
      <c r="H44" s="2509" t="s">
        <v>7264</v>
      </c>
      <c r="I44" s="2509" t="s">
        <v>1256</v>
      </c>
    </row>
    <row r="45" spans="1:9" ht="17.100000000000001" customHeight="1">
      <c r="A45" s="3987"/>
      <c r="B45" s="1571"/>
      <c r="C45" s="2527"/>
      <c r="D45" s="2527"/>
      <c r="E45" s="2527"/>
      <c r="F45" s="4002"/>
      <c r="G45" s="2483"/>
      <c r="H45" s="2527"/>
      <c r="I45" s="2527"/>
    </row>
    <row r="46" spans="1:9" ht="17.100000000000001" customHeight="1">
      <c r="A46" s="3987"/>
      <c r="B46" s="1571"/>
      <c r="C46" s="2527"/>
      <c r="D46" s="2527"/>
      <c r="E46" s="2527"/>
      <c r="F46" s="2503"/>
      <c r="G46" s="2508" t="s">
        <v>703</v>
      </c>
      <c r="H46" s="2527"/>
      <c r="I46" s="2527"/>
    </row>
    <row r="47" spans="1:9" ht="17.100000000000001" customHeight="1">
      <c r="A47" s="3987" t="s">
        <v>7274</v>
      </c>
      <c r="B47" s="2509" t="s">
        <v>284</v>
      </c>
      <c r="C47" s="2509" t="s">
        <v>7264</v>
      </c>
      <c r="D47" s="2509" t="s">
        <v>7265</v>
      </c>
      <c r="E47" s="2509" t="s">
        <v>7266</v>
      </c>
      <c r="F47" s="4002" t="s">
        <v>7267</v>
      </c>
      <c r="G47" s="3987" t="s">
        <v>7268</v>
      </c>
      <c r="H47" s="3987"/>
      <c r="I47" s="3987"/>
    </row>
    <row r="48" spans="1:9" ht="17.100000000000001" customHeight="1">
      <c r="A48" s="3987"/>
      <c r="B48" s="1571"/>
      <c r="C48" s="2527"/>
      <c r="D48" s="2527"/>
      <c r="E48" s="2527"/>
      <c r="F48" s="4002"/>
      <c r="G48" s="2509" t="s">
        <v>284</v>
      </c>
      <c r="H48" s="2509" t="s">
        <v>7264</v>
      </c>
      <c r="I48" s="2509" t="s">
        <v>1256</v>
      </c>
    </row>
    <row r="49" spans="1:9" ht="17.100000000000001" customHeight="1">
      <c r="A49" s="3987"/>
      <c r="B49" s="1571"/>
      <c r="C49" s="2527"/>
      <c r="D49" s="2527"/>
      <c r="E49" s="2527"/>
      <c r="F49" s="4002"/>
      <c r="G49" s="2483"/>
      <c r="H49" s="2527"/>
      <c r="I49" s="2527"/>
    </row>
    <row r="50" spans="1:9" ht="17.100000000000001" customHeight="1">
      <c r="A50" s="3987"/>
      <c r="B50" s="1571"/>
      <c r="C50" s="2527"/>
      <c r="D50" s="2527"/>
      <c r="E50" s="2527"/>
      <c r="F50" s="2503"/>
      <c r="G50" s="2509" t="s">
        <v>703</v>
      </c>
      <c r="H50" s="2529"/>
      <c r="I50" s="2527"/>
    </row>
    <row r="51" spans="1:9" ht="17.100000000000001" customHeight="1">
      <c r="A51" s="3987" t="s">
        <v>7275</v>
      </c>
      <c r="B51" s="4000" t="s">
        <v>284</v>
      </c>
      <c r="C51" s="3987" t="s">
        <v>7264</v>
      </c>
      <c r="D51" s="3987" t="s">
        <v>7265</v>
      </c>
      <c r="E51" s="3987" t="s">
        <v>7266</v>
      </c>
      <c r="F51" s="4002" t="s">
        <v>7267</v>
      </c>
      <c r="G51" s="3987" t="s">
        <v>7268</v>
      </c>
      <c r="H51" s="3987"/>
      <c r="I51" s="3987"/>
    </row>
    <row r="52" spans="1:9" ht="40.200000000000003" customHeight="1">
      <c r="A52" s="3987"/>
      <c r="B52" s="4000"/>
      <c r="C52" s="3987"/>
      <c r="D52" s="3987"/>
      <c r="E52" s="3987"/>
      <c r="F52" s="4002"/>
      <c r="G52" s="2509" t="s">
        <v>284</v>
      </c>
      <c r="H52" s="2509" t="s">
        <v>7264</v>
      </c>
      <c r="I52" s="2509" t="s">
        <v>1256</v>
      </c>
    </row>
    <row r="53" spans="1:9" ht="22.95" customHeight="1">
      <c r="A53" s="3987"/>
      <c r="B53" s="2515" t="s">
        <v>7276</v>
      </c>
      <c r="C53" s="2529"/>
      <c r="D53" s="2529"/>
      <c r="E53" s="2529"/>
      <c r="F53" s="3995"/>
      <c r="G53" s="3987" t="s">
        <v>7277</v>
      </c>
      <c r="H53" s="3995"/>
      <c r="I53" s="3995"/>
    </row>
    <row r="54" spans="1:9" ht="22.95" customHeight="1">
      <c r="A54" s="3987"/>
      <c r="B54" s="2515" t="s">
        <v>7278</v>
      </c>
      <c r="C54" s="2529"/>
      <c r="D54" s="2529"/>
      <c r="E54" s="2529"/>
      <c r="F54" s="3995"/>
      <c r="G54" s="3987"/>
      <c r="H54" s="3995"/>
      <c r="I54" s="3995"/>
    </row>
    <row r="55" spans="1:9" ht="22.95" customHeight="1">
      <c r="A55" s="3987"/>
      <c r="B55" s="2515" t="s">
        <v>7279</v>
      </c>
      <c r="C55" s="2529"/>
      <c r="D55" s="2529"/>
      <c r="E55" s="2529"/>
      <c r="F55" s="3995"/>
      <c r="G55" s="3987"/>
      <c r="H55" s="3995"/>
      <c r="I55" s="3995"/>
    </row>
    <row r="56" spans="1:9" ht="22.95" customHeight="1">
      <c r="A56" s="3987"/>
      <c r="B56" s="2483"/>
      <c r="C56" s="2527"/>
      <c r="D56" s="2527"/>
      <c r="E56" s="2527"/>
      <c r="F56" s="3995"/>
      <c r="G56" s="3987"/>
      <c r="H56" s="3995"/>
      <c r="I56" s="3995"/>
    </row>
    <row r="57" spans="1:9" ht="22.95" customHeight="1">
      <c r="A57" s="3987"/>
      <c r="B57" s="2515" t="s">
        <v>7280</v>
      </c>
      <c r="C57" s="2529"/>
      <c r="D57" s="2529"/>
      <c r="E57" s="2529"/>
      <c r="F57" s="3995"/>
      <c r="G57" s="3987"/>
      <c r="H57" s="3995"/>
      <c r="I57" s="3995"/>
    </row>
    <row r="58" spans="1:9" ht="22.95" customHeight="1">
      <c r="A58" s="3987"/>
      <c r="B58" s="2515" t="s">
        <v>7281</v>
      </c>
      <c r="C58" s="2529"/>
      <c r="D58" s="2529"/>
      <c r="E58" s="2529"/>
      <c r="F58" s="3995"/>
      <c r="G58" s="3987"/>
      <c r="H58" s="3995"/>
      <c r="I58" s="3995"/>
    </row>
    <row r="59" spans="1:9" s="2468" customFormat="1" ht="30" customHeight="1">
      <c r="A59" s="2510" t="s">
        <v>7189</v>
      </c>
      <c r="B59" s="3953">
        <f>基本情况!B12</f>
        <v>0</v>
      </c>
      <c r="C59" s="3954"/>
      <c r="D59" s="3955"/>
      <c r="E59" s="2510" t="s">
        <v>7190</v>
      </c>
      <c r="F59" s="4004" t="str">
        <f>基本情况!B21</f>
        <v>2017年3月16日</v>
      </c>
      <c r="G59" s="4004"/>
      <c r="H59" s="4004"/>
      <c r="I59" s="4004"/>
    </row>
    <row r="62" spans="1:9">
      <c r="C62" s="2484"/>
    </row>
  </sheetData>
  <mergeCells count="95">
    <mergeCell ref="B59:D59"/>
    <mergeCell ref="F59:I59"/>
    <mergeCell ref="A51:A58"/>
    <mergeCell ref="B51:B52"/>
    <mergeCell ref="C51:C52"/>
    <mergeCell ref="D51:D52"/>
    <mergeCell ref="E51:E52"/>
    <mergeCell ref="F51:F52"/>
    <mergeCell ref="G51:I51"/>
    <mergeCell ref="F53:F58"/>
    <mergeCell ref="G53:G58"/>
    <mergeCell ref="H53:H58"/>
    <mergeCell ref="I53:I58"/>
    <mergeCell ref="A43:A46"/>
    <mergeCell ref="F43:F45"/>
    <mergeCell ref="G43:I43"/>
    <mergeCell ref="A47:A50"/>
    <mergeCell ref="F47:F49"/>
    <mergeCell ref="G47:I47"/>
    <mergeCell ref="A35:A38"/>
    <mergeCell ref="F35:F37"/>
    <mergeCell ref="G35:I35"/>
    <mergeCell ref="A39:A42"/>
    <mergeCell ref="F39:F41"/>
    <mergeCell ref="G39:I39"/>
    <mergeCell ref="A27:A30"/>
    <mergeCell ref="F27:F29"/>
    <mergeCell ref="G27:I27"/>
    <mergeCell ref="A31:A34"/>
    <mergeCell ref="F31:F33"/>
    <mergeCell ref="G31:I31"/>
    <mergeCell ref="A23:A26"/>
    <mergeCell ref="F23:F25"/>
    <mergeCell ref="G23:I23"/>
    <mergeCell ref="A19:C19"/>
    <mergeCell ref="D19:E19"/>
    <mergeCell ref="F19:H19"/>
    <mergeCell ref="A20:B20"/>
    <mergeCell ref="D20:E20"/>
    <mergeCell ref="G20:H20"/>
    <mergeCell ref="A21:B21"/>
    <mergeCell ref="D21:E21"/>
    <mergeCell ref="G21:H21"/>
    <mergeCell ref="A22:E22"/>
    <mergeCell ref="F22:I22"/>
    <mergeCell ref="A17:B17"/>
    <mergeCell ref="D17:E18"/>
    <mergeCell ref="F17:F18"/>
    <mergeCell ref="I17:I18"/>
    <mergeCell ref="A18:B18"/>
    <mergeCell ref="G17:H18"/>
    <mergeCell ref="A15:B15"/>
    <mergeCell ref="D15:E16"/>
    <mergeCell ref="F15:F16"/>
    <mergeCell ref="G15:H16"/>
    <mergeCell ref="I15:I16"/>
    <mergeCell ref="A16:B16"/>
    <mergeCell ref="A13:B13"/>
    <mergeCell ref="D13:E14"/>
    <mergeCell ref="F13:F14"/>
    <mergeCell ref="G13:H14"/>
    <mergeCell ref="I13:I14"/>
    <mergeCell ref="A14:B14"/>
    <mergeCell ref="A11:B11"/>
    <mergeCell ref="D11:E12"/>
    <mergeCell ref="F11:F12"/>
    <mergeCell ref="G11:H12"/>
    <mergeCell ref="I11:I12"/>
    <mergeCell ref="A12:B12"/>
    <mergeCell ref="A9:B9"/>
    <mergeCell ref="D9:E10"/>
    <mergeCell ref="F9:F10"/>
    <mergeCell ref="G9:H10"/>
    <mergeCell ref="I9:I10"/>
    <mergeCell ref="A10:B10"/>
    <mergeCell ref="A7:B7"/>
    <mergeCell ref="D7:E8"/>
    <mergeCell ref="F7:F8"/>
    <mergeCell ref="G7:H8"/>
    <mergeCell ref="I7:I8"/>
    <mergeCell ref="A8:B8"/>
    <mergeCell ref="A5:B5"/>
    <mergeCell ref="D5:E6"/>
    <mergeCell ref="F5:F6"/>
    <mergeCell ref="G5:H6"/>
    <mergeCell ref="I5:I6"/>
    <mergeCell ref="A6:B6"/>
    <mergeCell ref="A4:B4"/>
    <mergeCell ref="D4:E4"/>
    <mergeCell ref="G4:H4"/>
    <mergeCell ref="A1:I1"/>
    <mergeCell ref="A2:I2"/>
    <mergeCell ref="A3:B3"/>
    <mergeCell ref="D3:E3"/>
    <mergeCell ref="G3:H3"/>
  </mergeCells>
  <phoneticPr fontId="51" type="noConversion"/>
  <dataValidations count="2">
    <dataValidation type="list" allowBlank="1" showInputMessage="1" showErrorMessage="1" promptTitle="请选择" sqref="F22:I22 JB22:JE22 SX22:TA22 ACT22:ACW22 AMP22:AMS22 AWL22:AWO22 BGH22:BGK22 BQD22:BQG22 BZZ22:CAC22 CJV22:CJY22 CTR22:CTU22 DDN22:DDQ22 DNJ22:DNM22 DXF22:DXI22 EHB22:EHE22 EQX22:ERA22 FAT22:FAW22 FKP22:FKS22 FUL22:FUO22 GEH22:GEK22 GOD22:GOG22 GXZ22:GYC22 HHV22:HHY22 HRR22:HRU22 IBN22:IBQ22 ILJ22:ILM22 IVF22:IVI22 JFB22:JFE22 JOX22:JPA22 JYT22:JYW22 KIP22:KIS22 KSL22:KSO22 LCH22:LCK22 LMD22:LMG22 LVZ22:LWC22 MFV22:MFY22 MPR22:MPU22 MZN22:MZQ22 NJJ22:NJM22 NTF22:NTI22 ODB22:ODE22 OMX22:ONA22 OWT22:OWW22 PGP22:PGS22 PQL22:PQO22 QAH22:QAK22 QKD22:QKG22 QTZ22:QUC22 RDV22:RDY22 RNR22:RNU22 RXN22:RXQ22 SHJ22:SHM22 SRF22:SRI22 TBB22:TBE22 TKX22:TLA22 TUT22:TUW22 UEP22:UES22 UOL22:UOO22 UYH22:UYK22 VID22:VIG22 VRZ22:VSC22 WBV22:WBY22 WLR22:WLU22 WVN22:WVQ22 F65558:I65558 JB65558:JE65558 SX65558:TA65558 ACT65558:ACW65558 AMP65558:AMS65558 AWL65558:AWO65558 BGH65558:BGK65558 BQD65558:BQG65558 BZZ65558:CAC65558 CJV65558:CJY65558 CTR65558:CTU65558 DDN65558:DDQ65558 DNJ65558:DNM65558 DXF65558:DXI65558 EHB65558:EHE65558 EQX65558:ERA65558 FAT65558:FAW65558 FKP65558:FKS65558 FUL65558:FUO65558 GEH65558:GEK65558 GOD65558:GOG65558 GXZ65558:GYC65558 HHV65558:HHY65558 HRR65558:HRU65558 IBN65558:IBQ65558 ILJ65558:ILM65558 IVF65558:IVI65558 JFB65558:JFE65558 JOX65558:JPA65558 JYT65558:JYW65558 KIP65558:KIS65558 KSL65558:KSO65558 LCH65558:LCK65558 LMD65558:LMG65558 LVZ65558:LWC65558 MFV65558:MFY65558 MPR65558:MPU65558 MZN65558:MZQ65558 NJJ65558:NJM65558 NTF65558:NTI65558 ODB65558:ODE65558 OMX65558:ONA65558 OWT65558:OWW65558 PGP65558:PGS65558 PQL65558:PQO65558 QAH65558:QAK65558 QKD65558:QKG65558 QTZ65558:QUC65558 RDV65558:RDY65558 RNR65558:RNU65558 RXN65558:RXQ65558 SHJ65558:SHM65558 SRF65558:SRI65558 TBB65558:TBE65558 TKX65558:TLA65558 TUT65558:TUW65558 UEP65558:UES65558 UOL65558:UOO65558 UYH65558:UYK65558 VID65558:VIG65558 VRZ65558:VSC65558 WBV65558:WBY65558 WLR65558:WLU65558 WVN65558:WVQ65558 F131094:I131094 JB131094:JE131094 SX131094:TA131094 ACT131094:ACW131094 AMP131094:AMS131094 AWL131094:AWO131094 BGH131094:BGK131094 BQD131094:BQG131094 BZZ131094:CAC131094 CJV131094:CJY131094 CTR131094:CTU131094 DDN131094:DDQ131094 DNJ131094:DNM131094 DXF131094:DXI131094 EHB131094:EHE131094 EQX131094:ERA131094 FAT131094:FAW131094 FKP131094:FKS131094 FUL131094:FUO131094 GEH131094:GEK131094 GOD131094:GOG131094 GXZ131094:GYC131094 HHV131094:HHY131094 HRR131094:HRU131094 IBN131094:IBQ131094 ILJ131094:ILM131094 IVF131094:IVI131094 JFB131094:JFE131094 JOX131094:JPA131094 JYT131094:JYW131094 KIP131094:KIS131094 KSL131094:KSO131094 LCH131094:LCK131094 LMD131094:LMG131094 LVZ131094:LWC131094 MFV131094:MFY131094 MPR131094:MPU131094 MZN131094:MZQ131094 NJJ131094:NJM131094 NTF131094:NTI131094 ODB131094:ODE131094 OMX131094:ONA131094 OWT131094:OWW131094 PGP131094:PGS131094 PQL131094:PQO131094 QAH131094:QAK131094 QKD131094:QKG131094 QTZ131094:QUC131094 RDV131094:RDY131094 RNR131094:RNU131094 RXN131094:RXQ131094 SHJ131094:SHM131094 SRF131094:SRI131094 TBB131094:TBE131094 TKX131094:TLA131094 TUT131094:TUW131094 UEP131094:UES131094 UOL131094:UOO131094 UYH131094:UYK131094 VID131094:VIG131094 VRZ131094:VSC131094 WBV131094:WBY131094 WLR131094:WLU131094 WVN131094:WVQ131094 F196630:I196630 JB196630:JE196630 SX196630:TA196630 ACT196630:ACW196630 AMP196630:AMS196630 AWL196630:AWO196630 BGH196630:BGK196630 BQD196630:BQG196630 BZZ196630:CAC196630 CJV196630:CJY196630 CTR196630:CTU196630 DDN196630:DDQ196630 DNJ196630:DNM196630 DXF196630:DXI196630 EHB196630:EHE196630 EQX196630:ERA196630 FAT196630:FAW196630 FKP196630:FKS196630 FUL196630:FUO196630 GEH196630:GEK196630 GOD196630:GOG196630 GXZ196630:GYC196630 HHV196630:HHY196630 HRR196630:HRU196630 IBN196630:IBQ196630 ILJ196630:ILM196630 IVF196630:IVI196630 JFB196630:JFE196630 JOX196630:JPA196630 JYT196630:JYW196630 KIP196630:KIS196630 KSL196630:KSO196630 LCH196630:LCK196630 LMD196630:LMG196630 LVZ196630:LWC196630 MFV196630:MFY196630 MPR196630:MPU196630 MZN196630:MZQ196630 NJJ196630:NJM196630 NTF196630:NTI196630 ODB196630:ODE196630 OMX196630:ONA196630 OWT196630:OWW196630 PGP196630:PGS196630 PQL196630:PQO196630 QAH196630:QAK196630 QKD196630:QKG196630 QTZ196630:QUC196630 RDV196630:RDY196630 RNR196630:RNU196630 RXN196630:RXQ196630 SHJ196630:SHM196630 SRF196630:SRI196630 TBB196630:TBE196630 TKX196630:TLA196630 TUT196630:TUW196630 UEP196630:UES196630 UOL196630:UOO196630 UYH196630:UYK196630 VID196630:VIG196630 VRZ196630:VSC196630 WBV196630:WBY196630 WLR196630:WLU196630 WVN196630:WVQ196630 F262166:I262166 JB262166:JE262166 SX262166:TA262166 ACT262166:ACW262166 AMP262166:AMS262166 AWL262166:AWO262166 BGH262166:BGK262166 BQD262166:BQG262166 BZZ262166:CAC262166 CJV262166:CJY262166 CTR262166:CTU262166 DDN262166:DDQ262166 DNJ262166:DNM262166 DXF262166:DXI262166 EHB262166:EHE262166 EQX262166:ERA262166 FAT262166:FAW262166 FKP262166:FKS262166 FUL262166:FUO262166 GEH262166:GEK262166 GOD262166:GOG262166 GXZ262166:GYC262166 HHV262166:HHY262166 HRR262166:HRU262166 IBN262166:IBQ262166 ILJ262166:ILM262166 IVF262166:IVI262166 JFB262166:JFE262166 JOX262166:JPA262166 JYT262166:JYW262166 KIP262166:KIS262166 KSL262166:KSO262166 LCH262166:LCK262166 LMD262166:LMG262166 LVZ262166:LWC262166 MFV262166:MFY262166 MPR262166:MPU262166 MZN262166:MZQ262166 NJJ262166:NJM262166 NTF262166:NTI262166 ODB262166:ODE262166 OMX262166:ONA262166 OWT262166:OWW262166 PGP262166:PGS262166 PQL262166:PQO262166 QAH262166:QAK262166 QKD262166:QKG262166 QTZ262166:QUC262166 RDV262166:RDY262166 RNR262166:RNU262166 RXN262166:RXQ262166 SHJ262166:SHM262166 SRF262166:SRI262166 TBB262166:TBE262166 TKX262166:TLA262166 TUT262166:TUW262166 UEP262166:UES262166 UOL262166:UOO262166 UYH262166:UYK262166 VID262166:VIG262166 VRZ262166:VSC262166 WBV262166:WBY262166 WLR262166:WLU262166 WVN262166:WVQ262166 F327702:I327702 JB327702:JE327702 SX327702:TA327702 ACT327702:ACW327702 AMP327702:AMS327702 AWL327702:AWO327702 BGH327702:BGK327702 BQD327702:BQG327702 BZZ327702:CAC327702 CJV327702:CJY327702 CTR327702:CTU327702 DDN327702:DDQ327702 DNJ327702:DNM327702 DXF327702:DXI327702 EHB327702:EHE327702 EQX327702:ERA327702 FAT327702:FAW327702 FKP327702:FKS327702 FUL327702:FUO327702 GEH327702:GEK327702 GOD327702:GOG327702 GXZ327702:GYC327702 HHV327702:HHY327702 HRR327702:HRU327702 IBN327702:IBQ327702 ILJ327702:ILM327702 IVF327702:IVI327702 JFB327702:JFE327702 JOX327702:JPA327702 JYT327702:JYW327702 KIP327702:KIS327702 KSL327702:KSO327702 LCH327702:LCK327702 LMD327702:LMG327702 LVZ327702:LWC327702 MFV327702:MFY327702 MPR327702:MPU327702 MZN327702:MZQ327702 NJJ327702:NJM327702 NTF327702:NTI327702 ODB327702:ODE327702 OMX327702:ONA327702 OWT327702:OWW327702 PGP327702:PGS327702 PQL327702:PQO327702 QAH327702:QAK327702 QKD327702:QKG327702 QTZ327702:QUC327702 RDV327702:RDY327702 RNR327702:RNU327702 RXN327702:RXQ327702 SHJ327702:SHM327702 SRF327702:SRI327702 TBB327702:TBE327702 TKX327702:TLA327702 TUT327702:TUW327702 UEP327702:UES327702 UOL327702:UOO327702 UYH327702:UYK327702 VID327702:VIG327702 VRZ327702:VSC327702 WBV327702:WBY327702 WLR327702:WLU327702 WVN327702:WVQ327702 F393238:I393238 JB393238:JE393238 SX393238:TA393238 ACT393238:ACW393238 AMP393238:AMS393238 AWL393238:AWO393238 BGH393238:BGK393238 BQD393238:BQG393238 BZZ393238:CAC393238 CJV393238:CJY393238 CTR393238:CTU393238 DDN393238:DDQ393238 DNJ393238:DNM393238 DXF393238:DXI393238 EHB393238:EHE393238 EQX393238:ERA393238 FAT393238:FAW393238 FKP393238:FKS393238 FUL393238:FUO393238 GEH393238:GEK393238 GOD393238:GOG393238 GXZ393238:GYC393238 HHV393238:HHY393238 HRR393238:HRU393238 IBN393238:IBQ393238 ILJ393238:ILM393238 IVF393238:IVI393238 JFB393238:JFE393238 JOX393238:JPA393238 JYT393238:JYW393238 KIP393238:KIS393238 KSL393238:KSO393238 LCH393238:LCK393238 LMD393238:LMG393238 LVZ393238:LWC393238 MFV393238:MFY393238 MPR393238:MPU393238 MZN393238:MZQ393238 NJJ393238:NJM393238 NTF393238:NTI393238 ODB393238:ODE393238 OMX393238:ONA393238 OWT393238:OWW393238 PGP393238:PGS393238 PQL393238:PQO393238 QAH393238:QAK393238 QKD393238:QKG393238 QTZ393238:QUC393238 RDV393238:RDY393238 RNR393238:RNU393238 RXN393238:RXQ393238 SHJ393238:SHM393238 SRF393238:SRI393238 TBB393238:TBE393238 TKX393238:TLA393238 TUT393238:TUW393238 UEP393238:UES393238 UOL393238:UOO393238 UYH393238:UYK393238 VID393238:VIG393238 VRZ393238:VSC393238 WBV393238:WBY393238 WLR393238:WLU393238 WVN393238:WVQ393238 F458774:I458774 JB458774:JE458774 SX458774:TA458774 ACT458774:ACW458774 AMP458774:AMS458774 AWL458774:AWO458774 BGH458774:BGK458774 BQD458774:BQG458774 BZZ458774:CAC458774 CJV458774:CJY458774 CTR458774:CTU458774 DDN458774:DDQ458774 DNJ458774:DNM458774 DXF458774:DXI458774 EHB458774:EHE458774 EQX458774:ERA458774 FAT458774:FAW458774 FKP458774:FKS458774 FUL458774:FUO458774 GEH458774:GEK458774 GOD458774:GOG458774 GXZ458774:GYC458774 HHV458774:HHY458774 HRR458774:HRU458774 IBN458774:IBQ458774 ILJ458774:ILM458774 IVF458774:IVI458774 JFB458774:JFE458774 JOX458774:JPA458774 JYT458774:JYW458774 KIP458774:KIS458774 KSL458774:KSO458774 LCH458774:LCK458774 LMD458774:LMG458774 LVZ458774:LWC458774 MFV458774:MFY458774 MPR458774:MPU458774 MZN458774:MZQ458774 NJJ458774:NJM458774 NTF458774:NTI458774 ODB458774:ODE458774 OMX458774:ONA458774 OWT458774:OWW458774 PGP458774:PGS458774 PQL458774:PQO458774 QAH458774:QAK458774 QKD458774:QKG458774 QTZ458774:QUC458774 RDV458774:RDY458774 RNR458774:RNU458774 RXN458774:RXQ458774 SHJ458774:SHM458774 SRF458774:SRI458774 TBB458774:TBE458774 TKX458774:TLA458774 TUT458774:TUW458774 UEP458774:UES458774 UOL458774:UOO458774 UYH458774:UYK458774 VID458774:VIG458774 VRZ458774:VSC458774 WBV458774:WBY458774 WLR458774:WLU458774 WVN458774:WVQ458774 F524310:I524310 JB524310:JE524310 SX524310:TA524310 ACT524310:ACW524310 AMP524310:AMS524310 AWL524310:AWO524310 BGH524310:BGK524310 BQD524310:BQG524310 BZZ524310:CAC524310 CJV524310:CJY524310 CTR524310:CTU524310 DDN524310:DDQ524310 DNJ524310:DNM524310 DXF524310:DXI524310 EHB524310:EHE524310 EQX524310:ERA524310 FAT524310:FAW524310 FKP524310:FKS524310 FUL524310:FUO524310 GEH524310:GEK524310 GOD524310:GOG524310 GXZ524310:GYC524310 HHV524310:HHY524310 HRR524310:HRU524310 IBN524310:IBQ524310 ILJ524310:ILM524310 IVF524310:IVI524310 JFB524310:JFE524310 JOX524310:JPA524310 JYT524310:JYW524310 KIP524310:KIS524310 KSL524310:KSO524310 LCH524310:LCK524310 LMD524310:LMG524310 LVZ524310:LWC524310 MFV524310:MFY524310 MPR524310:MPU524310 MZN524310:MZQ524310 NJJ524310:NJM524310 NTF524310:NTI524310 ODB524310:ODE524310 OMX524310:ONA524310 OWT524310:OWW524310 PGP524310:PGS524310 PQL524310:PQO524310 QAH524310:QAK524310 QKD524310:QKG524310 QTZ524310:QUC524310 RDV524310:RDY524310 RNR524310:RNU524310 RXN524310:RXQ524310 SHJ524310:SHM524310 SRF524310:SRI524310 TBB524310:TBE524310 TKX524310:TLA524310 TUT524310:TUW524310 UEP524310:UES524310 UOL524310:UOO524310 UYH524310:UYK524310 VID524310:VIG524310 VRZ524310:VSC524310 WBV524310:WBY524310 WLR524310:WLU524310 WVN524310:WVQ524310 F589846:I589846 JB589846:JE589846 SX589846:TA589846 ACT589846:ACW589846 AMP589846:AMS589846 AWL589846:AWO589846 BGH589846:BGK589846 BQD589846:BQG589846 BZZ589846:CAC589846 CJV589846:CJY589846 CTR589846:CTU589846 DDN589846:DDQ589846 DNJ589846:DNM589846 DXF589846:DXI589846 EHB589846:EHE589846 EQX589846:ERA589846 FAT589846:FAW589846 FKP589846:FKS589846 FUL589846:FUO589846 GEH589846:GEK589846 GOD589846:GOG589846 GXZ589846:GYC589846 HHV589846:HHY589846 HRR589846:HRU589846 IBN589846:IBQ589846 ILJ589846:ILM589846 IVF589846:IVI589846 JFB589846:JFE589846 JOX589846:JPA589846 JYT589846:JYW589846 KIP589846:KIS589846 KSL589846:KSO589846 LCH589846:LCK589846 LMD589846:LMG589846 LVZ589846:LWC589846 MFV589846:MFY589846 MPR589846:MPU589846 MZN589846:MZQ589846 NJJ589846:NJM589846 NTF589846:NTI589846 ODB589846:ODE589846 OMX589846:ONA589846 OWT589846:OWW589846 PGP589846:PGS589846 PQL589846:PQO589846 QAH589846:QAK589846 QKD589846:QKG589846 QTZ589846:QUC589846 RDV589846:RDY589846 RNR589846:RNU589846 RXN589846:RXQ589846 SHJ589846:SHM589846 SRF589846:SRI589846 TBB589846:TBE589846 TKX589846:TLA589846 TUT589846:TUW589846 UEP589846:UES589846 UOL589846:UOO589846 UYH589846:UYK589846 VID589846:VIG589846 VRZ589846:VSC589846 WBV589846:WBY589846 WLR589846:WLU589846 WVN589846:WVQ589846 F655382:I655382 JB655382:JE655382 SX655382:TA655382 ACT655382:ACW655382 AMP655382:AMS655382 AWL655382:AWO655382 BGH655382:BGK655382 BQD655382:BQG655382 BZZ655382:CAC655382 CJV655382:CJY655382 CTR655382:CTU655382 DDN655382:DDQ655382 DNJ655382:DNM655382 DXF655382:DXI655382 EHB655382:EHE655382 EQX655382:ERA655382 FAT655382:FAW655382 FKP655382:FKS655382 FUL655382:FUO655382 GEH655382:GEK655382 GOD655382:GOG655382 GXZ655382:GYC655382 HHV655382:HHY655382 HRR655382:HRU655382 IBN655382:IBQ655382 ILJ655382:ILM655382 IVF655382:IVI655382 JFB655382:JFE655382 JOX655382:JPA655382 JYT655382:JYW655382 KIP655382:KIS655382 KSL655382:KSO655382 LCH655382:LCK655382 LMD655382:LMG655382 LVZ655382:LWC655382 MFV655382:MFY655382 MPR655382:MPU655382 MZN655382:MZQ655382 NJJ655382:NJM655382 NTF655382:NTI655382 ODB655382:ODE655382 OMX655382:ONA655382 OWT655382:OWW655382 PGP655382:PGS655382 PQL655382:PQO655382 QAH655382:QAK655382 QKD655382:QKG655382 QTZ655382:QUC655382 RDV655382:RDY655382 RNR655382:RNU655382 RXN655382:RXQ655382 SHJ655382:SHM655382 SRF655382:SRI655382 TBB655382:TBE655382 TKX655382:TLA655382 TUT655382:TUW655382 UEP655382:UES655382 UOL655382:UOO655382 UYH655382:UYK655382 VID655382:VIG655382 VRZ655382:VSC655382 WBV655382:WBY655382 WLR655382:WLU655382 WVN655382:WVQ655382 F720918:I720918 JB720918:JE720918 SX720918:TA720918 ACT720918:ACW720918 AMP720918:AMS720918 AWL720918:AWO720918 BGH720918:BGK720918 BQD720918:BQG720918 BZZ720918:CAC720918 CJV720918:CJY720918 CTR720918:CTU720918 DDN720918:DDQ720918 DNJ720918:DNM720918 DXF720918:DXI720918 EHB720918:EHE720918 EQX720918:ERA720918 FAT720918:FAW720918 FKP720918:FKS720918 FUL720918:FUO720918 GEH720918:GEK720918 GOD720918:GOG720918 GXZ720918:GYC720918 HHV720918:HHY720918 HRR720918:HRU720918 IBN720918:IBQ720918 ILJ720918:ILM720918 IVF720918:IVI720918 JFB720918:JFE720918 JOX720918:JPA720918 JYT720918:JYW720918 KIP720918:KIS720918 KSL720918:KSO720918 LCH720918:LCK720918 LMD720918:LMG720918 LVZ720918:LWC720918 MFV720918:MFY720918 MPR720918:MPU720918 MZN720918:MZQ720918 NJJ720918:NJM720918 NTF720918:NTI720918 ODB720918:ODE720918 OMX720918:ONA720918 OWT720918:OWW720918 PGP720918:PGS720918 PQL720918:PQO720918 QAH720918:QAK720918 QKD720918:QKG720918 QTZ720918:QUC720918 RDV720918:RDY720918 RNR720918:RNU720918 RXN720918:RXQ720918 SHJ720918:SHM720918 SRF720918:SRI720918 TBB720918:TBE720918 TKX720918:TLA720918 TUT720918:TUW720918 UEP720918:UES720918 UOL720918:UOO720918 UYH720918:UYK720918 VID720918:VIG720918 VRZ720918:VSC720918 WBV720918:WBY720918 WLR720918:WLU720918 WVN720918:WVQ720918 F786454:I786454 JB786454:JE786454 SX786454:TA786454 ACT786454:ACW786454 AMP786454:AMS786454 AWL786454:AWO786454 BGH786454:BGK786454 BQD786454:BQG786454 BZZ786454:CAC786454 CJV786454:CJY786454 CTR786454:CTU786454 DDN786454:DDQ786454 DNJ786454:DNM786454 DXF786454:DXI786454 EHB786454:EHE786454 EQX786454:ERA786454 FAT786454:FAW786454 FKP786454:FKS786454 FUL786454:FUO786454 GEH786454:GEK786454 GOD786454:GOG786454 GXZ786454:GYC786454 HHV786454:HHY786454 HRR786454:HRU786454 IBN786454:IBQ786454 ILJ786454:ILM786454 IVF786454:IVI786454 JFB786454:JFE786454 JOX786454:JPA786454 JYT786454:JYW786454 KIP786454:KIS786454 KSL786454:KSO786454 LCH786454:LCK786454 LMD786454:LMG786454 LVZ786454:LWC786454 MFV786454:MFY786454 MPR786454:MPU786454 MZN786454:MZQ786454 NJJ786454:NJM786454 NTF786454:NTI786454 ODB786454:ODE786454 OMX786454:ONA786454 OWT786454:OWW786454 PGP786454:PGS786454 PQL786454:PQO786454 QAH786454:QAK786454 QKD786454:QKG786454 QTZ786454:QUC786454 RDV786454:RDY786454 RNR786454:RNU786454 RXN786454:RXQ786454 SHJ786454:SHM786454 SRF786454:SRI786454 TBB786454:TBE786454 TKX786454:TLA786454 TUT786454:TUW786454 UEP786454:UES786454 UOL786454:UOO786454 UYH786454:UYK786454 VID786454:VIG786454 VRZ786454:VSC786454 WBV786454:WBY786454 WLR786454:WLU786454 WVN786454:WVQ786454 F851990:I851990 JB851990:JE851990 SX851990:TA851990 ACT851990:ACW851990 AMP851990:AMS851990 AWL851990:AWO851990 BGH851990:BGK851990 BQD851990:BQG851990 BZZ851990:CAC851990 CJV851990:CJY851990 CTR851990:CTU851990 DDN851990:DDQ851990 DNJ851990:DNM851990 DXF851990:DXI851990 EHB851990:EHE851990 EQX851990:ERA851990 FAT851990:FAW851990 FKP851990:FKS851990 FUL851990:FUO851990 GEH851990:GEK851990 GOD851990:GOG851990 GXZ851990:GYC851990 HHV851990:HHY851990 HRR851990:HRU851990 IBN851990:IBQ851990 ILJ851990:ILM851990 IVF851990:IVI851990 JFB851990:JFE851990 JOX851990:JPA851990 JYT851990:JYW851990 KIP851990:KIS851990 KSL851990:KSO851990 LCH851990:LCK851990 LMD851990:LMG851990 LVZ851990:LWC851990 MFV851990:MFY851990 MPR851990:MPU851990 MZN851990:MZQ851990 NJJ851990:NJM851990 NTF851990:NTI851990 ODB851990:ODE851990 OMX851990:ONA851990 OWT851990:OWW851990 PGP851990:PGS851990 PQL851990:PQO851990 QAH851990:QAK851990 QKD851990:QKG851990 QTZ851990:QUC851990 RDV851990:RDY851990 RNR851990:RNU851990 RXN851990:RXQ851990 SHJ851990:SHM851990 SRF851990:SRI851990 TBB851990:TBE851990 TKX851990:TLA851990 TUT851990:TUW851990 UEP851990:UES851990 UOL851990:UOO851990 UYH851990:UYK851990 VID851990:VIG851990 VRZ851990:VSC851990 WBV851990:WBY851990 WLR851990:WLU851990 WVN851990:WVQ851990 F917526:I917526 JB917526:JE917526 SX917526:TA917526 ACT917526:ACW917526 AMP917526:AMS917526 AWL917526:AWO917526 BGH917526:BGK917526 BQD917526:BQG917526 BZZ917526:CAC917526 CJV917526:CJY917526 CTR917526:CTU917526 DDN917526:DDQ917526 DNJ917526:DNM917526 DXF917526:DXI917526 EHB917526:EHE917526 EQX917526:ERA917526 FAT917526:FAW917526 FKP917526:FKS917526 FUL917526:FUO917526 GEH917526:GEK917526 GOD917526:GOG917526 GXZ917526:GYC917526 HHV917526:HHY917526 HRR917526:HRU917526 IBN917526:IBQ917526 ILJ917526:ILM917526 IVF917526:IVI917526 JFB917526:JFE917526 JOX917526:JPA917526 JYT917526:JYW917526 KIP917526:KIS917526 KSL917526:KSO917526 LCH917526:LCK917526 LMD917526:LMG917526 LVZ917526:LWC917526 MFV917526:MFY917526 MPR917526:MPU917526 MZN917526:MZQ917526 NJJ917526:NJM917526 NTF917526:NTI917526 ODB917526:ODE917526 OMX917526:ONA917526 OWT917526:OWW917526 PGP917526:PGS917526 PQL917526:PQO917526 QAH917526:QAK917526 QKD917526:QKG917526 QTZ917526:QUC917526 RDV917526:RDY917526 RNR917526:RNU917526 RXN917526:RXQ917526 SHJ917526:SHM917526 SRF917526:SRI917526 TBB917526:TBE917526 TKX917526:TLA917526 TUT917526:TUW917526 UEP917526:UES917526 UOL917526:UOO917526 UYH917526:UYK917526 VID917526:VIG917526 VRZ917526:VSC917526 WBV917526:WBY917526 WLR917526:WLU917526 WVN917526:WVQ917526 F983062:I983062 JB983062:JE983062 SX983062:TA983062 ACT983062:ACW983062 AMP983062:AMS983062 AWL983062:AWO983062 BGH983062:BGK983062 BQD983062:BQG983062 BZZ983062:CAC983062 CJV983062:CJY983062 CTR983062:CTU983062 DDN983062:DDQ983062 DNJ983062:DNM983062 DXF983062:DXI983062 EHB983062:EHE983062 EQX983062:ERA983062 FAT983062:FAW983062 FKP983062:FKS983062 FUL983062:FUO983062 GEH983062:GEK983062 GOD983062:GOG983062 GXZ983062:GYC983062 HHV983062:HHY983062 HRR983062:HRU983062 IBN983062:IBQ983062 ILJ983062:ILM983062 IVF983062:IVI983062 JFB983062:JFE983062 JOX983062:JPA983062 JYT983062:JYW983062 KIP983062:KIS983062 KSL983062:KSO983062 LCH983062:LCK983062 LMD983062:LMG983062 LVZ983062:LWC983062 MFV983062:MFY983062 MPR983062:MPU983062 MZN983062:MZQ983062 NJJ983062:NJM983062 NTF983062:NTI983062 ODB983062:ODE983062 OMX983062:ONA983062 OWT983062:OWW983062 PGP983062:PGS983062 PQL983062:PQO983062 QAH983062:QAK983062 QKD983062:QKG983062 QTZ983062:QUC983062 RDV983062:RDY983062 RNR983062:RNU983062 RXN983062:RXQ983062 SHJ983062:SHM983062 SRF983062:SRI983062 TBB983062:TBE983062 TKX983062:TLA983062 TUT983062:TUW983062 UEP983062:UES983062 UOL983062:UOO983062 UYH983062:UYK983062 VID983062:VIG983062 VRZ983062:VSC983062 WBV983062:WBY983062 WLR983062:WLU983062 WVN983062:WVQ983062">
      <formula1>"是,否"</formula1>
    </dataValidation>
    <dataValidation type="list" allowBlank="1" showInputMessage="1" showErrorMessage="1" sqref="I21 JE21 TA21 ACW21 AMS21 AWO21 BGK21 BQG21 CAC21 CJY21 CTU21 DDQ21 DNM21 DXI21 EHE21 ERA21 FAW21 FKS21 FUO21 GEK21 GOG21 GYC21 HHY21 HRU21 IBQ21 ILM21 IVI21 JFE21 JPA21 JYW21 KIS21 KSO21 LCK21 LMG21 LWC21 MFY21 MPU21 MZQ21 NJM21 NTI21 ODE21 ONA21 OWW21 PGS21 PQO21 QAK21 QKG21 QUC21 RDY21 RNU21 RXQ21 SHM21 SRI21 TBE21 TLA21 TUW21 UES21 UOO21 UYK21 VIG21 VSC21 WBY21 WLU21 WVQ21 I65557 JE65557 TA65557 ACW65557 AMS65557 AWO65557 BGK65557 BQG65557 CAC65557 CJY65557 CTU65557 DDQ65557 DNM65557 DXI65557 EHE65557 ERA65557 FAW65557 FKS65557 FUO65557 GEK65557 GOG65557 GYC65557 HHY65557 HRU65557 IBQ65557 ILM65557 IVI65557 JFE65557 JPA65557 JYW65557 KIS65557 KSO65557 LCK65557 LMG65557 LWC65557 MFY65557 MPU65557 MZQ65557 NJM65557 NTI65557 ODE65557 ONA65557 OWW65557 PGS65557 PQO65557 QAK65557 QKG65557 QUC65557 RDY65557 RNU65557 RXQ65557 SHM65557 SRI65557 TBE65557 TLA65557 TUW65557 UES65557 UOO65557 UYK65557 VIG65557 VSC65557 WBY65557 WLU65557 WVQ65557 I131093 JE131093 TA131093 ACW131093 AMS131093 AWO131093 BGK131093 BQG131093 CAC131093 CJY131093 CTU131093 DDQ131093 DNM131093 DXI131093 EHE131093 ERA131093 FAW131093 FKS131093 FUO131093 GEK131093 GOG131093 GYC131093 HHY131093 HRU131093 IBQ131093 ILM131093 IVI131093 JFE131093 JPA131093 JYW131093 KIS131093 KSO131093 LCK131093 LMG131093 LWC131093 MFY131093 MPU131093 MZQ131093 NJM131093 NTI131093 ODE131093 ONA131093 OWW131093 PGS131093 PQO131093 QAK131093 QKG131093 QUC131093 RDY131093 RNU131093 RXQ131093 SHM131093 SRI131093 TBE131093 TLA131093 TUW131093 UES131093 UOO131093 UYK131093 VIG131093 VSC131093 WBY131093 WLU131093 WVQ131093 I196629 JE196629 TA196629 ACW196629 AMS196629 AWO196629 BGK196629 BQG196629 CAC196629 CJY196629 CTU196629 DDQ196629 DNM196629 DXI196629 EHE196629 ERA196629 FAW196629 FKS196629 FUO196629 GEK196629 GOG196629 GYC196629 HHY196629 HRU196629 IBQ196629 ILM196629 IVI196629 JFE196629 JPA196629 JYW196629 KIS196629 KSO196629 LCK196629 LMG196629 LWC196629 MFY196629 MPU196629 MZQ196629 NJM196629 NTI196629 ODE196629 ONA196629 OWW196629 PGS196629 PQO196629 QAK196629 QKG196629 QUC196629 RDY196629 RNU196629 RXQ196629 SHM196629 SRI196629 TBE196629 TLA196629 TUW196629 UES196629 UOO196629 UYK196629 VIG196629 VSC196629 WBY196629 WLU196629 WVQ196629 I262165 JE262165 TA262165 ACW262165 AMS262165 AWO262165 BGK262165 BQG262165 CAC262165 CJY262165 CTU262165 DDQ262165 DNM262165 DXI262165 EHE262165 ERA262165 FAW262165 FKS262165 FUO262165 GEK262165 GOG262165 GYC262165 HHY262165 HRU262165 IBQ262165 ILM262165 IVI262165 JFE262165 JPA262165 JYW262165 KIS262165 KSO262165 LCK262165 LMG262165 LWC262165 MFY262165 MPU262165 MZQ262165 NJM262165 NTI262165 ODE262165 ONA262165 OWW262165 PGS262165 PQO262165 QAK262165 QKG262165 QUC262165 RDY262165 RNU262165 RXQ262165 SHM262165 SRI262165 TBE262165 TLA262165 TUW262165 UES262165 UOO262165 UYK262165 VIG262165 VSC262165 WBY262165 WLU262165 WVQ262165 I327701 JE327701 TA327701 ACW327701 AMS327701 AWO327701 BGK327701 BQG327701 CAC327701 CJY327701 CTU327701 DDQ327701 DNM327701 DXI327701 EHE327701 ERA327701 FAW327701 FKS327701 FUO327701 GEK327701 GOG327701 GYC327701 HHY327701 HRU327701 IBQ327701 ILM327701 IVI327701 JFE327701 JPA327701 JYW327701 KIS327701 KSO327701 LCK327701 LMG327701 LWC327701 MFY327701 MPU327701 MZQ327701 NJM327701 NTI327701 ODE327701 ONA327701 OWW327701 PGS327701 PQO327701 QAK327701 QKG327701 QUC327701 RDY327701 RNU327701 RXQ327701 SHM327701 SRI327701 TBE327701 TLA327701 TUW327701 UES327701 UOO327701 UYK327701 VIG327701 VSC327701 WBY327701 WLU327701 WVQ327701 I393237 JE393237 TA393237 ACW393237 AMS393237 AWO393237 BGK393237 BQG393237 CAC393237 CJY393237 CTU393237 DDQ393237 DNM393237 DXI393237 EHE393237 ERA393237 FAW393237 FKS393237 FUO393237 GEK393237 GOG393237 GYC393237 HHY393237 HRU393237 IBQ393237 ILM393237 IVI393237 JFE393237 JPA393237 JYW393237 KIS393237 KSO393237 LCK393237 LMG393237 LWC393237 MFY393237 MPU393237 MZQ393237 NJM393237 NTI393237 ODE393237 ONA393237 OWW393237 PGS393237 PQO393237 QAK393237 QKG393237 QUC393237 RDY393237 RNU393237 RXQ393237 SHM393237 SRI393237 TBE393237 TLA393237 TUW393237 UES393237 UOO393237 UYK393237 VIG393237 VSC393237 WBY393237 WLU393237 WVQ393237 I458773 JE458773 TA458773 ACW458773 AMS458773 AWO458773 BGK458773 BQG458773 CAC458773 CJY458773 CTU458773 DDQ458773 DNM458773 DXI458773 EHE458773 ERA458773 FAW458773 FKS458773 FUO458773 GEK458773 GOG458773 GYC458773 HHY458773 HRU458773 IBQ458773 ILM458773 IVI458773 JFE458773 JPA458773 JYW458773 KIS458773 KSO458773 LCK458773 LMG458773 LWC458773 MFY458773 MPU458773 MZQ458773 NJM458773 NTI458773 ODE458773 ONA458773 OWW458773 PGS458773 PQO458773 QAK458773 QKG458773 QUC458773 RDY458773 RNU458773 RXQ458773 SHM458773 SRI458773 TBE458773 TLA458773 TUW458773 UES458773 UOO458773 UYK458773 VIG458773 VSC458773 WBY458773 WLU458773 WVQ458773 I524309 JE524309 TA524309 ACW524309 AMS524309 AWO524309 BGK524309 BQG524309 CAC524309 CJY524309 CTU524309 DDQ524309 DNM524309 DXI524309 EHE524309 ERA524309 FAW524309 FKS524309 FUO524309 GEK524309 GOG524309 GYC524309 HHY524309 HRU524309 IBQ524309 ILM524309 IVI524309 JFE524309 JPA524309 JYW524309 KIS524309 KSO524309 LCK524309 LMG524309 LWC524309 MFY524309 MPU524309 MZQ524309 NJM524309 NTI524309 ODE524309 ONA524309 OWW524309 PGS524309 PQO524309 QAK524309 QKG524309 QUC524309 RDY524309 RNU524309 RXQ524309 SHM524309 SRI524309 TBE524309 TLA524309 TUW524309 UES524309 UOO524309 UYK524309 VIG524309 VSC524309 WBY524309 WLU524309 WVQ524309 I589845 JE589845 TA589845 ACW589845 AMS589845 AWO589845 BGK589845 BQG589845 CAC589845 CJY589845 CTU589845 DDQ589845 DNM589845 DXI589845 EHE589845 ERA589845 FAW589845 FKS589845 FUO589845 GEK589845 GOG589845 GYC589845 HHY589845 HRU589845 IBQ589845 ILM589845 IVI589845 JFE589845 JPA589845 JYW589845 KIS589845 KSO589845 LCK589845 LMG589845 LWC589845 MFY589845 MPU589845 MZQ589845 NJM589845 NTI589845 ODE589845 ONA589845 OWW589845 PGS589845 PQO589845 QAK589845 QKG589845 QUC589845 RDY589845 RNU589845 RXQ589845 SHM589845 SRI589845 TBE589845 TLA589845 TUW589845 UES589845 UOO589845 UYK589845 VIG589845 VSC589845 WBY589845 WLU589845 WVQ589845 I655381 JE655381 TA655381 ACW655381 AMS655381 AWO655381 BGK655381 BQG655381 CAC655381 CJY655381 CTU655381 DDQ655381 DNM655381 DXI655381 EHE655381 ERA655381 FAW655381 FKS655381 FUO655381 GEK655381 GOG655381 GYC655381 HHY655381 HRU655381 IBQ655381 ILM655381 IVI655381 JFE655381 JPA655381 JYW655381 KIS655381 KSO655381 LCK655381 LMG655381 LWC655381 MFY655381 MPU655381 MZQ655381 NJM655381 NTI655381 ODE655381 ONA655381 OWW655381 PGS655381 PQO655381 QAK655381 QKG655381 QUC655381 RDY655381 RNU655381 RXQ655381 SHM655381 SRI655381 TBE655381 TLA655381 TUW655381 UES655381 UOO655381 UYK655381 VIG655381 VSC655381 WBY655381 WLU655381 WVQ655381 I720917 JE720917 TA720917 ACW720917 AMS720917 AWO720917 BGK720917 BQG720917 CAC720917 CJY720917 CTU720917 DDQ720917 DNM720917 DXI720917 EHE720917 ERA720917 FAW720917 FKS720917 FUO720917 GEK720917 GOG720917 GYC720917 HHY720917 HRU720917 IBQ720917 ILM720917 IVI720917 JFE720917 JPA720917 JYW720917 KIS720917 KSO720917 LCK720917 LMG720917 LWC720917 MFY720917 MPU720917 MZQ720917 NJM720917 NTI720917 ODE720917 ONA720917 OWW720917 PGS720917 PQO720917 QAK720917 QKG720917 QUC720917 RDY720917 RNU720917 RXQ720917 SHM720917 SRI720917 TBE720917 TLA720917 TUW720917 UES720917 UOO720917 UYK720917 VIG720917 VSC720917 WBY720917 WLU720917 WVQ720917 I786453 JE786453 TA786453 ACW786453 AMS786453 AWO786453 BGK786453 BQG786453 CAC786453 CJY786453 CTU786453 DDQ786453 DNM786453 DXI786453 EHE786453 ERA786453 FAW786453 FKS786453 FUO786453 GEK786453 GOG786453 GYC786453 HHY786453 HRU786453 IBQ786453 ILM786453 IVI786453 JFE786453 JPA786453 JYW786453 KIS786453 KSO786453 LCK786453 LMG786453 LWC786453 MFY786453 MPU786453 MZQ786453 NJM786453 NTI786453 ODE786453 ONA786453 OWW786453 PGS786453 PQO786453 QAK786453 QKG786453 QUC786453 RDY786453 RNU786453 RXQ786453 SHM786453 SRI786453 TBE786453 TLA786453 TUW786453 UES786453 UOO786453 UYK786453 VIG786453 VSC786453 WBY786453 WLU786453 WVQ786453 I851989 JE851989 TA851989 ACW851989 AMS851989 AWO851989 BGK851989 BQG851989 CAC851989 CJY851989 CTU851989 DDQ851989 DNM851989 DXI851989 EHE851989 ERA851989 FAW851989 FKS851989 FUO851989 GEK851989 GOG851989 GYC851989 HHY851989 HRU851989 IBQ851989 ILM851989 IVI851989 JFE851989 JPA851989 JYW851989 KIS851989 KSO851989 LCK851989 LMG851989 LWC851989 MFY851989 MPU851989 MZQ851989 NJM851989 NTI851989 ODE851989 ONA851989 OWW851989 PGS851989 PQO851989 QAK851989 QKG851989 QUC851989 RDY851989 RNU851989 RXQ851989 SHM851989 SRI851989 TBE851989 TLA851989 TUW851989 UES851989 UOO851989 UYK851989 VIG851989 VSC851989 WBY851989 WLU851989 WVQ851989 I917525 JE917525 TA917525 ACW917525 AMS917525 AWO917525 BGK917525 BQG917525 CAC917525 CJY917525 CTU917525 DDQ917525 DNM917525 DXI917525 EHE917525 ERA917525 FAW917525 FKS917525 FUO917525 GEK917525 GOG917525 GYC917525 HHY917525 HRU917525 IBQ917525 ILM917525 IVI917525 JFE917525 JPA917525 JYW917525 KIS917525 KSO917525 LCK917525 LMG917525 LWC917525 MFY917525 MPU917525 MZQ917525 NJM917525 NTI917525 ODE917525 ONA917525 OWW917525 PGS917525 PQO917525 QAK917525 QKG917525 QUC917525 RDY917525 RNU917525 RXQ917525 SHM917525 SRI917525 TBE917525 TLA917525 TUW917525 UES917525 UOO917525 UYK917525 VIG917525 VSC917525 WBY917525 WLU917525 WVQ917525 I983061 JE983061 TA983061 ACW983061 AMS983061 AWO983061 BGK983061 BQG983061 CAC983061 CJY983061 CTU983061 DDQ983061 DNM983061 DXI983061 EHE983061 ERA983061 FAW983061 FKS983061 FUO983061 GEK983061 GOG983061 GYC983061 HHY983061 HRU983061 IBQ983061 ILM983061 IVI983061 JFE983061 JPA983061 JYW983061 KIS983061 KSO983061 LCK983061 LMG983061 LWC983061 MFY983061 MPU983061 MZQ983061 NJM983061 NTI983061 ODE983061 ONA983061 OWW983061 PGS983061 PQO983061 QAK983061 QKG983061 QUC983061 RDY983061 RNU983061 RXQ983061 SHM983061 SRI983061 TBE983061 TLA983061 TUW983061 UES983061 UOO983061 UYK983061 VIG983061 VSC983061 WBY983061 WLU983061 WVQ983061">
      <formula1>"是,否"</formula1>
    </dataValidation>
  </dataValidations>
  <pageMargins left="0.78740157480314998" right="0.35433070866141703" top="0.511811023622047" bottom="0.11811023622047198" header="0.511811023622047" footer="0.511811023622047"/>
  <pageSetup paperSize="9" orientation="landscape" blackAndWhite="1" r:id="rId1"/>
</worksheet>
</file>

<file path=xl/worksheets/sheet16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72">
    <pageSetUpPr fitToPage="1"/>
  </sheetPr>
  <dimension ref="A1:J25"/>
  <sheetViews>
    <sheetView zoomScale="90" zoomScaleNormal="90" workbookViewId="0">
      <selection activeCell="J16" sqref="J16"/>
    </sheetView>
  </sheetViews>
  <sheetFormatPr defaultColWidth="8.09765625" defaultRowHeight="12"/>
  <cols>
    <col min="1" max="1" width="17.59765625" style="2474" customWidth="1"/>
    <col min="2" max="2" width="15.3984375" style="2474" customWidth="1"/>
    <col min="3" max="5" width="14.09765625" style="2474" customWidth="1"/>
    <col min="6" max="6" width="15.8984375" style="2474" customWidth="1"/>
    <col min="7" max="7" width="18.69921875" style="2474" customWidth="1"/>
    <col min="8" max="9" width="14.09765625" style="2474" customWidth="1"/>
    <col min="10" max="255" width="15.8984375" style="2474" customWidth="1"/>
    <col min="256" max="256" width="8.09765625" style="2474"/>
    <col min="257" max="257" width="21.09765625" style="2474" customWidth="1"/>
    <col min="258" max="258" width="15.3984375" style="2474" customWidth="1"/>
    <col min="259" max="261" width="14.09765625" style="2474" customWidth="1"/>
    <col min="262" max="262" width="15.8984375" style="2474" customWidth="1"/>
    <col min="263" max="265" width="14.09765625" style="2474" customWidth="1"/>
    <col min="266" max="511" width="15.8984375" style="2474" customWidth="1"/>
    <col min="512" max="512" width="8.09765625" style="2474"/>
    <col min="513" max="513" width="21.09765625" style="2474" customWidth="1"/>
    <col min="514" max="514" width="15.3984375" style="2474" customWidth="1"/>
    <col min="515" max="517" width="14.09765625" style="2474" customWidth="1"/>
    <col min="518" max="518" width="15.8984375" style="2474" customWidth="1"/>
    <col min="519" max="521" width="14.09765625" style="2474" customWidth="1"/>
    <col min="522" max="767" width="15.8984375" style="2474" customWidth="1"/>
    <col min="768" max="768" width="8.09765625" style="2474"/>
    <col min="769" max="769" width="21.09765625" style="2474" customWidth="1"/>
    <col min="770" max="770" width="15.3984375" style="2474" customWidth="1"/>
    <col min="771" max="773" width="14.09765625" style="2474" customWidth="1"/>
    <col min="774" max="774" width="15.8984375" style="2474" customWidth="1"/>
    <col min="775" max="777" width="14.09765625" style="2474" customWidth="1"/>
    <col min="778" max="1023" width="15.8984375" style="2474" customWidth="1"/>
    <col min="1024" max="1024" width="8.09765625" style="2474"/>
    <col min="1025" max="1025" width="21.09765625" style="2474" customWidth="1"/>
    <col min="1026" max="1026" width="15.3984375" style="2474" customWidth="1"/>
    <col min="1027" max="1029" width="14.09765625" style="2474" customWidth="1"/>
    <col min="1030" max="1030" width="15.8984375" style="2474" customWidth="1"/>
    <col min="1031" max="1033" width="14.09765625" style="2474" customWidth="1"/>
    <col min="1034" max="1279" width="15.8984375" style="2474" customWidth="1"/>
    <col min="1280" max="1280" width="8.09765625" style="2474"/>
    <col min="1281" max="1281" width="21.09765625" style="2474" customWidth="1"/>
    <col min="1282" max="1282" width="15.3984375" style="2474" customWidth="1"/>
    <col min="1283" max="1285" width="14.09765625" style="2474" customWidth="1"/>
    <col min="1286" max="1286" width="15.8984375" style="2474" customWidth="1"/>
    <col min="1287" max="1289" width="14.09765625" style="2474" customWidth="1"/>
    <col min="1290" max="1535" width="15.8984375" style="2474" customWidth="1"/>
    <col min="1536" max="1536" width="8.09765625" style="2474"/>
    <col min="1537" max="1537" width="21.09765625" style="2474" customWidth="1"/>
    <col min="1538" max="1538" width="15.3984375" style="2474" customWidth="1"/>
    <col min="1539" max="1541" width="14.09765625" style="2474" customWidth="1"/>
    <col min="1542" max="1542" width="15.8984375" style="2474" customWidth="1"/>
    <col min="1543" max="1545" width="14.09765625" style="2474" customWidth="1"/>
    <col min="1546" max="1791" width="15.8984375" style="2474" customWidth="1"/>
    <col min="1792" max="1792" width="8.09765625" style="2474"/>
    <col min="1793" max="1793" width="21.09765625" style="2474" customWidth="1"/>
    <col min="1794" max="1794" width="15.3984375" style="2474" customWidth="1"/>
    <col min="1795" max="1797" width="14.09765625" style="2474" customWidth="1"/>
    <col min="1798" max="1798" width="15.8984375" style="2474" customWidth="1"/>
    <col min="1799" max="1801" width="14.09765625" style="2474" customWidth="1"/>
    <col min="1802" max="2047" width="15.8984375" style="2474" customWidth="1"/>
    <col min="2048" max="2048" width="8.09765625" style="2474"/>
    <col min="2049" max="2049" width="21.09765625" style="2474" customWidth="1"/>
    <col min="2050" max="2050" width="15.3984375" style="2474" customWidth="1"/>
    <col min="2051" max="2053" width="14.09765625" style="2474" customWidth="1"/>
    <col min="2054" max="2054" width="15.8984375" style="2474" customWidth="1"/>
    <col min="2055" max="2057" width="14.09765625" style="2474" customWidth="1"/>
    <col min="2058" max="2303" width="15.8984375" style="2474" customWidth="1"/>
    <col min="2304" max="2304" width="8.09765625" style="2474"/>
    <col min="2305" max="2305" width="21.09765625" style="2474" customWidth="1"/>
    <col min="2306" max="2306" width="15.3984375" style="2474" customWidth="1"/>
    <col min="2307" max="2309" width="14.09765625" style="2474" customWidth="1"/>
    <col min="2310" max="2310" width="15.8984375" style="2474" customWidth="1"/>
    <col min="2311" max="2313" width="14.09765625" style="2474" customWidth="1"/>
    <col min="2314" max="2559" width="15.8984375" style="2474" customWidth="1"/>
    <col min="2560" max="2560" width="8.09765625" style="2474"/>
    <col min="2561" max="2561" width="21.09765625" style="2474" customWidth="1"/>
    <col min="2562" max="2562" width="15.3984375" style="2474" customWidth="1"/>
    <col min="2563" max="2565" width="14.09765625" style="2474" customWidth="1"/>
    <col min="2566" max="2566" width="15.8984375" style="2474" customWidth="1"/>
    <col min="2567" max="2569" width="14.09765625" style="2474" customWidth="1"/>
    <col min="2570" max="2815" width="15.8984375" style="2474" customWidth="1"/>
    <col min="2816" max="2816" width="8.09765625" style="2474"/>
    <col min="2817" max="2817" width="21.09765625" style="2474" customWidth="1"/>
    <col min="2818" max="2818" width="15.3984375" style="2474" customWidth="1"/>
    <col min="2819" max="2821" width="14.09765625" style="2474" customWidth="1"/>
    <col min="2822" max="2822" width="15.8984375" style="2474" customWidth="1"/>
    <col min="2823" max="2825" width="14.09765625" style="2474" customWidth="1"/>
    <col min="2826" max="3071" width="15.8984375" style="2474" customWidth="1"/>
    <col min="3072" max="3072" width="8.09765625" style="2474"/>
    <col min="3073" max="3073" width="21.09765625" style="2474" customWidth="1"/>
    <col min="3074" max="3074" width="15.3984375" style="2474" customWidth="1"/>
    <col min="3075" max="3077" width="14.09765625" style="2474" customWidth="1"/>
    <col min="3078" max="3078" width="15.8984375" style="2474" customWidth="1"/>
    <col min="3079" max="3081" width="14.09765625" style="2474" customWidth="1"/>
    <col min="3082" max="3327" width="15.8984375" style="2474" customWidth="1"/>
    <col min="3328" max="3328" width="8.09765625" style="2474"/>
    <col min="3329" max="3329" width="21.09765625" style="2474" customWidth="1"/>
    <col min="3330" max="3330" width="15.3984375" style="2474" customWidth="1"/>
    <col min="3331" max="3333" width="14.09765625" style="2474" customWidth="1"/>
    <col min="3334" max="3334" width="15.8984375" style="2474" customWidth="1"/>
    <col min="3335" max="3337" width="14.09765625" style="2474" customWidth="1"/>
    <col min="3338" max="3583" width="15.8984375" style="2474" customWidth="1"/>
    <col min="3584" max="3584" width="8.09765625" style="2474"/>
    <col min="3585" max="3585" width="21.09765625" style="2474" customWidth="1"/>
    <col min="3586" max="3586" width="15.3984375" style="2474" customWidth="1"/>
    <col min="3587" max="3589" width="14.09765625" style="2474" customWidth="1"/>
    <col min="3590" max="3590" width="15.8984375" style="2474" customWidth="1"/>
    <col min="3591" max="3593" width="14.09765625" style="2474" customWidth="1"/>
    <col min="3594" max="3839" width="15.8984375" style="2474" customWidth="1"/>
    <col min="3840" max="3840" width="8.09765625" style="2474"/>
    <col min="3841" max="3841" width="21.09765625" style="2474" customWidth="1"/>
    <col min="3842" max="3842" width="15.3984375" style="2474" customWidth="1"/>
    <col min="3843" max="3845" width="14.09765625" style="2474" customWidth="1"/>
    <col min="3846" max="3846" width="15.8984375" style="2474" customWidth="1"/>
    <col min="3847" max="3849" width="14.09765625" style="2474" customWidth="1"/>
    <col min="3850" max="4095" width="15.8984375" style="2474" customWidth="1"/>
    <col min="4096" max="4096" width="8.09765625" style="2474"/>
    <col min="4097" max="4097" width="21.09765625" style="2474" customWidth="1"/>
    <col min="4098" max="4098" width="15.3984375" style="2474" customWidth="1"/>
    <col min="4099" max="4101" width="14.09765625" style="2474" customWidth="1"/>
    <col min="4102" max="4102" width="15.8984375" style="2474" customWidth="1"/>
    <col min="4103" max="4105" width="14.09765625" style="2474" customWidth="1"/>
    <col min="4106" max="4351" width="15.8984375" style="2474" customWidth="1"/>
    <col min="4352" max="4352" width="8.09765625" style="2474"/>
    <col min="4353" max="4353" width="21.09765625" style="2474" customWidth="1"/>
    <col min="4354" max="4354" width="15.3984375" style="2474" customWidth="1"/>
    <col min="4355" max="4357" width="14.09765625" style="2474" customWidth="1"/>
    <col min="4358" max="4358" width="15.8984375" style="2474" customWidth="1"/>
    <col min="4359" max="4361" width="14.09765625" style="2474" customWidth="1"/>
    <col min="4362" max="4607" width="15.8984375" style="2474" customWidth="1"/>
    <col min="4608" max="4608" width="8.09765625" style="2474"/>
    <col min="4609" max="4609" width="21.09765625" style="2474" customWidth="1"/>
    <col min="4610" max="4610" width="15.3984375" style="2474" customWidth="1"/>
    <col min="4611" max="4613" width="14.09765625" style="2474" customWidth="1"/>
    <col min="4614" max="4614" width="15.8984375" style="2474" customWidth="1"/>
    <col min="4615" max="4617" width="14.09765625" style="2474" customWidth="1"/>
    <col min="4618" max="4863" width="15.8984375" style="2474" customWidth="1"/>
    <col min="4864" max="4864" width="8.09765625" style="2474"/>
    <col min="4865" max="4865" width="21.09765625" style="2474" customWidth="1"/>
    <col min="4866" max="4866" width="15.3984375" style="2474" customWidth="1"/>
    <col min="4867" max="4869" width="14.09765625" style="2474" customWidth="1"/>
    <col min="4870" max="4870" width="15.8984375" style="2474" customWidth="1"/>
    <col min="4871" max="4873" width="14.09765625" style="2474" customWidth="1"/>
    <col min="4874" max="5119" width="15.8984375" style="2474" customWidth="1"/>
    <col min="5120" max="5120" width="8.09765625" style="2474"/>
    <col min="5121" max="5121" width="21.09765625" style="2474" customWidth="1"/>
    <col min="5122" max="5122" width="15.3984375" style="2474" customWidth="1"/>
    <col min="5123" max="5125" width="14.09765625" style="2474" customWidth="1"/>
    <col min="5126" max="5126" width="15.8984375" style="2474" customWidth="1"/>
    <col min="5127" max="5129" width="14.09765625" style="2474" customWidth="1"/>
    <col min="5130" max="5375" width="15.8984375" style="2474" customWidth="1"/>
    <col min="5376" max="5376" width="8.09765625" style="2474"/>
    <col min="5377" max="5377" width="21.09765625" style="2474" customWidth="1"/>
    <col min="5378" max="5378" width="15.3984375" style="2474" customWidth="1"/>
    <col min="5379" max="5381" width="14.09765625" style="2474" customWidth="1"/>
    <col min="5382" max="5382" width="15.8984375" style="2474" customWidth="1"/>
    <col min="5383" max="5385" width="14.09765625" style="2474" customWidth="1"/>
    <col min="5386" max="5631" width="15.8984375" style="2474" customWidth="1"/>
    <col min="5632" max="5632" width="8.09765625" style="2474"/>
    <col min="5633" max="5633" width="21.09765625" style="2474" customWidth="1"/>
    <col min="5634" max="5634" width="15.3984375" style="2474" customWidth="1"/>
    <col min="5635" max="5637" width="14.09765625" style="2474" customWidth="1"/>
    <col min="5638" max="5638" width="15.8984375" style="2474" customWidth="1"/>
    <col min="5639" max="5641" width="14.09765625" style="2474" customWidth="1"/>
    <col min="5642" max="5887" width="15.8984375" style="2474" customWidth="1"/>
    <col min="5888" max="5888" width="8.09765625" style="2474"/>
    <col min="5889" max="5889" width="21.09765625" style="2474" customWidth="1"/>
    <col min="5890" max="5890" width="15.3984375" style="2474" customWidth="1"/>
    <col min="5891" max="5893" width="14.09765625" style="2474" customWidth="1"/>
    <col min="5894" max="5894" width="15.8984375" style="2474" customWidth="1"/>
    <col min="5895" max="5897" width="14.09765625" style="2474" customWidth="1"/>
    <col min="5898" max="6143" width="15.8984375" style="2474" customWidth="1"/>
    <col min="6144" max="6144" width="8.09765625" style="2474"/>
    <col min="6145" max="6145" width="21.09765625" style="2474" customWidth="1"/>
    <col min="6146" max="6146" width="15.3984375" style="2474" customWidth="1"/>
    <col min="6147" max="6149" width="14.09765625" style="2474" customWidth="1"/>
    <col min="6150" max="6150" width="15.8984375" style="2474" customWidth="1"/>
    <col min="6151" max="6153" width="14.09765625" style="2474" customWidth="1"/>
    <col min="6154" max="6399" width="15.8984375" style="2474" customWidth="1"/>
    <col min="6400" max="6400" width="8.09765625" style="2474"/>
    <col min="6401" max="6401" width="21.09765625" style="2474" customWidth="1"/>
    <col min="6402" max="6402" width="15.3984375" style="2474" customWidth="1"/>
    <col min="6403" max="6405" width="14.09765625" style="2474" customWidth="1"/>
    <col min="6406" max="6406" width="15.8984375" style="2474" customWidth="1"/>
    <col min="6407" max="6409" width="14.09765625" style="2474" customWidth="1"/>
    <col min="6410" max="6655" width="15.8984375" style="2474" customWidth="1"/>
    <col min="6656" max="6656" width="8.09765625" style="2474"/>
    <col min="6657" max="6657" width="21.09765625" style="2474" customWidth="1"/>
    <col min="6658" max="6658" width="15.3984375" style="2474" customWidth="1"/>
    <col min="6659" max="6661" width="14.09765625" style="2474" customWidth="1"/>
    <col min="6662" max="6662" width="15.8984375" style="2474" customWidth="1"/>
    <col min="6663" max="6665" width="14.09765625" style="2474" customWidth="1"/>
    <col min="6666" max="6911" width="15.8984375" style="2474" customWidth="1"/>
    <col min="6912" max="6912" width="8.09765625" style="2474"/>
    <col min="6913" max="6913" width="21.09765625" style="2474" customWidth="1"/>
    <col min="6914" max="6914" width="15.3984375" style="2474" customWidth="1"/>
    <col min="6915" max="6917" width="14.09765625" style="2474" customWidth="1"/>
    <col min="6918" max="6918" width="15.8984375" style="2474" customWidth="1"/>
    <col min="6919" max="6921" width="14.09765625" style="2474" customWidth="1"/>
    <col min="6922" max="7167" width="15.8984375" style="2474" customWidth="1"/>
    <col min="7168" max="7168" width="8.09765625" style="2474"/>
    <col min="7169" max="7169" width="21.09765625" style="2474" customWidth="1"/>
    <col min="7170" max="7170" width="15.3984375" style="2474" customWidth="1"/>
    <col min="7171" max="7173" width="14.09765625" style="2474" customWidth="1"/>
    <col min="7174" max="7174" width="15.8984375" style="2474" customWidth="1"/>
    <col min="7175" max="7177" width="14.09765625" style="2474" customWidth="1"/>
    <col min="7178" max="7423" width="15.8984375" style="2474" customWidth="1"/>
    <col min="7424" max="7424" width="8.09765625" style="2474"/>
    <col min="7425" max="7425" width="21.09765625" style="2474" customWidth="1"/>
    <col min="7426" max="7426" width="15.3984375" style="2474" customWidth="1"/>
    <col min="7427" max="7429" width="14.09765625" style="2474" customWidth="1"/>
    <col min="7430" max="7430" width="15.8984375" style="2474" customWidth="1"/>
    <col min="7431" max="7433" width="14.09765625" style="2474" customWidth="1"/>
    <col min="7434" max="7679" width="15.8984375" style="2474" customWidth="1"/>
    <col min="7680" max="7680" width="8.09765625" style="2474"/>
    <col min="7681" max="7681" width="21.09765625" style="2474" customWidth="1"/>
    <col min="7682" max="7682" width="15.3984375" style="2474" customWidth="1"/>
    <col min="7683" max="7685" width="14.09765625" style="2474" customWidth="1"/>
    <col min="7686" max="7686" width="15.8984375" style="2474" customWidth="1"/>
    <col min="7687" max="7689" width="14.09765625" style="2474" customWidth="1"/>
    <col min="7690" max="7935" width="15.8984375" style="2474" customWidth="1"/>
    <col min="7936" max="7936" width="8.09765625" style="2474"/>
    <col min="7937" max="7937" width="21.09765625" style="2474" customWidth="1"/>
    <col min="7938" max="7938" width="15.3984375" style="2474" customWidth="1"/>
    <col min="7939" max="7941" width="14.09765625" style="2474" customWidth="1"/>
    <col min="7942" max="7942" width="15.8984375" style="2474" customWidth="1"/>
    <col min="7943" max="7945" width="14.09765625" style="2474" customWidth="1"/>
    <col min="7946" max="8191" width="15.8984375" style="2474" customWidth="1"/>
    <col min="8192" max="8192" width="8.09765625" style="2474"/>
    <col min="8193" max="8193" width="21.09765625" style="2474" customWidth="1"/>
    <col min="8194" max="8194" width="15.3984375" style="2474" customWidth="1"/>
    <col min="8195" max="8197" width="14.09765625" style="2474" customWidth="1"/>
    <col min="8198" max="8198" width="15.8984375" style="2474" customWidth="1"/>
    <col min="8199" max="8201" width="14.09765625" style="2474" customWidth="1"/>
    <col min="8202" max="8447" width="15.8984375" style="2474" customWidth="1"/>
    <col min="8448" max="8448" width="8.09765625" style="2474"/>
    <col min="8449" max="8449" width="21.09765625" style="2474" customWidth="1"/>
    <col min="8450" max="8450" width="15.3984375" style="2474" customWidth="1"/>
    <col min="8451" max="8453" width="14.09765625" style="2474" customWidth="1"/>
    <col min="8454" max="8454" width="15.8984375" style="2474" customWidth="1"/>
    <col min="8455" max="8457" width="14.09765625" style="2474" customWidth="1"/>
    <col min="8458" max="8703" width="15.8984375" style="2474" customWidth="1"/>
    <col min="8704" max="8704" width="8.09765625" style="2474"/>
    <col min="8705" max="8705" width="21.09765625" style="2474" customWidth="1"/>
    <col min="8706" max="8706" width="15.3984375" style="2474" customWidth="1"/>
    <col min="8707" max="8709" width="14.09765625" style="2474" customWidth="1"/>
    <col min="8710" max="8710" width="15.8984375" style="2474" customWidth="1"/>
    <col min="8711" max="8713" width="14.09765625" style="2474" customWidth="1"/>
    <col min="8714" max="8959" width="15.8984375" style="2474" customWidth="1"/>
    <col min="8960" max="8960" width="8.09765625" style="2474"/>
    <col min="8961" max="8961" width="21.09765625" style="2474" customWidth="1"/>
    <col min="8962" max="8962" width="15.3984375" style="2474" customWidth="1"/>
    <col min="8963" max="8965" width="14.09765625" style="2474" customWidth="1"/>
    <col min="8966" max="8966" width="15.8984375" style="2474" customWidth="1"/>
    <col min="8967" max="8969" width="14.09765625" style="2474" customWidth="1"/>
    <col min="8970" max="9215" width="15.8984375" style="2474" customWidth="1"/>
    <col min="9216" max="9216" width="8.09765625" style="2474"/>
    <col min="9217" max="9217" width="21.09765625" style="2474" customWidth="1"/>
    <col min="9218" max="9218" width="15.3984375" style="2474" customWidth="1"/>
    <col min="9219" max="9221" width="14.09765625" style="2474" customWidth="1"/>
    <col min="9222" max="9222" width="15.8984375" style="2474" customWidth="1"/>
    <col min="9223" max="9225" width="14.09765625" style="2474" customWidth="1"/>
    <col min="9226" max="9471" width="15.8984375" style="2474" customWidth="1"/>
    <col min="9472" max="9472" width="8.09765625" style="2474"/>
    <col min="9473" max="9473" width="21.09765625" style="2474" customWidth="1"/>
    <col min="9474" max="9474" width="15.3984375" style="2474" customWidth="1"/>
    <col min="9475" max="9477" width="14.09765625" style="2474" customWidth="1"/>
    <col min="9478" max="9478" width="15.8984375" style="2474" customWidth="1"/>
    <col min="9479" max="9481" width="14.09765625" style="2474" customWidth="1"/>
    <col min="9482" max="9727" width="15.8984375" style="2474" customWidth="1"/>
    <col min="9728" max="9728" width="8.09765625" style="2474"/>
    <col min="9729" max="9729" width="21.09765625" style="2474" customWidth="1"/>
    <col min="9730" max="9730" width="15.3984375" style="2474" customWidth="1"/>
    <col min="9731" max="9733" width="14.09765625" style="2474" customWidth="1"/>
    <col min="9734" max="9734" width="15.8984375" style="2474" customWidth="1"/>
    <col min="9735" max="9737" width="14.09765625" style="2474" customWidth="1"/>
    <col min="9738" max="9983" width="15.8984375" style="2474" customWidth="1"/>
    <col min="9984" max="9984" width="8.09765625" style="2474"/>
    <col min="9985" max="9985" width="21.09765625" style="2474" customWidth="1"/>
    <col min="9986" max="9986" width="15.3984375" style="2474" customWidth="1"/>
    <col min="9987" max="9989" width="14.09765625" style="2474" customWidth="1"/>
    <col min="9990" max="9990" width="15.8984375" style="2474" customWidth="1"/>
    <col min="9991" max="9993" width="14.09765625" style="2474" customWidth="1"/>
    <col min="9994" max="10239" width="15.8984375" style="2474" customWidth="1"/>
    <col min="10240" max="10240" width="8.09765625" style="2474"/>
    <col min="10241" max="10241" width="21.09765625" style="2474" customWidth="1"/>
    <col min="10242" max="10242" width="15.3984375" style="2474" customWidth="1"/>
    <col min="10243" max="10245" width="14.09765625" style="2474" customWidth="1"/>
    <col min="10246" max="10246" width="15.8984375" style="2474" customWidth="1"/>
    <col min="10247" max="10249" width="14.09765625" style="2474" customWidth="1"/>
    <col min="10250" max="10495" width="15.8984375" style="2474" customWidth="1"/>
    <col min="10496" max="10496" width="8.09765625" style="2474"/>
    <col min="10497" max="10497" width="21.09765625" style="2474" customWidth="1"/>
    <col min="10498" max="10498" width="15.3984375" style="2474" customWidth="1"/>
    <col min="10499" max="10501" width="14.09765625" style="2474" customWidth="1"/>
    <col min="10502" max="10502" width="15.8984375" style="2474" customWidth="1"/>
    <col min="10503" max="10505" width="14.09765625" style="2474" customWidth="1"/>
    <col min="10506" max="10751" width="15.8984375" style="2474" customWidth="1"/>
    <col min="10752" max="10752" width="8.09765625" style="2474"/>
    <col min="10753" max="10753" width="21.09765625" style="2474" customWidth="1"/>
    <col min="10754" max="10754" width="15.3984375" style="2474" customWidth="1"/>
    <col min="10755" max="10757" width="14.09765625" style="2474" customWidth="1"/>
    <col min="10758" max="10758" width="15.8984375" style="2474" customWidth="1"/>
    <col min="10759" max="10761" width="14.09765625" style="2474" customWidth="1"/>
    <col min="10762" max="11007" width="15.8984375" style="2474" customWidth="1"/>
    <col min="11008" max="11008" width="8.09765625" style="2474"/>
    <col min="11009" max="11009" width="21.09765625" style="2474" customWidth="1"/>
    <col min="11010" max="11010" width="15.3984375" style="2474" customWidth="1"/>
    <col min="11011" max="11013" width="14.09765625" style="2474" customWidth="1"/>
    <col min="11014" max="11014" width="15.8984375" style="2474" customWidth="1"/>
    <col min="11015" max="11017" width="14.09765625" style="2474" customWidth="1"/>
    <col min="11018" max="11263" width="15.8984375" style="2474" customWidth="1"/>
    <col min="11264" max="11264" width="8.09765625" style="2474"/>
    <col min="11265" max="11265" width="21.09765625" style="2474" customWidth="1"/>
    <col min="11266" max="11266" width="15.3984375" style="2474" customWidth="1"/>
    <col min="11267" max="11269" width="14.09765625" style="2474" customWidth="1"/>
    <col min="11270" max="11270" width="15.8984375" style="2474" customWidth="1"/>
    <col min="11271" max="11273" width="14.09765625" style="2474" customWidth="1"/>
    <col min="11274" max="11519" width="15.8984375" style="2474" customWidth="1"/>
    <col min="11520" max="11520" width="8.09765625" style="2474"/>
    <col min="11521" max="11521" width="21.09765625" style="2474" customWidth="1"/>
    <col min="11522" max="11522" width="15.3984375" style="2474" customWidth="1"/>
    <col min="11523" max="11525" width="14.09765625" style="2474" customWidth="1"/>
    <col min="11526" max="11526" width="15.8984375" style="2474" customWidth="1"/>
    <col min="11527" max="11529" width="14.09765625" style="2474" customWidth="1"/>
    <col min="11530" max="11775" width="15.8984375" style="2474" customWidth="1"/>
    <col min="11776" max="11776" width="8.09765625" style="2474"/>
    <col min="11777" max="11777" width="21.09765625" style="2474" customWidth="1"/>
    <col min="11778" max="11778" width="15.3984375" style="2474" customWidth="1"/>
    <col min="11779" max="11781" width="14.09765625" style="2474" customWidth="1"/>
    <col min="11782" max="11782" width="15.8984375" style="2474" customWidth="1"/>
    <col min="11783" max="11785" width="14.09765625" style="2474" customWidth="1"/>
    <col min="11786" max="12031" width="15.8984375" style="2474" customWidth="1"/>
    <col min="12032" max="12032" width="8.09765625" style="2474"/>
    <col min="12033" max="12033" width="21.09765625" style="2474" customWidth="1"/>
    <col min="12034" max="12034" width="15.3984375" style="2474" customWidth="1"/>
    <col min="12035" max="12037" width="14.09765625" style="2474" customWidth="1"/>
    <col min="12038" max="12038" width="15.8984375" style="2474" customWidth="1"/>
    <col min="12039" max="12041" width="14.09765625" style="2474" customWidth="1"/>
    <col min="12042" max="12287" width="15.8984375" style="2474" customWidth="1"/>
    <col min="12288" max="12288" width="8.09765625" style="2474"/>
    <col min="12289" max="12289" width="21.09765625" style="2474" customWidth="1"/>
    <col min="12290" max="12290" width="15.3984375" style="2474" customWidth="1"/>
    <col min="12291" max="12293" width="14.09765625" style="2474" customWidth="1"/>
    <col min="12294" max="12294" width="15.8984375" style="2474" customWidth="1"/>
    <col min="12295" max="12297" width="14.09765625" style="2474" customWidth="1"/>
    <col min="12298" max="12543" width="15.8984375" style="2474" customWidth="1"/>
    <col min="12544" max="12544" width="8.09765625" style="2474"/>
    <col min="12545" max="12545" width="21.09765625" style="2474" customWidth="1"/>
    <col min="12546" max="12546" width="15.3984375" style="2474" customWidth="1"/>
    <col min="12547" max="12549" width="14.09765625" style="2474" customWidth="1"/>
    <col min="12550" max="12550" width="15.8984375" style="2474" customWidth="1"/>
    <col min="12551" max="12553" width="14.09765625" style="2474" customWidth="1"/>
    <col min="12554" max="12799" width="15.8984375" style="2474" customWidth="1"/>
    <col min="12800" max="12800" width="8.09765625" style="2474"/>
    <col min="12801" max="12801" width="21.09765625" style="2474" customWidth="1"/>
    <col min="12802" max="12802" width="15.3984375" style="2474" customWidth="1"/>
    <col min="12803" max="12805" width="14.09765625" style="2474" customWidth="1"/>
    <col min="12806" max="12806" width="15.8984375" style="2474" customWidth="1"/>
    <col min="12807" max="12809" width="14.09765625" style="2474" customWidth="1"/>
    <col min="12810" max="13055" width="15.8984375" style="2474" customWidth="1"/>
    <col min="13056" max="13056" width="8.09765625" style="2474"/>
    <col min="13057" max="13057" width="21.09765625" style="2474" customWidth="1"/>
    <col min="13058" max="13058" width="15.3984375" style="2474" customWidth="1"/>
    <col min="13059" max="13061" width="14.09765625" style="2474" customWidth="1"/>
    <col min="13062" max="13062" width="15.8984375" style="2474" customWidth="1"/>
    <col min="13063" max="13065" width="14.09765625" style="2474" customWidth="1"/>
    <col min="13066" max="13311" width="15.8984375" style="2474" customWidth="1"/>
    <col min="13312" max="13312" width="8.09765625" style="2474"/>
    <col min="13313" max="13313" width="21.09765625" style="2474" customWidth="1"/>
    <col min="13314" max="13314" width="15.3984375" style="2474" customWidth="1"/>
    <col min="13315" max="13317" width="14.09765625" style="2474" customWidth="1"/>
    <col min="13318" max="13318" width="15.8984375" style="2474" customWidth="1"/>
    <col min="13319" max="13321" width="14.09765625" style="2474" customWidth="1"/>
    <col min="13322" max="13567" width="15.8984375" style="2474" customWidth="1"/>
    <col min="13568" max="13568" width="8.09765625" style="2474"/>
    <col min="13569" max="13569" width="21.09765625" style="2474" customWidth="1"/>
    <col min="13570" max="13570" width="15.3984375" style="2474" customWidth="1"/>
    <col min="13571" max="13573" width="14.09765625" style="2474" customWidth="1"/>
    <col min="13574" max="13574" width="15.8984375" style="2474" customWidth="1"/>
    <col min="13575" max="13577" width="14.09765625" style="2474" customWidth="1"/>
    <col min="13578" max="13823" width="15.8984375" style="2474" customWidth="1"/>
    <col min="13824" max="13824" width="8.09765625" style="2474"/>
    <col min="13825" max="13825" width="21.09765625" style="2474" customWidth="1"/>
    <col min="13826" max="13826" width="15.3984375" style="2474" customWidth="1"/>
    <col min="13827" max="13829" width="14.09765625" style="2474" customWidth="1"/>
    <col min="13830" max="13830" width="15.8984375" style="2474" customWidth="1"/>
    <col min="13831" max="13833" width="14.09765625" style="2474" customWidth="1"/>
    <col min="13834" max="14079" width="15.8984375" style="2474" customWidth="1"/>
    <col min="14080" max="14080" width="8.09765625" style="2474"/>
    <col min="14081" max="14081" width="21.09765625" style="2474" customWidth="1"/>
    <col min="14082" max="14082" width="15.3984375" style="2474" customWidth="1"/>
    <col min="14083" max="14085" width="14.09765625" style="2474" customWidth="1"/>
    <col min="14086" max="14086" width="15.8984375" style="2474" customWidth="1"/>
    <col min="14087" max="14089" width="14.09765625" style="2474" customWidth="1"/>
    <col min="14090" max="14335" width="15.8984375" style="2474" customWidth="1"/>
    <col min="14336" max="14336" width="8.09765625" style="2474"/>
    <col min="14337" max="14337" width="21.09765625" style="2474" customWidth="1"/>
    <col min="14338" max="14338" width="15.3984375" style="2474" customWidth="1"/>
    <col min="14339" max="14341" width="14.09765625" style="2474" customWidth="1"/>
    <col min="14342" max="14342" width="15.8984375" style="2474" customWidth="1"/>
    <col min="14343" max="14345" width="14.09765625" style="2474" customWidth="1"/>
    <col min="14346" max="14591" width="15.8984375" style="2474" customWidth="1"/>
    <col min="14592" max="14592" width="8.09765625" style="2474"/>
    <col min="14593" max="14593" width="21.09765625" style="2474" customWidth="1"/>
    <col min="14594" max="14594" width="15.3984375" style="2474" customWidth="1"/>
    <col min="14595" max="14597" width="14.09765625" style="2474" customWidth="1"/>
    <col min="14598" max="14598" width="15.8984375" style="2474" customWidth="1"/>
    <col min="14599" max="14601" width="14.09765625" style="2474" customWidth="1"/>
    <col min="14602" max="14847" width="15.8984375" style="2474" customWidth="1"/>
    <col min="14848" max="14848" width="8.09765625" style="2474"/>
    <col min="14849" max="14849" width="21.09765625" style="2474" customWidth="1"/>
    <col min="14850" max="14850" width="15.3984375" style="2474" customWidth="1"/>
    <col min="14851" max="14853" width="14.09765625" style="2474" customWidth="1"/>
    <col min="14854" max="14854" width="15.8984375" style="2474" customWidth="1"/>
    <col min="14855" max="14857" width="14.09765625" style="2474" customWidth="1"/>
    <col min="14858" max="15103" width="15.8984375" style="2474" customWidth="1"/>
    <col min="15104" max="15104" width="8.09765625" style="2474"/>
    <col min="15105" max="15105" width="21.09765625" style="2474" customWidth="1"/>
    <col min="15106" max="15106" width="15.3984375" style="2474" customWidth="1"/>
    <col min="15107" max="15109" width="14.09765625" style="2474" customWidth="1"/>
    <col min="15110" max="15110" width="15.8984375" style="2474" customWidth="1"/>
    <col min="15111" max="15113" width="14.09765625" style="2474" customWidth="1"/>
    <col min="15114" max="15359" width="15.8984375" style="2474" customWidth="1"/>
    <col min="15360" max="15360" width="8.09765625" style="2474"/>
    <col min="15361" max="15361" width="21.09765625" style="2474" customWidth="1"/>
    <col min="15362" max="15362" width="15.3984375" style="2474" customWidth="1"/>
    <col min="15363" max="15365" width="14.09765625" style="2474" customWidth="1"/>
    <col min="15366" max="15366" width="15.8984375" style="2474" customWidth="1"/>
    <col min="15367" max="15369" width="14.09765625" style="2474" customWidth="1"/>
    <col min="15370" max="15615" width="15.8984375" style="2474" customWidth="1"/>
    <col min="15616" max="15616" width="8.09765625" style="2474"/>
    <col min="15617" max="15617" width="21.09765625" style="2474" customWidth="1"/>
    <col min="15618" max="15618" width="15.3984375" style="2474" customWidth="1"/>
    <col min="15619" max="15621" width="14.09765625" style="2474" customWidth="1"/>
    <col min="15622" max="15622" width="15.8984375" style="2474" customWidth="1"/>
    <col min="15623" max="15625" width="14.09765625" style="2474" customWidth="1"/>
    <col min="15626" max="15871" width="15.8984375" style="2474" customWidth="1"/>
    <col min="15872" max="15872" width="8.09765625" style="2474"/>
    <col min="15873" max="15873" width="21.09765625" style="2474" customWidth="1"/>
    <col min="15874" max="15874" width="15.3984375" style="2474" customWidth="1"/>
    <col min="15875" max="15877" width="14.09765625" style="2474" customWidth="1"/>
    <col min="15878" max="15878" width="15.8984375" style="2474" customWidth="1"/>
    <col min="15879" max="15881" width="14.09765625" style="2474" customWidth="1"/>
    <col min="15882" max="16127" width="15.8984375" style="2474" customWidth="1"/>
    <col min="16128" max="16128" width="8.09765625" style="2474"/>
    <col min="16129" max="16129" width="21.09765625" style="2474" customWidth="1"/>
    <col min="16130" max="16130" width="15.3984375" style="2474" customWidth="1"/>
    <col min="16131" max="16133" width="14.09765625" style="2474" customWidth="1"/>
    <col min="16134" max="16134" width="15.8984375" style="2474" customWidth="1"/>
    <col min="16135" max="16137" width="14.09765625" style="2474" customWidth="1"/>
    <col min="16138" max="16383" width="15.8984375" style="2474" customWidth="1"/>
    <col min="16384" max="16384" width="8.09765625" style="2474"/>
  </cols>
  <sheetData>
    <row r="1" spans="1:10" ht="20.100000000000001" customHeight="1">
      <c r="A1" s="3983" t="s">
        <v>7409</v>
      </c>
      <c r="B1" s="3983"/>
      <c r="C1" s="3983"/>
      <c r="D1" s="3983"/>
      <c r="E1" s="3983"/>
      <c r="F1" s="3983"/>
      <c r="G1" s="3983"/>
      <c r="H1" s="3983"/>
      <c r="I1" s="3983"/>
      <c r="J1" s="2477"/>
    </row>
    <row r="2" spans="1:10" ht="24" customHeight="1">
      <c r="A2" s="3984" t="s">
        <v>7418</v>
      </c>
      <c r="B2" s="3984"/>
      <c r="C2" s="3984"/>
      <c r="D2" s="3984"/>
      <c r="E2" s="3984"/>
      <c r="F2" s="3984"/>
      <c r="G2" s="3984"/>
      <c r="H2" s="3984"/>
      <c r="I2" s="3984"/>
    </row>
    <row r="3" spans="1:10" ht="25.5" customHeight="1">
      <c r="A3" s="2511" t="s">
        <v>7282</v>
      </c>
      <c r="B3" s="4005"/>
      <c r="C3" s="4005"/>
      <c r="D3" s="4005"/>
      <c r="E3" s="4005"/>
      <c r="F3" s="4006" t="s">
        <v>7283</v>
      </c>
      <c r="G3" s="4007"/>
      <c r="H3" s="4005"/>
      <c r="I3" s="4005"/>
    </row>
    <row r="4" spans="1:10" ht="25.5" customHeight="1">
      <c r="A4" s="2511" t="s">
        <v>7284</v>
      </c>
      <c r="B4" s="3991"/>
      <c r="C4" s="3991"/>
      <c r="D4" s="3991"/>
      <c r="E4" s="3991"/>
      <c r="F4" s="4008"/>
      <c r="G4" s="4009"/>
      <c r="H4" s="3991"/>
      <c r="I4" s="3991"/>
    </row>
    <row r="5" spans="1:10" ht="25.5" customHeight="1">
      <c r="A5" s="2541" t="s">
        <v>7285</v>
      </c>
      <c r="B5" s="3995"/>
      <c r="C5" s="4010"/>
      <c r="D5" s="3999" t="s">
        <v>7286</v>
      </c>
      <c r="E5" s="3999"/>
      <c r="F5" s="2534"/>
      <c r="G5" s="3987" t="s">
        <v>7287</v>
      </c>
      <c r="H5" s="3987"/>
      <c r="I5" s="2535"/>
    </row>
    <row r="6" spans="1:10" ht="25.5" customHeight="1">
      <c r="A6" s="2511" t="s">
        <v>7288</v>
      </c>
      <c r="B6" s="3991"/>
      <c r="C6" s="3991"/>
      <c r="D6" s="4011" t="s">
        <v>7289</v>
      </c>
      <c r="E6" s="4012"/>
      <c r="F6" s="3991"/>
      <c r="G6" s="4011" t="s">
        <v>7290</v>
      </c>
      <c r="H6" s="4012"/>
      <c r="I6" s="4003"/>
    </row>
    <row r="7" spans="1:10" ht="25.5" customHeight="1">
      <c r="A7" s="2511" t="s">
        <v>7291</v>
      </c>
      <c r="B7" s="3991"/>
      <c r="C7" s="3991"/>
      <c r="D7" s="4008"/>
      <c r="E7" s="4009"/>
      <c r="F7" s="3991"/>
      <c r="G7" s="4008"/>
      <c r="H7" s="4009"/>
      <c r="I7" s="4003"/>
    </row>
    <row r="8" spans="1:10" ht="25.5" customHeight="1">
      <c r="A8" s="2511" t="s">
        <v>7292</v>
      </c>
      <c r="B8" s="3995"/>
      <c r="C8" s="4010"/>
      <c r="D8" s="3989" t="s">
        <v>7257</v>
      </c>
      <c r="E8" s="3989"/>
      <c r="F8" s="2535"/>
      <c r="G8" s="3987" t="s">
        <v>7258</v>
      </c>
      <c r="H8" s="3987"/>
      <c r="I8" s="2535"/>
    </row>
    <row r="9" spans="1:10" ht="25.5" customHeight="1">
      <c r="A9" s="3985" t="s">
        <v>7293</v>
      </c>
      <c r="B9" s="2513" t="s">
        <v>7294</v>
      </c>
      <c r="C9" s="2491" t="s">
        <v>7264</v>
      </c>
      <c r="D9" s="2491" t="s">
        <v>7265</v>
      </c>
      <c r="E9" s="2491" t="s">
        <v>7266</v>
      </c>
      <c r="F9" s="2491" t="s">
        <v>7267</v>
      </c>
      <c r="G9" s="2510" t="s">
        <v>7268</v>
      </c>
      <c r="H9" s="2535"/>
      <c r="I9" s="2535"/>
    </row>
    <row r="10" spans="1:10" ht="25.5" customHeight="1">
      <c r="A10" s="3985"/>
      <c r="B10" s="2476"/>
      <c r="C10" s="2534"/>
      <c r="D10" s="2534"/>
      <c r="E10" s="2536"/>
      <c r="F10" s="2534"/>
      <c r="G10" s="2491" t="s">
        <v>284</v>
      </c>
      <c r="H10" s="2510" t="s">
        <v>7264</v>
      </c>
      <c r="I10" s="2491" t="s">
        <v>1256</v>
      </c>
    </row>
    <row r="11" spans="1:10" ht="25.5" customHeight="1">
      <c r="A11" s="3985"/>
      <c r="B11" s="2476"/>
      <c r="C11" s="2537"/>
      <c r="D11" s="2534"/>
      <c r="E11" s="2536"/>
      <c r="F11" s="2534"/>
      <c r="G11" s="2469"/>
      <c r="H11" s="2536"/>
      <c r="I11" s="2534"/>
    </row>
    <row r="12" spans="1:10" ht="25.5" customHeight="1">
      <c r="A12" s="3985"/>
      <c r="B12" s="2531"/>
      <c r="C12" s="2540"/>
      <c r="D12" s="2540"/>
      <c r="E12" s="2538"/>
      <c r="F12" s="2540"/>
      <c r="G12" s="2505"/>
      <c r="H12" s="2538"/>
      <c r="I12" s="2540"/>
    </row>
    <row r="13" spans="1:10" ht="25.5" customHeight="1">
      <c r="A13" s="3985"/>
      <c r="B13" s="2500" t="s">
        <v>7295</v>
      </c>
      <c r="C13" s="2539"/>
      <c r="D13" s="2539"/>
      <c r="E13" s="2539"/>
      <c r="F13" s="2539"/>
      <c r="G13" s="2500" t="s">
        <v>703</v>
      </c>
      <c r="H13" s="2539"/>
      <c r="I13" s="2539"/>
    </row>
    <row r="14" spans="1:10" ht="25.5" customHeight="1">
      <c r="A14" s="3985" t="s">
        <v>7296</v>
      </c>
      <c r="B14" s="4014" t="s">
        <v>284</v>
      </c>
      <c r="C14" s="4014" t="s">
        <v>7264</v>
      </c>
      <c r="D14" s="4014" t="s">
        <v>7265</v>
      </c>
      <c r="E14" s="4014" t="s">
        <v>7266</v>
      </c>
      <c r="F14" s="4014" t="s">
        <v>7267</v>
      </c>
      <c r="G14" s="4014" t="s">
        <v>7268</v>
      </c>
      <c r="H14" s="4014"/>
      <c r="I14" s="4014"/>
    </row>
    <row r="15" spans="1:10" ht="25.5" customHeight="1">
      <c r="A15" s="3985"/>
      <c r="B15" s="4014"/>
      <c r="C15" s="4014"/>
      <c r="D15" s="4014"/>
      <c r="E15" s="4014"/>
      <c r="F15" s="4014"/>
      <c r="G15" s="2532" t="s">
        <v>7297</v>
      </c>
      <c r="H15" s="2532" t="s">
        <v>7264</v>
      </c>
      <c r="I15" s="2532" t="s">
        <v>1256</v>
      </c>
    </row>
    <row r="16" spans="1:10" ht="25.5" customHeight="1">
      <c r="A16" s="3985"/>
      <c r="B16" s="2500" t="s">
        <v>7276</v>
      </c>
      <c r="C16" s="2539"/>
      <c r="D16" s="2539"/>
      <c r="E16" s="2539"/>
      <c r="F16" s="2539"/>
      <c r="G16" s="2475"/>
      <c r="H16" s="2539"/>
      <c r="I16" s="2539"/>
    </row>
    <row r="17" spans="1:10" ht="25.5" customHeight="1">
      <c r="A17" s="3985"/>
      <c r="B17" s="2500" t="s">
        <v>7278</v>
      </c>
      <c r="C17" s="2539"/>
      <c r="D17" s="2539"/>
      <c r="E17" s="2539"/>
      <c r="F17" s="2539"/>
      <c r="G17" s="2475"/>
      <c r="H17" s="2539"/>
      <c r="I17" s="2539"/>
      <c r="J17" s="2477"/>
    </row>
    <row r="18" spans="1:10" ht="25.5" customHeight="1">
      <c r="A18" s="3985"/>
      <c r="B18" s="2500" t="s">
        <v>7279</v>
      </c>
      <c r="C18" s="2539"/>
      <c r="D18" s="2539"/>
      <c r="E18" s="2539"/>
      <c r="F18" s="2539"/>
      <c r="G18" s="2475"/>
      <c r="H18" s="2539"/>
      <c r="I18" s="2539"/>
    </row>
    <row r="19" spans="1:10" ht="25.5" customHeight="1">
      <c r="A19" s="3985"/>
      <c r="B19" s="2475"/>
      <c r="C19" s="2539"/>
      <c r="D19" s="2539"/>
      <c r="E19" s="2539"/>
      <c r="F19" s="2539"/>
      <c r="G19" s="2475"/>
      <c r="H19" s="2539"/>
      <c r="I19" s="2539"/>
    </row>
    <row r="20" spans="1:10" ht="25.5" customHeight="1">
      <c r="A20" s="3985"/>
      <c r="B20" s="2475"/>
      <c r="C20" s="2539"/>
      <c r="D20" s="2539"/>
      <c r="E20" s="2539"/>
      <c r="F20" s="2539"/>
      <c r="G20" s="2475"/>
      <c r="H20" s="2539"/>
      <c r="I20" s="2539"/>
    </row>
    <row r="21" spans="1:10" ht="25.5" customHeight="1">
      <c r="A21" s="3985"/>
      <c r="B21" s="2522" t="s">
        <v>7280</v>
      </c>
      <c r="C21" s="2539"/>
      <c r="D21" s="2539"/>
      <c r="E21" s="2539"/>
      <c r="F21" s="2539"/>
      <c r="G21" s="2475"/>
      <c r="H21" s="2539"/>
      <c r="I21" s="2539"/>
    </row>
    <row r="22" spans="1:10" ht="25.5" customHeight="1">
      <c r="A22" s="3985"/>
      <c r="B22" s="2500" t="s">
        <v>7298</v>
      </c>
      <c r="C22" s="2539"/>
      <c r="D22" s="2539"/>
      <c r="E22" s="2539"/>
      <c r="F22" s="2539"/>
      <c r="G22" s="2500" t="s">
        <v>703</v>
      </c>
      <c r="H22" s="2539"/>
      <c r="I22" s="2539"/>
    </row>
    <row r="23" spans="1:10" ht="25.5" customHeight="1">
      <c r="A23" s="4015" t="s">
        <v>7299</v>
      </c>
      <c r="B23" s="4016"/>
      <c r="C23" s="4016"/>
      <c r="D23" s="4014" t="s">
        <v>7300</v>
      </c>
      <c r="E23" s="4014"/>
      <c r="F23" s="4017"/>
      <c r="G23" s="4014" t="s">
        <v>7301</v>
      </c>
      <c r="H23" s="4014"/>
      <c r="I23" s="4018"/>
    </row>
    <row r="24" spans="1:10" ht="25.5" customHeight="1">
      <c r="A24" s="4015"/>
      <c r="B24" s="4016"/>
      <c r="C24" s="4016"/>
      <c r="D24" s="4014"/>
      <c r="E24" s="4014"/>
      <c r="F24" s="4017"/>
      <c r="G24" s="4014"/>
      <c r="H24" s="4014"/>
      <c r="I24" s="4018"/>
    </row>
    <row r="25" spans="1:10" ht="25.5" customHeight="1">
      <c r="A25" s="2491" t="s">
        <v>7302</v>
      </c>
      <c r="B25" s="3953">
        <f>基本情况!B12</f>
        <v>0</v>
      </c>
      <c r="C25" s="3954"/>
      <c r="D25" s="3954"/>
      <c r="E25" s="3955"/>
      <c r="F25" s="2510" t="s">
        <v>7303</v>
      </c>
      <c r="G25" s="4013" t="str">
        <f>基本情况!B21</f>
        <v>2017年3月16日</v>
      </c>
      <c r="H25" s="3954"/>
      <c r="I25" s="3955"/>
    </row>
  </sheetData>
  <mergeCells count="34">
    <mergeCell ref="B25:E25"/>
    <mergeCell ref="G25:I25"/>
    <mergeCell ref="G14:I14"/>
    <mergeCell ref="A23:A24"/>
    <mergeCell ref="B23:C24"/>
    <mergeCell ref="D23:E24"/>
    <mergeCell ref="F23:F24"/>
    <mergeCell ref="G23:H24"/>
    <mergeCell ref="I23:I24"/>
    <mergeCell ref="A14:A22"/>
    <mergeCell ref="B14:B15"/>
    <mergeCell ref="C14:C15"/>
    <mergeCell ref="D14:D15"/>
    <mergeCell ref="E14:E15"/>
    <mergeCell ref="F14:F15"/>
    <mergeCell ref="I6:I7"/>
    <mergeCell ref="B7:C7"/>
    <mergeCell ref="B8:C8"/>
    <mergeCell ref="D8:E8"/>
    <mergeCell ref="G8:H8"/>
    <mergeCell ref="A9:A13"/>
    <mergeCell ref="B5:C5"/>
    <mergeCell ref="D5:E5"/>
    <mergeCell ref="G5:H5"/>
    <mergeCell ref="B6:C6"/>
    <mergeCell ref="D6:E7"/>
    <mergeCell ref="F6:F7"/>
    <mergeCell ref="G6:H7"/>
    <mergeCell ref="A1:I1"/>
    <mergeCell ref="A2:I2"/>
    <mergeCell ref="B3:E3"/>
    <mergeCell ref="F3:G4"/>
    <mergeCell ref="H3:I4"/>
    <mergeCell ref="B4:E4"/>
  </mergeCells>
  <phoneticPr fontId="51" type="noConversion"/>
  <dataValidations count="1">
    <dataValidation type="list" allowBlank="1" showInputMessage="1" showErrorMessage="1" sqref="B23:C24 IX23:IY24 ST23:SU24 ACP23:ACQ24 AML23:AMM24 AWH23:AWI24 BGD23:BGE24 BPZ23:BQA24 BZV23:BZW24 CJR23:CJS24 CTN23:CTO24 DDJ23:DDK24 DNF23:DNG24 DXB23:DXC24 EGX23:EGY24 EQT23:EQU24 FAP23:FAQ24 FKL23:FKM24 FUH23:FUI24 GED23:GEE24 GNZ23:GOA24 GXV23:GXW24 HHR23:HHS24 HRN23:HRO24 IBJ23:IBK24 ILF23:ILG24 IVB23:IVC24 JEX23:JEY24 JOT23:JOU24 JYP23:JYQ24 KIL23:KIM24 KSH23:KSI24 LCD23:LCE24 LLZ23:LMA24 LVV23:LVW24 MFR23:MFS24 MPN23:MPO24 MZJ23:MZK24 NJF23:NJG24 NTB23:NTC24 OCX23:OCY24 OMT23:OMU24 OWP23:OWQ24 PGL23:PGM24 PQH23:PQI24 QAD23:QAE24 QJZ23:QKA24 QTV23:QTW24 RDR23:RDS24 RNN23:RNO24 RXJ23:RXK24 SHF23:SHG24 SRB23:SRC24 TAX23:TAY24 TKT23:TKU24 TUP23:TUQ24 UEL23:UEM24 UOH23:UOI24 UYD23:UYE24 VHZ23:VIA24 VRV23:VRW24 WBR23:WBS24 WLN23:WLO24 WVJ23:WVK24 B65559:C65560 IX65559:IY65560 ST65559:SU65560 ACP65559:ACQ65560 AML65559:AMM65560 AWH65559:AWI65560 BGD65559:BGE65560 BPZ65559:BQA65560 BZV65559:BZW65560 CJR65559:CJS65560 CTN65559:CTO65560 DDJ65559:DDK65560 DNF65559:DNG65560 DXB65559:DXC65560 EGX65559:EGY65560 EQT65559:EQU65560 FAP65559:FAQ65560 FKL65559:FKM65560 FUH65559:FUI65560 GED65559:GEE65560 GNZ65559:GOA65560 GXV65559:GXW65560 HHR65559:HHS65560 HRN65559:HRO65560 IBJ65559:IBK65560 ILF65559:ILG65560 IVB65559:IVC65560 JEX65559:JEY65560 JOT65559:JOU65560 JYP65559:JYQ65560 KIL65559:KIM65560 KSH65559:KSI65560 LCD65559:LCE65560 LLZ65559:LMA65560 LVV65559:LVW65560 MFR65559:MFS65560 MPN65559:MPO65560 MZJ65559:MZK65560 NJF65559:NJG65560 NTB65559:NTC65560 OCX65559:OCY65560 OMT65559:OMU65560 OWP65559:OWQ65560 PGL65559:PGM65560 PQH65559:PQI65560 QAD65559:QAE65560 QJZ65559:QKA65560 QTV65559:QTW65560 RDR65559:RDS65560 RNN65559:RNO65560 RXJ65559:RXK65560 SHF65559:SHG65560 SRB65559:SRC65560 TAX65559:TAY65560 TKT65559:TKU65560 TUP65559:TUQ65560 UEL65559:UEM65560 UOH65559:UOI65560 UYD65559:UYE65560 VHZ65559:VIA65560 VRV65559:VRW65560 WBR65559:WBS65560 WLN65559:WLO65560 WVJ65559:WVK65560 B131095:C131096 IX131095:IY131096 ST131095:SU131096 ACP131095:ACQ131096 AML131095:AMM131096 AWH131095:AWI131096 BGD131095:BGE131096 BPZ131095:BQA131096 BZV131095:BZW131096 CJR131095:CJS131096 CTN131095:CTO131096 DDJ131095:DDK131096 DNF131095:DNG131096 DXB131095:DXC131096 EGX131095:EGY131096 EQT131095:EQU131096 FAP131095:FAQ131096 FKL131095:FKM131096 FUH131095:FUI131096 GED131095:GEE131096 GNZ131095:GOA131096 GXV131095:GXW131096 HHR131095:HHS131096 HRN131095:HRO131096 IBJ131095:IBK131096 ILF131095:ILG131096 IVB131095:IVC131096 JEX131095:JEY131096 JOT131095:JOU131096 JYP131095:JYQ131096 KIL131095:KIM131096 KSH131095:KSI131096 LCD131095:LCE131096 LLZ131095:LMA131096 LVV131095:LVW131096 MFR131095:MFS131096 MPN131095:MPO131096 MZJ131095:MZK131096 NJF131095:NJG131096 NTB131095:NTC131096 OCX131095:OCY131096 OMT131095:OMU131096 OWP131095:OWQ131096 PGL131095:PGM131096 PQH131095:PQI131096 QAD131095:QAE131096 QJZ131095:QKA131096 QTV131095:QTW131096 RDR131095:RDS131096 RNN131095:RNO131096 RXJ131095:RXK131096 SHF131095:SHG131096 SRB131095:SRC131096 TAX131095:TAY131096 TKT131095:TKU131096 TUP131095:TUQ131096 UEL131095:UEM131096 UOH131095:UOI131096 UYD131095:UYE131096 VHZ131095:VIA131096 VRV131095:VRW131096 WBR131095:WBS131096 WLN131095:WLO131096 WVJ131095:WVK131096 B196631:C196632 IX196631:IY196632 ST196631:SU196632 ACP196631:ACQ196632 AML196631:AMM196632 AWH196631:AWI196632 BGD196631:BGE196632 BPZ196631:BQA196632 BZV196631:BZW196632 CJR196631:CJS196632 CTN196631:CTO196632 DDJ196631:DDK196632 DNF196631:DNG196632 DXB196631:DXC196632 EGX196631:EGY196632 EQT196631:EQU196632 FAP196631:FAQ196632 FKL196631:FKM196632 FUH196631:FUI196632 GED196631:GEE196632 GNZ196631:GOA196632 GXV196631:GXW196632 HHR196631:HHS196632 HRN196631:HRO196632 IBJ196631:IBK196632 ILF196631:ILG196632 IVB196631:IVC196632 JEX196631:JEY196632 JOT196631:JOU196632 JYP196631:JYQ196632 KIL196631:KIM196632 KSH196631:KSI196632 LCD196631:LCE196632 LLZ196631:LMA196632 LVV196631:LVW196632 MFR196631:MFS196632 MPN196631:MPO196632 MZJ196631:MZK196632 NJF196631:NJG196632 NTB196631:NTC196632 OCX196631:OCY196632 OMT196631:OMU196632 OWP196631:OWQ196632 PGL196631:PGM196632 PQH196631:PQI196632 QAD196631:QAE196632 QJZ196631:QKA196632 QTV196631:QTW196632 RDR196631:RDS196632 RNN196631:RNO196632 RXJ196631:RXK196632 SHF196631:SHG196632 SRB196631:SRC196632 TAX196631:TAY196632 TKT196631:TKU196632 TUP196631:TUQ196632 UEL196631:UEM196632 UOH196631:UOI196632 UYD196631:UYE196632 VHZ196631:VIA196632 VRV196631:VRW196632 WBR196631:WBS196632 WLN196631:WLO196632 WVJ196631:WVK196632 B262167:C262168 IX262167:IY262168 ST262167:SU262168 ACP262167:ACQ262168 AML262167:AMM262168 AWH262167:AWI262168 BGD262167:BGE262168 BPZ262167:BQA262168 BZV262167:BZW262168 CJR262167:CJS262168 CTN262167:CTO262168 DDJ262167:DDK262168 DNF262167:DNG262168 DXB262167:DXC262168 EGX262167:EGY262168 EQT262167:EQU262168 FAP262167:FAQ262168 FKL262167:FKM262168 FUH262167:FUI262168 GED262167:GEE262168 GNZ262167:GOA262168 GXV262167:GXW262168 HHR262167:HHS262168 HRN262167:HRO262168 IBJ262167:IBK262168 ILF262167:ILG262168 IVB262167:IVC262168 JEX262167:JEY262168 JOT262167:JOU262168 JYP262167:JYQ262168 KIL262167:KIM262168 KSH262167:KSI262168 LCD262167:LCE262168 LLZ262167:LMA262168 LVV262167:LVW262168 MFR262167:MFS262168 MPN262167:MPO262168 MZJ262167:MZK262168 NJF262167:NJG262168 NTB262167:NTC262168 OCX262167:OCY262168 OMT262167:OMU262168 OWP262167:OWQ262168 PGL262167:PGM262168 PQH262167:PQI262168 QAD262167:QAE262168 QJZ262167:QKA262168 QTV262167:QTW262168 RDR262167:RDS262168 RNN262167:RNO262168 RXJ262167:RXK262168 SHF262167:SHG262168 SRB262167:SRC262168 TAX262167:TAY262168 TKT262167:TKU262168 TUP262167:TUQ262168 UEL262167:UEM262168 UOH262167:UOI262168 UYD262167:UYE262168 VHZ262167:VIA262168 VRV262167:VRW262168 WBR262167:WBS262168 WLN262167:WLO262168 WVJ262167:WVK262168 B327703:C327704 IX327703:IY327704 ST327703:SU327704 ACP327703:ACQ327704 AML327703:AMM327704 AWH327703:AWI327704 BGD327703:BGE327704 BPZ327703:BQA327704 BZV327703:BZW327704 CJR327703:CJS327704 CTN327703:CTO327704 DDJ327703:DDK327704 DNF327703:DNG327704 DXB327703:DXC327704 EGX327703:EGY327704 EQT327703:EQU327704 FAP327703:FAQ327704 FKL327703:FKM327704 FUH327703:FUI327704 GED327703:GEE327704 GNZ327703:GOA327704 GXV327703:GXW327704 HHR327703:HHS327704 HRN327703:HRO327704 IBJ327703:IBK327704 ILF327703:ILG327704 IVB327703:IVC327704 JEX327703:JEY327704 JOT327703:JOU327704 JYP327703:JYQ327704 KIL327703:KIM327704 KSH327703:KSI327704 LCD327703:LCE327704 LLZ327703:LMA327704 LVV327703:LVW327704 MFR327703:MFS327704 MPN327703:MPO327704 MZJ327703:MZK327704 NJF327703:NJG327704 NTB327703:NTC327704 OCX327703:OCY327704 OMT327703:OMU327704 OWP327703:OWQ327704 PGL327703:PGM327704 PQH327703:PQI327704 QAD327703:QAE327704 QJZ327703:QKA327704 QTV327703:QTW327704 RDR327703:RDS327704 RNN327703:RNO327704 RXJ327703:RXK327704 SHF327703:SHG327704 SRB327703:SRC327704 TAX327703:TAY327704 TKT327703:TKU327704 TUP327703:TUQ327704 UEL327703:UEM327704 UOH327703:UOI327704 UYD327703:UYE327704 VHZ327703:VIA327704 VRV327703:VRW327704 WBR327703:WBS327704 WLN327703:WLO327704 WVJ327703:WVK327704 B393239:C393240 IX393239:IY393240 ST393239:SU393240 ACP393239:ACQ393240 AML393239:AMM393240 AWH393239:AWI393240 BGD393239:BGE393240 BPZ393239:BQA393240 BZV393239:BZW393240 CJR393239:CJS393240 CTN393239:CTO393240 DDJ393239:DDK393240 DNF393239:DNG393240 DXB393239:DXC393240 EGX393239:EGY393240 EQT393239:EQU393240 FAP393239:FAQ393240 FKL393239:FKM393240 FUH393239:FUI393240 GED393239:GEE393240 GNZ393239:GOA393240 GXV393239:GXW393240 HHR393239:HHS393240 HRN393239:HRO393240 IBJ393239:IBK393240 ILF393239:ILG393240 IVB393239:IVC393240 JEX393239:JEY393240 JOT393239:JOU393240 JYP393239:JYQ393240 KIL393239:KIM393240 KSH393239:KSI393240 LCD393239:LCE393240 LLZ393239:LMA393240 LVV393239:LVW393240 MFR393239:MFS393240 MPN393239:MPO393240 MZJ393239:MZK393240 NJF393239:NJG393240 NTB393239:NTC393240 OCX393239:OCY393240 OMT393239:OMU393240 OWP393239:OWQ393240 PGL393239:PGM393240 PQH393239:PQI393240 QAD393239:QAE393240 QJZ393239:QKA393240 QTV393239:QTW393240 RDR393239:RDS393240 RNN393239:RNO393240 RXJ393239:RXK393240 SHF393239:SHG393240 SRB393239:SRC393240 TAX393239:TAY393240 TKT393239:TKU393240 TUP393239:TUQ393240 UEL393239:UEM393240 UOH393239:UOI393240 UYD393239:UYE393240 VHZ393239:VIA393240 VRV393239:VRW393240 WBR393239:WBS393240 WLN393239:WLO393240 WVJ393239:WVK393240 B458775:C458776 IX458775:IY458776 ST458775:SU458776 ACP458775:ACQ458776 AML458775:AMM458776 AWH458775:AWI458776 BGD458775:BGE458776 BPZ458775:BQA458776 BZV458775:BZW458776 CJR458775:CJS458776 CTN458775:CTO458776 DDJ458775:DDK458776 DNF458775:DNG458776 DXB458775:DXC458776 EGX458775:EGY458776 EQT458775:EQU458776 FAP458775:FAQ458776 FKL458775:FKM458776 FUH458775:FUI458776 GED458775:GEE458776 GNZ458775:GOA458776 GXV458775:GXW458776 HHR458775:HHS458776 HRN458775:HRO458776 IBJ458775:IBK458776 ILF458775:ILG458776 IVB458775:IVC458776 JEX458775:JEY458776 JOT458775:JOU458776 JYP458775:JYQ458776 KIL458775:KIM458776 KSH458775:KSI458776 LCD458775:LCE458776 LLZ458775:LMA458776 LVV458775:LVW458776 MFR458775:MFS458776 MPN458775:MPO458776 MZJ458775:MZK458776 NJF458775:NJG458776 NTB458775:NTC458776 OCX458775:OCY458776 OMT458775:OMU458776 OWP458775:OWQ458776 PGL458775:PGM458776 PQH458775:PQI458776 QAD458775:QAE458776 QJZ458775:QKA458776 QTV458775:QTW458776 RDR458775:RDS458776 RNN458775:RNO458776 RXJ458775:RXK458776 SHF458775:SHG458776 SRB458775:SRC458776 TAX458775:TAY458776 TKT458775:TKU458776 TUP458775:TUQ458776 UEL458775:UEM458776 UOH458775:UOI458776 UYD458775:UYE458776 VHZ458775:VIA458776 VRV458775:VRW458776 WBR458775:WBS458776 WLN458775:WLO458776 WVJ458775:WVK458776 B524311:C524312 IX524311:IY524312 ST524311:SU524312 ACP524311:ACQ524312 AML524311:AMM524312 AWH524311:AWI524312 BGD524311:BGE524312 BPZ524311:BQA524312 BZV524311:BZW524312 CJR524311:CJS524312 CTN524311:CTO524312 DDJ524311:DDK524312 DNF524311:DNG524312 DXB524311:DXC524312 EGX524311:EGY524312 EQT524311:EQU524312 FAP524311:FAQ524312 FKL524311:FKM524312 FUH524311:FUI524312 GED524311:GEE524312 GNZ524311:GOA524312 GXV524311:GXW524312 HHR524311:HHS524312 HRN524311:HRO524312 IBJ524311:IBK524312 ILF524311:ILG524312 IVB524311:IVC524312 JEX524311:JEY524312 JOT524311:JOU524312 JYP524311:JYQ524312 KIL524311:KIM524312 KSH524311:KSI524312 LCD524311:LCE524312 LLZ524311:LMA524312 LVV524311:LVW524312 MFR524311:MFS524312 MPN524311:MPO524312 MZJ524311:MZK524312 NJF524311:NJG524312 NTB524311:NTC524312 OCX524311:OCY524312 OMT524311:OMU524312 OWP524311:OWQ524312 PGL524311:PGM524312 PQH524311:PQI524312 QAD524311:QAE524312 QJZ524311:QKA524312 QTV524311:QTW524312 RDR524311:RDS524312 RNN524311:RNO524312 RXJ524311:RXK524312 SHF524311:SHG524312 SRB524311:SRC524312 TAX524311:TAY524312 TKT524311:TKU524312 TUP524311:TUQ524312 UEL524311:UEM524312 UOH524311:UOI524312 UYD524311:UYE524312 VHZ524311:VIA524312 VRV524311:VRW524312 WBR524311:WBS524312 WLN524311:WLO524312 WVJ524311:WVK524312 B589847:C589848 IX589847:IY589848 ST589847:SU589848 ACP589847:ACQ589848 AML589847:AMM589848 AWH589847:AWI589848 BGD589847:BGE589848 BPZ589847:BQA589848 BZV589847:BZW589848 CJR589847:CJS589848 CTN589847:CTO589848 DDJ589847:DDK589848 DNF589847:DNG589848 DXB589847:DXC589848 EGX589847:EGY589848 EQT589847:EQU589848 FAP589847:FAQ589848 FKL589847:FKM589848 FUH589847:FUI589848 GED589847:GEE589848 GNZ589847:GOA589848 GXV589847:GXW589848 HHR589847:HHS589848 HRN589847:HRO589848 IBJ589847:IBK589848 ILF589847:ILG589848 IVB589847:IVC589848 JEX589847:JEY589848 JOT589847:JOU589848 JYP589847:JYQ589848 KIL589847:KIM589848 KSH589847:KSI589848 LCD589847:LCE589848 LLZ589847:LMA589848 LVV589847:LVW589848 MFR589847:MFS589848 MPN589847:MPO589848 MZJ589847:MZK589848 NJF589847:NJG589848 NTB589847:NTC589848 OCX589847:OCY589848 OMT589847:OMU589848 OWP589847:OWQ589848 PGL589847:PGM589848 PQH589847:PQI589848 QAD589847:QAE589848 QJZ589847:QKA589848 QTV589847:QTW589848 RDR589847:RDS589848 RNN589847:RNO589848 RXJ589847:RXK589848 SHF589847:SHG589848 SRB589847:SRC589848 TAX589847:TAY589848 TKT589847:TKU589848 TUP589847:TUQ589848 UEL589847:UEM589848 UOH589847:UOI589848 UYD589847:UYE589848 VHZ589847:VIA589848 VRV589847:VRW589848 WBR589847:WBS589848 WLN589847:WLO589848 WVJ589847:WVK589848 B655383:C655384 IX655383:IY655384 ST655383:SU655384 ACP655383:ACQ655384 AML655383:AMM655384 AWH655383:AWI655384 BGD655383:BGE655384 BPZ655383:BQA655384 BZV655383:BZW655384 CJR655383:CJS655384 CTN655383:CTO655384 DDJ655383:DDK655384 DNF655383:DNG655384 DXB655383:DXC655384 EGX655383:EGY655384 EQT655383:EQU655384 FAP655383:FAQ655384 FKL655383:FKM655384 FUH655383:FUI655384 GED655383:GEE655384 GNZ655383:GOA655384 GXV655383:GXW655384 HHR655383:HHS655384 HRN655383:HRO655384 IBJ655383:IBK655384 ILF655383:ILG655384 IVB655383:IVC655384 JEX655383:JEY655384 JOT655383:JOU655384 JYP655383:JYQ655384 KIL655383:KIM655384 KSH655383:KSI655384 LCD655383:LCE655384 LLZ655383:LMA655384 LVV655383:LVW655384 MFR655383:MFS655384 MPN655383:MPO655384 MZJ655383:MZK655384 NJF655383:NJG655384 NTB655383:NTC655384 OCX655383:OCY655384 OMT655383:OMU655384 OWP655383:OWQ655384 PGL655383:PGM655384 PQH655383:PQI655384 QAD655383:QAE655384 QJZ655383:QKA655384 QTV655383:QTW655384 RDR655383:RDS655384 RNN655383:RNO655384 RXJ655383:RXK655384 SHF655383:SHG655384 SRB655383:SRC655384 TAX655383:TAY655384 TKT655383:TKU655384 TUP655383:TUQ655384 UEL655383:UEM655384 UOH655383:UOI655384 UYD655383:UYE655384 VHZ655383:VIA655384 VRV655383:VRW655384 WBR655383:WBS655384 WLN655383:WLO655384 WVJ655383:WVK655384 B720919:C720920 IX720919:IY720920 ST720919:SU720920 ACP720919:ACQ720920 AML720919:AMM720920 AWH720919:AWI720920 BGD720919:BGE720920 BPZ720919:BQA720920 BZV720919:BZW720920 CJR720919:CJS720920 CTN720919:CTO720920 DDJ720919:DDK720920 DNF720919:DNG720920 DXB720919:DXC720920 EGX720919:EGY720920 EQT720919:EQU720920 FAP720919:FAQ720920 FKL720919:FKM720920 FUH720919:FUI720920 GED720919:GEE720920 GNZ720919:GOA720920 GXV720919:GXW720920 HHR720919:HHS720920 HRN720919:HRO720920 IBJ720919:IBK720920 ILF720919:ILG720920 IVB720919:IVC720920 JEX720919:JEY720920 JOT720919:JOU720920 JYP720919:JYQ720920 KIL720919:KIM720920 KSH720919:KSI720920 LCD720919:LCE720920 LLZ720919:LMA720920 LVV720919:LVW720920 MFR720919:MFS720920 MPN720919:MPO720920 MZJ720919:MZK720920 NJF720919:NJG720920 NTB720919:NTC720920 OCX720919:OCY720920 OMT720919:OMU720920 OWP720919:OWQ720920 PGL720919:PGM720920 PQH720919:PQI720920 QAD720919:QAE720920 QJZ720919:QKA720920 QTV720919:QTW720920 RDR720919:RDS720920 RNN720919:RNO720920 RXJ720919:RXK720920 SHF720919:SHG720920 SRB720919:SRC720920 TAX720919:TAY720920 TKT720919:TKU720920 TUP720919:TUQ720920 UEL720919:UEM720920 UOH720919:UOI720920 UYD720919:UYE720920 VHZ720919:VIA720920 VRV720919:VRW720920 WBR720919:WBS720920 WLN720919:WLO720920 WVJ720919:WVK720920 B786455:C786456 IX786455:IY786456 ST786455:SU786456 ACP786455:ACQ786456 AML786455:AMM786456 AWH786455:AWI786456 BGD786455:BGE786456 BPZ786455:BQA786456 BZV786455:BZW786456 CJR786455:CJS786456 CTN786455:CTO786456 DDJ786455:DDK786456 DNF786455:DNG786456 DXB786455:DXC786456 EGX786455:EGY786456 EQT786455:EQU786456 FAP786455:FAQ786456 FKL786455:FKM786456 FUH786455:FUI786456 GED786455:GEE786456 GNZ786455:GOA786456 GXV786455:GXW786456 HHR786455:HHS786456 HRN786455:HRO786456 IBJ786455:IBK786456 ILF786455:ILG786456 IVB786455:IVC786456 JEX786455:JEY786456 JOT786455:JOU786456 JYP786455:JYQ786456 KIL786455:KIM786456 KSH786455:KSI786456 LCD786455:LCE786456 LLZ786455:LMA786456 LVV786455:LVW786456 MFR786455:MFS786456 MPN786455:MPO786456 MZJ786455:MZK786456 NJF786455:NJG786456 NTB786455:NTC786456 OCX786455:OCY786456 OMT786455:OMU786456 OWP786455:OWQ786456 PGL786455:PGM786456 PQH786455:PQI786456 QAD786455:QAE786456 QJZ786455:QKA786456 QTV786455:QTW786456 RDR786455:RDS786456 RNN786455:RNO786456 RXJ786455:RXK786456 SHF786455:SHG786456 SRB786455:SRC786456 TAX786455:TAY786456 TKT786455:TKU786456 TUP786455:TUQ786456 UEL786455:UEM786456 UOH786455:UOI786456 UYD786455:UYE786456 VHZ786455:VIA786456 VRV786455:VRW786456 WBR786455:WBS786456 WLN786455:WLO786456 WVJ786455:WVK786456 B851991:C851992 IX851991:IY851992 ST851991:SU851992 ACP851991:ACQ851992 AML851991:AMM851992 AWH851991:AWI851992 BGD851991:BGE851992 BPZ851991:BQA851992 BZV851991:BZW851992 CJR851991:CJS851992 CTN851991:CTO851992 DDJ851991:DDK851992 DNF851991:DNG851992 DXB851991:DXC851992 EGX851991:EGY851992 EQT851991:EQU851992 FAP851991:FAQ851992 FKL851991:FKM851992 FUH851991:FUI851992 GED851991:GEE851992 GNZ851991:GOA851992 GXV851991:GXW851992 HHR851991:HHS851992 HRN851991:HRO851992 IBJ851991:IBK851992 ILF851991:ILG851992 IVB851991:IVC851992 JEX851991:JEY851992 JOT851991:JOU851992 JYP851991:JYQ851992 KIL851991:KIM851992 KSH851991:KSI851992 LCD851991:LCE851992 LLZ851991:LMA851992 LVV851991:LVW851992 MFR851991:MFS851992 MPN851991:MPO851992 MZJ851991:MZK851992 NJF851991:NJG851992 NTB851991:NTC851992 OCX851991:OCY851992 OMT851991:OMU851992 OWP851991:OWQ851992 PGL851991:PGM851992 PQH851991:PQI851992 QAD851991:QAE851992 QJZ851991:QKA851992 QTV851991:QTW851992 RDR851991:RDS851992 RNN851991:RNO851992 RXJ851991:RXK851992 SHF851991:SHG851992 SRB851991:SRC851992 TAX851991:TAY851992 TKT851991:TKU851992 TUP851991:TUQ851992 UEL851991:UEM851992 UOH851991:UOI851992 UYD851991:UYE851992 VHZ851991:VIA851992 VRV851991:VRW851992 WBR851991:WBS851992 WLN851991:WLO851992 WVJ851991:WVK851992 B917527:C917528 IX917527:IY917528 ST917527:SU917528 ACP917527:ACQ917528 AML917527:AMM917528 AWH917527:AWI917528 BGD917527:BGE917528 BPZ917527:BQA917528 BZV917527:BZW917528 CJR917527:CJS917528 CTN917527:CTO917528 DDJ917527:DDK917528 DNF917527:DNG917528 DXB917527:DXC917528 EGX917527:EGY917528 EQT917527:EQU917528 FAP917527:FAQ917528 FKL917527:FKM917528 FUH917527:FUI917528 GED917527:GEE917528 GNZ917527:GOA917528 GXV917527:GXW917528 HHR917527:HHS917528 HRN917527:HRO917528 IBJ917527:IBK917528 ILF917527:ILG917528 IVB917527:IVC917528 JEX917527:JEY917528 JOT917527:JOU917528 JYP917527:JYQ917528 KIL917527:KIM917528 KSH917527:KSI917528 LCD917527:LCE917528 LLZ917527:LMA917528 LVV917527:LVW917528 MFR917527:MFS917528 MPN917527:MPO917528 MZJ917527:MZK917528 NJF917527:NJG917528 NTB917527:NTC917528 OCX917527:OCY917528 OMT917527:OMU917528 OWP917527:OWQ917528 PGL917527:PGM917528 PQH917527:PQI917528 QAD917527:QAE917528 QJZ917527:QKA917528 QTV917527:QTW917528 RDR917527:RDS917528 RNN917527:RNO917528 RXJ917527:RXK917528 SHF917527:SHG917528 SRB917527:SRC917528 TAX917527:TAY917528 TKT917527:TKU917528 TUP917527:TUQ917528 UEL917527:UEM917528 UOH917527:UOI917528 UYD917527:UYE917528 VHZ917527:VIA917528 VRV917527:VRW917528 WBR917527:WBS917528 WLN917527:WLO917528 WVJ917527:WVK917528 B983063:C983064 IX983063:IY983064 ST983063:SU983064 ACP983063:ACQ983064 AML983063:AMM983064 AWH983063:AWI983064 BGD983063:BGE983064 BPZ983063:BQA983064 BZV983063:BZW983064 CJR983063:CJS983064 CTN983063:CTO983064 DDJ983063:DDK983064 DNF983063:DNG983064 DXB983063:DXC983064 EGX983063:EGY983064 EQT983063:EQU983064 FAP983063:FAQ983064 FKL983063:FKM983064 FUH983063:FUI983064 GED983063:GEE983064 GNZ983063:GOA983064 GXV983063:GXW983064 HHR983063:HHS983064 HRN983063:HRO983064 IBJ983063:IBK983064 ILF983063:ILG983064 IVB983063:IVC983064 JEX983063:JEY983064 JOT983063:JOU983064 JYP983063:JYQ983064 KIL983063:KIM983064 KSH983063:KSI983064 LCD983063:LCE983064 LLZ983063:LMA983064 LVV983063:LVW983064 MFR983063:MFS983064 MPN983063:MPO983064 MZJ983063:MZK983064 NJF983063:NJG983064 NTB983063:NTC983064 OCX983063:OCY983064 OMT983063:OMU983064 OWP983063:OWQ983064 PGL983063:PGM983064 PQH983063:PQI983064 QAD983063:QAE983064 QJZ983063:QKA983064 QTV983063:QTW983064 RDR983063:RDS983064 RNN983063:RNO983064 RXJ983063:RXK983064 SHF983063:SHG983064 SRB983063:SRC983064 TAX983063:TAY983064 TKT983063:TKU983064 TUP983063:TUQ983064 UEL983063:UEM983064 UOH983063:UOI983064 UYD983063:UYE983064 VHZ983063:VIA983064 VRV983063:VRW983064 WBR983063:WBS983064 WLN983063:WLO983064 WVJ983063:WVK983064">
      <formula1>"是,否"</formula1>
    </dataValidation>
  </dataValidations>
  <pageMargins left="0.78740157480314998" right="0.35433070866141703" top="0.511811023622047" bottom="0.11811023622047198" header="0.511811023622047" footer="0.511811023622047"/>
  <pageSetup paperSize="9" scale="91" orientation="landscape" blackAndWhite="1" r:id="rId1"/>
</worksheet>
</file>

<file path=xl/worksheets/sheet16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73"/>
  <dimension ref="A1:E25"/>
  <sheetViews>
    <sheetView workbookViewId="0">
      <selection activeCell="J16" sqref="J16"/>
    </sheetView>
  </sheetViews>
  <sheetFormatPr defaultColWidth="21.59765625" defaultRowHeight="20.100000000000001" customHeight="1"/>
  <cols>
    <col min="1" max="1" width="29.19921875" style="2478" customWidth="1"/>
    <col min="2" max="2" width="17.09765625" style="2478" customWidth="1"/>
    <col min="3" max="3" width="25.3984375" style="2478" customWidth="1"/>
    <col min="4" max="4" width="17.09765625" style="2478" customWidth="1"/>
    <col min="5" max="256" width="21.59765625" style="2478"/>
    <col min="257" max="257" width="29.19921875" style="2478" customWidth="1"/>
    <col min="258" max="258" width="15.8984375" style="2478" customWidth="1"/>
    <col min="259" max="259" width="29" style="2478" customWidth="1"/>
    <col min="260" max="260" width="15.8984375" style="2478" customWidth="1"/>
    <col min="261" max="512" width="21.59765625" style="2478"/>
    <col min="513" max="513" width="29.19921875" style="2478" customWidth="1"/>
    <col min="514" max="514" width="15.8984375" style="2478" customWidth="1"/>
    <col min="515" max="515" width="29" style="2478" customWidth="1"/>
    <col min="516" max="516" width="15.8984375" style="2478" customWidth="1"/>
    <col min="517" max="768" width="21.59765625" style="2478"/>
    <col min="769" max="769" width="29.19921875" style="2478" customWidth="1"/>
    <col min="770" max="770" width="15.8984375" style="2478" customWidth="1"/>
    <col min="771" max="771" width="29" style="2478" customWidth="1"/>
    <col min="772" max="772" width="15.8984375" style="2478" customWidth="1"/>
    <col min="773" max="1024" width="21.59765625" style="2478"/>
    <col min="1025" max="1025" width="29.19921875" style="2478" customWidth="1"/>
    <col min="1026" max="1026" width="15.8984375" style="2478" customWidth="1"/>
    <col min="1027" max="1027" width="29" style="2478" customWidth="1"/>
    <col min="1028" max="1028" width="15.8984375" style="2478" customWidth="1"/>
    <col min="1029" max="1280" width="21.59765625" style="2478"/>
    <col min="1281" max="1281" width="29.19921875" style="2478" customWidth="1"/>
    <col min="1282" max="1282" width="15.8984375" style="2478" customWidth="1"/>
    <col min="1283" max="1283" width="29" style="2478" customWidth="1"/>
    <col min="1284" max="1284" width="15.8984375" style="2478" customWidth="1"/>
    <col min="1285" max="1536" width="21.59765625" style="2478"/>
    <col min="1537" max="1537" width="29.19921875" style="2478" customWidth="1"/>
    <col min="1538" max="1538" width="15.8984375" style="2478" customWidth="1"/>
    <col min="1539" max="1539" width="29" style="2478" customWidth="1"/>
    <col min="1540" max="1540" width="15.8984375" style="2478" customWidth="1"/>
    <col min="1541" max="1792" width="21.59765625" style="2478"/>
    <col min="1793" max="1793" width="29.19921875" style="2478" customWidth="1"/>
    <col min="1794" max="1794" width="15.8984375" style="2478" customWidth="1"/>
    <col min="1795" max="1795" width="29" style="2478" customWidth="1"/>
    <col min="1796" max="1796" width="15.8984375" style="2478" customWidth="1"/>
    <col min="1797" max="2048" width="21.59765625" style="2478"/>
    <col min="2049" max="2049" width="29.19921875" style="2478" customWidth="1"/>
    <col min="2050" max="2050" width="15.8984375" style="2478" customWidth="1"/>
    <col min="2051" max="2051" width="29" style="2478" customWidth="1"/>
    <col min="2052" max="2052" width="15.8984375" style="2478" customWidth="1"/>
    <col min="2053" max="2304" width="21.59765625" style="2478"/>
    <col min="2305" max="2305" width="29.19921875" style="2478" customWidth="1"/>
    <col min="2306" max="2306" width="15.8984375" style="2478" customWidth="1"/>
    <col min="2307" max="2307" width="29" style="2478" customWidth="1"/>
    <col min="2308" max="2308" width="15.8984375" style="2478" customWidth="1"/>
    <col min="2309" max="2560" width="21.59765625" style="2478"/>
    <col min="2561" max="2561" width="29.19921875" style="2478" customWidth="1"/>
    <col min="2562" max="2562" width="15.8984375" style="2478" customWidth="1"/>
    <col min="2563" max="2563" width="29" style="2478" customWidth="1"/>
    <col min="2564" max="2564" width="15.8984375" style="2478" customWidth="1"/>
    <col min="2565" max="2816" width="21.59765625" style="2478"/>
    <col min="2817" max="2817" width="29.19921875" style="2478" customWidth="1"/>
    <col min="2818" max="2818" width="15.8984375" style="2478" customWidth="1"/>
    <col min="2819" max="2819" width="29" style="2478" customWidth="1"/>
    <col min="2820" max="2820" width="15.8984375" style="2478" customWidth="1"/>
    <col min="2821" max="3072" width="21.59765625" style="2478"/>
    <col min="3073" max="3073" width="29.19921875" style="2478" customWidth="1"/>
    <col min="3074" max="3074" width="15.8984375" style="2478" customWidth="1"/>
    <col min="3075" max="3075" width="29" style="2478" customWidth="1"/>
    <col min="3076" max="3076" width="15.8984375" style="2478" customWidth="1"/>
    <col min="3077" max="3328" width="21.59765625" style="2478"/>
    <col min="3329" max="3329" width="29.19921875" style="2478" customWidth="1"/>
    <col min="3330" max="3330" width="15.8984375" style="2478" customWidth="1"/>
    <col min="3331" max="3331" width="29" style="2478" customWidth="1"/>
    <col min="3332" max="3332" width="15.8984375" style="2478" customWidth="1"/>
    <col min="3333" max="3584" width="21.59765625" style="2478"/>
    <col min="3585" max="3585" width="29.19921875" style="2478" customWidth="1"/>
    <col min="3586" max="3586" width="15.8984375" style="2478" customWidth="1"/>
    <col min="3587" max="3587" width="29" style="2478" customWidth="1"/>
    <col min="3588" max="3588" width="15.8984375" style="2478" customWidth="1"/>
    <col min="3589" max="3840" width="21.59765625" style="2478"/>
    <col min="3841" max="3841" width="29.19921875" style="2478" customWidth="1"/>
    <col min="3842" max="3842" width="15.8984375" style="2478" customWidth="1"/>
    <col min="3843" max="3843" width="29" style="2478" customWidth="1"/>
    <col min="3844" max="3844" width="15.8984375" style="2478" customWidth="1"/>
    <col min="3845" max="4096" width="21.59765625" style="2478"/>
    <col min="4097" max="4097" width="29.19921875" style="2478" customWidth="1"/>
    <col min="4098" max="4098" width="15.8984375" style="2478" customWidth="1"/>
    <col min="4099" max="4099" width="29" style="2478" customWidth="1"/>
    <col min="4100" max="4100" width="15.8984375" style="2478" customWidth="1"/>
    <col min="4101" max="4352" width="21.59765625" style="2478"/>
    <col min="4353" max="4353" width="29.19921875" style="2478" customWidth="1"/>
    <col min="4354" max="4354" width="15.8984375" style="2478" customWidth="1"/>
    <col min="4355" max="4355" width="29" style="2478" customWidth="1"/>
    <col min="4356" max="4356" width="15.8984375" style="2478" customWidth="1"/>
    <col min="4357" max="4608" width="21.59765625" style="2478"/>
    <col min="4609" max="4609" width="29.19921875" style="2478" customWidth="1"/>
    <col min="4610" max="4610" width="15.8984375" style="2478" customWidth="1"/>
    <col min="4611" max="4611" width="29" style="2478" customWidth="1"/>
    <col min="4612" max="4612" width="15.8984375" style="2478" customWidth="1"/>
    <col min="4613" max="4864" width="21.59765625" style="2478"/>
    <col min="4865" max="4865" width="29.19921875" style="2478" customWidth="1"/>
    <col min="4866" max="4866" width="15.8984375" style="2478" customWidth="1"/>
    <col min="4867" max="4867" width="29" style="2478" customWidth="1"/>
    <col min="4868" max="4868" width="15.8984375" style="2478" customWidth="1"/>
    <col min="4869" max="5120" width="21.59765625" style="2478"/>
    <col min="5121" max="5121" width="29.19921875" style="2478" customWidth="1"/>
    <col min="5122" max="5122" width="15.8984375" style="2478" customWidth="1"/>
    <col min="5123" max="5123" width="29" style="2478" customWidth="1"/>
    <col min="5124" max="5124" width="15.8984375" style="2478" customWidth="1"/>
    <col min="5125" max="5376" width="21.59765625" style="2478"/>
    <col min="5377" max="5377" width="29.19921875" style="2478" customWidth="1"/>
    <col min="5378" max="5378" width="15.8984375" style="2478" customWidth="1"/>
    <col min="5379" max="5379" width="29" style="2478" customWidth="1"/>
    <col min="5380" max="5380" width="15.8984375" style="2478" customWidth="1"/>
    <col min="5381" max="5632" width="21.59765625" style="2478"/>
    <col min="5633" max="5633" width="29.19921875" style="2478" customWidth="1"/>
    <col min="5634" max="5634" width="15.8984375" style="2478" customWidth="1"/>
    <col min="5635" max="5635" width="29" style="2478" customWidth="1"/>
    <col min="5636" max="5636" width="15.8984375" style="2478" customWidth="1"/>
    <col min="5637" max="5888" width="21.59765625" style="2478"/>
    <col min="5889" max="5889" width="29.19921875" style="2478" customWidth="1"/>
    <col min="5890" max="5890" width="15.8984375" style="2478" customWidth="1"/>
    <col min="5891" max="5891" width="29" style="2478" customWidth="1"/>
    <col min="5892" max="5892" width="15.8984375" style="2478" customWidth="1"/>
    <col min="5893" max="6144" width="21.59765625" style="2478"/>
    <col min="6145" max="6145" width="29.19921875" style="2478" customWidth="1"/>
    <col min="6146" max="6146" width="15.8984375" style="2478" customWidth="1"/>
    <col min="6147" max="6147" width="29" style="2478" customWidth="1"/>
    <col min="6148" max="6148" width="15.8984375" style="2478" customWidth="1"/>
    <col min="6149" max="6400" width="21.59765625" style="2478"/>
    <col min="6401" max="6401" width="29.19921875" style="2478" customWidth="1"/>
    <col min="6402" max="6402" width="15.8984375" style="2478" customWidth="1"/>
    <col min="6403" max="6403" width="29" style="2478" customWidth="1"/>
    <col min="6404" max="6404" width="15.8984375" style="2478" customWidth="1"/>
    <col min="6405" max="6656" width="21.59765625" style="2478"/>
    <col min="6657" max="6657" width="29.19921875" style="2478" customWidth="1"/>
    <col min="6658" max="6658" width="15.8984375" style="2478" customWidth="1"/>
    <col min="6659" max="6659" width="29" style="2478" customWidth="1"/>
    <col min="6660" max="6660" width="15.8984375" style="2478" customWidth="1"/>
    <col min="6661" max="6912" width="21.59765625" style="2478"/>
    <col min="6913" max="6913" width="29.19921875" style="2478" customWidth="1"/>
    <col min="6914" max="6914" width="15.8984375" style="2478" customWidth="1"/>
    <col min="6915" max="6915" width="29" style="2478" customWidth="1"/>
    <col min="6916" max="6916" width="15.8984375" style="2478" customWidth="1"/>
    <col min="6917" max="7168" width="21.59765625" style="2478"/>
    <col min="7169" max="7169" width="29.19921875" style="2478" customWidth="1"/>
    <col min="7170" max="7170" width="15.8984375" style="2478" customWidth="1"/>
    <col min="7171" max="7171" width="29" style="2478" customWidth="1"/>
    <col min="7172" max="7172" width="15.8984375" style="2478" customWidth="1"/>
    <col min="7173" max="7424" width="21.59765625" style="2478"/>
    <col min="7425" max="7425" width="29.19921875" style="2478" customWidth="1"/>
    <col min="7426" max="7426" width="15.8984375" style="2478" customWidth="1"/>
    <col min="7427" max="7427" width="29" style="2478" customWidth="1"/>
    <col min="7428" max="7428" width="15.8984375" style="2478" customWidth="1"/>
    <col min="7429" max="7680" width="21.59765625" style="2478"/>
    <col min="7681" max="7681" width="29.19921875" style="2478" customWidth="1"/>
    <col min="7682" max="7682" width="15.8984375" style="2478" customWidth="1"/>
    <col min="7683" max="7683" width="29" style="2478" customWidth="1"/>
    <col min="7684" max="7684" width="15.8984375" style="2478" customWidth="1"/>
    <col min="7685" max="7936" width="21.59765625" style="2478"/>
    <col min="7937" max="7937" width="29.19921875" style="2478" customWidth="1"/>
    <col min="7938" max="7938" width="15.8984375" style="2478" customWidth="1"/>
    <col min="7939" max="7939" width="29" style="2478" customWidth="1"/>
    <col min="7940" max="7940" width="15.8984375" style="2478" customWidth="1"/>
    <col min="7941" max="8192" width="21.59765625" style="2478"/>
    <col min="8193" max="8193" width="29.19921875" style="2478" customWidth="1"/>
    <col min="8194" max="8194" width="15.8984375" style="2478" customWidth="1"/>
    <col min="8195" max="8195" width="29" style="2478" customWidth="1"/>
    <col min="8196" max="8196" width="15.8984375" style="2478" customWidth="1"/>
    <col min="8197" max="8448" width="21.59765625" style="2478"/>
    <col min="8449" max="8449" width="29.19921875" style="2478" customWidth="1"/>
    <col min="8450" max="8450" width="15.8984375" style="2478" customWidth="1"/>
    <col min="8451" max="8451" width="29" style="2478" customWidth="1"/>
    <col min="8452" max="8452" width="15.8984375" style="2478" customWidth="1"/>
    <col min="8453" max="8704" width="21.59765625" style="2478"/>
    <col min="8705" max="8705" width="29.19921875" style="2478" customWidth="1"/>
    <col min="8706" max="8706" width="15.8984375" style="2478" customWidth="1"/>
    <col min="8707" max="8707" width="29" style="2478" customWidth="1"/>
    <col min="8708" max="8708" width="15.8984375" style="2478" customWidth="1"/>
    <col min="8709" max="8960" width="21.59765625" style="2478"/>
    <col min="8961" max="8961" width="29.19921875" style="2478" customWidth="1"/>
    <col min="8962" max="8962" width="15.8984375" style="2478" customWidth="1"/>
    <col min="8963" max="8963" width="29" style="2478" customWidth="1"/>
    <col min="8964" max="8964" width="15.8984375" style="2478" customWidth="1"/>
    <col min="8965" max="9216" width="21.59765625" style="2478"/>
    <col min="9217" max="9217" width="29.19921875" style="2478" customWidth="1"/>
    <col min="9218" max="9218" width="15.8984375" style="2478" customWidth="1"/>
    <col min="9219" max="9219" width="29" style="2478" customWidth="1"/>
    <col min="9220" max="9220" width="15.8984375" style="2478" customWidth="1"/>
    <col min="9221" max="9472" width="21.59765625" style="2478"/>
    <col min="9473" max="9473" width="29.19921875" style="2478" customWidth="1"/>
    <col min="9474" max="9474" width="15.8984375" style="2478" customWidth="1"/>
    <col min="9475" max="9475" width="29" style="2478" customWidth="1"/>
    <col min="9476" max="9476" width="15.8984375" style="2478" customWidth="1"/>
    <col min="9477" max="9728" width="21.59765625" style="2478"/>
    <col min="9729" max="9729" width="29.19921875" style="2478" customWidth="1"/>
    <col min="9730" max="9730" width="15.8984375" style="2478" customWidth="1"/>
    <col min="9731" max="9731" width="29" style="2478" customWidth="1"/>
    <col min="9732" max="9732" width="15.8984375" style="2478" customWidth="1"/>
    <col min="9733" max="9984" width="21.59765625" style="2478"/>
    <col min="9985" max="9985" width="29.19921875" style="2478" customWidth="1"/>
    <col min="9986" max="9986" width="15.8984375" style="2478" customWidth="1"/>
    <col min="9987" max="9987" width="29" style="2478" customWidth="1"/>
    <col min="9988" max="9988" width="15.8984375" style="2478" customWidth="1"/>
    <col min="9989" max="10240" width="21.59765625" style="2478"/>
    <col min="10241" max="10241" width="29.19921875" style="2478" customWidth="1"/>
    <col min="10242" max="10242" width="15.8984375" style="2478" customWidth="1"/>
    <col min="10243" max="10243" width="29" style="2478" customWidth="1"/>
    <col min="10244" max="10244" width="15.8984375" style="2478" customWidth="1"/>
    <col min="10245" max="10496" width="21.59765625" style="2478"/>
    <col min="10497" max="10497" width="29.19921875" style="2478" customWidth="1"/>
    <col min="10498" max="10498" width="15.8984375" style="2478" customWidth="1"/>
    <col min="10499" max="10499" width="29" style="2478" customWidth="1"/>
    <col min="10500" max="10500" width="15.8984375" style="2478" customWidth="1"/>
    <col min="10501" max="10752" width="21.59765625" style="2478"/>
    <col min="10753" max="10753" width="29.19921875" style="2478" customWidth="1"/>
    <col min="10754" max="10754" width="15.8984375" style="2478" customWidth="1"/>
    <col min="10755" max="10755" width="29" style="2478" customWidth="1"/>
    <col min="10756" max="10756" width="15.8984375" style="2478" customWidth="1"/>
    <col min="10757" max="11008" width="21.59765625" style="2478"/>
    <col min="11009" max="11009" width="29.19921875" style="2478" customWidth="1"/>
    <col min="11010" max="11010" width="15.8984375" style="2478" customWidth="1"/>
    <col min="11011" max="11011" width="29" style="2478" customWidth="1"/>
    <col min="11012" max="11012" width="15.8984375" style="2478" customWidth="1"/>
    <col min="11013" max="11264" width="21.59765625" style="2478"/>
    <col min="11265" max="11265" width="29.19921875" style="2478" customWidth="1"/>
    <col min="11266" max="11266" width="15.8984375" style="2478" customWidth="1"/>
    <col min="11267" max="11267" width="29" style="2478" customWidth="1"/>
    <col min="11268" max="11268" width="15.8984375" style="2478" customWidth="1"/>
    <col min="11269" max="11520" width="21.59765625" style="2478"/>
    <col min="11521" max="11521" width="29.19921875" style="2478" customWidth="1"/>
    <col min="11522" max="11522" width="15.8984375" style="2478" customWidth="1"/>
    <col min="11523" max="11523" width="29" style="2478" customWidth="1"/>
    <col min="11524" max="11524" width="15.8984375" style="2478" customWidth="1"/>
    <col min="11525" max="11776" width="21.59765625" style="2478"/>
    <col min="11777" max="11777" width="29.19921875" style="2478" customWidth="1"/>
    <col min="11778" max="11778" width="15.8984375" style="2478" customWidth="1"/>
    <col min="11779" max="11779" width="29" style="2478" customWidth="1"/>
    <col min="11780" max="11780" width="15.8984375" style="2478" customWidth="1"/>
    <col min="11781" max="12032" width="21.59765625" style="2478"/>
    <col min="12033" max="12033" width="29.19921875" style="2478" customWidth="1"/>
    <col min="12034" max="12034" width="15.8984375" style="2478" customWidth="1"/>
    <col min="12035" max="12035" width="29" style="2478" customWidth="1"/>
    <col min="12036" max="12036" width="15.8984375" style="2478" customWidth="1"/>
    <col min="12037" max="12288" width="21.59765625" style="2478"/>
    <col min="12289" max="12289" width="29.19921875" style="2478" customWidth="1"/>
    <col min="12290" max="12290" width="15.8984375" style="2478" customWidth="1"/>
    <col min="12291" max="12291" width="29" style="2478" customWidth="1"/>
    <col min="12292" max="12292" width="15.8984375" style="2478" customWidth="1"/>
    <col min="12293" max="12544" width="21.59765625" style="2478"/>
    <col min="12545" max="12545" width="29.19921875" style="2478" customWidth="1"/>
    <col min="12546" max="12546" width="15.8984375" style="2478" customWidth="1"/>
    <col min="12547" max="12547" width="29" style="2478" customWidth="1"/>
    <col min="12548" max="12548" width="15.8984375" style="2478" customWidth="1"/>
    <col min="12549" max="12800" width="21.59765625" style="2478"/>
    <col min="12801" max="12801" width="29.19921875" style="2478" customWidth="1"/>
    <col min="12802" max="12802" width="15.8984375" style="2478" customWidth="1"/>
    <col min="12803" max="12803" width="29" style="2478" customWidth="1"/>
    <col min="12804" max="12804" width="15.8984375" style="2478" customWidth="1"/>
    <col min="12805" max="13056" width="21.59765625" style="2478"/>
    <col min="13057" max="13057" width="29.19921875" style="2478" customWidth="1"/>
    <col min="13058" max="13058" width="15.8984375" style="2478" customWidth="1"/>
    <col min="13059" max="13059" width="29" style="2478" customWidth="1"/>
    <col min="13060" max="13060" width="15.8984375" style="2478" customWidth="1"/>
    <col min="13061" max="13312" width="21.59765625" style="2478"/>
    <col min="13313" max="13313" width="29.19921875" style="2478" customWidth="1"/>
    <col min="13314" max="13314" width="15.8984375" style="2478" customWidth="1"/>
    <col min="13315" max="13315" width="29" style="2478" customWidth="1"/>
    <col min="13316" max="13316" width="15.8984375" style="2478" customWidth="1"/>
    <col min="13317" max="13568" width="21.59765625" style="2478"/>
    <col min="13569" max="13569" width="29.19921875" style="2478" customWidth="1"/>
    <col min="13570" max="13570" width="15.8984375" style="2478" customWidth="1"/>
    <col min="13571" max="13571" width="29" style="2478" customWidth="1"/>
    <col min="13572" max="13572" width="15.8984375" style="2478" customWidth="1"/>
    <col min="13573" max="13824" width="21.59765625" style="2478"/>
    <col min="13825" max="13825" width="29.19921875" style="2478" customWidth="1"/>
    <col min="13826" max="13826" width="15.8984375" style="2478" customWidth="1"/>
    <col min="13827" max="13827" width="29" style="2478" customWidth="1"/>
    <col min="13828" max="13828" width="15.8984375" style="2478" customWidth="1"/>
    <col min="13829" max="14080" width="21.59765625" style="2478"/>
    <col min="14081" max="14081" width="29.19921875" style="2478" customWidth="1"/>
    <col min="14082" max="14082" width="15.8984375" style="2478" customWidth="1"/>
    <col min="14083" max="14083" width="29" style="2478" customWidth="1"/>
    <col min="14084" max="14084" width="15.8984375" style="2478" customWidth="1"/>
    <col min="14085" max="14336" width="21.59765625" style="2478"/>
    <col min="14337" max="14337" width="29.19921875" style="2478" customWidth="1"/>
    <col min="14338" max="14338" width="15.8984375" style="2478" customWidth="1"/>
    <col min="14339" max="14339" width="29" style="2478" customWidth="1"/>
    <col min="14340" max="14340" width="15.8984375" style="2478" customWidth="1"/>
    <col min="14341" max="14592" width="21.59765625" style="2478"/>
    <col min="14593" max="14593" width="29.19921875" style="2478" customWidth="1"/>
    <col min="14594" max="14594" width="15.8984375" style="2478" customWidth="1"/>
    <col min="14595" max="14595" width="29" style="2478" customWidth="1"/>
    <col min="14596" max="14596" width="15.8984375" style="2478" customWidth="1"/>
    <col min="14597" max="14848" width="21.59765625" style="2478"/>
    <col min="14849" max="14849" width="29.19921875" style="2478" customWidth="1"/>
    <col min="14850" max="14850" width="15.8984375" style="2478" customWidth="1"/>
    <col min="14851" max="14851" width="29" style="2478" customWidth="1"/>
    <col min="14852" max="14852" width="15.8984375" style="2478" customWidth="1"/>
    <col min="14853" max="15104" width="21.59765625" style="2478"/>
    <col min="15105" max="15105" width="29.19921875" style="2478" customWidth="1"/>
    <col min="15106" max="15106" width="15.8984375" style="2478" customWidth="1"/>
    <col min="15107" max="15107" width="29" style="2478" customWidth="1"/>
    <col min="15108" max="15108" width="15.8984375" style="2478" customWidth="1"/>
    <col min="15109" max="15360" width="21.59765625" style="2478"/>
    <col min="15361" max="15361" width="29.19921875" style="2478" customWidth="1"/>
    <col min="15362" max="15362" width="15.8984375" style="2478" customWidth="1"/>
    <col min="15363" max="15363" width="29" style="2478" customWidth="1"/>
    <col min="15364" max="15364" width="15.8984375" style="2478" customWidth="1"/>
    <col min="15365" max="15616" width="21.59765625" style="2478"/>
    <col min="15617" max="15617" width="29.19921875" style="2478" customWidth="1"/>
    <col min="15618" max="15618" width="15.8984375" style="2478" customWidth="1"/>
    <col min="15619" max="15619" width="29" style="2478" customWidth="1"/>
    <col min="15620" max="15620" width="15.8984375" style="2478" customWidth="1"/>
    <col min="15621" max="15872" width="21.59765625" style="2478"/>
    <col min="15873" max="15873" width="29.19921875" style="2478" customWidth="1"/>
    <col min="15874" max="15874" width="15.8984375" style="2478" customWidth="1"/>
    <col min="15875" max="15875" width="29" style="2478" customWidth="1"/>
    <col min="15876" max="15876" width="15.8984375" style="2478" customWidth="1"/>
    <col min="15877" max="16128" width="21.59765625" style="2478"/>
    <col min="16129" max="16129" width="29.19921875" style="2478" customWidth="1"/>
    <col min="16130" max="16130" width="15.8984375" style="2478" customWidth="1"/>
    <col min="16131" max="16131" width="29" style="2478" customWidth="1"/>
    <col min="16132" max="16132" width="15.8984375" style="2478" customWidth="1"/>
    <col min="16133" max="16384" width="21.59765625" style="2478"/>
  </cols>
  <sheetData>
    <row r="1" spans="1:5" ht="20.100000000000001" customHeight="1">
      <c r="A1" s="4020" t="s">
        <v>7410</v>
      </c>
      <c r="B1" s="4021"/>
      <c r="C1" s="4021"/>
      <c r="D1" s="4022"/>
      <c r="E1" s="2545"/>
    </row>
    <row r="2" spans="1:5" ht="24" customHeight="1">
      <c r="A2" s="3984" t="s">
        <v>7419</v>
      </c>
      <c r="B2" s="3984"/>
      <c r="C2" s="3984"/>
      <c r="D2" s="3984"/>
    </row>
    <row r="3" spans="1:5" ht="25.5" customHeight="1">
      <c r="A3" s="2515" t="s">
        <v>7304</v>
      </c>
      <c r="B3" s="2515" t="s">
        <v>7305</v>
      </c>
      <c r="C3" s="4000" t="s">
        <v>7306</v>
      </c>
      <c r="D3" s="4000"/>
    </row>
    <row r="4" spans="1:5" ht="25.5" customHeight="1">
      <c r="A4" s="2479"/>
      <c r="B4" s="2479"/>
      <c r="C4" s="4023"/>
      <c r="D4" s="4023"/>
    </row>
    <row r="5" spans="1:5" ht="25.5" customHeight="1">
      <c r="A5" s="2542" t="s">
        <v>7307</v>
      </c>
      <c r="B5" s="2542" t="s">
        <v>7308</v>
      </c>
      <c r="C5" s="4024" t="s">
        <v>7309</v>
      </c>
      <c r="D5" s="4024"/>
    </row>
    <row r="6" spans="1:5" ht="25.5" customHeight="1">
      <c r="A6" s="2543"/>
      <c r="B6" s="2543"/>
      <c r="C6" s="2543"/>
      <c r="D6" s="2543"/>
    </row>
    <row r="7" spans="1:5" ht="25.5" customHeight="1">
      <c r="A7" s="2543"/>
      <c r="B7" s="2543"/>
      <c r="C7" s="2543"/>
      <c r="D7" s="2543"/>
    </row>
    <row r="8" spans="1:5" ht="40.5" customHeight="1">
      <c r="A8" s="2542" t="s">
        <v>7310</v>
      </c>
      <c r="B8" s="2542" t="s">
        <v>7311</v>
      </c>
      <c r="C8" s="2542" t="s">
        <v>7312</v>
      </c>
      <c r="D8" s="2542" t="s">
        <v>7313</v>
      </c>
    </row>
    <row r="9" spans="1:5" ht="25.5" customHeight="1">
      <c r="A9" s="2543"/>
      <c r="B9" s="2543"/>
      <c r="C9" s="2546"/>
      <c r="D9" s="2543"/>
    </row>
    <row r="10" spans="1:5" ht="25.5" customHeight="1">
      <c r="A10" s="2543"/>
      <c r="B10" s="2543"/>
      <c r="C10" s="2546"/>
      <c r="D10" s="2543"/>
    </row>
    <row r="11" spans="1:5" ht="25.5" customHeight="1">
      <c r="A11" s="2544" t="s">
        <v>7314</v>
      </c>
      <c r="B11" s="2546"/>
      <c r="C11" s="2544" t="s">
        <v>7315</v>
      </c>
      <c r="D11" s="2547" t="s">
        <v>7316</v>
      </c>
    </row>
    <row r="12" spans="1:5" ht="25.5" customHeight="1">
      <c r="A12" s="2544" t="s">
        <v>7317</v>
      </c>
      <c r="B12" s="2546"/>
      <c r="C12" s="2544" t="s">
        <v>7318</v>
      </c>
      <c r="D12" s="2546"/>
    </row>
    <row r="13" spans="1:5" ht="25.5" customHeight="1">
      <c r="A13" s="2544" t="s">
        <v>7319</v>
      </c>
      <c r="B13" s="2546"/>
      <c r="C13" s="2544" t="s">
        <v>7320</v>
      </c>
      <c r="D13" s="2546"/>
    </row>
    <row r="14" spans="1:5" ht="25.5" customHeight="1">
      <c r="A14" s="2544" t="s">
        <v>7321</v>
      </c>
      <c r="B14" s="2546"/>
      <c r="C14" s="2544" t="s">
        <v>7267</v>
      </c>
      <c r="D14" s="2546"/>
    </row>
    <row r="15" spans="1:5" ht="25.5" customHeight="1">
      <c r="A15" s="2544" t="s">
        <v>7322</v>
      </c>
      <c r="B15" s="2546"/>
      <c r="C15" s="2544" t="s">
        <v>7323</v>
      </c>
      <c r="D15" s="2546"/>
    </row>
    <row r="16" spans="1:5" ht="25.5" customHeight="1">
      <c r="A16" s="2544" t="s">
        <v>7324</v>
      </c>
      <c r="B16" s="2546"/>
      <c r="C16" s="2544" t="s">
        <v>7325</v>
      </c>
      <c r="D16" s="2546"/>
    </row>
    <row r="17" spans="1:4" ht="25.5" customHeight="1">
      <c r="A17" s="2544" t="s">
        <v>7326</v>
      </c>
      <c r="B17" s="2546"/>
      <c r="C17" s="2544" t="s">
        <v>7327</v>
      </c>
      <c r="D17" s="2546"/>
    </row>
    <row r="18" spans="1:4" ht="25.5" customHeight="1">
      <c r="A18" s="2544" t="s">
        <v>7328</v>
      </c>
      <c r="B18" s="2546"/>
      <c r="C18" s="2544" t="s">
        <v>7329</v>
      </c>
      <c r="D18" s="2546"/>
    </row>
    <row r="19" spans="1:4" ht="25.5" customHeight="1">
      <c r="A19" s="2544" t="s">
        <v>7330</v>
      </c>
      <c r="B19" s="2546"/>
      <c r="C19" s="2544" t="s">
        <v>7331</v>
      </c>
      <c r="D19" s="2546"/>
    </row>
    <row r="20" spans="1:4" ht="25.5" customHeight="1">
      <c r="A20" s="3958" t="s">
        <v>7332</v>
      </c>
      <c r="B20" s="3958"/>
      <c r="C20" s="4019" t="s">
        <v>7333</v>
      </c>
      <c r="D20" s="4019"/>
    </row>
    <row r="21" spans="1:4" ht="25.5" customHeight="1">
      <c r="A21" s="3958" t="s">
        <v>7334</v>
      </c>
      <c r="B21" s="3958"/>
      <c r="C21" s="3958"/>
      <c r="D21" s="3958"/>
    </row>
    <row r="22" spans="1:4" ht="25.5" customHeight="1">
      <c r="A22" s="2544" t="s">
        <v>2586</v>
      </c>
      <c r="B22" s="2544" t="s">
        <v>284</v>
      </c>
      <c r="C22" s="2544" t="s">
        <v>7264</v>
      </c>
      <c r="D22" s="2544" t="s">
        <v>1256</v>
      </c>
    </row>
    <row r="23" spans="1:4" ht="25.5" customHeight="1">
      <c r="A23" s="2473"/>
      <c r="B23" s="2473"/>
      <c r="C23" s="2530"/>
      <c r="D23" s="2530"/>
    </row>
    <row r="24" spans="1:4" ht="25.5" customHeight="1">
      <c r="A24" s="2472"/>
      <c r="B24" s="2472"/>
      <c r="C24" s="2529"/>
      <c r="D24" s="2529"/>
    </row>
    <row r="25" spans="1:4" ht="25.5" customHeight="1">
      <c r="A25" s="2516" t="s">
        <v>7335</v>
      </c>
      <c r="B25" s="2548">
        <f>基本情况!B12</f>
        <v>0</v>
      </c>
      <c r="C25" s="2516" t="s">
        <v>7336</v>
      </c>
      <c r="D25" s="2523" t="str">
        <f>基本情况!B21</f>
        <v>2017年3月16日</v>
      </c>
    </row>
  </sheetData>
  <mergeCells count="8">
    <mergeCell ref="A20:B20"/>
    <mergeCell ref="C20:D20"/>
    <mergeCell ref="A21:D21"/>
    <mergeCell ref="A1:D1"/>
    <mergeCell ref="A2:D2"/>
    <mergeCell ref="C3:D3"/>
    <mergeCell ref="C4:D4"/>
    <mergeCell ref="C5:D5"/>
  </mergeCells>
  <phoneticPr fontId="51" type="noConversion"/>
  <dataValidations count="1">
    <dataValidation type="list" allowBlank="1" showInputMessage="1" showErrorMessage="1" sqref="B14 IX14 ST14 ACP14 AML14 AWH14 BGD14 BPZ14 BZV14 CJR14 CTN14 DDJ14 DNF14 DXB14 EGX14 EQT14 FAP14 FKL14 FUH14 GED14 GNZ14 GXV14 HHR14 HRN14 IBJ14 ILF14 IVB14 JEX14 JOT14 JYP14 KIL14 KSH14 LCD14 LLZ14 LVV14 MFR14 MPN14 MZJ14 NJF14 NTB14 OCX14 OMT14 OWP14 PGL14 PQH14 QAD14 QJZ14 QTV14 RDR14 RNN14 RXJ14 SHF14 SRB14 TAX14 TKT14 TUP14 UEL14 UOH14 UYD14 VHZ14 VRV14 WBR14 WLN14 WVJ14 B65550 IX65550 ST65550 ACP65550 AML65550 AWH65550 BGD65550 BPZ65550 BZV65550 CJR65550 CTN65550 DDJ65550 DNF65550 DXB65550 EGX65550 EQT65550 FAP65550 FKL65550 FUH65550 GED65550 GNZ65550 GXV65550 HHR65550 HRN65550 IBJ65550 ILF65550 IVB65550 JEX65550 JOT65550 JYP65550 KIL65550 KSH65550 LCD65550 LLZ65550 LVV65550 MFR65550 MPN65550 MZJ65550 NJF65550 NTB65550 OCX65550 OMT65550 OWP65550 PGL65550 PQH65550 QAD65550 QJZ65550 QTV65550 RDR65550 RNN65550 RXJ65550 SHF65550 SRB65550 TAX65550 TKT65550 TUP65550 UEL65550 UOH65550 UYD65550 VHZ65550 VRV65550 WBR65550 WLN65550 WVJ65550 B131086 IX131086 ST131086 ACP131086 AML131086 AWH131086 BGD131086 BPZ131086 BZV131086 CJR131086 CTN131086 DDJ131086 DNF131086 DXB131086 EGX131086 EQT131086 FAP131086 FKL131086 FUH131086 GED131086 GNZ131086 GXV131086 HHR131086 HRN131086 IBJ131086 ILF131086 IVB131086 JEX131086 JOT131086 JYP131086 KIL131086 KSH131086 LCD131086 LLZ131086 LVV131086 MFR131086 MPN131086 MZJ131086 NJF131086 NTB131086 OCX131086 OMT131086 OWP131086 PGL131086 PQH131086 QAD131086 QJZ131086 QTV131086 RDR131086 RNN131086 RXJ131086 SHF131086 SRB131086 TAX131086 TKT131086 TUP131086 UEL131086 UOH131086 UYD131086 VHZ131086 VRV131086 WBR131086 WLN131086 WVJ131086 B196622 IX196622 ST196622 ACP196622 AML196622 AWH196622 BGD196622 BPZ196622 BZV196622 CJR196622 CTN196622 DDJ196622 DNF196622 DXB196622 EGX196622 EQT196622 FAP196622 FKL196622 FUH196622 GED196622 GNZ196622 GXV196622 HHR196622 HRN196622 IBJ196622 ILF196622 IVB196622 JEX196622 JOT196622 JYP196622 KIL196622 KSH196622 LCD196622 LLZ196622 LVV196622 MFR196622 MPN196622 MZJ196622 NJF196622 NTB196622 OCX196622 OMT196622 OWP196622 PGL196622 PQH196622 QAD196622 QJZ196622 QTV196622 RDR196622 RNN196622 RXJ196622 SHF196622 SRB196622 TAX196622 TKT196622 TUP196622 UEL196622 UOH196622 UYD196622 VHZ196622 VRV196622 WBR196622 WLN196622 WVJ196622 B262158 IX262158 ST262158 ACP262158 AML262158 AWH262158 BGD262158 BPZ262158 BZV262158 CJR262158 CTN262158 DDJ262158 DNF262158 DXB262158 EGX262158 EQT262158 FAP262158 FKL262158 FUH262158 GED262158 GNZ262158 GXV262158 HHR262158 HRN262158 IBJ262158 ILF262158 IVB262158 JEX262158 JOT262158 JYP262158 KIL262158 KSH262158 LCD262158 LLZ262158 LVV262158 MFR262158 MPN262158 MZJ262158 NJF262158 NTB262158 OCX262158 OMT262158 OWP262158 PGL262158 PQH262158 QAD262158 QJZ262158 QTV262158 RDR262158 RNN262158 RXJ262158 SHF262158 SRB262158 TAX262158 TKT262158 TUP262158 UEL262158 UOH262158 UYD262158 VHZ262158 VRV262158 WBR262158 WLN262158 WVJ262158 B327694 IX327694 ST327694 ACP327694 AML327694 AWH327694 BGD327694 BPZ327694 BZV327694 CJR327694 CTN327694 DDJ327694 DNF327694 DXB327694 EGX327694 EQT327694 FAP327694 FKL327694 FUH327694 GED327694 GNZ327694 GXV327694 HHR327694 HRN327694 IBJ327694 ILF327694 IVB327694 JEX327694 JOT327694 JYP327694 KIL327694 KSH327694 LCD327694 LLZ327694 LVV327694 MFR327694 MPN327694 MZJ327694 NJF327694 NTB327694 OCX327694 OMT327694 OWP327694 PGL327694 PQH327694 QAD327694 QJZ327694 QTV327694 RDR327694 RNN327694 RXJ327694 SHF327694 SRB327694 TAX327694 TKT327694 TUP327694 UEL327694 UOH327694 UYD327694 VHZ327694 VRV327694 WBR327694 WLN327694 WVJ327694 B393230 IX393230 ST393230 ACP393230 AML393230 AWH393230 BGD393230 BPZ393230 BZV393230 CJR393230 CTN393230 DDJ393230 DNF393230 DXB393230 EGX393230 EQT393230 FAP393230 FKL393230 FUH393230 GED393230 GNZ393230 GXV393230 HHR393230 HRN393230 IBJ393230 ILF393230 IVB393230 JEX393230 JOT393230 JYP393230 KIL393230 KSH393230 LCD393230 LLZ393230 LVV393230 MFR393230 MPN393230 MZJ393230 NJF393230 NTB393230 OCX393230 OMT393230 OWP393230 PGL393230 PQH393230 QAD393230 QJZ393230 QTV393230 RDR393230 RNN393230 RXJ393230 SHF393230 SRB393230 TAX393230 TKT393230 TUP393230 UEL393230 UOH393230 UYD393230 VHZ393230 VRV393230 WBR393230 WLN393230 WVJ393230 B458766 IX458766 ST458766 ACP458766 AML458766 AWH458766 BGD458766 BPZ458766 BZV458766 CJR458766 CTN458766 DDJ458766 DNF458766 DXB458766 EGX458766 EQT458766 FAP458766 FKL458766 FUH458766 GED458766 GNZ458766 GXV458766 HHR458766 HRN458766 IBJ458766 ILF458766 IVB458766 JEX458766 JOT458766 JYP458766 KIL458766 KSH458766 LCD458766 LLZ458766 LVV458766 MFR458766 MPN458766 MZJ458766 NJF458766 NTB458766 OCX458766 OMT458766 OWP458766 PGL458766 PQH458766 QAD458766 QJZ458766 QTV458766 RDR458766 RNN458766 RXJ458766 SHF458766 SRB458766 TAX458766 TKT458766 TUP458766 UEL458766 UOH458766 UYD458766 VHZ458766 VRV458766 WBR458766 WLN458766 WVJ458766 B524302 IX524302 ST524302 ACP524302 AML524302 AWH524302 BGD524302 BPZ524302 BZV524302 CJR524302 CTN524302 DDJ524302 DNF524302 DXB524302 EGX524302 EQT524302 FAP524302 FKL524302 FUH524302 GED524302 GNZ524302 GXV524302 HHR524302 HRN524302 IBJ524302 ILF524302 IVB524302 JEX524302 JOT524302 JYP524302 KIL524302 KSH524302 LCD524302 LLZ524302 LVV524302 MFR524302 MPN524302 MZJ524302 NJF524302 NTB524302 OCX524302 OMT524302 OWP524302 PGL524302 PQH524302 QAD524302 QJZ524302 QTV524302 RDR524302 RNN524302 RXJ524302 SHF524302 SRB524302 TAX524302 TKT524302 TUP524302 UEL524302 UOH524302 UYD524302 VHZ524302 VRV524302 WBR524302 WLN524302 WVJ524302 B589838 IX589838 ST589838 ACP589838 AML589838 AWH589838 BGD589838 BPZ589838 BZV589838 CJR589838 CTN589838 DDJ589838 DNF589838 DXB589838 EGX589838 EQT589838 FAP589838 FKL589838 FUH589838 GED589838 GNZ589838 GXV589838 HHR589838 HRN589838 IBJ589838 ILF589838 IVB589838 JEX589838 JOT589838 JYP589838 KIL589838 KSH589838 LCD589838 LLZ589838 LVV589838 MFR589838 MPN589838 MZJ589838 NJF589838 NTB589838 OCX589838 OMT589838 OWP589838 PGL589838 PQH589838 QAD589838 QJZ589838 QTV589838 RDR589838 RNN589838 RXJ589838 SHF589838 SRB589838 TAX589838 TKT589838 TUP589838 UEL589838 UOH589838 UYD589838 VHZ589838 VRV589838 WBR589838 WLN589838 WVJ589838 B655374 IX655374 ST655374 ACP655374 AML655374 AWH655374 BGD655374 BPZ655374 BZV655374 CJR655374 CTN655374 DDJ655374 DNF655374 DXB655374 EGX655374 EQT655374 FAP655374 FKL655374 FUH655374 GED655374 GNZ655374 GXV655374 HHR655374 HRN655374 IBJ655374 ILF655374 IVB655374 JEX655374 JOT655374 JYP655374 KIL655374 KSH655374 LCD655374 LLZ655374 LVV655374 MFR655374 MPN655374 MZJ655374 NJF655374 NTB655374 OCX655374 OMT655374 OWP655374 PGL655374 PQH655374 QAD655374 QJZ655374 QTV655374 RDR655374 RNN655374 RXJ655374 SHF655374 SRB655374 TAX655374 TKT655374 TUP655374 UEL655374 UOH655374 UYD655374 VHZ655374 VRV655374 WBR655374 WLN655374 WVJ655374 B720910 IX720910 ST720910 ACP720910 AML720910 AWH720910 BGD720910 BPZ720910 BZV720910 CJR720910 CTN720910 DDJ720910 DNF720910 DXB720910 EGX720910 EQT720910 FAP720910 FKL720910 FUH720910 GED720910 GNZ720910 GXV720910 HHR720910 HRN720910 IBJ720910 ILF720910 IVB720910 JEX720910 JOT720910 JYP720910 KIL720910 KSH720910 LCD720910 LLZ720910 LVV720910 MFR720910 MPN720910 MZJ720910 NJF720910 NTB720910 OCX720910 OMT720910 OWP720910 PGL720910 PQH720910 QAD720910 QJZ720910 QTV720910 RDR720910 RNN720910 RXJ720910 SHF720910 SRB720910 TAX720910 TKT720910 TUP720910 UEL720910 UOH720910 UYD720910 VHZ720910 VRV720910 WBR720910 WLN720910 WVJ720910 B786446 IX786446 ST786446 ACP786446 AML786446 AWH786446 BGD786446 BPZ786446 BZV786446 CJR786446 CTN786446 DDJ786446 DNF786446 DXB786446 EGX786446 EQT786446 FAP786446 FKL786446 FUH786446 GED786446 GNZ786446 GXV786446 HHR786446 HRN786446 IBJ786446 ILF786446 IVB786446 JEX786446 JOT786446 JYP786446 KIL786446 KSH786446 LCD786446 LLZ786446 LVV786446 MFR786446 MPN786446 MZJ786446 NJF786446 NTB786446 OCX786446 OMT786446 OWP786446 PGL786446 PQH786446 QAD786446 QJZ786446 QTV786446 RDR786446 RNN786446 RXJ786446 SHF786446 SRB786446 TAX786446 TKT786446 TUP786446 UEL786446 UOH786446 UYD786446 VHZ786446 VRV786446 WBR786446 WLN786446 WVJ786446 B851982 IX851982 ST851982 ACP851982 AML851982 AWH851982 BGD851982 BPZ851982 BZV851982 CJR851982 CTN851982 DDJ851982 DNF851982 DXB851982 EGX851982 EQT851982 FAP851982 FKL851982 FUH851982 GED851982 GNZ851982 GXV851982 HHR851982 HRN851982 IBJ851982 ILF851982 IVB851982 JEX851982 JOT851982 JYP851982 KIL851982 KSH851982 LCD851982 LLZ851982 LVV851982 MFR851982 MPN851982 MZJ851982 NJF851982 NTB851982 OCX851982 OMT851982 OWP851982 PGL851982 PQH851982 QAD851982 QJZ851982 QTV851982 RDR851982 RNN851982 RXJ851982 SHF851982 SRB851982 TAX851982 TKT851982 TUP851982 UEL851982 UOH851982 UYD851982 VHZ851982 VRV851982 WBR851982 WLN851982 WVJ851982 B917518 IX917518 ST917518 ACP917518 AML917518 AWH917518 BGD917518 BPZ917518 BZV917518 CJR917518 CTN917518 DDJ917518 DNF917518 DXB917518 EGX917518 EQT917518 FAP917518 FKL917518 FUH917518 GED917518 GNZ917518 GXV917518 HHR917518 HRN917518 IBJ917518 ILF917518 IVB917518 JEX917518 JOT917518 JYP917518 KIL917518 KSH917518 LCD917518 LLZ917518 LVV917518 MFR917518 MPN917518 MZJ917518 NJF917518 NTB917518 OCX917518 OMT917518 OWP917518 PGL917518 PQH917518 QAD917518 QJZ917518 QTV917518 RDR917518 RNN917518 RXJ917518 SHF917518 SRB917518 TAX917518 TKT917518 TUP917518 UEL917518 UOH917518 UYD917518 VHZ917518 VRV917518 WBR917518 WLN917518 WVJ917518 B983054 IX983054 ST983054 ACP983054 AML983054 AWH983054 BGD983054 BPZ983054 BZV983054 CJR983054 CTN983054 DDJ983054 DNF983054 DXB983054 EGX983054 EQT983054 FAP983054 FKL983054 FUH983054 GED983054 GNZ983054 GXV983054 HHR983054 HRN983054 IBJ983054 ILF983054 IVB983054 JEX983054 JOT983054 JYP983054 KIL983054 KSH983054 LCD983054 LLZ983054 LVV983054 MFR983054 MPN983054 MZJ983054 NJF983054 NTB983054 OCX983054 OMT983054 OWP983054 PGL983054 PQH983054 QAD983054 QJZ983054 QTV983054 RDR983054 RNN983054 RXJ983054 SHF983054 SRB983054 TAX983054 TKT983054 TUP983054 UEL983054 UOH983054 UYD983054 VHZ983054 VRV983054 WBR983054 WLN983054 WVJ983054">
      <formula1>"是,否"</formula1>
    </dataValidation>
  </dataValidations>
  <pageMargins left="0.78740157480314998" right="0.35433070866141703" top="0.511811023622047" bottom="0.11811023622047198" header="0.511811023622047" footer="0.511811023622047"/>
  <pageSetup paperSize="9" orientation="portrait" blackAndWhite="1" r:id="rId1"/>
  <drawing r:id="rId2"/>
</worksheet>
</file>

<file path=xl/worksheets/sheet16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74">
    <pageSetUpPr fitToPage="1"/>
  </sheetPr>
  <dimension ref="A1:G27"/>
  <sheetViews>
    <sheetView topLeftCell="A10" workbookViewId="0">
      <selection activeCell="J16" sqref="J16"/>
    </sheetView>
  </sheetViews>
  <sheetFormatPr defaultColWidth="19.59765625" defaultRowHeight="12"/>
  <cols>
    <col min="1" max="1" width="16.19921875" style="2480" customWidth="1"/>
    <col min="2" max="2" width="15.19921875" style="2480" customWidth="1"/>
    <col min="3" max="3" width="15" style="2480" customWidth="1"/>
    <col min="4" max="4" width="14.69921875" style="2480" customWidth="1"/>
    <col min="5" max="5" width="15" style="2480" customWidth="1"/>
    <col min="6" max="6" width="17.19921875" style="2480" customWidth="1"/>
    <col min="7" max="256" width="19.59765625" style="2480"/>
    <col min="257" max="257" width="16.19921875" style="2480" customWidth="1"/>
    <col min="258" max="258" width="15.19921875" style="2480" customWidth="1"/>
    <col min="259" max="259" width="15" style="2480" customWidth="1"/>
    <col min="260" max="260" width="14.69921875" style="2480" customWidth="1"/>
    <col min="261" max="261" width="15" style="2480" customWidth="1"/>
    <col min="262" max="262" width="17.19921875" style="2480" customWidth="1"/>
    <col min="263" max="512" width="19.59765625" style="2480"/>
    <col min="513" max="513" width="16.19921875" style="2480" customWidth="1"/>
    <col min="514" max="514" width="15.19921875" style="2480" customWidth="1"/>
    <col min="515" max="515" width="15" style="2480" customWidth="1"/>
    <col min="516" max="516" width="14.69921875" style="2480" customWidth="1"/>
    <col min="517" max="517" width="15" style="2480" customWidth="1"/>
    <col min="518" max="518" width="17.19921875" style="2480" customWidth="1"/>
    <col min="519" max="768" width="19.59765625" style="2480"/>
    <col min="769" max="769" width="16.19921875" style="2480" customWidth="1"/>
    <col min="770" max="770" width="15.19921875" style="2480" customWidth="1"/>
    <col min="771" max="771" width="15" style="2480" customWidth="1"/>
    <col min="772" max="772" width="14.69921875" style="2480" customWidth="1"/>
    <col min="773" max="773" width="15" style="2480" customWidth="1"/>
    <col min="774" max="774" width="17.19921875" style="2480" customWidth="1"/>
    <col min="775" max="1024" width="19.59765625" style="2480"/>
    <col min="1025" max="1025" width="16.19921875" style="2480" customWidth="1"/>
    <col min="1026" max="1026" width="15.19921875" style="2480" customWidth="1"/>
    <col min="1027" max="1027" width="15" style="2480" customWidth="1"/>
    <col min="1028" max="1028" width="14.69921875" style="2480" customWidth="1"/>
    <col min="1029" max="1029" width="15" style="2480" customWidth="1"/>
    <col min="1030" max="1030" width="17.19921875" style="2480" customWidth="1"/>
    <col min="1031" max="1280" width="19.59765625" style="2480"/>
    <col min="1281" max="1281" width="16.19921875" style="2480" customWidth="1"/>
    <col min="1282" max="1282" width="15.19921875" style="2480" customWidth="1"/>
    <col min="1283" max="1283" width="15" style="2480" customWidth="1"/>
    <col min="1284" max="1284" width="14.69921875" style="2480" customWidth="1"/>
    <col min="1285" max="1285" width="15" style="2480" customWidth="1"/>
    <col min="1286" max="1286" width="17.19921875" style="2480" customWidth="1"/>
    <col min="1287" max="1536" width="19.59765625" style="2480"/>
    <col min="1537" max="1537" width="16.19921875" style="2480" customWidth="1"/>
    <col min="1538" max="1538" width="15.19921875" style="2480" customWidth="1"/>
    <col min="1539" max="1539" width="15" style="2480" customWidth="1"/>
    <col min="1540" max="1540" width="14.69921875" style="2480" customWidth="1"/>
    <col min="1541" max="1541" width="15" style="2480" customWidth="1"/>
    <col min="1542" max="1542" width="17.19921875" style="2480" customWidth="1"/>
    <col min="1543" max="1792" width="19.59765625" style="2480"/>
    <col min="1793" max="1793" width="16.19921875" style="2480" customWidth="1"/>
    <col min="1794" max="1794" width="15.19921875" style="2480" customWidth="1"/>
    <col min="1795" max="1795" width="15" style="2480" customWidth="1"/>
    <col min="1796" max="1796" width="14.69921875" style="2480" customWidth="1"/>
    <col min="1797" max="1797" width="15" style="2480" customWidth="1"/>
    <col min="1798" max="1798" width="17.19921875" style="2480" customWidth="1"/>
    <col min="1799" max="2048" width="19.59765625" style="2480"/>
    <col min="2049" max="2049" width="16.19921875" style="2480" customWidth="1"/>
    <col min="2050" max="2050" width="15.19921875" style="2480" customWidth="1"/>
    <col min="2051" max="2051" width="15" style="2480" customWidth="1"/>
    <col min="2052" max="2052" width="14.69921875" style="2480" customWidth="1"/>
    <col min="2053" max="2053" width="15" style="2480" customWidth="1"/>
    <col min="2054" max="2054" width="17.19921875" style="2480" customWidth="1"/>
    <col min="2055" max="2304" width="19.59765625" style="2480"/>
    <col min="2305" max="2305" width="16.19921875" style="2480" customWidth="1"/>
    <col min="2306" max="2306" width="15.19921875" style="2480" customWidth="1"/>
    <col min="2307" max="2307" width="15" style="2480" customWidth="1"/>
    <col min="2308" max="2308" width="14.69921875" style="2480" customWidth="1"/>
    <col min="2309" max="2309" width="15" style="2480" customWidth="1"/>
    <col min="2310" max="2310" width="17.19921875" style="2480" customWidth="1"/>
    <col min="2311" max="2560" width="19.59765625" style="2480"/>
    <col min="2561" max="2561" width="16.19921875" style="2480" customWidth="1"/>
    <col min="2562" max="2562" width="15.19921875" style="2480" customWidth="1"/>
    <col min="2563" max="2563" width="15" style="2480" customWidth="1"/>
    <col min="2564" max="2564" width="14.69921875" style="2480" customWidth="1"/>
    <col min="2565" max="2565" width="15" style="2480" customWidth="1"/>
    <col min="2566" max="2566" width="17.19921875" style="2480" customWidth="1"/>
    <col min="2567" max="2816" width="19.59765625" style="2480"/>
    <col min="2817" max="2817" width="16.19921875" style="2480" customWidth="1"/>
    <col min="2818" max="2818" width="15.19921875" style="2480" customWidth="1"/>
    <col min="2819" max="2819" width="15" style="2480" customWidth="1"/>
    <col min="2820" max="2820" width="14.69921875" style="2480" customWidth="1"/>
    <col min="2821" max="2821" width="15" style="2480" customWidth="1"/>
    <col min="2822" max="2822" width="17.19921875" style="2480" customWidth="1"/>
    <col min="2823" max="3072" width="19.59765625" style="2480"/>
    <col min="3073" max="3073" width="16.19921875" style="2480" customWidth="1"/>
    <col min="3074" max="3074" width="15.19921875" style="2480" customWidth="1"/>
    <col min="3075" max="3075" width="15" style="2480" customWidth="1"/>
    <col min="3076" max="3076" width="14.69921875" style="2480" customWidth="1"/>
    <col min="3077" max="3077" width="15" style="2480" customWidth="1"/>
    <col min="3078" max="3078" width="17.19921875" style="2480" customWidth="1"/>
    <col min="3079" max="3328" width="19.59765625" style="2480"/>
    <col min="3329" max="3329" width="16.19921875" style="2480" customWidth="1"/>
    <col min="3330" max="3330" width="15.19921875" style="2480" customWidth="1"/>
    <col min="3331" max="3331" width="15" style="2480" customWidth="1"/>
    <col min="3332" max="3332" width="14.69921875" style="2480" customWidth="1"/>
    <col min="3333" max="3333" width="15" style="2480" customWidth="1"/>
    <col min="3334" max="3334" width="17.19921875" style="2480" customWidth="1"/>
    <col min="3335" max="3584" width="19.59765625" style="2480"/>
    <col min="3585" max="3585" width="16.19921875" style="2480" customWidth="1"/>
    <col min="3586" max="3586" width="15.19921875" style="2480" customWidth="1"/>
    <col min="3587" max="3587" width="15" style="2480" customWidth="1"/>
    <col min="3588" max="3588" width="14.69921875" style="2480" customWidth="1"/>
    <col min="3589" max="3589" width="15" style="2480" customWidth="1"/>
    <col min="3590" max="3590" width="17.19921875" style="2480" customWidth="1"/>
    <col min="3591" max="3840" width="19.59765625" style="2480"/>
    <col min="3841" max="3841" width="16.19921875" style="2480" customWidth="1"/>
    <col min="3842" max="3842" width="15.19921875" style="2480" customWidth="1"/>
    <col min="3843" max="3843" width="15" style="2480" customWidth="1"/>
    <col min="3844" max="3844" width="14.69921875" style="2480" customWidth="1"/>
    <col min="3845" max="3845" width="15" style="2480" customWidth="1"/>
    <col min="3846" max="3846" width="17.19921875" style="2480" customWidth="1"/>
    <col min="3847" max="4096" width="19.59765625" style="2480"/>
    <col min="4097" max="4097" width="16.19921875" style="2480" customWidth="1"/>
    <col min="4098" max="4098" width="15.19921875" style="2480" customWidth="1"/>
    <col min="4099" max="4099" width="15" style="2480" customWidth="1"/>
    <col min="4100" max="4100" width="14.69921875" style="2480" customWidth="1"/>
    <col min="4101" max="4101" width="15" style="2480" customWidth="1"/>
    <col min="4102" max="4102" width="17.19921875" style="2480" customWidth="1"/>
    <col min="4103" max="4352" width="19.59765625" style="2480"/>
    <col min="4353" max="4353" width="16.19921875" style="2480" customWidth="1"/>
    <col min="4354" max="4354" width="15.19921875" style="2480" customWidth="1"/>
    <col min="4355" max="4355" width="15" style="2480" customWidth="1"/>
    <col min="4356" max="4356" width="14.69921875" style="2480" customWidth="1"/>
    <col min="4357" max="4357" width="15" style="2480" customWidth="1"/>
    <col min="4358" max="4358" width="17.19921875" style="2480" customWidth="1"/>
    <col min="4359" max="4608" width="19.59765625" style="2480"/>
    <col min="4609" max="4609" width="16.19921875" style="2480" customWidth="1"/>
    <col min="4610" max="4610" width="15.19921875" style="2480" customWidth="1"/>
    <col min="4611" max="4611" width="15" style="2480" customWidth="1"/>
    <col min="4612" max="4612" width="14.69921875" style="2480" customWidth="1"/>
    <col min="4613" max="4613" width="15" style="2480" customWidth="1"/>
    <col min="4614" max="4614" width="17.19921875" style="2480" customWidth="1"/>
    <col min="4615" max="4864" width="19.59765625" style="2480"/>
    <col min="4865" max="4865" width="16.19921875" style="2480" customWidth="1"/>
    <col min="4866" max="4866" width="15.19921875" style="2480" customWidth="1"/>
    <col min="4867" max="4867" width="15" style="2480" customWidth="1"/>
    <col min="4868" max="4868" width="14.69921875" style="2480" customWidth="1"/>
    <col min="4869" max="4869" width="15" style="2480" customWidth="1"/>
    <col min="4870" max="4870" width="17.19921875" style="2480" customWidth="1"/>
    <col min="4871" max="5120" width="19.59765625" style="2480"/>
    <col min="5121" max="5121" width="16.19921875" style="2480" customWidth="1"/>
    <col min="5122" max="5122" width="15.19921875" style="2480" customWidth="1"/>
    <col min="5123" max="5123" width="15" style="2480" customWidth="1"/>
    <col min="5124" max="5124" width="14.69921875" style="2480" customWidth="1"/>
    <col min="5125" max="5125" width="15" style="2480" customWidth="1"/>
    <col min="5126" max="5126" width="17.19921875" style="2480" customWidth="1"/>
    <col min="5127" max="5376" width="19.59765625" style="2480"/>
    <col min="5377" max="5377" width="16.19921875" style="2480" customWidth="1"/>
    <col min="5378" max="5378" width="15.19921875" style="2480" customWidth="1"/>
    <col min="5379" max="5379" width="15" style="2480" customWidth="1"/>
    <col min="5380" max="5380" width="14.69921875" style="2480" customWidth="1"/>
    <col min="5381" max="5381" width="15" style="2480" customWidth="1"/>
    <col min="5382" max="5382" width="17.19921875" style="2480" customWidth="1"/>
    <col min="5383" max="5632" width="19.59765625" style="2480"/>
    <col min="5633" max="5633" width="16.19921875" style="2480" customWidth="1"/>
    <col min="5634" max="5634" width="15.19921875" style="2480" customWidth="1"/>
    <col min="5635" max="5635" width="15" style="2480" customWidth="1"/>
    <col min="5636" max="5636" width="14.69921875" style="2480" customWidth="1"/>
    <col min="5637" max="5637" width="15" style="2480" customWidth="1"/>
    <col min="5638" max="5638" width="17.19921875" style="2480" customWidth="1"/>
    <col min="5639" max="5888" width="19.59765625" style="2480"/>
    <col min="5889" max="5889" width="16.19921875" style="2480" customWidth="1"/>
    <col min="5890" max="5890" width="15.19921875" style="2480" customWidth="1"/>
    <col min="5891" max="5891" width="15" style="2480" customWidth="1"/>
    <col min="5892" max="5892" width="14.69921875" style="2480" customWidth="1"/>
    <col min="5893" max="5893" width="15" style="2480" customWidth="1"/>
    <col min="5894" max="5894" width="17.19921875" style="2480" customWidth="1"/>
    <col min="5895" max="6144" width="19.59765625" style="2480"/>
    <col min="6145" max="6145" width="16.19921875" style="2480" customWidth="1"/>
    <col min="6146" max="6146" width="15.19921875" style="2480" customWidth="1"/>
    <col min="6147" max="6147" width="15" style="2480" customWidth="1"/>
    <col min="6148" max="6148" width="14.69921875" style="2480" customWidth="1"/>
    <col min="6149" max="6149" width="15" style="2480" customWidth="1"/>
    <col min="6150" max="6150" width="17.19921875" style="2480" customWidth="1"/>
    <col min="6151" max="6400" width="19.59765625" style="2480"/>
    <col min="6401" max="6401" width="16.19921875" style="2480" customWidth="1"/>
    <col min="6402" max="6402" width="15.19921875" style="2480" customWidth="1"/>
    <col min="6403" max="6403" width="15" style="2480" customWidth="1"/>
    <col min="6404" max="6404" width="14.69921875" style="2480" customWidth="1"/>
    <col min="6405" max="6405" width="15" style="2480" customWidth="1"/>
    <col min="6406" max="6406" width="17.19921875" style="2480" customWidth="1"/>
    <col min="6407" max="6656" width="19.59765625" style="2480"/>
    <col min="6657" max="6657" width="16.19921875" style="2480" customWidth="1"/>
    <col min="6658" max="6658" width="15.19921875" style="2480" customWidth="1"/>
    <col min="6659" max="6659" width="15" style="2480" customWidth="1"/>
    <col min="6660" max="6660" width="14.69921875" style="2480" customWidth="1"/>
    <col min="6661" max="6661" width="15" style="2480" customWidth="1"/>
    <col min="6662" max="6662" width="17.19921875" style="2480" customWidth="1"/>
    <col min="6663" max="6912" width="19.59765625" style="2480"/>
    <col min="6913" max="6913" width="16.19921875" style="2480" customWidth="1"/>
    <col min="6914" max="6914" width="15.19921875" style="2480" customWidth="1"/>
    <col min="6915" max="6915" width="15" style="2480" customWidth="1"/>
    <col min="6916" max="6916" width="14.69921875" style="2480" customWidth="1"/>
    <col min="6917" max="6917" width="15" style="2480" customWidth="1"/>
    <col min="6918" max="6918" width="17.19921875" style="2480" customWidth="1"/>
    <col min="6919" max="7168" width="19.59765625" style="2480"/>
    <col min="7169" max="7169" width="16.19921875" style="2480" customWidth="1"/>
    <col min="7170" max="7170" width="15.19921875" style="2480" customWidth="1"/>
    <col min="7171" max="7171" width="15" style="2480" customWidth="1"/>
    <col min="7172" max="7172" width="14.69921875" style="2480" customWidth="1"/>
    <col min="7173" max="7173" width="15" style="2480" customWidth="1"/>
    <col min="7174" max="7174" width="17.19921875" style="2480" customWidth="1"/>
    <col min="7175" max="7424" width="19.59765625" style="2480"/>
    <col min="7425" max="7425" width="16.19921875" style="2480" customWidth="1"/>
    <col min="7426" max="7426" width="15.19921875" style="2480" customWidth="1"/>
    <col min="7427" max="7427" width="15" style="2480" customWidth="1"/>
    <col min="7428" max="7428" width="14.69921875" style="2480" customWidth="1"/>
    <col min="7429" max="7429" width="15" style="2480" customWidth="1"/>
    <col min="7430" max="7430" width="17.19921875" style="2480" customWidth="1"/>
    <col min="7431" max="7680" width="19.59765625" style="2480"/>
    <col min="7681" max="7681" width="16.19921875" style="2480" customWidth="1"/>
    <col min="7682" max="7682" width="15.19921875" style="2480" customWidth="1"/>
    <col min="7683" max="7683" width="15" style="2480" customWidth="1"/>
    <col min="7684" max="7684" width="14.69921875" style="2480" customWidth="1"/>
    <col min="7685" max="7685" width="15" style="2480" customWidth="1"/>
    <col min="7686" max="7686" width="17.19921875" style="2480" customWidth="1"/>
    <col min="7687" max="7936" width="19.59765625" style="2480"/>
    <col min="7937" max="7937" width="16.19921875" style="2480" customWidth="1"/>
    <col min="7938" max="7938" width="15.19921875" style="2480" customWidth="1"/>
    <col min="7939" max="7939" width="15" style="2480" customWidth="1"/>
    <col min="7940" max="7940" width="14.69921875" style="2480" customWidth="1"/>
    <col min="7941" max="7941" width="15" style="2480" customWidth="1"/>
    <col min="7942" max="7942" width="17.19921875" style="2480" customWidth="1"/>
    <col min="7943" max="8192" width="19.59765625" style="2480"/>
    <col min="8193" max="8193" width="16.19921875" style="2480" customWidth="1"/>
    <col min="8194" max="8194" width="15.19921875" style="2480" customWidth="1"/>
    <col min="8195" max="8195" width="15" style="2480" customWidth="1"/>
    <col min="8196" max="8196" width="14.69921875" style="2480" customWidth="1"/>
    <col min="8197" max="8197" width="15" style="2480" customWidth="1"/>
    <col min="8198" max="8198" width="17.19921875" style="2480" customWidth="1"/>
    <col min="8199" max="8448" width="19.59765625" style="2480"/>
    <col min="8449" max="8449" width="16.19921875" style="2480" customWidth="1"/>
    <col min="8450" max="8450" width="15.19921875" style="2480" customWidth="1"/>
    <col min="8451" max="8451" width="15" style="2480" customWidth="1"/>
    <col min="8452" max="8452" width="14.69921875" style="2480" customWidth="1"/>
    <col min="8453" max="8453" width="15" style="2480" customWidth="1"/>
    <col min="8454" max="8454" width="17.19921875" style="2480" customWidth="1"/>
    <col min="8455" max="8704" width="19.59765625" style="2480"/>
    <col min="8705" max="8705" width="16.19921875" style="2480" customWidth="1"/>
    <col min="8706" max="8706" width="15.19921875" style="2480" customWidth="1"/>
    <col min="8707" max="8707" width="15" style="2480" customWidth="1"/>
    <col min="8708" max="8708" width="14.69921875" style="2480" customWidth="1"/>
    <col min="8709" max="8709" width="15" style="2480" customWidth="1"/>
    <col min="8710" max="8710" width="17.19921875" style="2480" customWidth="1"/>
    <col min="8711" max="8960" width="19.59765625" style="2480"/>
    <col min="8961" max="8961" width="16.19921875" style="2480" customWidth="1"/>
    <col min="8962" max="8962" width="15.19921875" style="2480" customWidth="1"/>
    <col min="8963" max="8963" width="15" style="2480" customWidth="1"/>
    <col min="8964" max="8964" width="14.69921875" style="2480" customWidth="1"/>
    <col min="8965" max="8965" width="15" style="2480" customWidth="1"/>
    <col min="8966" max="8966" width="17.19921875" style="2480" customWidth="1"/>
    <col min="8967" max="9216" width="19.59765625" style="2480"/>
    <col min="9217" max="9217" width="16.19921875" style="2480" customWidth="1"/>
    <col min="9218" max="9218" width="15.19921875" style="2480" customWidth="1"/>
    <col min="9219" max="9219" width="15" style="2480" customWidth="1"/>
    <col min="9220" max="9220" width="14.69921875" style="2480" customWidth="1"/>
    <col min="9221" max="9221" width="15" style="2480" customWidth="1"/>
    <col min="9222" max="9222" width="17.19921875" style="2480" customWidth="1"/>
    <col min="9223" max="9472" width="19.59765625" style="2480"/>
    <col min="9473" max="9473" width="16.19921875" style="2480" customWidth="1"/>
    <col min="9474" max="9474" width="15.19921875" style="2480" customWidth="1"/>
    <col min="9475" max="9475" width="15" style="2480" customWidth="1"/>
    <col min="9476" max="9476" width="14.69921875" style="2480" customWidth="1"/>
    <col min="9477" max="9477" width="15" style="2480" customWidth="1"/>
    <col min="9478" max="9478" width="17.19921875" style="2480" customWidth="1"/>
    <col min="9479" max="9728" width="19.59765625" style="2480"/>
    <col min="9729" max="9729" width="16.19921875" style="2480" customWidth="1"/>
    <col min="9730" max="9730" width="15.19921875" style="2480" customWidth="1"/>
    <col min="9731" max="9731" width="15" style="2480" customWidth="1"/>
    <col min="9732" max="9732" width="14.69921875" style="2480" customWidth="1"/>
    <col min="9733" max="9733" width="15" style="2480" customWidth="1"/>
    <col min="9734" max="9734" width="17.19921875" style="2480" customWidth="1"/>
    <col min="9735" max="9984" width="19.59765625" style="2480"/>
    <col min="9985" max="9985" width="16.19921875" style="2480" customWidth="1"/>
    <col min="9986" max="9986" width="15.19921875" style="2480" customWidth="1"/>
    <col min="9987" max="9987" width="15" style="2480" customWidth="1"/>
    <col min="9988" max="9988" width="14.69921875" style="2480" customWidth="1"/>
    <col min="9989" max="9989" width="15" style="2480" customWidth="1"/>
    <col min="9990" max="9990" width="17.19921875" style="2480" customWidth="1"/>
    <col min="9991" max="10240" width="19.59765625" style="2480"/>
    <col min="10241" max="10241" width="16.19921875" style="2480" customWidth="1"/>
    <col min="10242" max="10242" width="15.19921875" style="2480" customWidth="1"/>
    <col min="10243" max="10243" width="15" style="2480" customWidth="1"/>
    <col min="10244" max="10244" width="14.69921875" style="2480" customWidth="1"/>
    <col min="10245" max="10245" width="15" style="2480" customWidth="1"/>
    <col min="10246" max="10246" width="17.19921875" style="2480" customWidth="1"/>
    <col min="10247" max="10496" width="19.59765625" style="2480"/>
    <col min="10497" max="10497" width="16.19921875" style="2480" customWidth="1"/>
    <col min="10498" max="10498" width="15.19921875" style="2480" customWidth="1"/>
    <col min="10499" max="10499" width="15" style="2480" customWidth="1"/>
    <col min="10500" max="10500" width="14.69921875" style="2480" customWidth="1"/>
    <col min="10501" max="10501" width="15" style="2480" customWidth="1"/>
    <col min="10502" max="10502" width="17.19921875" style="2480" customWidth="1"/>
    <col min="10503" max="10752" width="19.59765625" style="2480"/>
    <col min="10753" max="10753" width="16.19921875" style="2480" customWidth="1"/>
    <col min="10754" max="10754" width="15.19921875" style="2480" customWidth="1"/>
    <col min="10755" max="10755" width="15" style="2480" customWidth="1"/>
    <col min="10756" max="10756" width="14.69921875" style="2480" customWidth="1"/>
    <col min="10757" max="10757" width="15" style="2480" customWidth="1"/>
    <col min="10758" max="10758" width="17.19921875" style="2480" customWidth="1"/>
    <col min="10759" max="11008" width="19.59765625" style="2480"/>
    <col min="11009" max="11009" width="16.19921875" style="2480" customWidth="1"/>
    <col min="11010" max="11010" width="15.19921875" style="2480" customWidth="1"/>
    <col min="11011" max="11011" width="15" style="2480" customWidth="1"/>
    <col min="11012" max="11012" width="14.69921875" style="2480" customWidth="1"/>
    <col min="11013" max="11013" width="15" style="2480" customWidth="1"/>
    <col min="11014" max="11014" width="17.19921875" style="2480" customWidth="1"/>
    <col min="11015" max="11264" width="19.59765625" style="2480"/>
    <col min="11265" max="11265" width="16.19921875" style="2480" customWidth="1"/>
    <col min="11266" max="11266" width="15.19921875" style="2480" customWidth="1"/>
    <col min="11267" max="11267" width="15" style="2480" customWidth="1"/>
    <col min="11268" max="11268" width="14.69921875" style="2480" customWidth="1"/>
    <col min="11269" max="11269" width="15" style="2480" customWidth="1"/>
    <col min="11270" max="11270" width="17.19921875" style="2480" customWidth="1"/>
    <col min="11271" max="11520" width="19.59765625" style="2480"/>
    <col min="11521" max="11521" width="16.19921875" style="2480" customWidth="1"/>
    <col min="11522" max="11522" width="15.19921875" style="2480" customWidth="1"/>
    <col min="11523" max="11523" width="15" style="2480" customWidth="1"/>
    <col min="11524" max="11524" width="14.69921875" style="2480" customWidth="1"/>
    <col min="11525" max="11525" width="15" style="2480" customWidth="1"/>
    <col min="11526" max="11526" width="17.19921875" style="2480" customWidth="1"/>
    <col min="11527" max="11776" width="19.59765625" style="2480"/>
    <col min="11777" max="11777" width="16.19921875" style="2480" customWidth="1"/>
    <col min="11778" max="11778" width="15.19921875" style="2480" customWidth="1"/>
    <col min="11779" max="11779" width="15" style="2480" customWidth="1"/>
    <col min="11780" max="11780" width="14.69921875" style="2480" customWidth="1"/>
    <col min="11781" max="11781" width="15" style="2480" customWidth="1"/>
    <col min="11782" max="11782" width="17.19921875" style="2480" customWidth="1"/>
    <col min="11783" max="12032" width="19.59765625" style="2480"/>
    <col min="12033" max="12033" width="16.19921875" style="2480" customWidth="1"/>
    <col min="12034" max="12034" width="15.19921875" style="2480" customWidth="1"/>
    <col min="12035" max="12035" width="15" style="2480" customWidth="1"/>
    <col min="12036" max="12036" width="14.69921875" style="2480" customWidth="1"/>
    <col min="12037" max="12037" width="15" style="2480" customWidth="1"/>
    <col min="12038" max="12038" width="17.19921875" style="2480" customWidth="1"/>
    <col min="12039" max="12288" width="19.59765625" style="2480"/>
    <col min="12289" max="12289" width="16.19921875" style="2480" customWidth="1"/>
    <col min="12290" max="12290" width="15.19921875" style="2480" customWidth="1"/>
    <col min="12291" max="12291" width="15" style="2480" customWidth="1"/>
    <col min="12292" max="12292" width="14.69921875" style="2480" customWidth="1"/>
    <col min="12293" max="12293" width="15" style="2480" customWidth="1"/>
    <col min="12294" max="12294" width="17.19921875" style="2480" customWidth="1"/>
    <col min="12295" max="12544" width="19.59765625" style="2480"/>
    <col min="12545" max="12545" width="16.19921875" style="2480" customWidth="1"/>
    <col min="12546" max="12546" width="15.19921875" style="2480" customWidth="1"/>
    <col min="12547" max="12547" width="15" style="2480" customWidth="1"/>
    <col min="12548" max="12548" width="14.69921875" style="2480" customWidth="1"/>
    <col min="12549" max="12549" width="15" style="2480" customWidth="1"/>
    <col min="12550" max="12550" width="17.19921875" style="2480" customWidth="1"/>
    <col min="12551" max="12800" width="19.59765625" style="2480"/>
    <col min="12801" max="12801" width="16.19921875" style="2480" customWidth="1"/>
    <col min="12802" max="12802" width="15.19921875" style="2480" customWidth="1"/>
    <col min="12803" max="12803" width="15" style="2480" customWidth="1"/>
    <col min="12804" max="12804" width="14.69921875" style="2480" customWidth="1"/>
    <col min="12805" max="12805" width="15" style="2480" customWidth="1"/>
    <col min="12806" max="12806" width="17.19921875" style="2480" customWidth="1"/>
    <col min="12807" max="13056" width="19.59765625" style="2480"/>
    <col min="13057" max="13057" width="16.19921875" style="2480" customWidth="1"/>
    <col min="13058" max="13058" width="15.19921875" style="2480" customWidth="1"/>
    <col min="13059" max="13059" width="15" style="2480" customWidth="1"/>
    <col min="13060" max="13060" width="14.69921875" style="2480" customWidth="1"/>
    <col min="13061" max="13061" width="15" style="2480" customWidth="1"/>
    <col min="13062" max="13062" width="17.19921875" style="2480" customWidth="1"/>
    <col min="13063" max="13312" width="19.59765625" style="2480"/>
    <col min="13313" max="13313" width="16.19921875" style="2480" customWidth="1"/>
    <col min="13314" max="13314" width="15.19921875" style="2480" customWidth="1"/>
    <col min="13315" max="13315" width="15" style="2480" customWidth="1"/>
    <col min="13316" max="13316" width="14.69921875" style="2480" customWidth="1"/>
    <col min="13317" max="13317" width="15" style="2480" customWidth="1"/>
    <col min="13318" max="13318" width="17.19921875" style="2480" customWidth="1"/>
    <col min="13319" max="13568" width="19.59765625" style="2480"/>
    <col min="13569" max="13569" width="16.19921875" style="2480" customWidth="1"/>
    <col min="13570" max="13570" width="15.19921875" style="2480" customWidth="1"/>
    <col min="13571" max="13571" width="15" style="2480" customWidth="1"/>
    <col min="13572" max="13572" width="14.69921875" style="2480" customWidth="1"/>
    <col min="13573" max="13573" width="15" style="2480" customWidth="1"/>
    <col min="13574" max="13574" width="17.19921875" style="2480" customWidth="1"/>
    <col min="13575" max="13824" width="19.59765625" style="2480"/>
    <col min="13825" max="13825" width="16.19921875" style="2480" customWidth="1"/>
    <col min="13826" max="13826" width="15.19921875" style="2480" customWidth="1"/>
    <col min="13827" max="13827" width="15" style="2480" customWidth="1"/>
    <col min="13828" max="13828" width="14.69921875" style="2480" customWidth="1"/>
    <col min="13829" max="13829" width="15" style="2480" customWidth="1"/>
    <col min="13830" max="13830" width="17.19921875" style="2480" customWidth="1"/>
    <col min="13831" max="14080" width="19.59765625" style="2480"/>
    <col min="14081" max="14081" width="16.19921875" style="2480" customWidth="1"/>
    <col min="14082" max="14082" width="15.19921875" style="2480" customWidth="1"/>
    <col min="14083" max="14083" width="15" style="2480" customWidth="1"/>
    <col min="14084" max="14084" width="14.69921875" style="2480" customWidth="1"/>
    <col min="14085" max="14085" width="15" style="2480" customWidth="1"/>
    <col min="14086" max="14086" width="17.19921875" style="2480" customWidth="1"/>
    <col min="14087" max="14336" width="19.59765625" style="2480"/>
    <col min="14337" max="14337" width="16.19921875" style="2480" customWidth="1"/>
    <col min="14338" max="14338" width="15.19921875" style="2480" customWidth="1"/>
    <col min="14339" max="14339" width="15" style="2480" customWidth="1"/>
    <col min="14340" max="14340" width="14.69921875" style="2480" customWidth="1"/>
    <col min="14341" max="14341" width="15" style="2480" customWidth="1"/>
    <col min="14342" max="14342" width="17.19921875" style="2480" customWidth="1"/>
    <col min="14343" max="14592" width="19.59765625" style="2480"/>
    <col min="14593" max="14593" width="16.19921875" style="2480" customWidth="1"/>
    <col min="14594" max="14594" width="15.19921875" style="2480" customWidth="1"/>
    <col min="14595" max="14595" width="15" style="2480" customWidth="1"/>
    <col min="14596" max="14596" width="14.69921875" style="2480" customWidth="1"/>
    <col min="14597" max="14597" width="15" style="2480" customWidth="1"/>
    <col min="14598" max="14598" width="17.19921875" style="2480" customWidth="1"/>
    <col min="14599" max="14848" width="19.59765625" style="2480"/>
    <col min="14849" max="14849" width="16.19921875" style="2480" customWidth="1"/>
    <col min="14850" max="14850" width="15.19921875" style="2480" customWidth="1"/>
    <col min="14851" max="14851" width="15" style="2480" customWidth="1"/>
    <col min="14852" max="14852" width="14.69921875" style="2480" customWidth="1"/>
    <col min="14853" max="14853" width="15" style="2480" customWidth="1"/>
    <col min="14854" max="14854" width="17.19921875" style="2480" customWidth="1"/>
    <col min="14855" max="15104" width="19.59765625" style="2480"/>
    <col min="15105" max="15105" width="16.19921875" style="2480" customWidth="1"/>
    <col min="15106" max="15106" width="15.19921875" style="2480" customWidth="1"/>
    <col min="15107" max="15107" width="15" style="2480" customWidth="1"/>
    <col min="15108" max="15108" width="14.69921875" style="2480" customWidth="1"/>
    <col min="15109" max="15109" width="15" style="2480" customWidth="1"/>
    <col min="15110" max="15110" width="17.19921875" style="2480" customWidth="1"/>
    <col min="15111" max="15360" width="19.59765625" style="2480"/>
    <col min="15361" max="15361" width="16.19921875" style="2480" customWidth="1"/>
    <col min="15362" max="15362" width="15.19921875" style="2480" customWidth="1"/>
    <col min="15363" max="15363" width="15" style="2480" customWidth="1"/>
    <col min="15364" max="15364" width="14.69921875" style="2480" customWidth="1"/>
    <col min="15365" max="15365" width="15" style="2480" customWidth="1"/>
    <col min="15366" max="15366" width="17.19921875" style="2480" customWidth="1"/>
    <col min="15367" max="15616" width="19.59765625" style="2480"/>
    <col min="15617" max="15617" width="16.19921875" style="2480" customWidth="1"/>
    <col min="15618" max="15618" width="15.19921875" style="2480" customWidth="1"/>
    <col min="15619" max="15619" width="15" style="2480" customWidth="1"/>
    <col min="15620" max="15620" width="14.69921875" style="2480" customWidth="1"/>
    <col min="15621" max="15621" width="15" style="2480" customWidth="1"/>
    <col min="15622" max="15622" width="17.19921875" style="2480" customWidth="1"/>
    <col min="15623" max="15872" width="19.59765625" style="2480"/>
    <col min="15873" max="15873" width="16.19921875" style="2480" customWidth="1"/>
    <col min="15874" max="15874" width="15.19921875" style="2480" customWidth="1"/>
    <col min="15875" max="15875" width="15" style="2480" customWidth="1"/>
    <col min="15876" max="15876" width="14.69921875" style="2480" customWidth="1"/>
    <col min="15877" max="15877" width="15" style="2480" customWidth="1"/>
    <col min="15878" max="15878" width="17.19921875" style="2480" customWidth="1"/>
    <col min="15879" max="16128" width="19.59765625" style="2480"/>
    <col min="16129" max="16129" width="16.19921875" style="2480" customWidth="1"/>
    <col min="16130" max="16130" width="15.19921875" style="2480" customWidth="1"/>
    <col min="16131" max="16131" width="15" style="2480" customWidth="1"/>
    <col min="16132" max="16132" width="14.69921875" style="2480" customWidth="1"/>
    <col min="16133" max="16133" width="15" style="2480" customWidth="1"/>
    <col min="16134" max="16134" width="17.19921875" style="2480" customWidth="1"/>
    <col min="16135" max="16384" width="19.59765625" style="2480"/>
  </cols>
  <sheetData>
    <row r="1" spans="1:7" ht="21" customHeight="1">
      <c r="A1" s="4020" t="s">
        <v>7411</v>
      </c>
      <c r="B1" s="4021"/>
      <c r="C1" s="4021"/>
      <c r="D1" s="4021"/>
      <c r="E1" s="4021"/>
      <c r="F1" s="4022"/>
    </row>
    <row r="2" spans="1:7" ht="24" customHeight="1">
      <c r="A2" s="3079" t="s">
        <v>7420</v>
      </c>
      <c r="B2" s="3079"/>
      <c r="C2" s="3079"/>
      <c r="D2" s="3079"/>
      <c r="E2" s="3079"/>
      <c r="F2" s="3079"/>
    </row>
    <row r="3" spans="1:7" ht="25.5" customHeight="1">
      <c r="A3" s="4025" t="s">
        <v>7337</v>
      </c>
      <c r="B3" s="4025"/>
      <c r="C3" s="2506"/>
      <c r="D3" s="4025" t="s">
        <v>7338</v>
      </c>
      <c r="E3" s="4025"/>
      <c r="F3" s="4026"/>
    </row>
    <row r="4" spans="1:7" ht="25.5" customHeight="1">
      <c r="A4" s="4025" t="s">
        <v>7339</v>
      </c>
      <c r="B4" s="4025"/>
      <c r="C4" s="2506"/>
      <c r="D4" s="4025"/>
      <c r="E4" s="4025"/>
      <c r="F4" s="4026"/>
    </row>
    <row r="5" spans="1:7" ht="25.5" customHeight="1">
      <c r="A5" s="4025" t="s">
        <v>7340</v>
      </c>
      <c r="B5" s="4025"/>
      <c r="C5" s="2517" t="s">
        <v>7341</v>
      </c>
      <c r="D5" s="4025" t="s">
        <v>7342</v>
      </c>
      <c r="E5" s="4025"/>
      <c r="F5" s="2517" t="s">
        <v>7343</v>
      </c>
    </row>
    <row r="6" spans="1:7" ht="25.5" customHeight="1">
      <c r="A6" s="4025" t="s">
        <v>1256</v>
      </c>
      <c r="B6" s="4025"/>
      <c r="C6" s="2551"/>
      <c r="D6" s="4027"/>
      <c r="E6" s="4027"/>
      <c r="F6" s="2551"/>
    </row>
    <row r="7" spans="1:7" ht="25.5" customHeight="1">
      <c r="A7" s="4025" t="s">
        <v>7264</v>
      </c>
      <c r="B7" s="4025"/>
      <c r="C7" s="2551"/>
      <c r="D7" s="4027"/>
      <c r="E7" s="4027"/>
      <c r="F7" s="2551"/>
    </row>
    <row r="8" spans="1:7" ht="33.6" customHeight="1">
      <c r="A8" s="2517" t="s">
        <v>7344</v>
      </c>
      <c r="B8" s="2517" t="s">
        <v>7345</v>
      </c>
      <c r="C8" s="2517" t="s">
        <v>7346</v>
      </c>
      <c r="D8" s="2517" t="s">
        <v>7347</v>
      </c>
      <c r="E8" s="2517" t="s">
        <v>7348</v>
      </c>
      <c r="F8" s="2517" t="s">
        <v>7349</v>
      </c>
    </row>
    <row r="9" spans="1:7" ht="25.5" customHeight="1">
      <c r="A9" s="2507"/>
      <c r="B9" s="2507"/>
      <c r="C9" s="2552"/>
      <c r="D9" s="2552"/>
      <c r="E9" s="2552"/>
      <c r="F9" s="2507"/>
    </row>
    <row r="10" spans="1:7" ht="25.5" customHeight="1">
      <c r="A10" s="2507"/>
      <c r="B10" s="2507"/>
      <c r="C10" s="2552"/>
      <c r="D10" s="2552"/>
      <c r="E10" s="2552"/>
      <c r="F10" s="2507"/>
    </row>
    <row r="11" spans="1:7" ht="25.5" customHeight="1">
      <c r="A11" s="4025" t="s">
        <v>7350</v>
      </c>
      <c r="B11" s="4025"/>
      <c r="C11" s="2507"/>
      <c r="D11" s="4025" t="s">
        <v>7351</v>
      </c>
      <c r="E11" s="4025"/>
      <c r="F11" s="4026"/>
      <c r="G11" s="4028" t="s">
        <v>7352</v>
      </c>
    </row>
    <row r="12" spans="1:7" ht="25.5" customHeight="1">
      <c r="A12" s="4025" t="s">
        <v>7353</v>
      </c>
      <c r="B12" s="4025"/>
      <c r="C12" s="2507"/>
      <c r="D12" s="4025"/>
      <c r="E12" s="4025"/>
      <c r="F12" s="4026"/>
      <c r="G12" s="4029"/>
    </row>
    <row r="13" spans="1:7" ht="25.5" customHeight="1">
      <c r="A13" s="4025" t="s">
        <v>7354</v>
      </c>
      <c r="B13" s="4025"/>
      <c r="C13" s="2517" t="s">
        <v>7341</v>
      </c>
      <c r="D13" s="4025" t="s">
        <v>7342</v>
      </c>
      <c r="E13" s="4025"/>
      <c r="F13" s="2517" t="s">
        <v>7343</v>
      </c>
      <c r="G13" s="4029"/>
    </row>
    <row r="14" spans="1:7" ht="25.5" customHeight="1">
      <c r="A14" s="4025" t="s">
        <v>1256</v>
      </c>
      <c r="B14" s="4025"/>
      <c r="C14" s="2552"/>
      <c r="D14" s="4030"/>
      <c r="E14" s="4030"/>
      <c r="F14" s="2552"/>
      <c r="G14" s="4029"/>
    </row>
    <row r="15" spans="1:7" ht="25.5" customHeight="1">
      <c r="A15" s="4025" t="s">
        <v>7264</v>
      </c>
      <c r="B15" s="4025"/>
      <c r="C15" s="2552"/>
      <c r="D15" s="4027"/>
      <c r="E15" s="4027"/>
      <c r="F15" s="2552"/>
      <c r="G15" s="4029"/>
    </row>
    <row r="16" spans="1:7" ht="25.5" customHeight="1">
      <c r="A16" s="4025" t="s">
        <v>7355</v>
      </c>
      <c r="B16" s="4025"/>
      <c r="C16" s="2551"/>
      <c r="D16" s="4025" t="s">
        <v>7356</v>
      </c>
      <c r="E16" s="4025"/>
      <c r="F16" s="2552"/>
    </row>
    <row r="17" spans="1:6" ht="25.5" customHeight="1">
      <c r="A17" s="4025" t="s">
        <v>7317</v>
      </c>
      <c r="B17" s="4025"/>
      <c r="C17" s="2551"/>
      <c r="D17" s="4025" t="s">
        <v>7318</v>
      </c>
      <c r="E17" s="4025"/>
      <c r="F17" s="2551"/>
    </row>
    <row r="18" spans="1:6" ht="25.5" customHeight="1">
      <c r="A18" s="4025" t="s">
        <v>7319</v>
      </c>
      <c r="B18" s="4025"/>
      <c r="C18" s="2551"/>
      <c r="D18" s="4025" t="s">
        <v>7320</v>
      </c>
      <c r="E18" s="4025"/>
      <c r="F18" s="2551"/>
    </row>
    <row r="19" spans="1:6" ht="25.5" customHeight="1">
      <c r="A19" s="4025" t="s">
        <v>7267</v>
      </c>
      <c r="B19" s="4025"/>
      <c r="C19" s="4025"/>
      <c r="D19" s="4027"/>
      <c r="E19" s="4027"/>
      <c r="F19" s="4027"/>
    </row>
    <row r="20" spans="1:6" ht="25.5" customHeight="1">
      <c r="A20" s="4025" t="s">
        <v>7357</v>
      </c>
      <c r="B20" s="4025"/>
      <c r="C20" s="2551"/>
      <c r="D20" s="4025" t="s">
        <v>7358</v>
      </c>
      <c r="E20" s="4025"/>
      <c r="F20" s="2551"/>
    </row>
    <row r="21" spans="1:6" ht="25.5" customHeight="1">
      <c r="A21" s="4025" t="s">
        <v>7359</v>
      </c>
      <c r="B21" s="4025"/>
      <c r="C21" s="2551"/>
      <c r="D21" s="4025" t="s">
        <v>7360</v>
      </c>
      <c r="E21" s="4025"/>
      <c r="F21" s="2551"/>
    </row>
    <row r="22" spans="1:6" ht="25.5" customHeight="1">
      <c r="A22" s="4025" t="s">
        <v>7330</v>
      </c>
      <c r="B22" s="4025"/>
      <c r="C22" s="2551"/>
      <c r="D22" s="4025" t="s">
        <v>7331</v>
      </c>
      <c r="E22" s="4025"/>
      <c r="F22" s="2551"/>
    </row>
    <row r="23" spans="1:6" ht="25.5" customHeight="1">
      <c r="A23" s="4025" t="s">
        <v>7361</v>
      </c>
      <c r="B23" s="4025"/>
      <c r="C23" s="4025"/>
      <c r="D23" s="4025"/>
      <c r="E23" s="4025"/>
      <c r="F23" s="4025"/>
    </row>
    <row r="24" spans="1:6" ht="25.5" customHeight="1">
      <c r="A24" s="4025" t="s">
        <v>2586</v>
      </c>
      <c r="B24" s="4025"/>
      <c r="C24" s="4025" t="s">
        <v>284</v>
      </c>
      <c r="D24" s="4025"/>
      <c r="E24" s="2517" t="s">
        <v>7264</v>
      </c>
      <c r="F24" s="2517" t="s">
        <v>1256</v>
      </c>
    </row>
    <row r="25" spans="1:6" ht="25.5" customHeight="1">
      <c r="A25" s="4031"/>
      <c r="B25" s="4031"/>
      <c r="C25" s="4032"/>
      <c r="D25" s="4032"/>
      <c r="E25" s="2552"/>
      <c r="F25" s="2552"/>
    </row>
    <row r="26" spans="1:6" ht="25.5" customHeight="1">
      <c r="A26" s="4031"/>
      <c r="B26" s="4031"/>
      <c r="C26" s="4032"/>
      <c r="D26" s="4032"/>
      <c r="E26" s="2552"/>
      <c r="F26" s="2551"/>
    </row>
    <row r="27" spans="1:6" ht="25.5" customHeight="1">
      <c r="A27" s="2550" t="s">
        <v>7362</v>
      </c>
      <c r="B27" s="4033">
        <f>基本情况!B12</f>
        <v>0</v>
      </c>
      <c r="C27" s="4033"/>
      <c r="D27" s="2550" t="s">
        <v>7363</v>
      </c>
      <c r="E27" s="4033" t="str">
        <f>基本情况!B21</f>
        <v>2017年3月16日</v>
      </c>
      <c r="F27" s="3950"/>
    </row>
  </sheetData>
  <mergeCells count="46">
    <mergeCell ref="A26:B26"/>
    <mergeCell ref="C26:D26"/>
    <mergeCell ref="B27:C27"/>
    <mergeCell ref="E27:F27"/>
    <mergeCell ref="A22:B22"/>
    <mergeCell ref="D22:E22"/>
    <mergeCell ref="A23:F23"/>
    <mergeCell ref="A24:B24"/>
    <mergeCell ref="C24:D24"/>
    <mergeCell ref="A25:B25"/>
    <mergeCell ref="C25:D25"/>
    <mergeCell ref="A19:C19"/>
    <mergeCell ref="D19:F19"/>
    <mergeCell ref="A20:B20"/>
    <mergeCell ref="D20:E20"/>
    <mergeCell ref="A21:B21"/>
    <mergeCell ref="D21:E21"/>
    <mergeCell ref="A18:B18"/>
    <mergeCell ref="D18:E18"/>
    <mergeCell ref="A11:B11"/>
    <mergeCell ref="D11:E12"/>
    <mergeCell ref="F11:F12"/>
    <mergeCell ref="D15:E15"/>
    <mergeCell ref="A16:B16"/>
    <mergeCell ref="D16:E16"/>
    <mergeCell ref="A17:B17"/>
    <mergeCell ref="D17:E17"/>
    <mergeCell ref="G11:G15"/>
    <mergeCell ref="A12:B12"/>
    <mergeCell ref="A13:B13"/>
    <mergeCell ref="D13:E13"/>
    <mergeCell ref="A14:B14"/>
    <mergeCell ref="D14:E14"/>
    <mergeCell ref="A15:B15"/>
    <mergeCell ref="A5:B5"/>
    <mergeCell ref="D5:E5"/>
    <mergeCell ref="A6:B6"/>
    <mergeCell ref="D6:E6"/>
    <mergeCell ref="A7:B7"/>
    <mergeCell ref="D7:E7"/>
    <mergeCell ref="A1:F1"/>
    <mergeCell ref="A2:F2"/>
    <mergeCell ref="A3:B3"/>
    <mergeCell ref="D3:E4"/>
    <mergeCell ref="F3:F4"/>
    <mergeCell ref="A4:B4"/>
  </mergeCells>
  <phoneticPr fontId="51" type="noConversion"/>
  <pageMargins left="0.78740157480314998" right="0.35433070866141703" top="0.511811023622047" bottom="0.11811023622047198" header="0.511811023622047" footer="0.511811023622047"/>
  <pageSetup paperSize="9" scale="91" orientation="portrait" blackAndWhite="1" r:id="rId1"/>
  <drawing r:id="rId2"/>
</worksheet>
</file>

<file path=xl/worksheets/sheet16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75"/>
  <dimension ref="A1:X23"/>
  <sheetViews>
    <sheetView zoomScaleNormal="100" workbookViewId="0">
      <selection activeCell="D7" sqref="D7"/>
    </sheetView>
  </sheetViews>
  <sheetFormatPr defaultColWidth="8.09765625" defaultRowHeight="12"/>
  <cols>
    <col min="1" max="1" width="8.09765625" style="2474"/>
    <col min="2" max="2" width="4.59765625" style="2474" customWidth="1"/>
    <col min="3" max="3" width="7.5" style="2474" customWidth="1"/>
    <col min="4" max="4" width="8.19921875" style="2474" customWidth="1"/>
    <col min="5" max="5" width="5.69921875" style="2474" customWidth="1"/>
    <col min="6" max="19" width="8.09765625" style="2474"/>
    <col min="20" max="20" width="30.69921875" style="2474" customWidth="1"/>
    <col min="21" max="257" width="8.09765625" style="2474"/>
    <col min="258" max="258" width="4.59765625" style="2474" customWidth="1"/>
    <col min="259" max="259" width="7.5" style="2474" customWidth="1"/>
    <col min="260" max="260" width="6.59765625" style="2474" customWidth="1"/>
    <col min="261" max="261" width="5.69921875" style="2474" customWidth="1"/>
    <col min="262" max="275" width="8.09765625" style="2474"/>
    <col min="276" max="276" width="30.69921875" style="2474" customWidth="1"/>
    <col min="277" max="513" width="8.09765625" style="2474"/>
    <col min="514" max="514" width="4.59765625" style="2474" customWidth="1"/>
    <col min="515" max="515" width="7.5" style="2474" customWidth="1"/>
    <col min="516" max="516" width="6.59765625" style="2474" customWidth="1"/>
    <col min="517" max="517" width="5.69921875" style="2474" customWidth="1"/>
    <col min="518" max="531" width="8.09765625" style="2474"/>
    <col min="532" max="532" width="30.69921875" style="2474" customWidth="1"/>
    <col min="533" max="769" width="8.09765625" style="2474"/>
    <col min="770" max="770" width="4.59765625" style="2474" customWidth="1"/>
    <col min="771" max="771" width="7.5" style="2474" customWidth="1"/>
    <col min="772" max="772" width="6.59765625" style="2474" customWidth="1"/>
    <col min="773" max="773" width="5.69921875" style="2474" customWidth="1"/>
    <col min="774" max="787" width="8.09765625" style="2474"/>
    <col min="788" max="788" width="30.69921875" style="2474" customWidth="1"/>
    <col min="789" max="1025" width="8.09765625" style="2474"/>
    <col min="1026" max="1026" width="4.59765625" style="2474" customWidth="1"/>
    <col min="1027" max="1027" width="7.5" style="2474" customWidth="1"/>
    <col min="1028" max="1028" width="6.59765625" style="2474" customWidth="1"/>
    <col min="1029" max="1029" width="5.69921875" style="2474" customWidth="1"/>
    <col min="1030" max="1043" width="8.09765625" style="2474"/>
    <col min="1044" max="1044" width="30.69921875" style="2474" customWidth="1"/>
    <col min="1045" max="1281" width="8.09765625" style="2474"/>
    <col min="1282" max="1282" width="4.59765625" style="2474" customWidth="1"/>
    <col min="1283" max="1283" width="7.5" style="2474" customWidth="1"/>
    <col min="1284" max="1284" width="6.59765625" style="2474" customWidth="1"/>
    <col min="1285" max="1285" width="5.69921875" style="2474" customWidth="1"/>
    <col min="1286" max="1299" width="8.09765625" style="2474"/>
    <col min="1300" max="1300" width="30.69921875" style="2474" customWidth="1"/>
    <col min="1301" max="1537" width="8.09765625" style="2474"/>
    <col min="1538" max="1538" width="4.59765625" style="2474" customWidth="1"/>
    <col min="1539" max="1539" width="7.5" style="2474" customWidth="1"/>
    <col min="1540" max="1540" width="6.59765625" style="2474" customWidth="1"/>
    <col min="1541" max="1541" width="5.69921875" style="2474" customWidth="1"/>
    <col min="1542" max="1555" width="8.09765625" style="2474"/>
    <col min="1556" max="1556" width="30.69921875" style="2474" customWidth="1"/>
    <col min="1557" max="1793" width="8.09765625" style="2474"/>
    <col min="1794" max="1794" width="4.59765625" style="2474" customWidth="1"/>
    <col min="1795" max="1795" width="7.5" style="2474" customWidth="1"/>
    <col min="1796" max="1796" width="6.59765625" style="2474" customWidth="1"/>
    <col min="1797" max="1797" width="5.69921875" style="2474" customWidth="1"/>
    <col min="1798" max="1811" width="8.09765625" style="2474"/>
    <col min="1812" max="1812" width="30.69921875" style="2474" customWidth="1"/>
    <col min="1813" max="2049" width="8.09765625" style="2474"/>
    <col min="2050" max="2050" width="4.59765625" style="2474" customWidth="1"/>
    <col min="2051" max="2051" width="7.5" style="2474" customWidth="1"/>
    <col min="2052" max="2052" width="6.59765625" style="2474" customWidth="1"/>
    <col min="2053" max="2053" width="5.69921875" style="2474" customWidth="1"/>
    <col min="2054" max="2067" width="8.09765625" style="2474"/>
    <col min="2068" max="2068" width="30.69921875" style="2474" customWidth="1"/>
    <col min="2069" max="2305" width="8.09765625" style="2474"/>
    <col min="2306" max="2306" width="4.59765625" style="2474" customWidth="1"/>
    <col min="2307" max="2307" width="7.5" style="2474" customWidth="1"/>
    <col min="2308" max="2308" width="6.59765625" style="2474" customWidth="1"/>
    <col min="2309" max="2309" width="5.69921875" style="2474" customWidth="1"/>
    <col min="2310" max="2323" width="8.09765625" style="2474"/>
    <col min="2324" max="2324" width="30.69921875" style="2474" customWidth="1"/>
    <col min="2325" max="2561" width="8.09765625" style="2474"/>
    <col min="2562" max="2562" width="4.59765625" style="2474" customWidth="1"/>
    <col min="2563" max="2563" width="7.5" style="2474" customWidth="1"/>
    <col min="2564" max="2564" width="6.59765625" style="2474" customWidth="1"/>
    <col min="2565" max="2565" width="5.69921875" style="2474" customWidth="1"/>
    <col min="2566" max="2579" width="8.09765625" style="2474"/>
    <col min="2580" max="2580" width="30.69921875" style="2474" customWidth="1"/>
    <col min="2581" max="2817" width="8.09765625" style="2474"/>
    <col min="2818" max="2818" width="4.59765625" style="2474" customWidth="1"/>
    <col min="2819" max="2819" width="7.5" style="2474" customWidth="1"/>
    <col min="2820" max="2820" width="6.59765625" style="2474" customWidth="1"/>
    <col min="2821" max="2821" width="5.69921875" style="2474" customWidth="1"/>
    <col min="2822" max="2835" width="8.09765625" style="2474"/>
    <col min="2836" max="2836" width="30.69921875" style="2474" customWidth="1"/>
    <col min="2837" max="3073" width="8.09765625" style="2474"/>
    <col min="3074" max="3074" width="4.59765625" style="2474" customWidth="1"/>
    <col min="3075" max="3075" width="7.5" style="2474" customWidth="1"/>
    <col min="3076" max="3076" width="6.59765625" style="2474" customWidth="1"/>
    <col min="3077" max="3077" width="5.69921875" style="2474" customWidth="1"/>
    <col min="3078" max="3091" width="8.09765625" style="2474"/>
    <col min="3092" max="3092" width="30.69921875" style="2474" customWidth="1"/>
    <col min="3093" max="3329" width="8.09765625" style="2474"/>
    <col min="3330" max="3330" width="4.59765625" style="2474" customWidth="1"/>
    <col min="3331" max="3331" width="7.5" style="2474" customWidth="1"/>
    <col min="3332" max="3332" width="6.59765625" style="2474" customWidth="1"/>
    <col min="3333" max="3333" width="5.69921875" style="2474" customWidth="1"/>
    <col min="3334" max="3347" width="8.09765625" style="2474"/>
    <col min="3348" max="3348" width="30.69921875" style="2474" customWidth="1"/>
    <col min="3349" max="3585" width="8.09765625" style="2474"/>
    <col min="3586" max="3586" width="4.59765625" style="2474" customWidth="1"/>
    <col min="3587" max="3587" width="7.5" style="2474" customWidth="1"/>
    <col min="3588" max="3588" width="6.59765625" style="2474" customWidth="1"/>
    <col min="3589" max="3589" width="5.69921875" style="2474" customWidth="1"/>
    <col min="3590" max="3603" width="8.09765625" style="2474"/>
    <col min="3604" max="3604" width="30.69921875" style="2474" customWidth="1"/>
    <col min="3605" max="3841" width="8.09765625" style="2474"/>
    <col min="3842" max="3842" width="4.59765625" style="2474" customWidth="1"/>
    <col min="3843" max="3843" width="7.5" style="2474" customWidth="1"/>
    <col min="3844" max="3844" width="6.59765625" style="2474" customWidth="1"/>
    <col min="3845" max="3845" width="5.69921875" style="2474" customWidth="1"/>
    <col min="3846" max="3859" width="8.09765625" style="2474"/>
    <col min="3860" max="3860" width="30.69921875" style="2474" customWidth="1"/>
    <col min="3861" max="4097" width="8.09765625" style="2474"/>
    <col min="4098" max="4098" width="4.59765625" style="2474" customWidth="1"/>
    <col min="4099" max="4099" width="7.5" style="2474" customWidth="1"/>
    <col min="4100" max="4100" width="6.59765625" style="2474" customWidth="1"/>
    <col min="4101" max="4101" width="5.69921875" style="2474" customWidth="1"/>
    <col min="4102" max="4115" width="8.09765625" style="2474"/>
    <col min="4116" max="4116" width="30.69921875" style="2474" customWidth="1"/>
    <col min="4117" max="4353" width="8.09765625" style="2474"/>
    <col min="4354" max="4354" width="4.59765625" style="2474" customWidth="1"/>
    <col min="4355" max="4355" width="7.5" style="2474" customWidth="1"/>
    <col min="4356" max="4356" width="6.59765625" style="2474" customWidth="1"/>
    <col min="4357" max="4357" width="5.69921875" style="2474" customWidth="1"/>
    <col min="4358" max="4371" width="8.09765625" style="2474"/>
    <col min="4372" max="4372" width="30.69921875" style="2474" customWidth="1"/>
    <col min="4373" max="4609" width="8.09765625" style="2474"/>
    <col min="4610" max="4610" width="4.59765625" style="2474" customWidth="1"/>
    <col min="4611" max="4611" width="7.5" style="2474" customWidth="1"/>
    <col min="4612" max="4612" width="6.59765625" style="2474" customWidth="1"/>
    <col min="4613" max="4613" width="5.69921875" style="2474" customWidth="1"/>
    <col min="4614" max="4627" width="8.09765625" style="2474"/>
    <col min="4628" max="4628" width="30.69921875" style="2474" customWidth="1"/>
    <col min="4629" max="4865" width="8.09765625" style="2474"/>
    <col min="4866" max="4866" width="4.59765625" style="2474" customWidth="1"/>
    <col min="4867" max="4867" width="7.5" style="2474" customWidth="1"/>
    <col min="4868" max="4868" width="6.59765625" style="2474" customWidth="1"/>
    <col min="4869" max="4869" width="5.69921875" style="2474" customWidth="1"/>
    <col min="4870" max="4883" width="8.09765625" style="2474"/>
    <col min="4884" max="4884" width="30.69921875" style="2474" customWidth="1"/>
    <col min="4885" max="5121" width="8.09765625" style="2474"/>
    <col min="5122" max="5122" width="4.59765625" style="2474" customWidth="1"/>
    <col min="5123" max="5123" width="7.5" style="2474" customWidth="1"/>
    <col min="5124" max="5124" width="6.59765625" style="2474" customWidth="1"/>
    <col min="5125" max="5125" width="5.69921875" style="2474" customWidth="1"/>
    <col min="5126" max="5139" width="8.09765625" style="2474"/>
    <col min="5140" max="5140" width="30.69921875" style="2474" customWidth="1"/>
    <col min="5141" max="5377" width="8.09765625" style="2474"/>
    <col min="5378" max="5378" width="4.59765625" style="2474" customWidth="1"/>
    <col min="5379" max="5379" width="7.5" style="2474" customWidth="1"/>
    <col min="5380" max="5380" width="6.59765625" style="2474" customWidth="1"/>
    <col min="5381" max="5381" width="5.69921875" style="2474" customWidth="1"/>
    <col min="5382" max="5395" width="8.09765625" style="2474"/>
    <col min="5396" max="5396" width="30.69921875" style="2474" customWidth="1"/>
    <col min="5397" max="5633" width="8.09765625" style="2474"/>
    <col min="5634" max="5634" width="4.59765625" style="2474" customWidth="1"/>
    <col min="5635" max="5635" width="7.5" style="2474" customWidth="1"/>
    <col min="5636" max="5636" width="6.59765625" style="2474" customWidth="1"/>
    <col min="5637" max="5637" width="5.69921875" style="2474" customWidth="1"/>
    <col min="5638" max="5651" width="8.09765625" style="2474"/>
    <col min="5652" max="5652" width="30.69921875" style="2474" customWidth="1"/>
    <col min="5653" max="5889" width="8.09765625" style="2474"/>
    <col min="5890" max="5890" width="4.59765625" style="2474" customWidth="1"/>
    <col min="5891" max="5891" width="7.5" style="2474" customWidth="1"/>
    <col min="5892" max="5892" width="6.59765625" style="2474" customWidth="1"/>
    <col min="5893" max="5893" width="5.69921875" style="2474" customWidth="1"/>
    <col min="5894" max="5907" width="8.09765625" style="2474"/>
    <col min="5908" max="5908" width="30.69921875" style="2474" customWidth="1"/>
    <col min="5909" max="6145" width="8.09765625" style="2474"/>
    <col min="6146" max="6146" width="4.59765625" style="2474" customWidth="1"/>
    <col min="6147" max="6147" width="7.5" style="2474" customWidth="1"/>
    <col min="6148" max="6148" width="6.59765625" style="2474" customWidth="1"/>
    <col min="6149" max="6149" width="5.69921875" style="2474" customWidth="1"/>
    <col min="6150" max="6163" width="8.09765625" style="2474"/>
    <col min="6164" max="6164" width="30.69921875" style="2474" customWidth="1"/>
    <col min="6165" max="6401" width="8.09765625" style="2474"/>
    <col min="6402" max="6402" width="4.59765625" style="2474" customWidth="1"/>
    <col min="6403" max="6403" width="7.5" style="2474" customWidth="1"/>
    <col min="6404" max="6404" width="6.59765625" style="2474" customWidth="1"/>
    <col min="6405" max="6405" width="5.69921875" style="2474" customWidth="1"/>
    <col min="6406" max="6419" width="8.09765625" style="2474"/>
    <col min="6420" max="6420" width="30.69921875" style="2474" customWidth="1"/>
    <col min="6421" max="6657" width="8.09765625" style="2474"/>
    <col min="6658" max="6658" width="4.59765625" style="2474" customWidth="1"/>
    <col min="6659" max="6659" width="7.5" style="2474" customWidth="1"/>
    <col min="6660" max="6660" width="6.59765625" style="2474" customWidth="1"/>
    <col min="6661" max="6661" width="5.69921875" style="2474" customWidth="1"/>
    <col min="6662" max="6675" width="8.09765625" style="2474"/>
    <col min="6676" max="6676" width="30.69921875" style="2474" customWidth="1"/>
    <col min="6677" max="6913" width="8.09765625" style="2474"/>
    <col min="6914" max="6914" width="4.59765625" style="2474" customWidth="1"/>
    <col min="6915" max="6915" width="7.5" style="2474" customWidth="1"/>
    <col min="6916" max="6916" width="6.59765625" style="2474" customWidth="1"/>
    <col min="6917" max="6917" width="5.69921875" style="2474" customWidth="1"/>
    <col min="6918" max="6931" width="8.09765625" style="2474"/>
    <col min="6932" max="6932" width="30.69921875" style="2474" customWidth="1"/>
    <col min="6933" max="7169" width="8.09765625" style="2474"/>
    <col min="7170" max="7170" width="4.59765625" style="2474" customWidth="1"/>
    <col min="7171" max="7171" width="7.5" style="2474" customWidth="1"/>
    <col min="7172" max="7172" width="6.59765625" style="2474" customWidth="1"/>
    <col min="7173" max="7173" width="5.69921875" style="2474" customWidth="1"/>
    <col min="7174" max="7187" width="8.09765625" style="2474"/>
    <col min="7188" max="7188" width="30.69921875" style="2474" customWidth="1"/>
    <col min="7189" max="7425" width="8.09765625" style="2474"/>
    <col min="7426" max="7426" width="4.59765625" style="2474" customWidth="1"/>
    <col min="7427" max="7427" width="7.5" style="2474" customWidth="1"/>
    <col min="7428" max="7428" width="6.59765625" style="2474" customWidth="1"/>
    <col min="7429" max="7429" width="5.69921875" style="2474" customWidth="1"/>
    <col min="7430" max="7443" width="8.09765625" style="2474"/>
    <col min="7444" max="7444" width="30.69921875" style="2474" customWidth="1"/>
    <col min="7445" max="7681" width="8.09765625" style="2474"/>
    <col min="7682" max="7682" width="4.59765625" style="2474" customWidth="1"/>
    <col min="7683" max="7683" width="7.5" style="2474" customWidth="1"/>
    <col min="7684" max="7684" width="6.59765625" style="2474" customWidth="1"/>
    <col min="7685" max="7685" width="5.69921875" style="2474" customWidth="1"/>
    <col min="7686" max="7699" width="8.09765625" style="2474"/>
    <col min="7700" max="7700" width="30.69921875" style="2474" customWidth="1"/>
    <col min="7701" max="7937" width="8.09765625" style="2474"/>
    <col min="7938" max="7938" width="4.59765625" style="2474" customWidth="1"/>
    <col min="7939" max="7939" width="7.5" style="2474" customWidth="1"/>
    <col min="7940" max="7940" width="6.59765625" style="2474" customWidth="1"/>
    <col min="7941" max="7941" width="5.69921875" style="2474" customWidth="1"/>
    <col min="7942" max="7955" width="8.09765625" style="2474"/>
    <col min="7956" max="7956" width="30.69921875" style="2474" customWidth="1"/>
    <col min="7957" max="8193" width="8.09765625" style="2474"/>
    <col min="8194" max="8194" width="4.59765625" style="2474" customWidth="1"/>
    <col min="8195" max="8195" width="7.5" style="2474" customWidth="1"/>
    <col min="8196" max="8196" width="6.59765625" style="2474" customWidth="1"/>
    <col min="8197" max="8197" width="5.69921875" style="2474" customWidth="1"/>
    <col min="8198" max="8211" width="8.09765625" style="2474"/>
    <col min="8212" max="8212" width="30.69921875" style="2474" customWidth="1"/>
    <col min="8213" max="8449" width="8.09765625" style="2474"/>
    <col min="8450" max="8450" width="4.59765625" style="2474" customWidth="1"/>
    <col min="8451" max="8451" width="7.5" style="2474" customWidth="1"/>
    <col min="8452" max="8452" width="6.59765625" style="2474" customWidth="1"/>
    <col min="8453" max="8453" width="5.69921875" style="2474" customWidth="1"/>
    <col min="8454" max="8467" width="8.09765625" style="2474"/>
    <col min="8468" max="8468" width="30.69921875" style="2474" customWidth="1"/>
    <col min="8469" max="8705" width="8.09765625" style="2474"/>
    <col min="8706" max="8706" width="4.59765625" style="2474" customWidth="1"/>
    <col min="8707" max="8707" width="7.5" style="2474" customWidth="1"/>
    <col min="8708" max="8708" width="6.59765625" style="2474" customWidth="1"/>
    <col min="8709" max="8709" width="5.69921875" style="2474" customWidth="1"/>
    <col min="8710" max="8723" width="8.09765625" style="2474"/>
    <col min="8724" max="8724" width="30.69921875" style="2474" customWidth="1"/>
    <col min="8725" max="8961" width="8.09765625" style="2474"/>
    <col min="8962" max="8962" width="4.59765625" style="2474" customWidth="1"/>
    <col min="8963" max="8963" width="7.5" style="2474" customWidth="1"/>
    <col min="8964" max="8964" width="6.59765625" style="2474" customWidth="1"/>
    <col min="8965" max="8965" width="5.69921875" style="2474" customWidth="1"/>
    <col min="8966" max="8979" width="8.09765625" style="2474"/>
    <col min="8980" max="8980" width="30.69921875" style="2474" customWidth="1"/>
    <col min="8981" max="9217" width="8.09765625" style="2474"/>
    <col min="9218" max="9218" width="4.59765625" style="2474" customWidth="1"/>
    <col min="9219" max="9219" width="7.5" style="2474" customWidth="1"/>
    <col min="9220" max="9220" width="6.59765625" style="2474" customWidth="1"/>
    <col min="9221" max="9221" width="5.69921875" style="2474" customWidth="1"/>
    <col min="9222" max="9235" width="8.09765625" style="2474"/>
    <col min="9236" max="9236" width="30.69921875" style="2474" customWidth="1"/>
    <col min="9237" max="9473" width="8.09765625" style="2474"/>
    <col min="9474" max="9474" width="4.59765625" style="2474" customWidth="1"/>
    <col min="9475" max="9475" width="7.5" style="2474" customWidth="1"/>
    <col min="9476" max="9476" width="6.59765625" style="2474" customWidth="1"/>
    <col min="9477" max="9477" width="5.69921875" style="2474" customWidth="1"/>
    <col min="9478" max="9491" width="8.09765625" style="2474"/>
    <col min="9492" max="9492" width="30.69921875" style="2474" customWidth="1"/>
    <col min="9493" max="9729" width="8.09765625" style="2474"/>
    <col min="9730" max="9730" width="4.59765625" style="2474" customWidth="1"/>
    <col min="9731" max="9731" width="7.5" style="2474" customWidth="1"/>
    <col min="9732" max="9732" width="6.59765625" style="2474" customWidth="1"/>
    <col min="9733" max="9733" width="5.69921875" style="2474" customWidth="1"/>
    <col min="9734" max="9747" width="8.09765625" style="2474"/>
    <col min="9748" max="9748" width="30.69921875" style="2474" customWidth="1"/>
    <col min="9749" max="9985" width="8.09765625" style="2474"/>
    <col min="9986" max="9986" width="4.59765625" style="2474" customWidth="1"/>
    <col min="9987" max="9987" width="7.5" style="2474" customWidth="1"/>
    <col min="9988" max="9988" width="6.59765625" style="2474" customWidth="1"/>
    <col min="9989" max="9989" width="5.69921875" style="2474" customWidth="1"/>
    <col min="9990" max="10003" width="8.09765625" style="2474"/>
    <col min="10004" max="10004" width="30.69921875" style="2474" customWidth="1"/>
    <col min="10005" max="10241" width="8.09765625" style="2474"/>
    <col min="10242" max="10242" width="4.59765625" style="2474" customWidth="1"/>
    <col min="10243" max="10243" width="7.5" style="2474" customWidth="1"/>
    <col min="10244" max="10244" width="6.59765625" style="2474" customWidth="1"/>
    <col min="10245" max="10245" width="5.69921875" style="2474" customWidth="1"/>
    <col min="10246" max="10259" width="8.09765625" style="2474"/>
    <col min="10260" max="10260" width="30.69921875" style="2474" customWidth="1"/>
    <col min="10261" max="10497" width="8.09765625" style="2474"/>
    <col min="10498" max="10498" width="4.59765625" style="2474" customWidth="1"/>
    <col min="10499" max="10499" width="7.5" style="2474" customWidth="1"/>
    <col min="10500" max="10500" width="6.59765625" style="2474" customWidth="1"/>
    <col min="10501" max="10501" width="5.69921875" style="2474" customWidth="1"/>
    <col min="10502" max="10515" width="8.09765625" style="2474"/>
    <col min="10516" max="10516" width="30.69921875" style="2474" customWidth="1"/>
    <col min="10517" max="10753" width="8.09765625" style="2474"/>
    <col min="10754" max="10754" width="4.59765625" style="2474" customWidth="1"/>
    <col min="10755" max="10755" width="7.5" style="2474" customWidth="1"/>
    <col min="10756" max="10756" width="6.59765625" style="2474" customWidth="1"/>
    <col min="10757" max="10757" width="5.69921875" style="2474" customWidth="1"/>
    <col min="10758" max="10771" width="8.09765625" style="2474"/>
    <col min="10772" max="10772" width="30.69921875" style="2474" customWidth="1"/>
    <col min="10773" max="11009" width="8.09765625" style="2474"/>
    <col min="11010" max="11010" width="4.59765625" style="2474" customWidth="1"/>
    <col min="11011" max="11011" width="7.5" style="2474" customWidth="1"/>
    <col min="11012" max="11012" width="6.59765625" style="2474" customWidth="1"/>
    <col min="11013" max="11013" width="5.69921875" style="2474" customWidth="1"/>
    <col min="11014" max="11027" width="8.09765625" style="2474"/>
    <col min="11028" max="11028" width="30.69921875" style="2474" customWidth="1"/>
    <col min="11029" max="11265" width="8.09765625" style="2474"/>
    <col min="11266" max="11266" width="4.59765625" style="2474" customWidth="1"/>
    <col min="11267" max="11267" width="7.5" style="2474" customWidth="1"/>
    <col min="11268" max="11268" width="6.59765625" style="2474" customWidth="1"/>
    <col min="11269" max="11269" width="5.69921875" style="2474" customWidth="1"/>
    <col min="11270" max="11283" width="8.09765625" style="2474"/>
    <col min="11284" max="11284" width="30.69921875" style="2474" customWidth="1"/>
    <col min="11285" max="11521" width="8.09765625" style="2474"/>
    <col min="11522" max="11522" width="4.59765625" style="2474" customWidth="1"/>
    <col min="11523" max="11523" width="7.5" style="2474" customWidth="1"/>
    <col min="11524" max="11524" width="6.59765625" style="2474" customWidth="1"/>
    <col min="11525" max="11525" width="5.69921875" style="2474" customWidth="1"/>
    <col min="11526" max="11539" width="8.09765625" style="2474"/>
    <col min="11540" max="11540" width="30.69921875" style="2474" customWidth="1"/>
    <col min="11541" max="11777" width="8.09765625" style="2474"/>
    <col min="11778" max="11778" width="4.59765625" style="2474" customWidth="1"/>
    <col min="11779" max="11779" width="7.5" style="2474" customWidth="1"/>
    <col min="11780" max="11780" width="6.59765625" style="2474" customWidth="1"/>
    <col min="11781" max="11781" width="5.69921875" style="2474" customWidth="1"/>
    <col min="11782" max="11795" width="8.09765625" style="2474"/>
    <col min="11796" max="11796" width="30.69921875" style="2474" customWidth="1"/>
    <col min="11797" max="12033" width="8.09765625" style="2474"/>
    <col min="12034" max="12034" width="4.59765625" style="2474" customWidth="1"/>
    <col min="12035" max="12035" width="7.5" style="2474" customWidth="1"/>
    <col min="12036" max="12036" width="6.59765625" style="2474" customWidth="1"/>
    <col min="12037" max="12037" width="5.69921875" style="2474" customWidth="1"/>
    <col min="12038" max="12051" width="8.09765625" style="2474"/>
    <col min="12052" max="12052" width="30.69921875" style="2474" customWidth="1"/>
    <col min="12053" max="12289" width="8.09765625" style="2474"/>
    <col min="12290" max="12290" width="4.59765625" style="2474" customWidth="1"/>
    <col min="12291" max="12291" width="7.5" style="2474" customWidth="1"/>
    <col min="12292" max="12292" width="6.59765625" style="2474" customWidth="1"/>
    <col min="12293" max="12293" width="5.69921875" style="2474" customWidth="1"/>
    <col min="12294" max="12307" width="8.09765625" style="2474"/>
    <col min="12308" max="12308" width="30.69921875" style="2474" customWidth="1"/>
    <col min="12309" max="12545" width="8.09765625" style="2474"/>
    <col min="12546" max="12546" width="4.59765625" style="2474" customWidth="1"/>
    <col min="12547" max="12547" width="7.5" style="2474" customWidth="1"/>
    <col min="12548" max="12548" width="6.59765625" style="2474" customWidth="1"/>
    <col min="12549" max="12549" width="5.69921875" style="2474" customWidth="1"/>
    <col min="12550" max="12563" width="8.09765625" style="2474"/>
    <col min="12564" max="12564" width="30.69921875" style="2474" customWidth="1"/>
    <col min="12565" max="12801" width="8.09765625" style="2474"/>
    <col min="12802" max="12802" width="4.59765625" style="2474" customWidth="1"/>
    <col min="12803" max="12803" width="7.5" style="2474" customWidth="1"/>
    <col min="12804" max="12804" width="6.59765625" style="2474" customWidth="1"/>
    <col min="12805" max="12805" width="5.69921875" style="2474" customWidth="1"/>
    <col min="12806" max="12819" width="8.09765625" style="2474"/>
    <col min="12820" max="12820" width="30.69921875" style="2474" customWidth="1"/>
    <col min="12821" max="13057" width="8.09765625" style="2474"/>
    <col min="13058" max="13058" width="4.59765625" style="2474" customWidth="1"/>
    <col min="13059" max="13059" width="7.5" style="2474" customWidth="1"/>
    <col min="13060" max="13060" width="6.59765625" style="2474" customWidth="1"/>
    <col min="13061" max="13061" width="5.69921875" style="2474" customWidth="1"/>
    <col min="13062" max="13075" width="8.09765625" style="2474"/>
    <col min="13076" max="13076" width="30.69921875" style="2474" customWidth="1"/>
    <col min="13077" max="13313" width="8.09765625" style="2474"/>
    <col min="13314" max="13314" width="4.59765625" style="2474" customWidth="1"/>
    <col min="13315" max="13315" width="7.5" style="2474" customWidth="1"/>
    <col min="13316" max="13316" width="6.59765625" style="2474" customWidth="1"/>
    <col min="13317" max="13317" width="5.69921875" style="2474" customWidth="1"/>
    <col min="13318" max="13331" width="8.09765625" style="2474"/>
    <col min="13332" max="13332" width="30.69921875" style="2474" customWidth="1"/>
    <col min="13333" max="13569" width="8.09765625" style="2474"/>
    <col min="13570" max="13570" width="4.59765625" style="2474" customWidth="1"/>
    <col min="13571" max="13571" width="7.5" style="2474" customWidth="1"/>
    <col min="13572" max="13572" width="6.59765625" style="2474" customWidth="1"/>
    <col min="13573" max="13573" width="5.69921875" style="2474" customWidth="1"/>
    <col min="13574" max="13587" width="8.09765625" style="2474"/>
    <col min="13588" max="13588" width="30.69921875" style="2474" customWidth="1"/>
    <col min="13589" max="13825" width="8.09765625" style="2474"/>
    <col min="13826" max="13826" width="4.59765625" style="2474" customWidth="1"/>
    <col min="13827" max="13827" width="7.5" style="2474" customWidth="1"/>
    <col min="13828" max="13828" width="6.59765625" style="2474" customWidth="1"/>
    <col min="13829" max="13829" width="5.69921875" style="2474" customWidth="1"/>
    <col min="13830" max="13843" width="8.09765625" style="2474"/>
    <col min="13844" max="13844" width="30.69921875" style="2474" customWidth="1"/>
    <col min="13845" max="14081" width="8.09765625" style="2474"/>
    <col min="14082" max="14082" width="4.59765625" style="2474" customWidth="1"/>
    <col min="14083" max="14083" width="7.5" style="2474" customWidth="1"/>
    <col min="14084" max="14084" width="6.59765625" style="2474" customWidth="1"/>
    <col min="14085" max="14085" width="5.69921875" style="2474" customWidth="1"/>
    <col min="14086" max="14099" width="8.09765625" style="2474"/>
    <col min="14100" max="14100" width="30.69921875" style="2474" customWidth="1"/>
    <col min="14101" max="14337" width="8.09765625" style="2474"/>
    <col min="14338" max="14338" width="4.59765625" style="2474" customWidth="1"/>
    <col min="14339" max="14339" width="7.5" style="2474" customWidth="1"/>
    <col min="14340" max="14340" width="6.59765625" style="2474" customWidth="1"/>
    <col min="14341" max="14341" width="5.69921875" style="2474" customWidth="1"/>
    <col min="14342" max="14355" width="8.09765625" style="2474"/>
    <col min="14356" max="14356" width="30.69921875" style="2474" customWidth="1"/>
    <col min="14357" max="14593" width="8.09765625" style="2474"/>
    <col min="14594" max="14594" width="4.59765625" style="2474" customWidth="1"/>
    <col min="14595" max="14595" width="7.5" style="2474" customWidth="1"/>
    <col min="14596" max="14596" width="6.59765625" style="2474" customWidth="1"/>
    <col min="14597" max="14597" width="5.69921875" style="2474" customWidth="1"/>
    <col min="14598" max="14611" width="8.09765625" style="2474"/>
    <col min="14612" max="14612" width="30.69921875" style="2474" customWidth="1"/>
    <col min="14613" max="14849" width="8.09765625" style="2474"/>
    <col min="14850" max="14850" width="4.59765625" style="2474" customWidth="1"/>
    <col min="14851" max="14851" width="7.5" style="2474" customWidth="1"/>
    <col min="14852" max="14852" width="6.59765625" style="2474" customWidth="1"/>
    <col min="14853" max="14853" width="5.69921875" style="2474" customWidth="1"/>
    <col min="14854" max="14867" width="8.09765625" style="2474"/>
    <col min="14868" max="14868" width="30.69921875" style="2474" customWidth="1"/>
    <col min="14869" max="15105" width="8.09765625" style="2474"/>
    <col min="15106" max="15106" width="4.59765625" style="2474" customWidth="1"/>
    <col min="15107" max="15107" width="7.5" style="2474" customWidth="1"/>
    <col min="15108" max="15108" width="6.59765625" style="2474" customWidth="1"/>
    <col min="15109" max="15109" width="5.69921875" style="2474" customWidth="1"/>
    <col min="15110" max="15123" width="8.09765625" style="2474"/>
    <col min="15124" max="15124" width="30.69921875" style="2474" customWidth="1"/>
    <col min="15125" max="15361" width="8.09765625" style="2474"/>
    <col min="15362" max="15362" width="4.59765625" style="2474" customWidth="1"/>
    <col min="15363" max="15363" width="7.5" style="2474" customWidth="1"/>
    <col min="15364" max="15364" width="6.59765625" style="2474" customWidth="1"/>
    <col min="15365" max="15365" width="5.69921875" style="2474" customWidth="1"/>
    <col min="15366" max="15379" width="8.09765625" style="2474"/>
    <col min="15380" max="15380" width="30.69921875" style="2474" customWidth="1"/>
    <col min="15381" max="15617" width="8.09765625" style="2474"/>
    <col min="15618" max="15618" width="4.59765625" style="2474" customWidth="1"/>
    <col min="15619" max="15619" width="7.5" style="2474" customWidth="1"/>
    <col min="15620" max="15620" width="6.59765625" style="2474" customWidth="1"/>
    <col min="15621" max="15621" width="5.69921875" style="2474" customWidth="1"/>
    <col min="15622" max="15635" width="8.09765625" style="2474"/>
    <col min="15636" max="15636" width="30.69921875" style="2474" customWidth="1"/>
    <col min="15637" max="15873" width="8.09765625" style="2474"/>
    <col min="15874" max="15874" width="4.59765625" style="2474" customWidth="1"/>
    <col min="15875" max="15875" width="7.5" style="2474" customWidth="1"/>
    <col min="15876" max="15876" width="6.59765625" style="2474" customWidth="1"/>
    <col min="15877" max="15877" width="5.69921875" style="2474" customWidth="1"/>
    <col min="15878" max="15891" width="8.09765625" style="2474"/>
    <col min="15892" max="15892" width="30.69921875" style="2474" customWidth="1"/>
    <col min="15893" max="16129" width="8.09765625" style="2474"/>
    <col min="16130" max="16130" width="4.59765625" style="2474" customWidth="1"/>
    <col min="16131" max="16131" width="7.5" style="2474" customWidth="1"/>
    <col min="16132" max="16132" width="6.59765625" style="2474" customWidth="1"/>
    <col min="16133" max="16133" width="5.69921875" style="2474" customWidth="1"/>
    <col min="16134" max="16147" width="8.09765625" style="2474"/>
    <col min="16148" max="16148" width="30.69921875" style="2474" customWidth="1"/>
    <col min="16149" max="16384" width="8.09765625" style="2474"/>
  </cols>
  <sheetData>
    <row r="1" spans="1:24" ht="15.6">
      <c r="A1" s="2554" t="s">
        <v>7412</v>
      </c>
      <c r="B1" s="2553"/>
      <c r="C1" s="2553"/>
      <c r="D1" s="2553"/>
      <c r="E1" s="2553"/>
      <c r="F1" s="2553"/>
      <c r="G1" s="2553"/>
      <c r="H1" s="2553"/>
      <c r="I1" s="2553"/>
      <c r="J1" s="2553"/>
      <c r="K1" s="2553"/>
      <c r="L1" s="2553"/>
      <c r="M1" s="2553"/>
      <c r="N1" s="2553"/>
      <c r="O1" s="2553"/>
      <c r="P1" s="2553"/>
      <c r="Q1" s="2553"/>
      <c r="R1" s="2553"/>
      <c r="S1" s="2553"/>
      <c r="T1" s="2553"/>
    </row>
    <row r="2" spans="1:24" ht="31.95" customHeight="1">
      <c r="A2" s="2707" t="s">
        <v>7364</v>
      </c>
      <c r="B2" s="2707"/>
      <c r="C2" s="2707"/>
      <c r="D2" s="2707"/>
      <c r="E2" s="2707"/>
      <c r="F2" s="2707"/>
      <c r="G2" s="2707"/>
      <c r="H2" s="2707"/>
      <c r="I2" s="2707"/>
      <c r="J2" s="2707"/>
      <c r="K2" s="2707"/>
      <c r="L2" s="2707"/>
      <c r="M2" s="2707"/>
      <c r="N2" s="2707"/>
      <c r="O2" s="2707"/>
      <c r="P2" s="2707"/>
      <c r="Q2" s="2707"/>
      <c r="R2" s="2707"/>
      <c r="S2" s="2707"/>
      <c r="T2" s="2707"/>
    </row>
    <row r="3" spans="1:24" ht="25.5" customHeight="1">
      <c r="A3" s="3958" t="s">
        <v>646</v>
      </c>
      <c r="B3" s="4014" t="s">
        <v>7365</v>
      </c>
      <c r="C3" s="4014"/>
      <c r="D3" s="4014"/>
      <c r="E3" s="4014"/>
      <c r="F3" s="4014" t="s">
        <v>7366</v>
      </c>
      <c r="G3" s="4014"/>
      <c r="H3" s="4014"/>
      <c r="I3" s="4014" t="s">
        <v>7367</v>
      </c>
      <c r="J3" s="4014"/>
      <c r="K3" s="4014"/>
      <c r="L3" s="4014"/>
      <c r="M3" s="4014"/>
      <c r="N3" s="4014" t="s">
        <v>7368</v>
      </c>
      <c r="O3" s="4014" t="s">
        <v>7369</v>
      </c>
      <c r="P3" s="4014"/>
      <c r="Q3" s="4014"/>
      <c r="R3" s="4014"/>
      <c r="S3" s="4014"/>
      <c r="T3" s="4014" t="s">
        <v>7370</v>
      </c>
    </row>
    <row r="4" spans="1:24" ht="72">
      <c r="A4" s="3958"/>
      <c r="B4" s="2532" t="s">
        <v>7371</v>
      </c>
      <c r="C4" s="2532" t="s">
        <v>1625</v>
      </c>
      <c r="D4" s="2532" t="s">
        <v>1654</v>
      </c>
      <c r="E4" s="2532" t="s">
        <v>7372</v>
      </c>
      <c r="F4" s="2532" t="s">
        <v>7264</v>
      </c>
      <c r="G4" s="2532" t="s">
        <v>7265</v>
      </c>
      <c r="H4" s="2532" t="s">
        <v>1256</v>
      </c>
      <c r="I4" s="2532" t="s">
        <v>7373</v>
      </c>
      <c r="J4" s="2532" t="s">
        <v>7374</v>
      </c>
      <c r="K4" s="2532" t="s">
        <v>7375</v>
      </c>
      <c r="L4" s="2532" t="s">
        <v>7376</v>
      </c>
      <c r="M4" s="2532" t="s">
        <v>7377</v>
      </c>
      <c r="N4" s="4014"/>
      <c r="O4" s="2532" t="s">
        <v>1349</v>
      </c>
      <c r="P4" s="2532" t="s">
        <v>1350</v>
      </c>
      <c r="Q4" s="2532" t="s">
        <v>1351</v>
      </c>
      <c r="R4" s="2532" t="s">
        <v>1352</v>
      </c>
      <c r="S4" s="2522" t="s">
        <v>1353</v>
      </c>
      <c r="T4" s="4014"/>
    </row>
    <row r="5" spans="1:24" ht="59.4" customHeight="1">
      <c r="A5" s="2522"/>
      <c r="B5" s="2522">
        <v>1</v>
      </c>
      <c r="C5" s="2522">
        <v>2</v>
      </c>
      <c r="D5" s="2522">
        <v>3</v>
      </c>
      <c r="E5" s="2522">
        <v>4</v>
      </c>
      <c r="F5" s="2522">
        <v>5</v>
      </c>
      <c r="G5" s="2522">
        <v>6</v>
      </c>
      <c r="H5" s="2522">
        <v>7</v>
      </c>
      <c r="I5" s="2522">
        <v>8</v>
      </c>
      <c r="J5" s="2522">
        <v>9</v>
      </c>
      <c r="K5" s="2522" t="s">
        <v>7378</v>
      </c>
      <c r="L5" s="2522">
        <v>11</v>
      </c>
      <c r="M5" s="2522" t="s">
        <v>7379</v>
      </c>
      <c r="N5" s="2522">
        <v>13</v>
      </c>
      <c r="O5" s="2522">
        <v>14</v>
      </c>
      <c r="P5" s="2522">
        <v>15</v>
      </c>
      <c r="Q5" s="2522">
        <v>16</v>
      </c>
      <c r="R5" s="2522">
        <v>17</v>
      </c>
      <c r="S5" s="2522" t="s">
        <v>7380</v>
      </c>
      <c r="T5" s="2532" t="s">
        <v>7381</v>
      </c>
    </row>
    <row r="6" spans="1:24" ht="25.5" customHeight="1">
      <c r="A6" s="2551"/>
      <c r="B6" s="2506"/>
      <c r="C6" s="2506"/>
      <c r="D6" s="2506"/>
      <c r="E6" s="2506"/>
      <c r="F6" s="2551"/>
      <c r="G6" s="2551"/>
      <c r="H6" s="2551"/>
      <c r="I6" s="2551"/>
      <c r="J6" s="2551"/>
      <c r="K6" s="2551"/>
      <c r="L6" s="2551"/>
      <c r="M6" s="2551"/>
      <c r="N6" s="2551"/>
      <c r="O6" s="2551"/>
      <c r="P6" s="2551"/>
      <c r="Q6" s="2551"/>
      <c r="R6" s="2551"/>
      <c r="S6" s="2551"/>
      <c r="T6" s="2551"/>
    </row>
    <row r="7" spans="1:24" ht="25.5" customHeight="1">
      <c r="A7" s="2551"/>
      <c r="B7" s="2506"/>
      <c r="C7" s="2506"/>
      <c r="D7" s="2506"/>
      <c r="E7" s="2506"/>
      <c r="F7" s="2551"/>
      <c r="G7" s="2551"/>
      <c r="H7" s="2551"/>
      <c r="I7" s="2551"/>
      <c r="J7" s="2551"/>
      <c r="K7" s="2551"/>
      <c r="L7" s="2551"/>
      <c r="M7" s="2551"/>
      <c r="N7" s="2551"/>
      <c r="O7" s="2551"/>
      <c r="P7" s="2551"/>
      <c r="Q7" s="2551"/>
      <c r="R7" s="2551"/>
      <c r="S7" s="2551"/>
      <c r="T7" s="2551"/>
    </row>
    <row r="8" spans="1:24" ht="25.5" customHeight="1">
      <c r="A8" s="2551"/>
      <c r="B8" s="2506"/>
      <c r="C8" s="2506"/>
      <c r="D8" s="2506"/>
      <c r="E8" s="2506"/>
      <c r="F8" s="2551"/>
      <c r="G8" s="2551"/>
      <c r="H8" s="2551"/>
      <c r="I8" s="2551"/>
      <c r="J8" s="2551"/>
      <c r="K8" s="2551"/>
      <c r="L8" s="2551"/>
      <c r="M8" s="2551"/>
      <c r="N8" s="2551"/>
      <c r="O8" s="2551"/>
      <c r="P8" s="2551"/>
      <c r="Q8" s="2551"/>
      <c r="R8" s="2551"/>
      <c r="S8" s="2551"/>
      <c r="T8" s="2551"/>
    </row>
    <row r="9" spans="1:24" ht="25.5" customHeight="1">
      <c r="A9" s="2500" t="s">
        <v>703</v>
      </c>
      <c r="B9" s="2532" t="s">
        <v>7382</v>
      </c>
      <c r="C9" s="2532" t="s">
        <v>7382</v>
      </c>
      <c r="D9" s="2532" t="s">
        <v>7382</v>
      </c>
      <c r="E9" s="2532" t="s">
        <v>7382</v>
      </c>
      <c r="F9" s="2555"/>
      <c r="G9" s="2555"/>
      <c r="H9" s="2555"/>
      <c r="I9" s="2532" t="s">
        <v>7382</v>
      </c>
      <c r="J9" s="2555"/>
      <c r="K9" s="2555"/>
      <c r="L9" s="2532" t="s">
        <v>7382</v>
      </c>
      <c r="M9" s="2532" t="s">
        <v>7382</v>
      </c>
      <c r="N9" s="2555"/>
      <c r="O9" s="2532" t="s">
        <v>7382</v>
      </c>
      <c r="P9" s="2532" t="s">
        <v>7382</v>
      </c>
      <c r="Q9" s="2532" t="s">
        <v>7382</v>
      </c>
      <c r="R9" s="2532" t="s">
        <v>7382</v>
      </c>
      <c r="S9" s="2555"/>
      <c r="T9" s="2555"/>
    </row>
    <row r="10" spans="1:24" s="2480" customFormat="1" ht="25.5" customHeight="1">
      <c r="A10" s="2518" t="s">
        <v>7302</v>
      </c>
      <c r="B10" s="4034">
        <f>基本情况!B12</f>
        <v>0</v>
      </c>
      <c r="C10" s="4035"/>
      <c r="D10" s="2518" t="s">
        <v>7303</v>
      </c>
      <c r="E10" s="4036" t="str">
        <f>基本情况!B21</f>
        <v>2017年3月16日</v>
      </c>
      <c r="F10" s="4035"/>
    </row>
    <row r="11" spans="1:24">
      <c r="J11" s="2486"/>
      <c r="X11" s="2480"/>
    </row>
    <row r="12" spans="1:24">
      <c r="T12" s="2477"/>
      <c r="X12" s="2480"/>
    </row>
    <row r="13" spans="1:24">
      <c r="H13" s="2477"/>
      <c r="X13" s="2480"/>
    </row>
    <row r="14" spans="1:24">
      <c r="X14" s="2480"/>
    </row>
    <row r="15" spans="1:24">
      <c r="X15" s="2480"/>
    </row>
    <row r="16" spans="1:24">
      <c r="X16" s="2480"/>
    </row>
    <row r="17" spans="24:24">
      <c r="X17" s="2480"/>
    </row>
    <row r="18" spans="24:24">
      <c r="X18" s="2480"/>
    </row>
    <row r="19" spans="24:24">
      <c r="X19" s="2480"/>
    </row>
    <row r="20" spans="24:24">
      <c r="X20" s="2480"/>
    </row>
    <row r="21" spans="24:24">
      <c r="X21" s="2480"/>
    </row>
    <row r="22" spans="24:24">
      <c r="X22" s="2480"/>
    </row>
    <row r="23" spans="24:24">
      <c r="X23" s="2480"/>
    </row>
  </sheetData>
  <mergeCells count="10">
    <mergeCell ref="B10:C10"/>
    <mergeCell ref="E10:F10"/>
    <mergeCell ref="A2:T2"/>
    <mergeCell ref="A3:A4"/>
    <mergeCell ref="B3:E3"/>
    <mergeCell ref="F3:H3"/>
    <mergeCell ref="I3:M3"/>
    <mergeCell ref="N3:N4"/>
    <mergeCell ref="O3:S3"/>
    <mergeCell ref="T3:T4"/>
  </mergeCells>
  <phoneticPr fontId="51" type="noConversion"/>
  <pageMargins left="0.78740157480314998" right="0.35433070866141703" top="0.511811023622047" bottom="0.11811023622047198" header="0.511811023622047" footer="0.511811023622047"/>
  <pageSetup paperSize="9" orientation="landscape" blackAndWhite="1" r:id="rId1"/>
</worksheet>
</file>

<file path=xl/worksheets/sheet16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5">
    <pageSetUpPr fitToPage="1"/>
  </sheetPr>
  <dimension ref="A1:J29"/>
  <sheetViews>
    <sheetView zoomScaleNormal="100" workbookViewId="0">
      <selection activeCell="E29" sqref="E29:H29"/>
    </sheetView>
  </sheetViews>
  <sheetFormatPr defaultColWidth="10.59765625" defaultRowHeight="12"/>
  <cols>
    <col min="1" max="2" width="10.59765625" style="2474" customWidth="1"/>
    <col min="3" max="3" width="11.8984375" style="2474" customWidth="1"/>
    <col min="4" max="4" width="11.09765625" style="2474" customWidth="1"/>
    <col min="5" max="5" width="10.59765625" style="2474" customWidth="1"/>
    <col min="6" max="6" width="17.5" style="2474" customWidth="1"/>
    <col min="7" max="7" width="10.59765625" style="2474" customWidth="1"/>
    <col min="8" max="8" width="17.19921875" style="2474" customWidth="1"/>
    <col min="9" max="256" width="10.59765625" style="2474"/>
    <col min="257" max="259" width="10.59765625" style="2474" customWidth="1"/>
    <col min="260" max="260" width="11.09765625" style="2474" customWidth="1"/>
    <col min="261" max="261" width="10.59765625" style="2474" customWidth="1"/>
    <col min="262" max="262" width="17.5" style="2474" customWidth="1"/>
    <col min="263" max="263" width="10.59765625" style="2474" customWidth="1"/>
    <col min="264" max="264" width="17.19921875" style="2474" customWidth="1"/>
    <col min="265" max="512" width="10.59765625" style="2474"/>
    <col min="513" max="515" width="10.59765625" style="2474" customWidth="1"/>
    <col min="516" max="516" width="11.09765625" style="2474" customWidth="1"/>
    <col min="517" max="517" width="10.59765625" style="2474" customWidth="1"/>
    <col min="518" max="518" width="17.5" style="2474" customWidth="1"/>
    <col min="519" max="519" width="10.59765625" style="2474" customWidth="1"/>
    <col min="520" max="520" width="17.19921875" style="2474" customWidth="1"/>
    <col min="521" max="768" width="10.59765625" style="2474"/>
    <col min="769" max="771" width="10.59765625" style="2474" customWidth="1"/>
    <col min="772" max="772" width="11.09765625" style="2474" customWidth="1"/>
    <col min="773" max="773" width="10.59765625" style="2474" customWidth="1"/>
    <col min="774" max="774" width="17.5" style="2474" customWidth="1"/>
    <col min="775" max="775" width="10.59765625" style="2474" customWidth="1"/>
    <col min="776" max="776" width="17.19921875" style="2474" customWidth="1"/>
    <col min="777" max="1024" width="10.59765625" style="2474"/>
    <col min="1025" max="1027" width="10.59765625" style="2474" customWidth="1"/>
    <col min="1028" max="1028" width="11.09765625" style="2474" customWidth="1"/>
    <col min="1029" max="1029" width="10.59765625" style="2474" customWidth="1"/>
    <col min="1030" max="1030" width="17.5" style="2474" customWidth="1"/>
    <col min="1031" max="1031" width="10.59765625" style="2474" customWidth="1"/>
    <col min="1032" max="1032" width="17.19921875" style="2474" customWidth="1"/>
    <col min="1033" max="1280" width="10.59765625" style="2474"/>
    <col min="1281" max="1283" width="10.59765625" style="2474" customWidth="1"/>
    <col min="1284" max="1284" width="11.09765625" style="2474" customWidth="1"/>
    <col min="1285" max="1285" width="10.59765625" style="2474" customWidth="1"/>
    <col min="1286" max="1286" width="17.5" style="2474" customWidth="1"/>
    <col min="1287" max="1287" width="10.59765625" style="2474" customWidth="1"/>
    <col min="1288" max="1288" width="17.19921875" style="2474" customWidth="1"/>
    <col min="1289" max="1536" width="10.59765625" style="2474"/>
    <col min="1537" max="1539" width="10.59765625" style="2474" customWidth="1"/>
    <col min="1540" max="1540" width="11.09765625" style="2474" customWidth="1"/>
    <col min="1541" max="1541" width="10.59765625" style="2474" customWidth="1"/>
    <col min="1542" max="1542" width="17.5" style="2474" customWidth="1"/>
    <col min="1543" max="1543" width="10.59765625" style="2474" customWidth="1"/>
    <col min="1544" max="1544" width="17.19921875" style="2474" customWidth="1"/>
    <col min="1545" max="1792" width="10.59765625" style="2474"/>
    <col min="1793" max="1795" width="10.59765625" style="2474" customWidth="1"/>
    <col min="1796" max="1796" width="11.09765625" style="2474" customWidth="1"/>
    <col min="1797" max="1797" width="10.59765625" style="2474" customWidth="1"/>
    <col min="1798" max="1798" width="17.5" style="2474" customWidth="1"/>
    <col min="1799" max="1799" width="10.59765625" style="2474" customWidth="1"/>
    <col min="1800" max="1800" width="17.19921875" style="2474" customWidth="1"/>
    <col min="1801" max="2048" width="10.59765625" style="2474"/>
    <col min="2049" max="2051" width="10.59765625" style="2474" customWidth="1"/>
    <col min="2052" max="2052" width="11.09765625" style="2474" customWidth="1"/>
    <col min="2053" max="2053" width="10.59765625" style="2474" customWidth="1"/>
    <col min="2054" max="2054" width="17.5" style="2474" customWidth="1"/>
    <col min="2055" max="2055" width="10.59765625" style="2474" customWidth="1"/>
    <col min="2056" max="2056" width="17.19921875" style="2474" customWidth="1"/>
    <col min="2057" max="2304" width="10.59765625" style="2474"/>
    <col min="2305" max="2307" width="10.59765625" style="2474" customWidth="1"/>
    <col min="2308" max="2308" width="11.09765625" style="2474" customWidth="1"/>
    <col min="2309" max="2309" width="10.59765625" style="2474" customWidth="1"/>
    <col min="2310" max="2310" width="17.5" style="2474" customWidth="1"/>
    <col min="2311" max="2311" width="10.59765625" style="2474" customWidth="1"/>
    <col min="2312" max="2312" width="17.19921875" style="2474" customWidth="1"/>
    <col min="2313" max="2560" width="10.59765625" style="2474"/>
    <col min="2561" max="2563" width="10.59765625" style="2474" customWidth="1"/>
    <col min="2564" max="2564" width="11.09765625" style="2474" customWidth="1"/>
    <col min="2565" max="2565" width="10.59765625" style="2474" customWidth="1"/>
    <col min="2566" max="2566" width="17.5" style="2474" customWidth="1"/>
    <col min="2567" max="2567" width="10.59765625" style="2474" customWidth="1"/>
    <col min="2568" max="2568" width="17.19921875" style="2474" customWidth="1"/>
    <col min="2569" max="2816" width="10.59765625" style="2474"/>
    <col min="2817" max="2819" width="10.59765625" style="2474" customWidth="1"/>
    <col min="2820" max="2820" width="11.09765625" style="2474" customWidth="1"/>
    <col min="2821" max="2821" width="10.59765625" style="2474" customWidth="1"/>
    <col min="2822" max="2822" width="17.5" style="2474" customWidth="1"/>
    <col min="2823" max="2823" width="10.59765625" style="2474" customWidth="1"/>
    <col min="2824" max="2824" width="17.19921875" style="2474" customWidth="1"/>
    <col min="2825" max="3072" width="10.59765625" style="2474"/>
    <col min="3073" max="3075" width="10.59765625" style="2474" customWidth="1"/>
    <col min="3076" max="3076" width="11.09765625" style="2474" customWidth="1"/>
    <col min="3077" max="3077" width="10.59765625" style="2474" customWidth="1"/>
    <col min="3078" max="3078" width="17.5" style="2474" customWidth="1"/>
    <col min="3079" max="3079" width="10.59765625" style="2474" customWidth="1"/>
    <col min="3080" max="3080" width="17.19921875" style="2474" customWidth="1"/>
    <col min="3081" max="3328" width="10.59765625" style="2474"/>
    <col min="3329" max="3331" width="10.59765625" style="2474" customWidth="1"/>
    <col min="3332" max="3332" width="11.09765625" style="2474" customWidth="1"/>
    <col min="3333" max="3333" width="10.59765625" style="2474" customWidth="1"/>
    <col min="3334" max="3334" width="17.5" style="2474" customWidth="1"/>
    <col min="3335" max="3335" width="10.59765625" style="2474" customWidth="1"/>
    <col min="3336" max="3336" width="17.19921875" style="2474" customWidth="1"/>
    <col min="3337" max="3584" width="10.59765625" style="2474"/>
    <col min="3585" max="3587" width="10.59765625" style="2474" customWidth="1"/>
    <col min="3588" max="3588" width="11.09765625" style="2474" customWidth="1"/>
    <col min="3589" max="3589" width="10.59765625" style="2474" customWidth="1"/>
    <col min="3590" max="3590" width="17.5" style="2474" customWidth="1"/>
    <col min="3591" max="3591" width="10.59765625" style="2474" customWidth="1"/>
    <col min="3592" max="3592" width="17.19921875" style="2474" customWidth="1"/>
    <col min="3593" max="3840" width="10.59765625" style="2474"/>
    <col min="3841" max="3843" width="10.59765625" style="2474" customWidth="1"/>
    <col min="3844" max="3844" width="11.09765625" style="2474" customWidth="1"/>
    <col min="3845" max="3845" width="10.59765625" style="2474" customWidth="1"/>
    <col min="3846" max="3846" width="17.5" style="2474" customWidth="1"/>
    <col min="3847" max="3847" width="10.59765625" style="2474" customWidth="1"/>
    <col min="3848" max="3848" width="17.19921875" style="2474" customWidth="1"/>
    <col min="3849" max="4096" width="10.59765625" style="2474"/>
    <col min="4097" max="4099" width="10.59765625" style="2474" customWidth="1"/>
    <col min="4100" max="4100" width="11.09765625" style="2474" customWidth="1"/>
    <col min="4101" max="4101" width="10.59765625" style="2474" customWidth="1"/>
    <col min="4102" max="4102" width="17.5" style="2474" customWidth="1"/>
    <col min="4103" max="4103" width="10.59765625" style="2474" customWidth="1"/>
    <col min="4104" max="4104" width="17.19921875" style="2474" customWidth="1"/>
    <col min="4105" max="4352" width="10.59765625" style="2474"/>
    <col min="4353" max="4355" width="10.59765625" style="2474" customWidth="1"/>
    <col min="4356" max="4356" width="11.09765625" style="2474" customWidth="1"/>
    <col min="4357" max="4357" width="10.59765625" style="2474" customWidth="1"/>
    <col min="4358" max="4358" width="17.5" style="2474" customWidth="1"/>
    <col min="4359" max="4359" width="10.59765625" style="2474" customWidth="1"/>
    <col min="4360" max="4360" width="17.19921875" style="2474" customWidth="1"/>
    <col min="4361" max="4608" width="10.59765625" style="2474"/>
    <col min="4609" max="4611" width="10.59765625" style="2474" customWidth="1"/>
    <col min="4612" max="4612" width="11.09765625" style="2474" customWidth="1"/>
    <col min="4613" max="4613" width="10.59765625" style="2474" customWidth="1"/>
    <col min="4614" max="4614" width="17.5" style="2474" customWidth="1"/>
    <col min="4615" max="4615" width="10.59765625" style="2474" customWidth="1"/>
    <col min="4616" max="4616" width="17.19921875" style="2474" customWidth="1"/>
    <col min="4617" max="4864" width="10.59765625" style="2474"/>
    <col min="4865" max="4867" width="10.59765625" style="2474" customWidth="1"/>
    <col min="4868" max="4868" width="11.09765625" style="2474" customWidth="1"/>
    <col min="4869" max="4869" width="10.59765625" style="2474" customWidth="1"/>
    <col min="4870" max="4870" width="17.5" style="2474" customWidth="1"/>
    <col min="4871" max="4871" width="10.59765625" style="2474" customWidth="1"/>
    <col min="4872" max="4872" width="17.19921875" style="2474" customWidth="1"/>
    <col min="4873" max="5120" width="10.59765625" style="2474"/>
    <col min="5121" max="5123" width="10.59765625" style="2474" customWidth="1"/>
    <col min="5124" max="5124" width="11.09765625" style="2474" customWidth="1"/>
    <col min="5125" max="5125" width="10.59765625" style="2474" customWidth="1"/>
    <col min="5126" max="5126" width="17.5" style="2474" customWidth="1"/>
    <col min="5127" max="5127" width="10.59765625" style="2474" customWidth="1"/>
    <col min="5128" max="5128" width="17.19921875" style="2474" customWidth="1"/>
    <col min="5129" max="5376" width="10.59765625" style="2474"/>
    <col min="5377" max="5379" width="10.59765625" style="2474" customWidth="1"/>
    <col min="5380" max="5380" width="11.09765625" style="2474" customWidth="1"/>
    <col min="5381" max="5381" width="10.59765625" style="2474" customWidth="1"/>
    <col min="5382" max="5382" width="17.5" style="2474" customWidth="1"/>
    <col min="5383" max="5383" width="10.59765625" style="2474" customWidth="1"/>
    <col min="5384" max="5384" width="17.19921875" style="2474" customWidth="1"/>
    <col min="5385" max="5632" width="10.59765625" style="2474"/>
    <col min="5633" max="5635" width="10.59765625" style="2474" customWidth="1"/>
    <col min="5636" max="5636" width="11.09765625" style="2474" customWidth="1"/>
    <col min="5637" max="5637" width="10.59765625" style="2474" customWidth="1"/>
    <col min="5638" max="5638" width="17.5" style="2474" customWidth="1"/>
    <col min="5639" max="5639" width="10.59765625" style="2474" customWidth="1"/>
    <col min="5640" max="5640" width="17.19921875" style="2474" customWidth="1"/>
    <col min="5641" max="5888" width="10.59765625" style="2474"/>
    <col min="5889" max="5891" width="10.59765625" style="2474" customWidth="1"/>
    <col min="5892" max="5892" width="11.09765625" style="2474" customWidth="1"/>
    <col min="5893" max="5893" width="10.59765625" style="2474" customWidth="1"/>
    <col min="5894" max="5894" width="17.5" style="2474" customWidth="1"/>
    <col min="5895" max="5895" width="10.59765625" style="2474" customWidth="1"/>
    <col min="5896" max="5896" width="17.19921875" style="2474" customWidth="1"/>
    <col min="5897" max="6144" width="10.59765625" style="2474"/>
    <col min="6145" max="6147" width="10.59765625" style="2474" customWidth="1"/>
    <col min="6148" max="6148" width="11.09765625" style="2474" customWidth="1"/>
    <col min="6149" max="6149" width="10.59765625" style="2474" customWidth="1"/>
    <col min="6150" max="6150" width="17.5" style="2474" customWidth="1"/>
    <col min="6151" max="6151" width="10.59765625" style="2474" customWidth="1"/>
    <col min="6152" max="6152" width="17.19921875" style="2474" customWidth="1"/>
    <col min="6153" max="6400" width="10.59765625" style="2474"/>
    <col min="6401" max="6403" width="10.59765625" style="2474" customWidth="1"/>
    <col min="6404" max="6404" width="11.09765625" style="2474" customWidth="1"/>
    <col min="6405" max="6405" width="10.59765625" style="2474" customWidth="1"/>
    <col min="6406" max="6406" width="17.5" style="2474" customWidth="1"/>
    <col min="6407" max="6407" width="10.59765625" style="2474" customWidth="1"/>
    <col min="6408" max="6408" width="17.19921875" style="2474" customWidth="1"/>
    <col min="6409" max="6656" width="10.59765625" style="2474"/>
    <col min="6657" max="6659" width="10.59765625" style="2474" customWidth="1"/>
    <col min="6660" max="6660" width="11.09765625" style="2474" customWidth="1"/>
    <col min="6661" max="6661" width="10.59765625" style="2474" customWidth="1"/>
    <col min="6662" max="6662" width="17.5" style="2474" customWidth="1"/>
    <col min="6663" max="6663" width="10.59765625" style="2474" customWidth="1"/>
    <col min="6664" max="6664" width="17.19921875" style="2474" customWidth="1"/>
    <col min="6665" max="6912" width="10.59765625" style="2474"/>
    <col min="6913" max="6915" width="10.59765625" style="2474" customWidth="1"/>
    <col min="6916" max="6916" width="11.09765625" style="2474" customWidth="1"/>
    <col min="6917" max="6917" width="10.59765625" style="2474" customWidth="1"/>
    <col min="6918" max="6918" width="17.5" style="2474" customWidth="1"/>
    <col min="6919" max="6919" width="10.59765625" style="2474" customWidth="1"/>
    <col min="6920" max="6920" width="17.19921875" style="2474" customWidth="1"/>
    <col min="6921" max="7168" width="10.59765625" style="2474"/>
    <col min="7169" max="7171" width="10.59765625" style="2474" customWidth="1"/>
    <col min="7172" max="7172" width="11.09765625" style="2474" customWidth="1"/>
    <col min="7173" max="7173" width="10.59765625" style="2474" customWidth="1"/>
    <col min="7174" max="7174" width="17.5" style="2474" customWidth="1"/>
    <col min="7175" max="7175" width="10.59765625" style="2474" customWidth="1"/>
    <col min="7176" max="7176" width="17.19921875" style="2474" customWidth="1"/>
    <col min="7177" max="7424" width="10.59765625" style="2474"/>
    <col min="7425" max="7427" width="10.59765625" style="2474" customWidth="1"/>
    <col min="7428" max="7428" width="11.09765625" style="2474" customWidth="1"/>
    <col min="7429" max="7429" width="10.59765625" style="2474" customWidth="1"/>
    <col min="7430" max="7430" width="17.5" style="2474" customWidth="1"/>
    <col min="7431" max="7431" width="10.59765625" style="2474" customWidth="1"/>
    <col min="7432" max="7432" width="17.19921875" style="2474" customWidth="1"/>
    <col min="7433" max="7680" width="10.59765625" style="2474"/>
    <col min="7681" max="7683" width="10.59765625" style="2474" customWidth="1"/>
    <col min="7684" max="7684" width="11.09765625" style="2474" customWidth="1"/>
    <col min="7685" max="7685" width="10.59765625" style="2474" customWidth="1"/>
    <col min="7686" max="7686" width="17.5" style="2474" customWidth="1"/>
    <col min="7687" max="7687" width="10.59765625" style="2474" customWidth="1"/>
    <col min="7688" max="7688" width="17.19921875" style="2474" customWidth="1"/>
    <col min="7689" max="7936" width="10.59765625" style="2474"/>
    <col min="7937" max="7939" width="10.59765625" style="2474" customWidth="1"/>
    <col min="7940" max="7940" width="11.09765625" style="2474" customWidth="1"/>
    <col min="7941" max="7941" width="10.59765625" style="2474" customWidth="1"/>
    <col min="7942" max="7942" width="17.5" style="2474" customWidth="1"/>
    <col min="7943" max="7943" width="10.59765625" style="2474" customWidth="1"/>
    <col min="7944" max="7944" width="17.19921875" style="2474" customWidth="1"/>
    <col min="7945" max="8192" width="10.59765625" style="2474"/>
    <col min="8193" max="8195" width="10.59765625" style="2474" customWidth="1"/>
    <col min="8196" max="8196" width="11.09765625" style="2474" customWidth="1"/>
    <col min="8197" max="8197" width="10.59765625" style="2474" customWidth="1"/>
    <col min="8198" max="8198" width="17.5" style="2474" customWidth="1"/>
    <col min="8199" max="8199" width="10.59765625" style="2474" customWidth="1"/>
    <col min="8200" max="8200" width="17.19921875" style="2474" customWidth="1"/>
    <col min="8201" max="8448" width="10.59765625" style="2474"/>
    <col min="8449" max="8451" width="10.59765625" style="2474" customWidth="1"/>
    <col min="8452" max="8452" width="11.09765625" style="2474" customWidth="1"/>
    <col min="8453" max="8453" width="10.59765625" style="2474" customWidth="1"/>
    <col min="8454" max="8454" width="17.5" style="2474" customWidth="1"/>
    <col min="8455" max="8455" width="10.59765625" style="2474" customWidth="1"/>
    <col min="8456" max="8456" width="17.19921875" style="2474" customWidth="1"/>
    <col min="8457" max="8704" width="10.59765625" style="2474"/>
    <col min="8705" max="8707" width="10.59765625" style="2474" customWidth="1"/>
    <col min="8708" max="8708" width="11.09765625" style="2474" customWidth="1"/>
    <col min="8709" max="8709" width="10.59765625" style="2474" customWidth="1"/>
    <col min="8710" max="8710" width="17.5" style="2474" customWidth="1"/>
    <col min="8711" max="8711" width="10.59765625" style="2474" customWidth="1"/>
    <col min="8712" max="8712" width="17.19921875" style="2474" customWidth="1"/>
    <col min="8713" max="8960" width="10.59765625" style="2474"/>
    <col min="8961" max="8963" width="10.59765625" style="2474" customWidth="1"/>
    <col min="8964" max="8964" width="11.09765625" style="2474" customWidth="1"/>
    <col min="8965" max="8965" width="10.59765625" style="2474" customWidth="1"/>
    <col min="8966" max="8966" width="17.5" style="2474" customWidth="1"/>
    <col min="8967" max="8967" width="10.59765625" style="2474" customWidth="1"/>
    <col min="8968" max="8968" width="17.19921875" style="2474" customWidth="1"/>
    <col min="8969" max="9216" width="10.59765625" style="2474"/>
    <col min="9217" max="9219" width="10.59765625" style="2474" customWidth="1"/>
    <col min="9220" max="9220" width="11.09765625" style="2474" customWidth="1"/>
    <col min="9221" max="9221" width="10.59765625" style="2474" customWidth="1"/>
    <col min="9222" max="9222" width="17.5" style="2474" customWidth="1"/>
    <col min="9223" max="9223" width="10.59765625" style="2474" customWidth="1"/>
    <col min="9224" max="9224" width="17.19921875" style="2474" customWidth="1"/>
    <col min="9225" max="9472" width="10.59765625" style="2474"/>
    <col min="9473" max="9475" width="10.59765625" style="2474" customWidth="1"/>
    <col min="9476" max="9476" width="11.09765625" style="2474" customWidth="1"/>
    <col min="9477" max="9477" width="10.59765625" style="2474" customWidth="1"/>
    <col min="9478" max="9478" width="17.5" style="2474" customWidth="1"/>
    <col min="9479" max="9479" width="10.59765625" style="2474" customWidth="1"/>
    <col min="9480" max="9480" width="17.19921875" style="2474" customWidth="1"/>
    <col min="9481" max="9728" width="10.59765625" style="2474"/>
    <col min="9729" max="9731" width="10.59765625" style="2474" customWidth="1"/>
    <col min="9732" max="9732" width="11.09765625" style="2474" customWidth="1"/>
    <col min="9733" max="9733" width="10.59765625" style="2474" customWidth="1"/>
    <col min="9734" max="9734" width="17.5" style="2474" customWidth="1"/>
    <col min="9735" max="9735" width="10.59765625" style="2474" customWidth="1"/>
    <col min="9736" max="9736" width="17.19921875" style="2474" customWidth="1"/>
    <col min="9737" max="9984" width="10.59765625" style="2474"/>
    <col min="9985" max="9987" width="10.59765625" style="2474" customWidth="1"/>
    <col min="9988" max="9988" width="11.09765625" style="2474" customWidth="1"/>
    <col min="9989" max="9989" width="10.59765625" style="2474" customWidth="1"/>
    <col min="9990" max="9990" width="17.5" style="2474" customWidth="1"/>
    <col min="9991" max="9991" width="10.59765625" style="2474" customWidth="1"/>
    <col min="9992" max="9992" width="17.19921875" style="2474" customWidth="1"/>
    <col min="9993" max="10240" width="10.59765625" style="2474"/>
    <col min="10241" max="10243" width="10.59765625" style="2474" customWidth="1"/>
    <col min="10244" max="10244" width="11.09765625" style="2474" customWidth="1"/>
    <col min="10245" max="10245" width="10.59765625" style="2474" customWidth="1"/>
    <col min="10246" max="10246" width="17.5" style="2474" customWidth="1"/>
    <col min="10247" max="10247" width="10.59765625" style="2474" customWidth="1"/>
    <col min="10248" max="10248" width="17.19921875" style="2474" customWidth="1"/>
    <col min="10249" max="10496" width="10.59765625" style="2474"/>
    <col min="10497" max="10499" width="10.59765625" style="2474" customWidth="1"/>
    <col min="10500" max="10500" width="11.09765625" style="2474" customWidth="1"/>
    <col min="10501" max="10501" width="10.59765625" style="2474" customWidth="1"/>
    <col min="10502" max="10502" width="17.5" style="2474" customWidth="1"/>
    <col min="10503" max="10503" width="10.59765625" style="2474" customWidth="1"/>
    <col min="10504" max="10504" width="17.19921875" style="2474" customWidth="1"/>
    <col min="10505" max="10752" width="10.59765625" style="2474"/>
    <col min="10753" max="10755" width="10.59765625" style="2474" customWidth="1"/>
    <col min="10756" max="10756" width="11.09765625" style="2474" customWidth="1"/>
    <col min="10757" max="10757" width="10.59765625" style="2474" customWidth="1"/>
    <col min="10758" max="10758" width="17.5" style="2474" customWidth="1"/>
    <col min="10759" max="10759" width="10.59765625" style="2474" customWidth="1"/>
    <col min="10760" max="10760" width="17.19921875" style="2474" customWidth="1"/>
    <col min="10761" max="11008" width="10.59765625" style="2474"/>
    <col min="11009" max="11011" width="10.59765625" style="2474" customWidth="1"/>
    <col min="11012" max="11012" width="11.09765625" style="2474" customWidth="1"/>
    <col min="11013" max="11013" width="10.59765625" style="2474" customWidth="1"/>
    <col min="11014" max="11014" width="17.5" style="2474" customWidth="1"/>
    <col min="11015" max="11015" width="10.59765625" style="2474" customWidth="1"/>
    <col min="11016" max="11016" width="17.19921875" style="2474" customWidth="1"/>
    <col min="11017" max="11264" width="10.59765625" style="2474"/>
    <col min="11265" max="11267" width="10.59765625" style="2474" customWidth="1"/>
    <col min="11268" max="11268" width="11.09765625" style="2474" customWidth="1"/>
    <col min="11269" max="11269" width="10.59765625" style="2474" customWidth="1"/>
    <col min="11270" max="11270" width="17.5" style="2474" customWidth="1"/>
    <col min="11271" max="11271" width="10.59765625" style="2474" customWidth="1"/>
    <col min="11272" max="11272" width="17.19921875" style="2474" customWidth="1"/>
    <col min="11273" max="11520" width="10.59765625" style="2474"/>
    <col min="11521" max="11523" width="10.59765625" style="2474" customWidth="1"/>
    <col min="11524" max="11524" width="11.09765625" style="2474" customWidth="1"/>
    <col min="11525" max="11525" width="10.59765625" style="2474" customWidth="1"/>
    <col min="11526" max="11526" width="17.5" style="2474" customWidth="1"/>
    <col min="11527" max="11527" width="10.59765625" style="2474" customWidth="1"/>
    <col min="11528" max="11528" width="17.19921875" style="2474" customWidth="1"/>
    <col min="11529" max="11776" width="10.59765625" style="2474"/>
    <col min="11777" max="11779" width="10.59765625" style="2474" customWidth="1"/>
    <col min="11780" max="11780" width="11.09765625" style="2474" customWidth="1"/>
    <col min="11781" max="11781" width="10.59765625" style="2474" customWidth="1"/>
    <col min="11782" max="11782" width="17.5" style="2474" customWidth="1"/>
    <col min="11783" max="11783" width="10.59765625" style="2474" customWidth="1"/>
    <col min="11784" max="11784" width="17.19921875" style="2474" customWidth="1"/>
    <col min="11785" max="12032" width="10.59765625" style="2474"/>
    <col min="12033" max="12035" width="10.59765625" style="2474" customWidth="1"/>
    <col min="12036" max="12036" width="11.09765625" style="2474" customWidth="1"/>
    <col min="12037" max="12037" width="10.59765625" style="2474" customWidth="1"/>
    <col min="12038" max="12038" width="17.5" style="2474" customWidth="1"/>
    <col min="12039" max="12039" width="10.59765625" style="2474" customWidth="1"/>
    <col min="12040" max="12040" width="17.19921875" style="2474" customWidth="1"/>
    <col min="12041" max="12288" width="10.59765625" style="2474"/>
    <col min="12289" max="12291" width="10.59765625" style="2474" customWidth="1"/>
    <col min="12292" max="12292" width="11.09765625" style="2474" customWidth="1"/>
    <col min="12293" max="12293" width="10.59765625" style="2474" customWidth="1"/>
    <col min="12294" max="12294" width="17.5" style="2474" customWidth="1"/>
    <col min="12295" max="12295" width="10.59765625" style="2474" customWidth="1"/>
    <col min="12296" max="12296" width="17.19921875" style="2474" customWidth="1"/>
    <col min="12297" max="12544" width="10.59765625" style="2474"/>
    <col min="12545" max="12547" width="10.59765625" style="2474" customWidth="1"/>
    <col min="12548" max="12548" width="11.09765625" style="2474" customWidth="1"/>
    <col min="12549" max="12549" width="10.59765625" style="2474" customWidth="1"/>
    <col min="12550" max="12550" width="17.5" style="2474" customWidth="1"/>
    <col min="12551" max="12551" width="10.59765625" style="2474" customWidth="1"/>
    <col min="12552" max="12552" width="17.19921875" style="2474" customWidth="1"/>
    <col min="12553" max="12800" width="10.59765625" style="2474"/>
    <col min="12801" max="12803" width="10.59765625" style="2474" customWidth="1"/>
    <col min="12804" max="12804" width="11.09765625" style="2474" customWidth="1"/>
    <col min="12805" max="12805" width="10.59765625" style="2474" customWidth="1"/>
    <col min="12806" max="12806" width="17.5" style="2474" customWidth="1"/>
    <col min="12807" max="12807" width="10.59765625" style="2474" customWidth="1"/>
    <col min="12808" max="12808" width="17.19921875" style="2474" customWidth="1"/>
    <col min="12809" max="13056" width="10.59765625" style="2474"/>
    <col min="13057" max="13059" width="10.59765625" style="2474" customWidth="1"/>
    <col min="13060" max="13060" width="11.09765625" style="2474" customWidth="1"/>
    <col min="13061" max="13061" width="10.59765625" style="2474" customWidth="1"/>
    <col min="13062" max="13062" width="17.5" style="2474" customWidth="1"/>
    <col min="13063" max="13063" width="10.59765625" style="2474" customWidth="1"/>
    <col min="13064" max="13064" width="17.19921875" style="2474" customWidth="1"/>
    <col min="13065" max="13312" width="10.59765625" style="2474"/>
    <col min="13313" max="13315" width="10.59765625" style="2474" customWidth="1"/>
    <col min="13316" max="13316" width="11.09765625" style="2474" customWidth="1"/>
    <col min="13317" max="13317" width="10.59765625" style="2474" customWidth="1"/>
    <col min="13318" max="13318" width="17.5" style="2474" customWidth="1"/>
    <col min="13319" max="13319" width="10.59765625" style="2474" customWidth="1"/>
    <col min="13320" max="13320" width="17.19921875" style="2474" customWidth="1"/>
    <col min="13321" max="13568" width="10.59765625" style="2474"/>
    <col min="13569" max="13571" width="10.59765625" style="2474" customWidth="1"/>
    <col min="13572" max="13572" width="11.09765625" style="2474" customWidth="1"/>
    <col min="13573" max="13573" width="10.59765625" style="2474" customWidth="1"/>
    <col min="13574" max="13574" width="17.5" style="2474" customWidth="1"/>
    <col min="13575" max="13575" width="10.59765625" style="2474" customWidth="1"/>
    <col min="13576" max="13576" width="17.19921875" style="2474" customWidth="1"/>
    <col min="13577" max="13824" width="10.59765625" style="2474"/>
    <col min="13825" max="13827" width="10.59765625" style="2474" customWidth="1"/>
    <col min="13828" max="13828" width="11.09765625" style="2474" customWidth="1"/>
    <col min="13829" max="13829" width="10.59765625" style="2474" customWidth="1"/>
    <col min="13830" max="13830" width="17.5" style="2474" customWidth="1"/>
    <col min="13831" max="13831" width="10.59765625" style="2474" customWidth="1"/>
    <col min="13832" max="13832" width="17.19921875" style="2474" customWidth="1"/>
    <col min="13833" max="14080" width="10.59765625" style="2474"/>
    <col min="14081" max="14083" width="10.59765625" style="2474" customWidth="1"/>
    <col min="14084" max="14084" width="11.09765625" style="2474" customWidth="1"/>
    <col min="14085" max="14085" width="10.59765625" style="2474" customWidth="1"/>
    <col min="14086" max="14086" width="17.5" style="2474" customWidth="1"/>
    <col min="14087" max="14087" width="10.59765625" style="2474" customWidth="1"/>
    <col min="14088" max="14088" width="17.19921875" style="2474" customWidth="1"/>
    <col min="14089" max="14336" width="10.59765625" style="2474"/>
    <col min="14337" max="14339" width="10.59765625" style="2474" customWidth="1"/>
    <col min="14340" max="14340" width="11.09765625" style="2474" customWidth="1"/>
    <col min="14341" max="14341" width="10.59765625" style="2474" customWidth="1"/>
    <col min="14342" max="14342" width="17.5" style="2474" customWidth="1"/>
    <col min="14343" max="14343" width="10.59765625" style="2474" customWidth="1"/>
    <col min="14344" max="14344" width="17.19921875" style="2474" customWidth="1"/>
    <col min="14345" max="14592" width="10.59765625" style="2474"/>
    <col min="14593" max="14595" width="10.59765625" style="2474" customWidth="1"/>
    <col min="14596" max="14596" width="11.09765625" style="2474" customWidth="1"/>
    <col min="14597" max="14597" width="10.59765625" style="2474" customWidth="1"/>
    <col min="14598" max="14598" width="17.5" style="2474" customWidth="1"/>
    <col min="14599" max="14599" width="10.59765625" style="2474" customWidth="1"/>
    <col min="14600" max="14600" width="17.19921875" style="2474" customWidth="1"/>
    <col min="14601" max="14848" width="10.59765625" style="2474"/>
    <col min="14849" max="14851" width="10.59765625" style="2474" customWidth="1"/>
    <col min="14852" max="14852" width="11.09765625" style="2474" customWidth="1"/>
    <col min="14853" max="14853" width="10.59765625" style="2474" customWidth="1"/>
    <col min="14854" max="14854" width="17.5" style="2474" customWidth="1"/>
    <col min="14855" max="14855" width="10.59765625" style="2474" customWidth="1"/>
    <col min="14856" max="14856" width="17.19921875" style="2474" customWidth="1"/>
    <col min="14857" max="15104" width="10.59765625" style="2474"/>
    <col min="15105" max="15107" width="10.59765625" style="2474" customWidth="1"/>
    <col min="15108" max="15108" width="11.09765625" style="2474" customWidth="1"/>
    <col min="15109" max="15109" width="10.59765625" style="2474" customWidth="1"/>
    <col min="15110" max="15110" width="17.5" style="2474" customWidth="1"/>
    <col min="15111" max="15111" width="10.59765625" style="2474" customWidth="1"/>
    <col min="15112" max="15112" width="17.19921875" style="2474" customWidth="1"/>
    <col min="15113" max="15360" width="10.59765625" style="2474"/>
    <col min="15361" max="15363" width="10.59765625" style="2474" customWidth="1"/>
    <col min="15364" max="15364" width="11.09765625" style="2474" customWidth="1"/>
    <col min="15365" max="15365" width="10.59765625" style="2474" customWidth="1"/>
    <col min="15366" max="15366" width="17.5" style="2474" customWidth="1"/>
    <col min="15367" max="15367" width="10.59765625" style="2474" customWidth="1"/>
    <col min="15368" max="15368" width="17.19921875" style="2474" customWidth="1"/>
    <col min="15369" max="15616" width="10.59765625" style="2474"/>
    <col min="15617" max="15619" width="10.59765625" style="2474" customWidth="1"/>
    <col min="15620" max="15620" width="11.09765625" style="2474" customWidth="1"/>
    <col min="15621" max="15621" width="10.59765625" style="2474" customWidth="1"/>
    <col min="15622" max="15622" width="17.5" style="2474" customWidth="1"/>
    <col min="15623" max="15623" width="10.59765625" style="2474" customWidth="1"/>
    <col min="15624" max="15624" width="17.19921875" style="2474" customWidth="1"/>
    <col min="15625" max="15872" width="10.59765625" style="2474"/>
    <col min="15873" max="15875" width="10.59765625" style="2474" customWidth="1"/>
    <col min="15876" max="15876" width="11.09765625" style="2474" customWidth="1"/>
    <col min="15877" max="15877" width="10.59765625" style="2474" customWidth="1"/>
    <col min="15878" max="15878" width="17.5" style="2474" customWidth="1"/>
    <col min="15879" max="15879" width="10.59765625" style="2474" customWidth="1"/>
    <col min="15880" max="15880" width="17.19921875" style="2474" customWidth="1"/>
    <col min="15881" max="16128" width="10.59765625" style="2474"/>
    <col min="16129" max="16131" width="10.59765625" style="2474" customWidth="1"/>
    <col min="16132" max="16132" width="11.09765625" style="2474" customWidth="1"/>
    <col min="16133" max="16133" width="10.59765625" style="2474" customWidth="1"/>
    <col min="16134" max="16134" width="17.5" style="2474" customWidth="1"/>
    <col min="16135" max="16135" width="10.59765625" style="2474" customWidth="1"/>
    <col min="16136" max="16136" width="17.19921875" style="2474" customWidth="1"/>
    <col min="16137" max="16384" width="10.59765625" style="2474"/>
  </cols>
  <sheetData>
    <row r="1" spans="1:8" ht="21" customHeight="1">
      <c r="A1" s="3983" t="s">
        <v>7413</v>
      </c>
      <c r="B1" s="3983"/>
      <c r="C1" s="3983"/>
      <c r="D1" s="3983"/>
      <c r="E1" s="3983"/>
      <c r="F1" s="3983"/>
      <c r="G1" s="3983"/>
      <c r="H1" s="3983"/>
    </row>
    <row r="2" spans="1:8" ht="21" customHeight="1">
      <c r="A2" s="2707" t="s">
        <v>7421</v>
      </c>
      <c r="B2" s="2707"/>
      <c r="C2" s="2707"/>
      <c r="D2" s="2707"/>
      <c r="E2" s="2707"/>
      <c r="F2" s="2707"/>
      <c r="G2" s="2707"/>
      <c r="H2" s="2707"/>
    </row>
    <row r="3" spans="1:8" ht="25.5" customHeight="1">
      <c r="A3" s="4002" t="s">
        <v>5977</v>
      </c>
      <c r="B3" s="4000" t="s">
        <v>7383</v>
      </c>
      <c r="C3" s="4000"/>
      <c r="D3" s="3991"/>
      <c r="E3" s="3991"/>
      <c r="F3" s="3991"/>
      <c r="G3" s="3991"/>
      <c r="H3" s="3991"/>
    </row>
    <row r="4" spans="1:8" ht="25.5" customHeight="1">
      <c r="A4" s="4002"/>
      <c r="B4" s="4000" t="s">
        <v>7384</v>
      </c>
      <c r="C4" s="4000"/>
      <c r="D4" s="3991"/>
      <c r="E4" s="3991"/>
      <c r="F4" s="3987" t="s">
        <v>7385</v>
      </c>
      <c r="G4" s="3987"/>
      <c r="H4" s="2502"/>
    </row>
    <row r="5" spans="1:8" ht="25.5" customHeight="1">
      <c r="A5" s="4002"/>
      <c r="B5" s="4000" t="s">
        <v>7386</v>
      </c>
      <c r="C5" s="4000"/>
      <c r="D5" s="3991"/>
      <c r="E5" s="3991"/>
      <c r="F5" s="3991"/>
      <c r="G5" s="3991"/>
      <c r="H5" s="3991"/>
    </row>
    <row r="6" spans="1:8" ht="25.5" customHeight="1">
      <c r="A6" s="4002"/>
      <c r="B6" s="4000" t="s">
        <v>7387</v>
      </c>
      <c r="C6" s="4000"/>
      <c r="D6" s="4037"/>
      <c r="E6" s="4037"/>
      <c r="F6" s="3987" t="s">
        <v>7385</v>
      </c>
      <c r="G6" s="3987"/>
      <c r="H6" s="2502"/>
    </row>
    <row r="7" spans="1:8" ht="25.5" customHeight="1">
      <c r="A7" s="4002"/>
      <c r="B7" s="4000" t="s">
        <v>7388</v>
      </c>
      <c r="C7" s="4000"/>
      <c r="D7" s="2501" t="s">
        <v>7389</v>
      </c>
      <c r="E7" s="4038" t="s">
        <v>7390</v>
      </c>
      <c r="F7" s="4038"/>
      <c r="G7" s="4038"/>
      <c r="H7" s="4038"/>
    </row>
    <row r="8" spans="1:8" ht="25.5" customHeight="1">
      <c r="A8" s="4002"/>
      <c r="B8" s="4000"/>
      <c r="C8" s="4000"/>
      <c r="D8" s="3987" t="s">
        <v>7391</v>
      </c>
      <c r="E8" s="3987"/>
      <c r="F8" s="3987"/>
      <c r="G8" s="3987"/>
      <c r="H8" s="3987"/>
    </row>
    <row r="9" spans="1:8" ht="25.5" customHeight="1">
      <c r="A9" s="4002"/>
      <c r="B9" s="4000"/>
      <c r="C9" s="4000"/>
      <c r="D9" s="2501" t="s">
        <v>7392</v>
      </c>
      <c r="E9" s="3991"/>
      <c r="F9" s="3991"/>
      <c r="G9" s="3991"/>
      <c r="H9" s="3991"/>
    </row>
    <row r="10" spans="1:8" ht="33" customHeight="1">
      <c r="A10" s="4002"/>
      <c r="B10" s="4000"/>
      <c r="C10" s="4000"/>
      <c r="D10" s="2501" t="s">
        <v>7393</v>
      </c>
      <c r="E10" s="3991"/>
      <c r="F10" s="3991"/>
      <c r="G10" s="3991"/>
      <c r="H10" s="3991"/>
    </row>
    <row r="11" spans="1:8" ht="25.5" customHeight="1">
      <c r="A11" s="4002"/>
      <c r="B11" s="4000"/>
      <c r="C11" s="4000"/>
      <c r="D11" s="3987" t="s">
        <v>7394</v>
      </c>
      <c r="E11" s="3987"/>
      <c r="F11" s="3987"/>
      <c r="G11" s="3987"/>
      <c r="H11" s="3987"/>
    </row>
    <row r="12" spans="1:8" ht="25.5" customHeight="1">
      <c r="A12" s="4002"/>
      <c r="B12" s="4000"/>
      <c r="C12" s="4000"/>
      <c r="D12" s="3987" t="s">
        <v>7395</v>
      </c>
      <c r="E12" s="4002" t="s">
        <v>7396</v>
      </c>
      <c r="F12" s="4002"/>
      <c r="G12" s="4002" t="s">
        <v>7397</v>
      </c>
      <c r="H12" s="4002"/>
    </row>
    <row r="13" spans="1:8" ht="25.5" customHeight="1">
      <c r="A13" s="4002"/>
      <c r="B13" s="4000"/>
      <c r="C13" s="4000"/>
      <c r="D13" s="3987"/>
      <c r="E13" s="2514" t="s">
        <v>7346</v>
      </c>
      <c r="F13" s="2514" t="s">
        <v>7398</v>
      </c>
      <c r="G13" s="2514" t="s">
        <v>7346</v>
      </c>
      <c r="H13" s="2514" t="s">
        <v>7398</v>
      </c>
    </row>
    <row r="14" spans="1:8" ht="25.5" customHeight="1">
      <c r="A14" s="4002"/>
      <c r="B14" s="4000"/>
      <c r="C14" s="4000"/>
      <c r="D14" s="2502"/>
      <c r="E14" s="2534"/>
      <c r="F14" s="2504"/>
      <c r="G14" s="2534"/>
      <c r="H14" s="2502"/>
    </row>
    <row r="15" spans="1:8" ht="25.5" customHeight="1">
      <c r="A15" s="4002"/>
      <c r="B15" s="4000"/>
      <c r="C15" s="4000"/>
      <c r="D15" s="2502"/>
      <c r="E15" s="2534"/>
      <c r="F15" s="2504"/>
      <c r="G15" s="2534"/>
      <c r="H15" s="2502"/>
    </row>
    <row r="16" spans="1:8" ht="25.5" customHeight="1">
      <c r="A16" s="4002"/>
      <c r="B16" s="4000"/>
      <c r="C16" s="4000"/>
      <c r="D16" s="2501" t="s">
        <v>703</v>
      </c>
      <c r="E16" s="2534"/>
      <c r="F16" s="2504"/>
      <c r="G16" s="2534"/>
      <c r="H16" s="2504"/>
    </row>
    <row r="17" spans="1:10" ht="25.5" customHeight="1">
      <c r="A17" s="4002"/>
      <c r="B17" s="4000" t="s">
        <v>7399</v>
      </c>
      <c r="C17" s="4000"/>
      <c r="D17" s="3991"/>
      <c r="E17" s="3991"/>
      <c r="F17" s="3991"/>
      <c r="G17" s="3991"/>
      <c r="H17" s="3991"/>
    </row>
    <row r="18" spans="1:10" ht="25.5" customHeight="1">
      <c r="A18" s="4002"/>
      <c r="B18" s="4000" t="s">
        <v>7400</v>
      </c>
      <c r="C18" s="4000"/>
      <c r="D18" s="3995"/>
      <c r="E18" s="3995"/>
      <c r="F18" s="4000" t="s">
        <v>7401</v>
      </c>
      <c r="G18" s="4000"/>
      <c r="H18" s="2534"/>
    </row>
    <row r="19" spans="1:10" ht="25.5" customHeight="1">
      <c r="A19" s="4002" t="s">
        <v>7402</v>
      </c>
      <c r="B19" s="4000" t="s">
        <v>7396</v>
      </c>
      <c r="C19" s="3987" t="s">
        <v>7403</v>
      </c>
      <c r="D19" s="3987"/>
      <c r="E19" s="2514" t="s">
        <v>556</v>
      </c>
      <c r="F19" s="2514" t="s">
        <v>558</v>
      </c>
      <c r="G19" s="4002" t="s">
        <v>7404</v>
      </c>
      <c r="H19" s="4002"/>
    </row>
    <row r="20" spans="1:10" ht="25.5" customHeight="1">
      <c r="A20" s="4002"/>
      <c r="B20" s="4000"/>
      <c r="C20" s="3991"/>
      <c r="D20" s="3991"/>
      <c r="E20" s="2502"/>
      <c r="F20" s="2534"/>
      <c r="G20" s="3995"/>
      <c r="H20" s="3995"/>
    </row>
    <row r="21" spans="1:10" ht="25.5" customHeight="1">
      <c r="A21" s="4002"/>
      <c r="B21" s="4000"/>
      <c r="C21" s="3991"/>
      <c r="D21" s="3991"/>
      <c r="E21" s="2502"/>
      <c r="F21" s="2534"/>
      <c r="G21" s="3995"/>
      <c r="H21" s="3995"/>
    </row>
    <row r="22" spans="1:10" ht="25.5" customHeight="1">
      <c r="A22" s="4002"/>
      <c r="B22" s="4000"/>
      <c r="C22" s="3991"/>
      <c r="D22" s="3991"/>
      <c r="E22" s="2502"/>
      <c r="F22" s="2534"/>
      <c r="G22" s="3995"/>
      <c r="H22" s="3995"/>
    </row>
    <row r="23" spans="1:10" ht="25.5" customHeight="1">
      <c r="A23" s="4002"/>
      <c r="B23" s="4000"/>
      <c r="C23" s="3991"/>
      <c r="D23" s="3991"/>
      <c r="E23" s="2502"/>
      <c r="F23" s="2534"/>
      <c r="G23" s="3995"/>
      <c r="H23" s="3995"/>
    </row>
    <row r="24" spans="1:10" ht="25.5" customHeight="1">
      <c r="A24" s="4002"/>
      <c r="B24" s="4000" t="s">
        <v>7397</v>
      </c>
      <c r="C24" s="3987" t="s">
        <v>7405</v>
      </c>
      <c r="D24" s="3987"/>
      <c r="E24" s="2514" t="s">
        <v>556</v>
      </c>
      <c r="F24" s="2514" t="s">
        <v>558</v>
      </c>
      <c r="G24" s="4002" t="s">
        <v>7404</v>
      </c>
      <c r="H24" s="4002"/>
    </row>
    <row r="25" spans="1:10" ht="25.5" customHeight="1">
      <c r="A25" s="4002"/>
      <c r="B25" s="4000"/>
      <c r="C25" s="3991"/>
      <c r="D25" s="3991"/>
      <c r="E25" s="2502"/>
      <c r="F25" s="2534"/>
      <c r="G25" s="3995"/>
      <c r="H25" s="3995"/>
    </row>
    <row r="26" spans="1:10" ht="25.5" customHeight="1">
      <c r="A26" s="4002"/>
      <c r="B26" s="4000"/>
      <c r="C26" s="3991"/>
      <c r="D26" s="3991"/>
      <c r="E26" s="2502"/>
      <c r="F26" s="2534"/>
      <c r="G26" s="3995"/>
      <c r="H26" s="3995"/>
    </row>
    <row r="27" spans="1:10" ht="25.5" customHeight="1">
      <c r="A27" s="4002"/>
      <c r="B27" s="4000"/>
      <c r="C27" s="3991"/>
      <c r="D27" s="3991"/>
      <c r="E27" s="2521"/>
      <c r="F27" s="2556"/>
      <c r="G27" s="3995"/>
      <c r="H27" s="3995"/>
    </row>
    <row r="28" spans="1:10" ht="25.5" customHeight="1">
      <c r="A28" s="4002"/>
      <c r="B28" s="4000"/>
      <c r="C28" s="3991"/>
      <c r="D28" s="3991"/>
      <c r="E28" s="2502"/>
      <c r="F28" s="2534"/>
      <c r="G28" s="3995"/>
      <c r="H28" s="3995"/>
    </row>
    <row r="29" spans="1:10" s="2480" customFormat="1" ht="25.5" customHeight="1">
      <c r="A29" s="2520" t="s">
        <v>7406</v>
      </c>
      <c r="B29" s="4039">
        <f>基本情况!B12</f>
        <v>0</v>
      </c>
      <c r="C29" s="4039"/>
      <c r="D29" s="2520" t="s">
        <v>7407</v>
      </c>
      <c r="E29" s="4040" t="str">
        <f>基本情况!B21</f>
        <v>2017年3月16日</v>
      </c>
      <c r="F29" s="4039"/>
      <c r="G29" s="4039"/>
      <c r="H29" s="4039"/>
      <c r="J29" s="2474"/>
    </row>
  </sheetData>
  <mergeCells count="52">
    <mergeCell ref="B29:C29"/>
    <mergeCell ref="E29:H29"/>
    <mergeCell ref="C23:D23"/>
    <mergeCell ref="G23:H23"/>
    <mergeCell ref="B24:B28"/>
    <mergeCell ref="C24:D24"/>
    <mergeCell ref="G24:H24"/>
    <mergeCell ref="C25:D25"/>
    <mergeCell ref="G25:H25"/>
    <mergeCell ref="C26:D26"/>
    <mergeCell ref="G26:H26"/>
    <mergeCell ref="C27:D27"/>
    <mergeCell ref="G27:H27"/>
    <mergeCell ref="C28:D28"/>
    <mergeCell ref="G28:H28"/>
    <mergeCell ref="A19:A28"/>
    <mergeCell ref="B19:B23"/>
    <mergeCell ref="C19:D19"/>
    <mergeCell ref="G19:H19"/>
    <mergeCell ref="C20:D20"/>
    <mergeCell ref="G20:H20"/>
    <mergeCell ref="C21:D21"/>
    <mergeCell ref="G21:H21"/>
    <mergeCell ref="C22:D22"/>
    <mergeCell ref="G22:H22"/>
    <mergeCell ref="B17:C17"/>
    <mergeCell ref="D17:H17"/>
    <mergeCell ref="B18:C18"/>
    <mergeCell ref="D18:E18"/>
    <mergeCell ref="F18:G18"/>
    <mergeCell ref="E9:H9"/>
    <mergeCell ref="E10:H10"/>
    <mergeCell ref="D11:H11"/>
    <mergeCell ref="D12:D13"/>
    <mergeCell ref="E12:F12"/>
    <mergeCell ref="G12:H12"/>
    <mergeCell ref="A1:H1"/>
    <mergeCell ref="A2:H2"/>
    <mergeCell ref="A3:A18"/>
    <mergeCell ref="B3:C3"/>
    <mergeCell ref="D3:H3"/>
    <mergeCell ref="B4:C4"/>
    <mergeCell ref="D4:E4"/>
    <mergeCell ref="F4:G4"/>
    <mergeCell ref="B5:C5"/>
    <mergeCell ref="D5:H5"/>
    <mergeCell ref="B6:C6"/>
    <mergeCell ref="D6:E6"/>
    <mergeCell ref="F6:G6"/>
    <mergeCell ref="B7:C16"/>
    <mergeCell ref="E7:H7"/>
    <mergeCell ref="D8:H8"/>
  </mergeCells>
  <phoneticPr fontId="51" type="noConversion"/>
  <dataValidations count="2">
    <dataValidation type="list" allowBlank="1" showInputMessage="1" showErrorMessage="1" sqref="E9:H9 JA9:JD9 SW9:SZ9 ACS9:ACV9 AMO9:AMR9 AWK9:AWN9 BGG9:BGJ9 BQC9:BQF9 BZY9:CAB9 CJU9:CJX9 CTQ9:CTT9 DDM9:DDP9 DNI9:DNL9 DXE9:DXH9 EHA9:EHD9 EQW9:EQZ9 FAS9:FAV9 FKO9:FKR9 FUK9:FUN9 GEG9:GEJ9 GOC9:GOF9 GXY9:GYB9 HHU9:HHX9 HRQ9:HRT9 IBM9:IBP9 ILI9:ILL9 IVE9:IVH9 JFA9:JFD9 JOW9:JOZ9 JYS9:JYV9 KIO9:KIR9 KSK9:KSN9 LCG9:LCJ9 LMC9:LMF9 LVY9:LWB9 MFU9:MFX9 MPQ9:MPT9 MZM9:MZP9 NJI9:NJL9 NTE9:NTH9 ODA9:ODD9 OMW9:OMZ9 OWS9:OWV9 PGO9:PGR9 PQK9:PQN9 QAG9:QAJ9 QKC9:QKF9 QTY9:QUB9 RDU9:RDX9 RNQ9:RNT9 RXM9:RXP9 SHI9:SHL9 SRE9:SRH9 TBA9:TBD9 TKW9:TKZ9 TUS9:TUV9 UEO9:UER9 UOK9:UON9 UYG9:UYJ9 VIC9:VIF9 VRY9:VSB9 WBU9:WBX9 WLQ9:WLT9 WVM9:WVP9 E65545:H65545 JA65545:JD65545 SW65545:SZ65545 ACS65545:ACV65545 AMO65545:AMR65545 AWK65545:AWN65545 BGG65545:BGJ65545 BQC65545:BQF65545 BZY65545:CAB65545 CJU65545:CJX65545 CTQ65545:CTT65545 DDM65545:DDP65545 DNI65545:DNL65545 DXE65545:DXH65545 EHA65545:EHD65545 EQW65545:EQZ65545 FAS65545:FAV65545 FKO65545:FKR65545 FUK65545:FUN65545 GEG65545:GEJ65545 GOC65545:GOF65545 GXY65545:GYB65545 HHU65545:HHX65545 HRQ65545:HRT65545 IBM65545:IBP65545 ILI65545:ILL65545 IVE65545:IVH65545 JFA65545:JFD65545 JOW65545:JOZ65545 JYS65545:JYV65545 KIO65545:KIR65545 KSK65545:KSN65545 LCG65545:LCJ65545 LMC65545:LMF65545 LVY65545:LWB65545 MFU65545:MFX65545 MPQ65545:MPT65545 MZM65545:MZP65545 NJI65545:NJL65545 NTE65545:NTH65545 ODA65545:ODD65545 OMW65545:OMZ65545 OWS65545:OWV65545 PGO65545:PGR65545 PQK65545:PQN65545 QAG65545:QAJ65545 QKC65545:QKF65545 QTY65545:QUB65545 RDU65545:RDX65545 RNQ65545:RNT65545 RXM65545:RXP65545 SHI65545:SHL65545 SRE65545:SRH65545 TBA65545:TBD65545 TKW65545:TKZ65545 TUS65545:TUV65545 UEO65545:UER65545 UOK65545:UON65545 UYG65545:UYJ65545 VIC65545:VIF65545 VRY65545:VSB65545 WBU65545:WBX65545 WLQ65545:WLT65545 WVM65545:WVP65545 E131081:H131081 JA131081:JD131081 SW131081:SZ131081 ACS131081:ACV131081 AMO131081:AMR131081 AWK131081:AWN131081 BGG131081:BGJ131081 BQC131081:BQF131081 BZY131081:CAB131081 CJU131081:CJX131081 CTQ131081:CTT131081 DDM131081:DDP131081 DNI131081:DNL131081 DXE131081:DXH131081 EHA131081:EHD131081 EQW131081:EQZ131081 FAS131081:FAV131081 FKO131081:FKR131081 FUK131081:FUN131081 GEG131081:GEJ131081 GOC131081:GOF131081 GXY131081:GYB131081 HHU131081:HHX131081 HRQ131081:HRT131081 IBM131081:IBP131081 ILI131081:ILL131081 IVE131081:IVH131081 JFA131081:JFD131081 JOW131081:JOZ131081 JYS131081:JYV131081 KIO131081:KIR131081 KSK131081:KSN131081 LCG131081:LCJ131081 LMC131081:LMF131081 LVY131081:LWB131081 MFU131081:MFX131081 MPQ131081:MPT131081 MZM131081:MZP131081 NJI131081:NJL131081 NTE131081:NTH131081 ODA131081:ODD131081 OMW131081:OMZ131081 OWS131081:OWV131081 PGO131081:PGR131081 PQK131081:PQN131081 QAG131081:QAJ131081 QKC131081:QKF131081 QTY131081:QUB131081 RDU131081:RDX131081 RNQ131081:RNT131081 RXM131081:RXP131081 SHI131081:SHL131081 SRE131081:SRH131081 TBA131081:TBD131081 TKW131081:TKZ131081 TUS131081:TUV131081 UEO131081:UER131081 UOK131081:UON131081 UYG131081:UYJ131081 VIC131081:VIF131081 VRY131081:VSB131081 WBU131081:WBX131081 WLQ131081:WLT131081 WVM131081:WVP131081 E196617:H196617 JA196617:JD196617 SW196617:SZ196617 ACS196617:ACV196617 AMO196617:AMR196617 AWK196617:AWN196617 BGG196617:BGJ196617 BQC196617:BQF196617 BZY196617:CAB196617 CJU196617:CJX196617 CTQ196617:CTT196617 DDM196617:DDP196617 DNI196617:DNL196617 DXE196617:DXH196617 EHA196617:EHD196617 EQW196617:EQZ196617 FAS196617:FAV196617 FKO196617:FKR196617 FUK196617:FUN196617 GEG196617:GEJ196617 GOC196617:GOF196617 GXY196617:GYB196617 HHU196617:HHX196617 HRQ196617:HRT196617 IBM196617:IBP196617 ILI196617:ILL196617 IVE196617:IVH196617 JFA196617:JFD196617 JOW196617:JOZ196617 JYS196617:JYV196617 KIO196617:KIR196617 KSK196617:KSN196617 LCG196617:LCJ196617 LMC196617:LMF196617 LVY196617:LWB196617 MFU196617:MFX196617 MPQ196617:MPT196617 MZM196617:MZP196617 NJI196617:NJL196617 NTE196617:NTH196617 ODA196617:ODD196617 OMW196617:OMZ196617 OWS196617:OWV196617 PGO196617:PGR196617 PQK196617:PQN196617 QAG196617:QAJ196617 QKC196617:QKF196617 QTY196617:QUB196617 RDU196617:RDX196617 RNQ196617:RNT196617 RXM196617:RXP196617 SHI196617:SHL196617 SRE196617:SRH196617 TBA196617:TBD196617 TKW196617:TKZ196617 TUS196617:TUV196617 UEO196617:UER196617 UOK196617:UON196617 UYG196617:UYJ196617 VIC196617:VIF196617 VRY196617:VSB196617 WBU196617:WBX196617 WLQ196617:WLT196617 WVM196617:WVP196617 E262153:H262153 JA262153:JD262153 SW262153:SZ262153 ACS262153:ACV262153 AMO262153:AMR262153 AWK262153:AWN262153 BGG262153:BGJ262153 BQC262153:BQF262153 BZY262153:CAB262153 CJU262153:CJX262153 CTQ262153:CTT262153 DDM262153:DDP262153 DNI262153:DNL262153 DXE262153:DXH262153 EHA262153:EHD262153 EQW262153:EQZ262153 FAS262153:FAV262153 FKO262153:FKR262153 FUK262153:FUN262153 GEG262153:GEJ262153 GOC262153:GOF262153 GXY262153:GYB262153 HHU262153:HHX262153 HRQ262153:HRT262153 IBM262153:IBP262153 ILI262153:ILL262153 IVE262153:IVH262153 JFA262153:JFD262153 JOW262153:JOZ262153 JYS262153:JYV262153 KIO262153:KIR262153 KSK262153:KSN262153 LCG262153:LCJ262153 LMC262153:LMF262153 LVY262153:LWB262153 MFU262153:MFX262153 MPQ262153:MPT262153 MZM262153:MZP262153 NJI262153:NJL262153 NTE262153:NTH262153 ODA262153:ODD262153 OMW262153:OMZ262153 OWS262153:OWV262153 PGO262153:PGR262153 PQK262153:PQN262153 QAG262153:QAJ262153 QKC262153:QKF262153 QTY262153:QUB262153 RDU262153:RDX262153 RNQ262153:RNT262153 RXM262153:RXP262153 SHI262153:SHL262153 SRE262153:SRH262153 TBA262153:TBD262153 TKW262153:TKZ262153 TUS262153:TUV262153 UEO262153:UER262153 UOK262153:UON262153 UYG262153:UYJ262153 VIC262153:VIF262153 VRY262153:VSB262153 WBU262153:WBX262153 WLQ262153:WLT262153 WVM262153:WVP262153 E327689:H327689 JA327689:JD327689 SW327689:SZ327689 ACS327689:ACV327689 AMO327689:AMR327689 AWK327689:AWN327689 BGG327689:BGJ327689 BQC327689:BQF327689 BZY327689:CAB327689 CJU327689:CJX327689 CTQ327689:CTT327689 DDM327689:DDP327689 DNI327689:DNL327689 DXE327689:DXH327689 EHA327689:EHD327689 EQW327689:EQZ327689 FAS327689:FAV327689 FKO327689:FKR327689 FUK327689:FUN327689 GEG327689:GEJ327689 GOC327689:GOF327689 GXY327689:GYB327689 HHU327689:HHX327689 HRQ327689:HRT327689 IBM327689:IBP327689 ILI327689:ILL327689 IVE327689:IVH327689 JFA327689:JFD327689 JOW327689:JOZ327689 JYS327689:JYV327689 KIO327689:KIR327689 KSK327689:KSN327689 LCG327689:LCJ327689 LMC327689:LMF327689 LVY327689:LWB327689 MFU327689:MFX327689 MPQ327689:MPT327689 MZM327689:MZP327689 NJI327689:NJL327689 NTE327689:NTH327689 ODA327689:ODD327689 OMW327689:OMZ327689 OWS327689:OWV327689 PGO327689:PGR327689 PQK327689:PQN327689 QAG327689:QAJ327689 QKC327689:QKF327689 QTY327689:QUB327689 RDU327689:RDX327689 RNQ327689:RNT327689 RXM327689:RXP327689 SHI327689:SHL327689 SRE327689:SRH327689 TBA327689:TBD327689 TKW327689:TKZ327689 TUS327689:TUV327689 UEO327689:UER327689 UOK327689:UON327689 UYG327689:UYJ327689 VIC327689:VIF327689 VRY327689:VSB327689 WBU327689:WBX327689 WLQ327689:WLT327689 WVM327689:WVP327689 E393225:H393225 JA393225:JD393225 SW393225:SZ393225 ACS393225:ACV393225 AMO393225:AMR393225 AWK393225:AWN393225 BGG393225:BGJ393225 BQC393225:BQF393225 BZY393225:CAB393225 CJU393225:CJX393225 CTQ393225:CTT393225 DDM393225:DDP393225 DNI393225:DNL393225 DXE393225:DXH393225 EHA393225:EHD393225 EQW393225:EQZ393225 FAS393225:FAV393225 FKO393225:FKR393225 FUK393225:FUN393225 GEG393225:GEJ393225 GOC393225:GOF393225 GXY393225:GYB393225 HHU393225:HHX393225 HRQ393225:HRT393225 IBM393225:IBP393225 ILI393225:ILL393225 IVE393225:IVH393225 JFA393225:JFD393225 JOW393225:JOZ393225 JYS393225:JYV393225 KIO393225:KIR393225 KSK393225:KSN393225 LCG393225:LCJ393225 LMC393225:LMF393225 LVY393225:LWB393225 MFU393225:MFX393225 MPQ393225:MPT393225 MZM393225:MZP393225 NJI393225:NJL393225 NTE393225:NTH393225 ODA393225:ODD393225 OMW393225:OMZ393225 OWS393225:OWV393225 PGO393225:PGR393225 PQK393225:PQN393225 QAG393225:QAJ393225 QKC393225:QKF393225 QTY393225:QUB393225 RDU393225:RDX393225 RNQ393225:RNT393225 RXM393225:RXP393225 SHI393225:SHL393225 SRE393225:SRH393225 TBA393225:TBD393225 TKW393225:TKZ393225 TUS393225:TUV393225 UEO393225:UER393225 UOK393225:UON393225 UYG393225:UYJ393225 VIC393225:VIF393225 VRY393225:VSB393225 WBU393225:WBX393225 WLQ393225:WLT393225 WVM393225:WVP393225 E458761:H458761 JA458761:JD458761 SW458761:SZ458761 ACS458761:ACV458761 AMO458761:AMR458761 AWK458761:AWN458761 BGG458761:BGJ458761 BQC458761:BQF458761 BZY458761:CAB458761 CJU458761:CJX458761 CTQ458761:CTT458761 DDM458761:DDP458761 DNI458761:DNL458761 DXE458761:DXH458761 EHA458761:EHD458761 EQW458761:EQZ458761 FAS458761:FAV458761 FKO458761:FKR458761 FUK458761:FUN458761 GEG458761:GEJ458761 GOC458761:GOF458761 GXY458761:GYB458761 HHU458761:HHX458761 HRQ458761:HRT458761 IBM458761:IBP458761 ILI458761:ILL458761 IVE458761:IVH458761 JFA458761:JFD458761 JOW458761:JOZ458761 JYS458761:JYV458761 KIO458761:KIR458761 KSK458761:KSN458761 LCG458761:LCJ458761 LMC458761:LMF458761 LVY458761:LWB458761 MFU458761:MFX458761 MPQ458761:MPT458761 MZM458761:MZP458761 NJI458761:NJL458761 NTE458761:NTH458761 ODA458761:ODD458761 OMW458761:OMZ458761 OWS458761:OWV458761 PGO458761:PGR458761 PQK458761:PQN458761 QAG458761:QAJ458761 QKC458761:QKF458761 QTY458761:QUB458761 RDU458761:RDX458761 RNQ458761:RNT458761 RXM458761:RXP458761 SHI458761:SHL458761 SRE458761:SRH458761 TBA458761:TBD458761 TKW458761:TKZ458761 TUS458761:TUV458761 UEO458761:UER458761 UOK458761:UON458761 UYG458761:UYJ458761 VIC458761:VIF458761 VRY458761:VSB458761 WBU458761:WBX458761 WLQ458761:WLT458761 WVM458761:WVP458761 E524297:H524297 JA524297:JD524297 SW524297:SZ524297 ACS524297:ACV524297 AMO524297:AMR524297 AWK524297:AWN524297 BGG524297:BGJ524297 BQC524297:BQF524297 BZY524297:CAB524297 CJU524297:CJX524297 CTQ524297:CTT524297 DDM524297:DDP524297 DNI524297:DNL524297 DXE524297:DXH524297 EHA524297:EHD524297 EQW524297:EQZ524297 FAS524297:FAV524297 FKO524297:FKR524297 FUK524297:FUN524297 GEG524297:GEJ524297 GOC524297:GOF524297 GXY524297:GYB524297 HHU524297:HHX524297 HRQ524297:HRT524297 IBM524297:IBP524297 ILI524297:ILL524297 IVE524297:IVH524297 JFA524297:JFD524297 JOW524297:JOZ524297 JYS524297:JYV524297 KIO524297:KIR524297 KSK524297:KSN524297 LCG524297:LCJ524297 LMC524297:LMF524297 LVY524297:LWB524297 MFU524297:MFX524297 MPQ524297:MPT524297 MZM524297:MZP524297 NJI524297:NJL524297 NTE524297:NTH524297 ODA524297:ODD524297 OMW524297:OMZ524297 OWS524297:OWV524297 PGO524297:PGR524297 PQK524297:PQN524297 QAG524297:QAJ524297 QKC524297:QKF524297 QTY524297:QUB524297 RDU524297:RDX524297 RNQ524297:RNT524297 RXM524297:RXP524297 SHI524297:SHL524297 SRE524297:SRH524297 TBA524297:TBD524297 TKW524297:TKZ524297 TUS524297:TUV524297 UEO524297:UER524297 UOK524297:UON524297 UYG524297:UYJ524297 VIC524297:VIF524297 VRY524297:VSB524297 WBU524297:WBX524297 WLQ524297:WLT524297 WVM524297:WVP524297 E589833:H589833 JA589833:JD589833 SW589833:SZ589833 ACS589833:ACV589833 AMO589833:AMR589833 AWK589833:AWN589833 BGG589833:BGJ589833 BQC589833:BQF589833 BZY589833:CAB589833 CJU589833:CJX589833 CTQ589833:CTT589833 DDM589833:DDP589833 DNI589833:DNL589833 DXE589833:DXH589833 EHA589833:EHD589833 EQW589833:EQZ589833 FAS589833:FAV589833 FKO589833:FKR589833 FUK589833:FUN589833 GEG589833:GEJ589833 GOC589833:GOF589833 GXY589833:GYB589833 HHU589833:HHX589833 HRQ589833:HRT589833 IBM589833:IBP589833 ILI589833:ILL589833 IVE589833:IVH589833 JFA589833:JFD589833 JOW589833:JOZ589833 JYS589833:JYV589833 KIO589833:KIR589833 KSK589833:KSN589833 LCG589833:LCJ589833 LMC589833:LMF589833 LVY589833:LWB589833 MFU589833:MFX589833 MPQ589833:MPT589833 MZM589833:MZP589833 NJI589833:NJL589833 NTE589833:NTH589833 ODA589833:ODD589833 OMW589833:OMZ589833 OWS589833:OWV589833 PGO589833:PGR589833 PQK589833:PQN589833 QAG589833:QAJ589833 QKC589833:QKF589833 QTY589833:QUB589833 RDU589833:RDX589833 RNQ589833:RNT589833 RXM589833:RXP589833 SHI589833:SHL589833 SRE589833:SRH589833 TBA589833:TBD589833 TKW589833:TKZ589833 TUS589833:TUV589833 UEO589833:UER589833 UOK589833:UON589833 UYG589833:UYJ589833 VIC589833:VIF589833 VRY589833:VSB589833 WBU589833:WBX589833 WLQ589833:WLT589833 WVM589833:WVP589833 E655369:H655369 JA655369:JD655369 SW655369:SZ655369 ACS655369:ACV655369 AMO655369:AMR655369 AWK655369:AWN655369 BGG655369:BGJ655369 BQC655369:BQF655369 BZY655369:CAB655369 CJU655369:CJX655369 CTQ655369:CTT655369 DDM655369:DDP655369 DNI655369:DNL655369 DXE655369:DXH655369 EHA655369:EHD655369 EQW655369:EQZ655369 FAS655369:FAV655369 FKO655369:FKR655369 FUK655369:FUN655369 GEG655369:GEJ655369 GOC655369:GOF655369 GXY655369:GYB655369 HHU655369:HHX655369 HRQ655369:HRT655369 IBM655369:IBP655369 ILI655369:ILL655369 IVE655369:IVH655369 JFA655369:JFD655369 JOW655369:JOZ655369 JYS655369:JYV655369 KIO655369:KIR655369 KSK655369:KSN655369 LCG655369:LCJ655369 LMC655369:LMF655369 LVY655369:LWB655369 MFU655369:MFX655369 MPQ655369:MPT655369 MZM655369:MZP655369 NJI655369:NJL655369 NTE655369:NTH655369 ODA655369:ODD655369 OMW655369:OMZ655369 OWS655369:OWV655369 PGO655369:PGR655369 PQK655369:PQN655369 QAG655369:QAJ655369 QKC655369:QKF655369 QTY655369:QUB655369 RDU655369:RDX655369 RNQ655369:RNT655369 RXM655369:RXP655369 SHI655369:SHL655369 SRE655369:SRH655369 TBA655369:TBD655369 TKW655369:TKZ655369 TUS655369:TUV655369 UEO655369:UER655369 UOK655369:UON655369 UYG655369:UYJ655369 VIC655369:VIF655369 VRY655369:VSB655369 WBU655369:WBX655369 WLQ655369:WLT655369 WVM655369:WVP655369 E720905:H720905 JA720905:JD720905 SW720905:SZ720905 ACS720905:ACV720905 AMO720905:AMR720905 AWK720905:AWN720905 BGG720905:BGJ720905 BQC720905:BQF720905 BZY720905:CAB720905 CJU720905:CJX720905 CTQ720905:CTT720905 DDM720905:DDP720905 DNI720905:DNL720905 DXE720905:DXH720905 EHA720905:EHD720905 EQW720905:EQZ720905 FAS720905:FAV720905 FKO720905:FKR720905 FUK720905:FUN720905 GEG720905:GEJ720905 GOC720905:GOF720905 GXY720905:GYB720905 HHU720905:HHX720905 HRQ720905:HRT720905 IBM720905:IBP720905 ILI720905:ILL720905 IVE720905:IVH720905 JFA720905:JFD720905 JOW720905:JOZ720905 JYS720905:JYV720905 KIO720905:KIR720905 KSK720905:KSN720905 LCG720905:LCJ720905 LMC720905:LMF720905 LVY720905:LWB720905 MFU720905:MFX720905 MPQ720905:MPT720905 MZM720905:MZP720905 NJI720905:NJL720905 NTE720905:NTH720905 ODA720905:ODD720905 OMW720905:OMZ720905 OWS720905:OWV720905 PGO720905:PGR720905 PQK720905:PQN720905 QAG720905:QAJ720905 QKC720905:QKF720905 QTY720905:QUB720905 RDU720905:RDX720905 RNQ720905:RNT720905 RXM720905:RXP720905 SHI720905:SHL720905 SRE720905:SRH720905 TBA720905:TBD720905 TKW720905:TKZ720905 TUS720905:TUV720905 UEO720905:UER720905 UOK720905:UON720905 UYG720905:UYJ720905 VIC720905:VIF720905 VRY720905:VSB720905 WBU720905:WBX720905 WLQ720905:WLT720905 WVM720905:WVP720905 E786441:H786441 JA786441:JD786441 SW786441:SZ786441 ACS786441:ACV786441 AMO786441:AMR786441 AWK786441:AWN786441 BGG786441:BGJ786441 BQC786441:BQF786441 BZY786441:CAB786441 CJU786441:CJX786441 CTQ786441:CTT786441 DDM786441:DDP786441 DNI786441:DNL786441 DXE786441:DXH786441 EHA786441:EHD786441 EQW786441:EQZ786441 FAS786441:FAV786441 FKO786441:FKR786441 FUK786441:FUN786441 GEG786441:GEJ786441 GOC786441:GOF786441 GXY786441:GYB786441 HHU786441:HHX786441 HRQ786441:HRT786441 IBM786441:IBP786441 ILI786441:ILL786441 IVE786441:IVH786441 JFA786441:JFD786441 JOW786441:JOZ786441 JYS786441:JYV786441 KIO786441:KIR786441 KSK786441:KSN786441 LCG786441:LCJ786441 LMC786441:LMF786441 LVY786441:LWB786441 MFU786441:MFX786441 MPQ786441:MPT786441 MZM786441:MZP786441 NJI786441:NJL786441 NTE786441:NTH786441 ODA786441:ODD786441 OMW786441:OMZ786441 OWS786441:OWV786441 PGO786441:PGR786441 PQK786441:PQN786441 QAG786441:QAJ786441 QKC786441:QKF786441 QTY786441:QUB786441 RDU786441:RDX786441 RNQ786441:RNT786441 RXM786441:RXP786441 SHI786441:SHL786441 SRE786441:SRH786441 TBA786441:TBD786441 TKW786441:TKZ786441 TUS786441:TUV786441 UEO786441:UER786441 UOK786441:UON786441 UYG786441:UYJ786441 VIC786441:VIF786441 VRY786441:VSB786441 WBU786441:WBX786441 WLQ786441:WLT786441 WVM786441:WVP786441 E851977:H851977 JA851977:JD851977 SW851977:SZ851977 ACS851977:ACV851977 AMO851977:AMR851977 AWK851977:AWN851977 BGG851977:BGJ851977 BQC851977:BQF851977 BZY851977:CAB851977 CJU851977:CJX851977 CTQ851977:CTT851977 DDM851977:DDP851977 DNI851977:DNL851977 DXE851977:DXH851977 EHA851977:EHD851977 EQW851977:EQZ851977 FAS851977:FAV851977 FKO851977:FKR851977 FUK851977:FUN851977 GEG851977:GEJ851977 GOC851977:GOF851977 GXY851977:GYB851977 HHU851977:HHX851977 HRQ851977:HRT851977 IBM851977:IBP851977 ILI851977:ILL851977 IVE851977:IVH851977 JFA851977:JFD851977 JOW851977:JOZ851977 JYS851977:JYV851977 KIO851977:KIR851977 KSK851977:KSN851977 LCG851977:LCJ851977 LMC851977:LMF851977 LVY851977:LWB851977 MFU851977:MFX851977 MPQ851977:MPT851977 MZM851977:MZP851977 NJI851977:NJL851977 NTE851977:NTH851977 ODA851977:ODD851977 OMW851977:OMZ851977 OWS851977:OWV851977 PGO851977:PGR851977 PQK851977:PQN851977 QAG851977:QAJ851977 QKC851977:QKF851977 QTY851977:QUB851977 RDU851977:RDX851977 RNQ851977:RNT851977 RXM851977:RXP851977 SHI851977:SHL851977 SRE851977:SRH851977 TBA851977:TBD851977 TKW851977:TKZ851977 TUS851977:TUV851977 UEO851977:UER851977 UOK851977:UON851977 UYG851977:UYJ851977 VIC851977:VIF851977 VRY851977:VSB851977 WBU851977:WBX851977 WLQ851977:WLT851977 WVM851977:WVP851977 E917513:H917513 JA917513:JD917513 SW917513:SZ917513 ACS917513:ACV917513 AMO917513:AMR917513 AWK917513:AWN917513 BGG917513:BGJ917513 BQC917513:BQF917513 BZY917513:CAB917513 CJU917513:CJX917513 CTQ917513:CTT917513 DDM917513:DDP917513 DNI917513:DNL917513 DXE917513:DXH917513 EHA917513:EHD917513 EQW917513:EQZ917513 FAS917513:FAV917513 FKO917513:FKR917513 FUK917513:FUN917513 GEG917513:GEJ917513 GOC917513:GOF917513 GXY917513:GYB917513 HHU917513:HHX917513 HRQ917513:HRT917513 IBM917513:IBP917513 ILI917513:ILL917513 IVE917513:IVH917513 JFA917513:JFD917513 JOW917513:JOZ917513 JYS917513:JYV917513 KIO917513:KIR917513 KSK917513:KSN917513 LCG917513:LCJ917513 LMC917513:LMF917513 LVY917513:LWB917513 MFU917513:MFX917513 MPQ917513:MPT917513 MZM917513:MZP917513 NJI917513:NJL917513 NTE917513:NTH917513 ODA917513:ODD917513 OMW917513:OMZ917513 OWS917513:OWV917513 PGO917513:PGR917513 PQK917513:PQN917513 QAG917513:QAJ917513 QKC917513:QKF917513 QTY917513:QUB917513 RDU917513:RDX917513 RNQ917513:RNT917513 RXM917513:RXP917513 SHI917513:SHL917513 SRE917513:SRH917513 TBA917513:TBD917513 TKW917513:TKZ917513 TUS917513:TUV917513 UEO917513:UER917513 UOK917513:UON917513 UYG917513:UYJ917513 VIC917513:VIF917513 VRY917513:VSB917513 WBU917513:WBX917513 WLQ917513:WLT917513 WVM917513:WVP917513 E983049:H983049 JA983049:JD983049 SW983049:SZ983049 ACS983049:ACV983049 AMO983049:AMR983049 AWK983049:AWN983049 BGG983049:BGJ983049 BQC983049:BQF983049 BZY983049:CAB983049 CJU983049:CJX983049 CTQ983049:CTT983049 DDM983049:DDP983049 DNI983049:DNL983049 DXE983049:DXH983049 EHA983049:EHD983049 EQW983049:EQZ983049 FAS983049:FAV983049 FKO983049:FKR983049 FUK983049:FUN983049 GEG983049:GEJ983049 GOC983049:GOF983049 GXY983049:GYB983049 HHU983049:HHX983049 HRQ983049:HRT983049 IBM983049:IBP983049 ILI983049:ILL983049 IVE983049:IVH983049 JFA983049:JFD983049 JOW983049:JOZ983049 JYS983049:JYV983049 KIO983049:KIR983049 KSK983049:KSN983049 LCG983049:LCJ983049 LMC983049:LMF983049 LVY983049:LWB983049 MFU983049:MFX983049 MPQ983049:MPT983049 MZM983049:MZP983049 NJI983049:NJL983049 NTE983049:NTH983049 ODA983049:ODD983049 OMW983049:OMZ983049 OWS983049:OWV983049 PGO983049:PGR983049 PQK983049:PQN983049 QAG983049:QAJ983049 QKC983049:QKF983049 QTY983049:QUB983049 RDU983049:RDX983049 RNQ983049:RNT983049 RXM983049:RXP983049 SHI983049:SHL983049 SRE983049:SRH983049 TBA983049:TBD983049 TKW983049:TKZ983049 TUS983049:TUV983049 UEO983049:UER983049 UOK983049:UON983049 UYG983049:UYJ983049 VIC983049:VIF983049 VRY983049:VSB983049 WBU983049:WBX983049 WLQ983049:WLT983049 WVM983049:WVP983049">
      <formula1>"划出方,划入方"</formula1>
    </dataValidation>
    <dataValidation type="list" allowBlank="1" showInputMessage="1" showErrorMessage="1" sqref="E7:H7 JA7:JD7 SW7:SZ7 ACS7:ACV7 AMO7:AMR7 AWK7:AWN7 BGG7:BGJ7 BQC7:BQF7 BZY7:CAB7 CJU7:CJX7 CTQ7:CTT7 DDM7:DDP7 DNI7:DNL7 DXE7:DXH7 EHA7:EHD7 EQW7:EQZ7 FAS7:FAV7 FKO7:FKR7 FUK7:FUN7 GEG7:GEJ7 GOC7:GOF7 GXY7:GYB7 HHU7:HHX7 HRQ7:HRT7 IBM7:IBP7 ILI7:ILL7 IVE7:IVH7 JFA7:JFD7 JOW7:JOZ7 JYS7:JYV7 KIO7:KIR7 KSK7:KSN7 LCG7:LCJ7 LMC7:LMF7 LVY7:LWB7 MFU7:MFX7 MPQ7:MPT7 MZM7:MZP7 NJI7:NJL7 NTE7:NTH7 ODA7:ODD7 OMW7:OMZ7 OWS7:OWV7 PGO7:PGR7 PQK7:PQN7 QAG7:QAJ7 QKC7:QKF7 QTY7:QUB7 RDU7:RDX7 RNQ7:RNT7 RXM7:RXP7 SHI7:SHL7 SRE7:SRH7 TBA7:TBD7 TKW7:TKZ7 TUS7:TUV7 UEO7:UER7 UOK7:UON7 UYG7:UYJ7 VIC7:VIF7 VRY7:VSB7 WBU7:WBX7 WLQ7:WLT7 WVM7:WVP7 E65543:H65543 JA65543:JD65543 SW65543:SZ65543 ACS65543:ACV65543 AMO65543:AMR65543 AWK65543:AWN65543 BGG65543:BGJ65543 BQC65543:BQF65543 BZY65543:CAB65543 CJU65543:CJX65543 CTQ65543:CTT65543 DDM65543:DDP65543 DNI65543:DNL65543 DXE65543:DXH65543 EHA65543:EHD65543 EQW65543:EQZ65543 FAS65543:FAV65543 FKO65543:FKR65543 FUK65543:FUN65543 GEG65543:GEJ65543 GOC65543:GOF65543 GXY65543:GYB65543 HHU65543:HHX65543 HRQ65543:HRT65543 IBM65543:IBP65543 ILI65543:ILL65543 IVE65543:IVH65543 JFA65543:JFD65543 JOW65543:JOZ65543 JYS65543:JYV65543 KIO65543:KIR65543 KSK65543:KSN65543 LCG65543:LCJ65543 LMC65543:LMF65543 LVY65543:LWB65543 MFU65543:MFX65543 MPQ65543:MPT65543 MZM65543:MZP65543 NJI65543:NJL65543 NTE65543:NTH65543 ODA65543:ODD65543 OMW65543:OMZ65543 OWS65543:OWV65543 PGO65543:PGR65543 PQK65543:PQN65543 QAG65543:QAJ65543 QKC65543:QKF65543 QTY65543:QUB65543 RDU65543:RDX65543 RNQ65543:RNT65543 RXM65543:RXP65543 SHI65543:SHL65543 SRE65543:SRH65543 TBA65543:TBD65543 TKW65543:TKZ65543 TUS65543:TUV65543 UEO65543:UER65543 UOK65543:UON65543 UYG65543:UYJ65543 VIC65543:VIF65543 VRY65543:VSB65543 WBU65543:WBX65543 WLQ65543:WLT65543 WVM65543:WVP65543 E131079:H131079 JA131079:JD131079 SW131079:SZ131079 ACS131079:ACV131079 AMO131079:AMR131079 AWK131079:AWN131079 BGG131079:BGJ131079 BQC131079:BQF131079 BZY131079:CAB131079 CJU131079:CJX131079 CTQ131079:CTT131079 DDM131079:DDP131079 DNI131079:DNL131079 DXE131079:DXH131079 EHA131079:EHD131079 EQW131079:EQZ131079 FAS131079:FAV131079 FKO131079:FKR131079 FUK131079:FUN131079 GEG131079:GEJ131079 GOC131079:GOF131079 GXY131079:GYB131079 HHU131079:HHX131079 HRQ131079:HRT131079 IBM131079:IBP131079 ILI131079:ILL131079 IVE131079:IVH131079 JFA131079:JFD131079 JOW131079:JOZ131079 JYS131079:JYV131079 KIO131079:KIR131079 KSK131079:KSN131079 LCG131079:LCJ131079 LMC131079:LMF131079 LVY131079:LWB131079 MFU131079:MFX131079 MPQ131079:MPT131079 MZM131079:MZP131079 NJI131079:NJL131079 NTE131079:NTH131079 ODA131079:ODD131079 OMW131079:OMZ131079 OWS131079:OWV131079 PGO131079:PGR131079 PQK131079:PQN131079 QAG131079:QAJ131079 QKC131079:QKF131079 QTY131079:QUB131079 RDU131079:RDX131079 RNQ131079:RNT131079 RXM131079:RXP131079 SHI131079:SHL131079 SRE131079:SRH131079 TBA131079:TBD131079 TKW131079:TKZ131079 TUS131079:TUV131079 UEO131079:UER131079 UOK131079:UON131079 UYG131079:UYJ131079 VIC131079:VIF131079 VRY131079:VSB131079 WBU131079:WBX131079 WLQ131079:WLT131079 WVM131079:WVP131079 E196615:H196615 JA196615:JD196615 SW196615:SZ196615 ACS196615:ACV196615 AMO196615:AMR196615 AWK196615:AWN196615 BGG196615:BGJ196615 BQC196615:BQF196615 BZY196615:CAB196615 CJU196615:CJX196615 CTQ196615:CTT196615 DDM196615:DDP196615 DNI196615:DNL196615 DXE196615:DXH196615 EHA196615:EHD196615 EQW196615:EQZ196615 FAS196615:FAV196615 FKO196615:FKR196615 FUK196615:FUN196615 GEG196615:GEJ196615 GOC196615:GOF196615 GXY196615:GYB196615 HHU196615:HHX196615 HRQ196615:HRT196615 IBM196615:IBP196615 ILI196615:ILL196615 IVE196615:IVH196615 JFA196615:JFD196615 JOW196615:JOZ196615 JYS196615:JYV196615 KIO196615:KIR196615 KSK196615:KSN196615 LCG196615:LCJ196615 LMC196615:LMF196615 LVY196615:LWB196615 MFU196615:MFX196615 MPQ196615:MPT196615 MZM196615:MZP196615 NJI196615:NJL196615 NTE196615:NTH196615 ODA196615:ODD196615 OMW196615:OMZ196615 OWS196615:OWV196615 PGO196615:PGR196615 PQK196615:PQN196615 QAG196615:QAJ196615 QKC196615:QKF196615 QTY196615:QUB196615 RDU196615:RDX196615 RNQ196615:RNT196615 RXM196615:RXP196615 SHI196615:SHL196615 SRE196615:SRH196615 TBA196615:TBD196615 TKW196615:TKZ196615 TUS196615:TUV196615 UEO196615:UER196615 UOK196615:UON196615 UYG196615:UYJ196615 VIC196615:VIF196615 VRY196615:VSB196615 WBU196615:WBX196615 WLQ196615:WLT196615 WVM196615:WVP196615 E262151:H262151 JA262151:JD262151 SW262151:SZ262151 ACS262151:ACV262151 AMO262151:AMR262151 AWK262151:AWN262151 BGG262151:BGJ262151 BQC262151:BQF262151 BZY262151:CAB262151 CJU262151:CJX262151 CTQ262151:CTT262151 DDM262151:DDP262151 DNI262151:DNL262151 DXE262151:DXH262151 EHA262151:EHD262151 EQW262151:EQZ262151 FAS262151:FAV262151 FKO262151:FKR262151 FUK262151:FUN262151 GEG262151:GEJ262151 GOC262151:GOF262151 GXY262151:GYB262151 HHU262151:HHX262151 HRQ262151:HRT262151 IBM262151:IBP262151 ILI262151:ILL262151 IVE262151:IVH262151 JFA262151:JFD262151 JOW262151:JOZ262151 JYS262151:JYV262151 KIO262151:KIR262151 KSK262151:KSN262151 LCG262151:LCJ262151 LMC262151:LMF262151 LVY262151:LWB262151 MFU262151:MFX262151 MPQ262151:MPT262151 MZM262151:MZP262151 NJI262151:NJL262151 NTE262151:NTH262151 ODA262151:ODD262151 OMW262151:OMZ262151 OWS262151:OWV262151 PGO262151:PGR262151 PQK262151:PQN262151 QAG262151:QAJ262151 QKC262151:QKF262151 QTY262151:QUB262151 RDU262151:RDX262151 RNQ262151:RNT262151 RXM262151:RXP262151 SHI262151:SHL262151 SRE262151:SRH262151 TBA262151:TBD262151 TKW262151:TKZ262151 TUS262151:TUV262151 UEO262151:UER262151 UOK262151:UON262151 UYG262151:UYJ262151 VIC262151:VIF262151 VRY262151:VSB262151 WBU262151:WBX262151 WLQ262151:WLT262151 WVM262151:WVP262151 E327687:H327687 JA327687:JD327687 SW327687:SZ327687 ACS327687:ACV327687 AMO327687:AMR327687 AWK327687:AWN327687 BGG327687:BGJ327687 BQC327687:BQF327687 BZY327687:CAB327687 CJU327687:CJX327687 CTQ327687:CTT327687 DDM327687:DDP327687 DNI327687:DNL327687 DXE327687:DXH327687 EHA327687:EHD327687 EQW327687:EQZ327687 FAS327687:FAV327687 FKO327687:FKR327687 FUK327687:FUN327687 GEG327687:GEJ327687 GOC327687:GOF327687 GXY327687:GYB327687 HHU327687:HHX327687 HRQ327687:HRT327687 IBM327687:IBP327687 ILI327687:ILL327687 IVE327687:IVH327687 JFA327687:JFD327687 JOW327687:JOZ327687 JYS327687:JYV327687 KIO327687:KIR327687 KSK327687:KSN327687 LCG327687:LCJ327687 LMC327687:LMF327687 LVY327687:LWB327687 MFU327687:MFX327687 MPQ327687:MPT327687 MZM327687:MZP327687 NJI327687:NJL327687 NTE327687:NTH327687 ODA327687:ODD327687 OMW327687:OMZ327687 OWS327687:OWV327687 PGO327687:PGR327687 PQK327687:PQN327687 QAG327687:QAJ327687 QKC327687:QKF327687 QTY327687:QUB327687 RDU327687:RDX327687 RNQ327687:RNT327687 RXM327687:RXP327687 SHI327687:SHL327687 SRE327687:SRH327687 TBA327687:TBD327687 TKW327687:TKZ327687 TUS327687:TUV327687 UEO327687:UER327687 UOK327687:UON327687 UYG327687:UYJ327687 VIC327687:VIF327687 VRY327687:VSB327687 WBU327687:WBX327687 WLQ327687:WLT327687 WVM327687:WVP327687 E393223:H393223 JA393223:JD393223 SW393223:SZ393223 ACS393223:ACV393223 AMO393223:AMR393223 AWK393223:AWN393223 BGG393223:BGJ393223 BQC393223:BQF393223 BZY393223:CAB393223 CJU393223:CJX393223 CTQ393223:CTT393223 DDM393223:DDP393223 DNI393223:DNL393223 DXE393223:DXH393223 EHA393223:EHD393223 EQW393223:EQZ393223 FAS393223:FAV393223 FKO393223:FKR393223 FUK393223:FUN393223 GEG393223:GEJ393223 GOC393223:GOF393223 GXY393223:GYB393223 HHU393223:HHX393223 HRQ393223:HRT393223 IBM393223:IBP393223 ILI393223:ILL393223 IVE393223:IVH393223 JFA393223:JFD393223 JOW393223:JOZ393223 JYS393223:JYV393223 KIO393223:KIR393223 KSK393223:KSN393223 LCG393223:LCJ393223 LMC393223:LMF393223 LVY393223:LWB393223 MFU393223:MFX393223 MPQ393223:MPT393223 MZM393223:MZP393223 NJI393223:NJL393223 NTE393223:NTH393223 ODA393223:ODD393223 OMW393223:OMZ393223 OWS393223:OWV393223 PGO393223:PGR393223 PQK393223:PQN393223 QAG393223:QAJ393223 QKC393223:QKF393223 QTY393223:QUB393223 RDU393223:RDX393223 RNQ393223:RNT393223 RXM393223:RXP393223 SHI393223:SHL393223 SRE393223:SRH393223 TBA393223:TBD393223 TKW393223:TKZ393223 TUS393223:TUV393223 UEO393223:UER393223 UOK393223:UON393223 UYG393223:UYJ393223 VIC393223:VIF393223 VRY393223:VSB393223 WBU393223:WBX393223 WLQ393223:WLT393223 WVM393223:WVP393223 E458759:H458759 JA458759:JD458759 SW458759:SZ458759 ACS458759:ACV458759 AMO458759:AMR458759 AWK458759:AWN458759 BGG458759:BGJ458759 BQC458759:BQF458759 BZY458759:CAB458759 CJU458759:CJX458759 CTQ458759:CTT458759 DDM458759:DDP458759 DNI458759:DNL458759 DXE458759:DXH458759 EHA458759:EHD458759 EQW458759:EQZ458759 FAS458759:FAV458759 FKO458759:FKR458759 FUK458759:FUN458759 GEG458759:GEJ458759 GOC458759:GOF458759 GXY458759:GYB458759 HHU458759:HHX458759 HRQ458759:HRT458759 IBM458759:IBP458759 ILI458759:ILL458759 IVE458759:IVH458759 JFA458759:JFD458759 JOW458759:JOZ458759 JYS458759:JYV458759 KIO458759:KIR458759 KSK458759:KSN458759 LCG458759:LCJ458759 LMC458759:LMF458759 LVY458759:LWB458759 MFU458759:MFX458759 MPQ458759:MPT458759 MZM458759:MZP458759 NJI458759:NJL458759 NTE458759:NTH458759 ODA458759:ODD458759 OMW458759:OMZ458759 OWS458759:OWV458759 PGO458759:PGR458759 PQK458759:PQN458759 QAG458759:QAJ458759 QKC458759:QKF458759 QTY458759:QUB458759 RDU458759:RDX458759 RNQ458759:RNT458759 RXM458759:RXP458759 SHI458759:SHL458759 SRE458759:SRH458759 TBA458759:TBD458759 TKW458759:TKZ458759 TUS458759:TUV458759 UEO458759:UER458759 UOK458759:UON458759 UYG458759:UYJ458759 VIC458759:VIF458759 VRY458759:VSB458759 WBU458759:WBX458759 WLQ458759:WLT458759 WVM458759:WVP458759 E524295:H524295 JA524295:JD524295 SW524295:SZ524295 ACS524295:ACV524295 AMO524295:AMR524295 AWK524295:AWN524295 BGG524295:BGJ524295 BQC524295:BQF524295 BZY524295:CAB524295 CJU524295:CJX524295 CTQ524295:CTT524295 DDM524295:DDP524295 DNI524295:DNL524295 DXE524295:DXH524295 EHA524295:EHD524295 EQW524295:EQZ524295 FAS524295:FAV524295 FKO524295:FKR524295 FUK524295:FUN524295 GEG524295:GEJ524295 GOC524295:GOF524295 GXY524295:GYB524295 HHU524295:HHX524295 HRQ524295:HRT524295 IBM524295:IBP524295 ILI524295:ILL524295 IVE524295:IVH524295 JFA524295:JFD524295 JOW524295:JOZ524295 JYS524295:JYV524295 KIO524295:KIR524295 KSK524295:KSN524295 LCG524295:LCJ524295 LMC524295:LMF524295 LVY524295:LWB524295 MFU524295:MFX524295 MPQ524295:MPT524295 MZM524295:MZP524295 NJI524295:NJL524295 NTE524295:NTH524295 ODA524295:ODD524295 OMW524295:OMZ524295 OWS524295:OWV524295 PGO524295:PGR524295 PQK524295:PQN524295 QAG524295:QAJ524295 QKC524295:QKF524295 QTY524295:QUB524295 RDU524295:RDX524295 RNQ524295:RNT524295 RXM524295:RXP524295 SHI524295:SHL524295 SRE524295:SRH524295 TBA524295:TBD524295 TKW524295:TKZ524295 TUS524295:TUV524295 UEO524295:UER524295 UOK524295:UON524295 UYG524295:UYJ524295 VIC524295:VIF524295 VRY524295:VSB524295 WBU524295:WBX524295 WLQ524295:WLT524295 WVM524295:WVP524295 E589831:H589831 JA589831:JD589831 SW589831:SZ589831 ACS589831:ACV589831 AMO589831:AMR589831 AWK589831:AWN589831 BGG589831:BGJ589831 BQC589831:BQF589831 BZY589831:CAB589831 CJU589831:CJX589831 CTQ589831:CTT589831 DDM589831:DDP589831 DNI589831:DNL589831 DXE589831:DXH589831 EHA589831:EHD589831 EQW589831:EQZ589831 FAS589831:FAV589831 FKO589831:FKR589831 FUK589831:FUN589831 GEG589831:GEJ589831 GOC589831:GOF589831 GXY589831:GYB589831 HHU589831:HHX589831 HRQ589831:HRT589831 IBM589831:IBP589831 ILI589831:ILL589831 IVE589831:IVH589831 JFA589831:JFD589831 JOW589831:JOZ589831 JYS589831:JYV589831 KIO589831:KIR589831 KSK589831:KSN589831 LCG589831:LCJ589831 LMC589831:LMF589831 LVY589831:LWB589831 MFU589831:MFX589831 MPQ589831:MPT589831 MZM589831:MZP589831 NJI589831:NJL589831 NTE589831:NTH589831 ODA589831:ODD589831 OMW589831:OMZ589831 OWS589831:OWV589831 PGO589831:PGR589831 PQK589831:PQN589831 QAG589831:QAJ589831 QKC589831:QKF589831 QTY589831:QUB589831 RDU589831:RDX589831 RNQ589831:RNT589831 RXM589831:RXP589831 SHI589831:SHL589831 SRE589831:SRH589831 TBA589831:TBD589831 TKW589831:TKZ589831 TUS589831:TUV589831 UEO589831:UER589831 UOK589831:UON589831 UYG589831:UYJ589831 VIC589831:VIF589831 VRY589831:VSB589831 WBU589831:WBX589831 WLQ589831:WLT589831 WVM589831:WVP589831 E655367:H655367 JA655367:JD655367 SW655367:SZ655367 ACS655367:ACV655367 AMO655367:AMR655367 AWK655367:AWN655367 BGG655367:BGJ655367 BQC655367:BQF655367 BZY655367:CAB655367 CJU655367:CJX655367 CTQ655367:CTT655367 DDM655367:DDP655367 DNI655367:DNL655367 DXE655367:DXH655367 EHA655367:EHD655367 EQW655367:EQZ655367 FAS655367:FAV655367 FKO655367:FKR655367 FUK655367:FUN655367 GEG655367:GEJ655367 GOC655367:GOF655367 GXY655367:GYB655367 HHU655367:HHX655367 HRQ655367:HRT655367 IBM655367:IBP655367 ILI655367:ILL655367 IVE655367:IVH655367 JFA655367:JFD655367 JOW655367:JOZ655367 JYS655367:JYV655367 KIO655367:KIR655367 KSK655367:KSN655367 LCG655367:LCJ655367 LMC655367:LMF655367 LVY655367:LWB655367 MFU655367:MFX655367 MPQ655367:MPT655367 MZM655367:MZP655367 NJI655367:NJL655367 NTE655367:NTH655367 ODA655367:ODD655367 OMW655367:OMZ655367 OWS655367:OWV655367 PGO655367:PGR655367 PQK655367:PQN655367 QAG655367:QAJ655367 QKC655367:QKF655367 QTY655367:QUB655367 RDU655367:RDX655367 RNQ655367:RNT655367 RXM655367:RXP655367 SHI655367:SHL655367 SRE655367:SRH655367 TBA655367:TBD655367 TKW655367:TKZ655367 TUS655367:TUV655367 UEO655367:UER655367 UOK655367:UON655367 UYG655367:UYJ655367 VIC655367:VIF655367 VRY655367:VSB655367 WBU655367:WBX655367 WLQ655367:WLT655367 WVM655367:WVP655367 E720903:H720903 JA720903:JD720903 SW720903:SZ720903 ACS720903:ACV720903 AMO720903:AMR720903 AWK720903:AWN720903 BGG720903:BGJ720903 BQC720903:BQF720903 BZY720903:CAB720903 CJU720903:CJX720903 CTQ720903:CTT720903 DDM720903:DDP720903 DNI720903:DNL720903 DXE720903:DXH720903 EHA720903:EHD720903 EQW720903:EQZ720903 FAS720903:FAV720903 FKO720903:FKR720903 FUK720903:FUN720903 GEG720903:GEJ720903 GOC720903:GOF720903 GXY720903:GYB720903 HHU720903:HHX720903 HRQ720903:HRT720903 IBM720903:IBP720903 ILI720903:ILL720903 IVE720903:IVH720903 JFA720903:JFD720903 JOW720903:JOZ720903 JYS720903:JYV720903 KIO720903:KIR720903 KSK720903:KSN720903 LCG720903:LCJ720903 LMC720903:LMF720903 LVY720903:LWB720903 MFU720903:MFX720903 MPQ720903:MPT720903 MZM720903:MZP720903 NJI720903:NJL720903 NTE720903:NTH720903 ODA720903:ODD720903 OMW720903:OMZ720903 OWS720903:OWV720903 PGO720903:PGR720903 PQK720903:PQN720903 QAG720903:QAJ720903 QKC720903:QKF720903 QTY720903:QUB720903 RDU720903:RDX720903 RNQ720903:RNT720903 RXM720903:RXP720903 SHI720903:SHL720903 SRE720903:SRH720903 TBA720903:TBD720903 TKW720903:TKZ720903 TUS720903:TUV720903 UEO720903:UER720903 UOK720903:UON720903 UYG720903:UYJ720903 VIC720903:VIF720903 VRY720903:VSB720903 WBU720903:WBX720903 WLQ720903:WLT720903 WVM720903:WVP720903 E786439:H786439 JA786439:JD786439 SW786439:SZ786439 ACS786439:ACV786439 AMO786439:AMR786439 AWK786439:AWN786439 BGG786439:BGJ786439 BQC786439:BQF786439 BZY786439:CAB786439 CJU786439:CJX786439 CTQ786439:CTT786439 DDM786439:DDP786439 DNI786439:DNL786439 DXE786439:DXH786439 EHA786439:EHD786439 EQW786439:EQZ786439 FAS786439:FAV786439 FKO786439:FKR786439 FUK786439:FUN786439 GEG786439:GEJ786439 GOC786439:GOF786439 GXY786439:GYB786439 HHU786439:HHX786439 HRQ786439:HRT786439 IBM786439:IBP786439 ILI786439:ILL786439 IVE786439:IVH786439 JFA786439:JFD786439 JOW786439:JOZ786439 JYS786439:JYV786439 KIO786439:KIR786439 KSK786439:KSN786439 LCG786439:LCJ786439 LMC786439:LMF786439 LVY786439:LWB786439 MFU786439:MFX786439 MPQ786439:MPT786439 MZM786439:MZP786439 NJI786439:NJL786439 NTE786439:NTH786439 ODA786439:ODD786439 OMW786439:OMZ786439 OWS786439:OWV786439 PGO786439:PGR786439 PQK786439:PQN786439 QAG786439:QAJ786439 QKC786439:QKF786439 QTY786439:QUB786439 RDU786439:RDX786439 RNQ786439:RNT786439 RXM786439:RXP786439 SHI786439:SHL786439 SRE786439:SRH786439 TBA786439:TBD786439 TKW786439:TKZ786439 TUS786439:TUV786439 UEO786439:UER786439 UOK786439:UON786439 UYG786439:UYJ786439 VIC786439:VIF786439 VRY786439:VSB786439 WBU786439:WBX786439 WLQ786439:WLT786439 WVM786439:WVP786439 E851975:H851975 JA851975:JD851975 SW851975:SZ851975 ACS851975:ACV851975 AMO851975:AMR851975 AWK851975:AWN851975 BGG851975:BGJ851975 BQC851975:BQF851975 BZY851975:CAB851975 CJU851975:CJX851975 CTQ851975:CTT851975 DDM851975:DDP851975 DNI851975:DNL851975 DXE851975:DXH851975 EHA851975:EHD851975 EQW851975:EQZ851975 FAS851975:FAV851975 FKO851975:FKR851975 FUK851975:FUN851975 GEG851975:GEJ851975 GOC851975:GOF851975 GXY851975:GYB851975 HHU851975:HHX851975 HRQ851975:HRT851975 IBM851975:IBP851975 ILI851975:ILL851975 IVE851975:IVH851975 JFA851975:JFD851975 JOW851975:JOZ851975 JYS851975:JYV851975 KIO851975:KIR851975 KSK851975:KSN851975 LCG851975:LCJ851975 LMC851975:LMF851975 LVY851975:LWB851975 MFU851975:MFX851975 MPQ851975:MPT851975 MZM851975:MZP851975 NJI851975:NJL851975 NTE851975:NTH851975 ODA851975:ODD851975 OMW851975:OMZ851975 OWS851975:OWV851975 PGO851975:PGR851975 PQK851975:PQN851975 QAG851975:QAJ851975 QKC851975:QKF851975 QTY851975:QUB851975 RDU851975:RDX851975 RNQ851975:RNT851975 RXM851975:RXP851975 SHI851975:SHL851975 SRE851975:SRH851975 TBA851975:TBD851975 TKW851975:TKZ851975 TUS851975:TUV851975 UEO851975:UER851975 UOK851975:UON851975 UYG851975:UYJ851975 VIC851975:VIF851975 VRY851975:VSB851975 WBU851975:WBX851975 WLQ851975:WLT851975 WVM851975:WVP851975 E917511:H917511 JA917511:JD917511 SW917511:SZ917511 ACS917511:ACV917511 AMO917511:AMR917511 AWK917511:AWN917511 BGG917511:BGJ917511 BQC917511:BQF917511 BZY917511:CAB917511 CJU917511:CJX917511 CTQ917511:CTT917511 DDM917511:DDP917511 DNI917511:DNL917511 DXE917511:DXH917511 EHA917511:EHD917511 EQW917511:EQZ917511 FAS917511:FAV917511 FKO917511:FKR917511 FUK917511:FUN917511 GEG917511:GEJ917511 GOC917511:GOF917511 GXY917511:GYB917511 HHU917511:HHX917511 HRQ917511:HRT917511 IBM917511:IBP917511 ILI917511:ILL917511 IVE917511:IVH917511 JFA917511:JFD917511 JOW917511:JOZ917511 JYS917511:JYV917511 KIO917511:KIR917511 KSK917511:KSN917511 LCG917511:LCJ917511 LMC917511:LMF917511 LVY917511:LWB917511 MFU917511:MFX917511 MPQ917511:MPT917511 MZM917511:MZP917511 NJI917511:NJL917511 NTE917511:NTH917511 ODA917511:ODD917511 OMW917511:OMZ917511 OWS917511:OWV917511 PGO917511:PGR917511 PQK917511:PQN917511 QAG917511:QAJ917511 QKC917511:QKF917511 QTY917511:QUB917511 RDU917511:RDX917511 RNQ917511:RNT917511 RXM917511:RXP917511 SHI917511:SHL917511 SRE917511:SRH917511 TBA917511:TBD917511 TKW917511:TKZ917511 TUS917511:TUV917511 UEO917511:UER917511 UOK917511:UON917511 UYG917511:UYJ917511 VIC917511:VIF917511 VRY917511:VSB917511 WBU917511:WBX917511 WLQ917511:WLT917511 WVM917511:WVP917511 E983047:H983047 JA983047:JD983047 SW983047:SZ983047 ACS983047:ACV983047 AMO983047:AMR983047 AWK983047:AWN983047 BGG983047:BGJ983047 BQC983047:BQF983047 BZY983047:CAB983047 CJU983047:CJX983047 CTQ983047:CTT983047 DDM983047:DDP983047 DNI983047:DNL983047 DXE983047:DXH983047 EHA983047:EHD983047 EQW983047:EQZ983047 FAS983047:FAV983047 FKO983047:FKR983047 FUK983047:FUN983047 GEG983047:GEJ983047 GOC983047:GOF983047 GXY983047:GYB983047 HHU983047:HHX983047 HRQ983047:HRT983047 IBM983047:IBP983047 ILI983047:ILL983047 IVE983047:IVH983047 JFA983047:JFD983047 JOW983047:JOZ983047 JYS983047:JYV983047 KIO983047:KIR983047 KSK983047:KSN983047 LCG983047:LCJ983047 LMC983047:LMF983047 LVY983047:LWB983047 MFU983047:MFX983047 MPQ983047:MPT983047 MZM983047:MZP983047 NJI983047:NJL983047 NTE983047:NTH983047 ODA983047:ODD983047 OMW983047:OMZ983047 OWS983047:OWV983047 PGO983047:PGR983047 PQK983047:PQN983047 QAG983047:QAJ983047 QKC983047:QKF983047 QTY983047:QUB983047 RDU983047:RDX983047 RNQ983047:RNT983047 RXM983047:RXP983047 SHI983047:SHL983047 SRE983047:SRH983047 TBA983047:TBD983047 TKW983047:TKZ983047 TUS983047:TUV983047 UEO983047:UER983047 UOK983047:UON983047 UYG983047:UYJ983047 VIC983047:VIF983047 VRY983047:VSB983047 WBU983047:WBX983047 WLQ983047:WLT983047 WVM983047:WVP983047">
      <formula1>"关系1：100%直接控制的母子公司,关系2：受同一或相同多家居民企业100%直接控制   "</formula1>
    </dataValidation>
  </dataValidations>
  <pageMargins left="0.78740157480314998" right="0.35433070866141703" top="0.511811023622047" bottom="0.11811023622047198" header="0.511811023622047" footer="0.511811023622047"/>
  <pageSetup paperSize="9" scale="85" fitToHeight="0" orientation="portrait" blackAndWhite="1" r:id="rId1"/>
</worksheet>
</file>

<file path=xl/worksheets/sheet17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1:F116"/>
  <sheetViews>
    <sheetView workbookViewId="0">
      <selection activeCell="A106" sqref="A106:D106"/>
    </sheetView>
  </sheetViews>
  <sheetFormatPr defaultColWidth="9" defaultRowHeight="15.6"/>
  <cols>
    <col min="1" max="1" width="4.69921875" style="4067" customWidth="1"/>
    <col min="2" max="2" width="33" style="4067" customWidth="1"/>
    <col min="3" max="3" width="35.69921875" style="4067" customWidth="1"/>
    <col min="4" max="4" width="25.59765625" style="4067" customWidth="1"/>
    <col min="5" max="16384" width="9" style="4066"/>
  </cols>
  <sheetData>
    <row r="1" spans="1:6" ht="20.399999999999999">
      <c r="A1" s="4114"/>
      <c r="B1" s="4110"/>
      <c r="C1" s="4110"/>
      <c r="D1" s="4110"/>
    </row>
    <row r="2" spans="1:6" ht="26.25" customHeight="1">
      <c r="A2" s="4113" t="s">
        <v>10253</v>
      </c>
      <c r="B2" s="4113"/>
      <c r="C2" s="4113"/>
      <c r="D2" s="4113"/>
    </row>
    <row r="3" spans="1:6">
      <c r="A3" s="4112"/>
      <c r="B3" s="4111"/>
      <c r="C3" s="4111"/>
      <c r="D3" s="4110"/>
    </row>
    <row r="4" spans="1:6" ht="16.2" thickBot="1">
      <c r="A4" s="4109"/>
      <c r="B4" s="4108"/>
      <c r="C4" s="4107"/>
      <c r="D4" s="4106" t="s">
        <v>10252</v>
      </c>
    </row>
    <row r="5" spans="1:6" ht="15" customHeight="1">
      <c r="A5" s="4105" t="s">
        <v>10251</v>
      </c>
      <c r="B5" s="4104" t="s">
        <v>10250</v>
      </c>
      <c r="C5" s="4103"/>
      <c r="D5" s="4102" t="s">
        <v>10249</v>
      </c>
    </row>
    <row r="6" spans="1:6" ht="15" customHeight="1">
      <c r="A6" s="4078">
        <v>1</v>
      </c>
      <c r="B6" s="4080" t="s">
        <v>10248</v>
      </c>
      <c r="C6" s="4079"/>
      <c r="D6" s="4081">
        <f>SUM(D7:D9)</f>
        <v>0</v>
      </c>
      <c r="F6" s="4089"/>
    </row>
    <row r="7" spans="1:6" ht="15" customHeight="1">
      <c r="A7" s="4078">
        <v>1.1000000000000001</v>
      </c>
      <c r="B7" s="4100" t="s">
        <v>10247</v>
      </c>
      <c r="C7" s="4101" t="s">
        <v>10246</v>
      </c>
      <c r="D7" s="4075"/>
      <c r="F7" s="4089"/>
    </row>
    <row r="8" spans="1:6" ht="15" customHeight="1">
      <c r="A8" s="4078">
        <v>1.2</v>
      </c>
      <c r="B8" s="4098"/>
      <c r="C8" s="4101" t="s">
        <v>10245</v>
      </c>
      <c r="D8" s="4075"/>
      <c r="F8" s="4089"/>
    </row>
    <row r="9" spans="1:6" ht="15" customHeight="1">
      <c r="A9" s="4078">
        <v>1.3</v>
      </c>
      <c r="B9" s="4077" t="s">
        <v>10244</v>
      </c>
      <c r="C9" s="4076"/>
      <c r="D9" s="4075"/>
      <c r="F9" s="4089"/>
    </row>
    <row r="10" spans="1:6" ht="15" customHeight="1">
      <c r="A10" s="4078">
        <v>2</v>
      </c>
      <c r="B10" s="4080" t="s">
        <v>10243</v>
      </c>
      <c r="C10" s="4079"/>
      <c r="D10" s="4081">
        <f>SUM(D11:D18)</f>
        <v>0</v>
      </c>
      <c r="F10" s="4089"/>
    </row>
    <row r="11" spans="1:6" ht="15" customHeight="1">
      <c r="A11" s="4078">
        <v>2.1</v>
      </c>
      <c r="B11" s="4100" t="s">
        <v>10242</v>
      </c>
      <c r="C11" s="4097" t="s">
        <v>10241</v>
      </c>
      <c r="D11" s="4075"/>
      <c r="F11" s="4089"/>
    </row>
    <row r="12" spans="1:6" ht="15" customHeight="1">
      <c r="A12" s="4078">
        <v>2.2000000000000002</v>
      </c>
      <c r="B12" s="4099"/>
      <c r="C12" s="4097" t="s">
        <v>10240</v>
      </c>
      <c r="D12" s="4075"/>
      <c r="F12" s="4089"/>
    </row>
    <row r="13" spans="1:6" ht="15" customHeight="1">
      <c r="A13" s="4078">
        <v>2.2999999999999998</v>
      </c>
      <c r="B13" s="4098"/>
      <c r="C13" s="4097" t="s">
        <v>10239</v>
      </c>
      <c r="D13" s="4075"/>
      <c r="F13" s="4089"/>
    </row>
    <row r="14" spans="1:6" ht="15" customHeight="1">
      <c r="A14" s="4078">
        <v>2.4</v>
      </c>
      <c r="B14" s="4096" t="s">
        <v>10238</v>
      </c>
      <c r="C14" s="4095"/>
      <c r="D14" s="4075"/>
      <c r="F14" s="4089"/>
    </row>
    <row r="15" spans="1:6" ht="15" customHeight="1">
      <c r="A15" s="4078">
        <v>2.5</v>
      </c>
      <c r="B15" s="4096" t="s">
        <v>10237</v>
      </c>
      <c r="C15" s="4095"/>
      <c r="D15" s="4075"/>
      <c r="F15" s="4089"/>
    </row>
    <row r="16" spans="1:6" ht="15" customHeight="1">
      <c r="A16" s="4078">
        <v>2.6</v>
      </c>
      <c r="B16" s="4096" t="s">
        <v>10236</v>
      </c>
      <c r="C16" s="4095"/>
      <c r="D16" s="4075"/>
      <c r="F16" s="4089"/>
    </row>
    <row r="17" spans="1:6" ht="15" customHeight="1">
      <c r="A17" s="4078">
        <v>2.7</v>
      </c>
      <c r="B17" s="4096" t="s">
        <v>10235</v>
      </c>
      <c r="C17" s="4095"/>
      <c r="D17" s="4075"/>
      <c r="F17" s="4089"/>
    </row>
    <row r="18" spans="1:6" ht="15" customHeight="1">
      <c r="A18" s="4078">
        <v>2.8</v>
      </c>
      <c r="B18" s="4096" t="s">
        <v>10234</v>
      </c>
      <c r="C18" s="4095"/>
      <c r="D18" s="4075"/>
      <c r="F18" s="4089"/>
    </row>
    <row r="19" spans="1:6" ht="15" customHeight="1">
      <c r="A19" s="4078">
        <v>3</v>
      </c>
      <c r="B19" s="4094" t="s">
        <v>10233</v>
      </c>
      <c r="C19" s="4093"/>
      <c r="D19" s="4081">
        <f>SUM(D20:D21)</f>
        <v>0</v>
      </c>
      <c r="F19" s="4089"/>
    </row>
    <row r="20" spans="1:6" ht="15" customHeight="1">
      <c r="A20" s="4078">
        <v>3.1</v>
      </c>
      <c r="B20" s="4083" t="s">
        <v>10232</v>
      </c>
      <c r="C20" s="4082"/>
      <c r="D20" s="4075"/>
      <c r="F20" s="4089"/>
    </row>
    <row r="21" spans="1:6" ht="15" customHeight="1">
      <c r="A21" s="4078">
        <v>3.2</v>
      </c>
      <c r="B21" s="4083" t="s">
        <v>10231</v>
      </c>
      <c r="C21" s="4082"/>
      <c r="D21" s="4075"/>
      <c r="F21" s="4089"/>
    </row>
    <row r="22" spans="1:6" ht="15" customHeight="1">
      <c r="A22" s="4078">
        <v>4</v>
      </c>
      <c r="B22" s="4094" t="s">
        <v>10230</v>
      </c>
      <c r="C22" s="4093"/>
      <c r="D22" s="4081"/>
      <c r="F22" s="4089"/>
    </row>
    <row r="23" spans="1:6" ht="15" customHeight="1">
      <c r="A23" s="4078">
        <v>4.0999999999999996</v>
      </c>
      <c r="B23" s="4083" t="s">
        <v>10229</v>
      </c>
      <c r="C23" s="4076"/>
      <c r="D23" s="4075"/>
      <c r="F23" s="4089"/>
    </row>
    <row r="24" spans="1:6" ht="15" customHeight="1">
      <c r="A24" s="4078">
        <v>4.2</v>
      </c>
      <c r="B24" s="4083" t="s">
        <v>10228</v>
      </c>
      <c r="C24" s="4076"/>
      <c r="D24" s="4075"/>
      <c r="F24" s="4089"/>
    </row>
    <row r="25" spans="1:6" ht="15" customHeight="1">
      <c r="A25" s="4078">
        <v>4.3</v>
      </c>
      <c r="B25" s="4090" t="s">
        <v>10227</v>
      </c>
      <c r="C25" s="4092"/>
      <c r="D25" s="4075"/>
      <c r="F25" s="4089"/>
    </row>
    <row r="26" spans="1:6" ht="15" customHeight="1">
      <c r="A26" s="4078">
        <v>5</v>
      </c>
      <c r="B26" s="4091" t="s">
        <v>10226</v>
      </c>
      <c r="C26" s="4091"/>
      <c r="D26" s="4081">
        <f>SUM(D27:D30)</f>
        <v>0</v>
      </c>
      <c r="F26" s="4089"/>
    </row>
    <row r="27" spans="1:6" ht="15" customHeight="1">
      <c r="A27" s="4078">
        <v>5.0999999999999996</v>
      </c>
      <c r="B27" s="4090" t="s">
        <v>10225</v>
      </c>
      <c r="C27" s="4090"/>
      <c r="D27" s="4075"/>
      <c r="F27" s="4089"/>
    </row>
    <row r="28" spans="1:6" ht="15" customHeight="1">
      <c r="A28" s="4078">
        <v>5.2</v>
      </c>
      <c r="B28" s="4090" t="s">
        <v>10224</v>
      </c>
      <c r="C28" s="4090"/>
      <c r="D28" s="4075"/>
      <c r="F28" s="4089"/>
    </row>
    <row r="29" spans="1:6" ht="15" customHeight="1">
      <c r="A29" s="4078">
        <v>5.3</v>
      </c>
      <c r="B29" s="4090" t="s">
        <v>10223</v>
      </c>
      <c r="C29" s="4090"/>
      <c r="D29" s="4075"/>
      <c r="F29" s="4089"/>
    </row>
    <row r="30" spans="1:6" ht="15" customHeight="1">
      <c r="A30" s="4078">
        <v>5.4</v>
      </c>
      <c r="B30" s="4090" t="s">
        <v>10222</v>
      </c>
      <c r="C30" s="4090"/>
      <c r="D30" s="4075"/>
      <c r="F30" s="4089"/>
    </row>
    <row r="31" spans="1:6" ht="15" customHeight="1">
      <c r="A31" s="4078">
        <v>6</v>
      </c>
      <c r="B31" s="4088" t="s">
        <v>10221</v>
      </c>
      <c r="C31" s="4087"/>
      <c r="D31" s="4081">
        <f>SUM(D32:D71)</f>
        <v>0</v>
      </c>
    </row>
    <row r="32" spans="1:6" ht="15" customHeight="1">
      <c r="A32" s="4086" t="s">
        <v>10220</v>
      </c>
      <c r="B32" s="4085"/>
      <c r="C32" s="4084"/>
      <c r="D32" s="4075"/>
    </row>
    <row r="33" spans="1:4" ht="15" customHeight="1">
      <c r="A33" s="4086" t="s">
        <v>10219</v>
      </c>
      <c r="B33" s="4085"/>
      <c r="C33" s="4084"/>
      <c r="D33" s="4075"/>
    </row>
    <row r="34" spans="1:4" ht="15" customHeight="1">
      <c r="A34" s="4086" t="s">
        <v>10218</v>
      </c>
      <c r="B34" s="4085"/>
      <c r="C34" s="4084"/>
      <c r="D34" s="4075"/>
    </row>
    <row r="35" spans="1:4" ht="15" hidden="1" customHeight="1">
      <c r="A35" s="4086" t="s">
        <v>10217</v>
      </c>
      <c r="B35" s="4085"/>
      <c r="C35" s="4084"/>
      <c r="D35" s="4075"/>
    </row>
    <row r="36" spans="1:4" ht="15" hidden="1" customHeight="1">
      <c r="A36" s="4086" t="s">
        <v>10216</v>
      </c>
      <c r="B36" s="4085"/>
      <c r="C36" s="4084"/>
      <c r="D36" s="4075"/>
    </row>
    <row r="37" spans="1:4" ht="15" hidden="1" customHeight="1">
      <c r="A37" s="4086" t="s">
        <v>10215</v>
      </c>
      <c r="B37" s="4085"/>
      <c r="C37" s="4084"/>
      <c r="D37" s="4075"/>
    </row>
    <row r="38" spans="1:4" ht="15" hidden="1" customHeight="1">
      <c r="A38" s="4086" t="s">
        <v>10214</v>
      </c>
      <c r="B38" s="4085"/>
      <c r="C38" s="4084"/>
      <c r="D38" s="4075"/>
    </row>
    <row r="39" spans="1:4" ht="15" hidden="1" customHeight="1">
      <c r="A39" s="4086" t="s">
        <v>10213</v>
      </c>
      <c r="B39" s="4085"/>
      <c r="C39" s="4084"/>
      <c r="D39" s="4075"/>
    </row>
    <row r="40" spans="1:4" ht="15" hidden="1" customHeight="1">
      <c r="A40" s="4086" t="s">
        <v>10212</v>
      </c>
      <c r="B40" s="4085"/>
      <c r="C40" s="4084"/>
      <c r="D40" s="4075"/>
    </row>
    <row r="41" spans="1:4" ht="15" hidden="1" customHeight="1">
      <c r="A41" s="4086" t="s">
        <v>10211</v>
      </c>
      <c r="B41" s="4085"/>
      <c r="C41" s="4084"/>
      <c r="D41" s="4075"/>
    </row>
    <row r="42" spans="1:4" ht="15" hidden="1" customHeight="1">
      <c r="A42" s="4086" t="s">
        <v>10210</v>
      </c>
      <c r="B42" s="4085"/>
      <c r="C42" s="4084"/>
      <c r="D42" s="4075"/>
    </row>
    <row r="43" spans="1:4" ht="15" hidden="1" customHeight="1">
      <c r="A43" s="4086" t="s">
        <v>10209</v>
      </c>
      <c r="B43" s="4085"/>
      <c r="C43" s="4084"/>
      <c r="D43" s="4075"/>
    </row>
    <row r="44" spans="1:4" ht="15" hidden="1" customHeight="1">
      <c r="A44" s="4086" t="s">
        <v>10208</v>
      </c>
      <c r="B44" s="4085"/>
      <c r="C44" s="4084"/>
      <c r="D44" s="4075"/>
    </row>
    <row r="45" spans="1:4" ht="15" hidden="1" customHeight="1">
      <c r="A45" s="4086" t="s">
        <v>10207</v>
      </c>
      <c r="B45" s="4085"/>
      <c r="C45" s="4084"/>
      <c r="D45" s="4075"/>
    </row>
    <row r="46" spans="1:4" ht="15" hidden="1" customHeight="1">
      <c r="A46" s="4086" t="s">
        <v>10206</v>
      </c>
      <c r="B46" s="4085"/>
      <c r="C46" s="4084"/>
      <c r="D46" s="4075"/>
    </row>
    <row r="47" spans="1:4" ht="15" hidden="1" customHeight="1">
      <c r="A47" s="4086" t="s">
        <v>10205</v>
      </c>
      <c r="B47" s="4085"/>
      <c r="C47" s="4084"/>
      <c r="D47" s="4075"/>
    </row>
    <row r="48" spans="1:4" ht="15" hidden="1" customHeight="1">
      <c r="A48" s="4086" t="s">
        <v>10204</v>
      </c>
      <c r="B48" s="4085"/>
      <c r="C48" s="4084"/>
      <c r="D48" s="4075"/>
    </row>
    <row r="49" spans="1:4" ht="15" hidden="1" customHeight="1">
      <c r="A49" s="4086" t="s">
        <v>10203</v>
      </c>
      <c r="B49" s="4085"/>
      <c r="C49" s="4084"/>
      <c r="D49" s="4075"/>
    </row>
    <row r="50" spans="1:4" ht="15" hidden="1" customHeight="1">
      <c r="A50" s="4086" t="s">
        <v>10202</v>
      </c>
      <c r="B50" s="4085"/>
      <c r="C50" s="4084"/>
      <c r="D50" s="4075"/>
    </row>
    <row r="51" spans="1:4" ht="15" hidden="1" customHeight="1">
      <c r="A51" s="4086" t="s">
        <v>10201</v>
      </c>
      <c r="B51" s="4085"/>
      <c r="C51" s="4084"/>
      <c r="D51" s="4075"/>
    </row>
    <row r="52" spans="1:4" ht="15" hidden="1" customHeight="1">
      <c r="A52" s="4086" t="s">
        <v>10200</v>
      </c>
      <c r="B52" s="4085"/>
      <c r="C52" s="4084"/>
      <c r="D52" s="4075"/>
    </row>
    <row r="53" spans="1:4" ht="15" hidden="1" customHeight="1">
      <c r="A53" s="4086" t="s">
        <v>10199</v>
      </c>
      <c r="B53" s="4085"/>
      <c r="C53" s="4084"/>
      <c r="D53" s="4075"/>
    </row>
    <row r="54" spans="1:4" ht="15" hidden="1" customHeight="1">
      <c r="A54" s="4086" t="s">
        <v>10198</v>
      </c>
      <c r="B54" s="4085"/>
      <c r="C54" s="4084"/>
      <c r="D54" s="4075"/>
    </row>
    <row r="55" spans="1:4" ht="15" hidden="1" customHeight="1">
      <c r="A55" s="4086" t="s">
        <v>10197</v>
      </c>
      <c r="B55" s="4085"/>
      <c r="C55" s="4084"/>
      <c r="D55" s="4075"/>
    </row>
    <row r="56" spans="1:4" ht="15" hidden="1" customHeight="1">
      <c r="A56" s="4086" t="s">
        <v>10196</v>
      </c>
      <c r="B56" s="4085"/>
      <c r="C56" s="4084"/>
      <c r="D56" s="4075"/>
    </row>
    <row r="57" spans="1:4" ht="15" hidden="1" customHeight="1">
      <c r="A57" s="4086" t="s">
        <v>10195</v>
      </c>
      <c r="B57" s="4085"/>
      <c r="C57" s="4084"/>
      <c r="D57" s="4075"/>
    </row>
    <row r="58" spans="1:4" ht="15" hidden="1" customHeight="1">
      <c r="A58" s="4086" t="s">
        <v>10194</v>
      </c>
      <c r="B58" s="4085"/>
      <c r="C58" s="4084"/>
      <c r="D58" s="4075"/>
    </row>
    <row r="59" spans="1:4" ht="15" hidden="1" customHeight="1">
      <c r="A59" s="4086" t="s">
        <v>10193</v>
      </c>
      <c r="B59" s="4085"/>
      <c r="C59" s="4084"/>
      <c r="D59" s="4075"/>
    </row>
    <row r="60" spans="1:4" ht="15" hidden="1" customHeight="1">
      <c r="A60" s="4086" t="s">
        <v>10192</v>
      </c>
      <c r="B60" s="4085"/>
      <c r="C60" s="4084"/>
      <c r="D60" s="4075"/>
    </row>
    <row r="61" spans="1:4" ht="15" hidden="1" customHeight="1">
      <c r="A61" s="4086" t="s">
        <v>10191</v>
      </c>
      <c r="B61" s="4085"/>
      <c r="C61" s="4084"/>
      <c r="D61" s="4075"/>
    </row>
    <row r="62" spans="1:4" ht="15" hidden="1" customHeight="1">
      <c r="A62" s="4086" t="s">
        <v>10190</v>
      </c>
      <c r="B62" s="4085"/>
      <c r="C62" s="4084"/>
      <c r="D62" s="4075"/>
    </row>
    <row r="63" spans="1:4" ht="15" hidden="1" customHeight="1">
      <c r="A63" s="4086" t="s">
        <v>10189</v>
      </c>
      <c r="B63" s="4085"/>
      <c r="C63" s="4084"/>
      <c r="D63" s="4075"/>
    </row>
    <row r="64" spans="1:4" ht="15" hidden="1" customHeight="1">
      <c r="A64" s="4086" t="s">
        <v>10188</v>
      </c>
      <c r="B64" s="4085"/>
      <c r="C64" s="4084"/>
      <c r="D64" s="4075"/>
    </row>
    <row r="65" spans="1:4" ht="15" hidden="1" customHeight="1">
      <c r="A65" s="4086" t="s">
        <v>10187</v>
      </c>
      <c r="B65" s="4085"/>
      <c r="C65" s="4084"/>
      <c r="D65" s="4075"/>
    </row>
    <row r="66" spans="1:4" ht="15" hidden="1" customHeight="1">
      <c r="A66" s="4086" t="s">
        <v>10186</v>
      </c>
      <c r="B66" s="4085"/>
      <c r="C66" s="4084"/>
      <c r="D66" s="4075"/>
    </row>
    <row r="67" spans="1:4" ht="15" hidden="1" customHeight="1">
      <c r="A67" s="4086" t="s">
        <v>10185</v>
      </c>
      <c r="B67" s="4085"/>
      <c r="C67" s="4084"/>
      <c r="D67" s="4075"/>
    </row>
    <row r="68" spans="1:4" ht="15" hidden="1" customHeight="1">
      <c r="A68" s="4086" t="s">
        <v>10184</v>
      </c>
      <c r="B68" s="4085"/>
      <c r="C68" s="4084"/>
      <c r="D68" s="4075"/>
    </row>
    <row r="69" spans="1:4" ht="15" hidden="1" customHeight="1">
      <c r="A69" s="4086" t="s">
        <v>10183</v>
      </c>
      <c r="B69" s="4085"/>
      <c r="C69" s="4084"/>
      <c r="D69" s="4075"/>
    </row>
    <row r="70" spans="1:4" ht="15" hidden="1" customHeight="1">
      <c r="A70" s="4086" t="s">
        <v>10182</v>
      </c>
      <c r="B70" s="4085"/>
      <c r="C70" s="4084"/>
      <c r="D70" s="4075"/>
    </row>
    <row r="71" spans="1:4" ht="15" hidden="1" customHeight="1">
      <c r="A71" s="4086" t="s">
        <v>10181</v>
      </c>
      <c r="B71" s="4085"/>
      <c r="C71" s="4084"/>
      <c r="D71" s="4075"/>
    </row>
    <row r="72" spans="1:4" ht="15" customHeight="1">
      <c r="A72" s="4078">
        <v>7</v>
      </c>
      <c r="B72" s="4080" t="s">
        <v>10180</v>
      </c>
      <c r="C72" s="4079"/>
      <c r="D72" s="4075"/>
    </row>
    <row r="73" spans="1:4" ht="15" customHeight="1">
      <c r="A73" s="4078">
        <v>7.1</v>
      </c>
      <c r="B73" s="4077" t="s">
        <v>10179</v>
      </c>
      <c r="C73" s="4076"/>
      <c r="D73" s="4075"/>
    </row>
    <row r="74" spans="1:4" ht="15" customHeight="1">
      <c r="A74" s="4078">
        <v>8</v>
      </c>
      <c r="B74" s="4080" t="s">
        <v>10178</v>
      </c>
      <c r="C74" s="4079"/>
      <c r="D74" s="4081">
        <f>D6+D10+D19+D22+D26</f>
        <v>0</v>
      </c>
    </row>
    <row r="75" spans="1:4" ht="15" customHeight="1">
      <c r="A75" s="4078">
        <v>8.1</v>
      </c>
      <c r="B75" s="4083" t="s">
        <v>10177</v>
      </c>
      <c r="C75" s="4082"/>
      <c r="D75" s="4081">
        <f>ROUND(D74*0.1/0.9,2)</f>
        <v>0</v>
      </c>
    </row>
    <row r="76" spans="1:4" ht="15" customHeight="1">
      <c r="A76" s="4078">
        <v>9</v>
      </c>
      <c r="B76" s="4080" t="s">
        <v>10176</v>
      </c>
      <c r="C76" s="4079"/>
      <c r="D76" s="4075"/>
    </row>
    <row r="77" spans="1:4" ht="15" customHeight="1">
      <c r="A77" s="4078">
        <v>10</v>
      </c>
      <c r="B77" s="4080" t="s">
        <v>10175</v>
      </c>
      <c r="C77" s="4079"/>
      <c r="D77" s="4075"/>
    </row>
    <row r="78" spans="1:4" ht="15" customHeight="1">
      <c r="A78" s="4078">
        <v>10.1</v>
      </c>
      <c r="B78" s="4077" t="s">
        <v>10174</v>
      </c>
      <c r="C78" s="4076"/>
      <c r="D78" s="4075"/>
    </row>
    <row r="79" spans="1:4" ht="15" customHeight="1" thickBot="1">
      <c r="A79" s="4074">
        <v>11</v>
      </c>
      <c r="B79" s="4073" t="s">
        <v>10173</v>
      </c>
      <c r="C79" s="4072"/>
      <c r="D79" s="4071">
        <f>ROUND((D76+D78)*0.5,2)</f>
        <v>0</v>
      </c>
    </row>
    <row r="80" spans="1:4" ht="15" customHeight="1">
      <c r="A80" s="4070" t="s">
        <v>10172</v>
      </c>
      <c r="B80" s="4070"/>
      <c r="C80" s="4070"/>
      <c r="D80" s="4070"/>
    </row>
    <row r="81" spans="1:4" ht="15" customHeight="1">
      <c r="A81" s="4069" t="s">
        <v>10171</v>
      </c>
      <c r="B81" s="4069"/>
      <c r="C81" s="4069"/>
      <c r="D81" s="4069"/>
    </row>
    <row r="82" spans="1:4" ht="15" customHeight="1">
      <c r="A82" s="4069" t="s">
        <v>10170</v>
      </c>
      <c r="B82" s="4069"/>
      <c r="C82" s="4069"/>
      <c r="D82" s="4069"/>
    </row>
    <row r="83" spans="1:4" ht="15" customHeight="1">
      <c r="A83" s="4069" t="s">
        <v>10169</v>
      </c>
      <c r="B83" s="4069"/>
      <c r="C83" s="4069"/>
      <c r="D83" s="4069"/>
    </row>
    <row r="84" spans="1:4" ht="15" customHeight="1">
      <c r="A84" s="4069" t="s">
        <v>10168</v>
      </c>
      <c r="B84" s="4069"/>
      <c r="C84" s="4069"/>
      <c r="D84" s="4069"/>
    </row>
    <row r="85" spans="1:4" ht="15" customHeight="1">
      <c r="A85" s="4069" t="s">
        <v>10167</v>
      </c>
      <c r="B85" s="4069"/>
      <c r="C85" s="4069"/>
      <c r="D85" s="4069"/>
    </row>
    <row r="86" spans="1:4" ht="15" customHeight="1">
      <c r="A86" s="4069" t="s">
        <v>10166</v>
      </c>
      <c r="B86" s="4069"/>
      <c r="C86" s="4069"/>
      <c r="D86" s="4069"/>
    </row>
    <row r="87" spans="1:4" ht="15" customHeight="1">
      <c r="A87" s="4069" t="s">
        <v>10165</v>
      </c>
      <c r="B87" s="4069"/>
      <c r="C87" s="4069"/>
      <c r="D87" s="4069"/>
    </row>
    <row r="88" spans="1:4" ht="15" customHeight="1">
      <c r="A88" s="4069" t="s">
        <v>10164</v>
      </c>
      <c r="B88" s="4069"/>
      <c r="C88" s="4069"/>
      <c r="D88" s="4069"/>
    </row>
    <row r="89" spans="1:4" ht="15" customHeight="1">
      <c r="A89" s="4069" t="s">
        <v>10163</v>
      </c>
      <c r="B89" s="4069"/>
      <c r="C89" s="4069"/>
      <c r="D89" s="4069"/>
    </row>
    <row r="90" spans="1:4" ht="15" customHeight="1">
      <c r="A90" s="4069" t="s">
        <v>10162</v>
      </c>
      <c r="B90" s="4069"/>
      <c r="C90" s="4069"/>
      <c r="D90" s="4069"/>
    </row>
    <row r="91" spans="1:4" ht="30" customHeight="1">
      <c r="A91" s="4069" t="s">
        <v>10161</v>
      </c>
      <c r="B91" s="4069"/>
      <c r="C91" s="4069"/>
      <c r="D91" s="4069"/>
    </row>
    <row r="92" spans="1:4" ht="30" customHeight="1">
      <c r="A92" s="4069" t="s">
        <v>10160</v>
      </c>
      <c r="B92" s="4069"/>
      <c r="C92" s="4069"/>
      <c r="D92" s="4069"/>
    </row>
    <row r="93" spans="1:4" ht="15" customHeight="1">
      <c r="A93" s="4069" t="s">
        <v>10159</v>
      </c>
      <c r="B93" s="4069"/>
      <c r="C93" s="4069"/>
      <c r="D93" s="4069"/>
    </row>
    <row r="94" spans="1:4" ht="30" customHeight="1">
      <c r="A94" s="4069" t="s">
        <v>10158</v>
      </c>
      <c r="B94" s="4069"/>
      <c r="C94" s="4069"/>
      <c r="D94" s="4069"/>
    </row>
    <row r="95" spans="1:4" ht="26.25" customHeight="1">
      <c r="A95" s="4069" t="s">
        <v>10157</v>
      </c>
      <c r="B95" s="4069"/>
      <c r="C95" s="4069"/>
      <c r="D95" s="4069"/>
    </row>
    <row r="96" spans="1:4" ht="15" customHeight="1">
      <c r="A96" s="4069" t="s">
        <v>10156</v>
      </c>
      <c r="B96" s="4069"/>
      <c r="C96" s="4069"/>
      <c r="D96" s="4069"/>
    </row>
    <row r="97" spans="1:4" ht="15" customHeight="1">
      <c r="A97" s="4069" t="s">
        <v>10155</v>
      </c>
      <c r="B97" s="4069"/>
      <c r="C97" s="4069"/>
      <c r="D97" s="4069"/>
    </row>
    <row r="98" spans="1:4" ht="15" customHeight="1">
      <c r="A98" s="4069" t="s">
        <v>10154</v>
      </c>
      <c r="B98" s="4069"/>
      <c r="C98" s="4069"/>
      <c r="D98" s="4069"/>
    </row>
    <row r="99" spans="1:4" ht="15" customHeight="1">
      <c r="A99" s="4069" t="s">
        <v>10153</v>
      </c>
      <c r="B99" s="4069"/>
      <c r="C99" s="4069"/>
      <c r="D99" s="4069"/>
    </row>
    <row r="100" spans="1:4" ht="15" customHeight="1">
      <c r="A100" s="4069" t="s">
        <v>10152</v>
      </c>
      <c r="B100" s="4069"/>
      <c r="C100" s="4069"/>
      <c r="D100" s="4069"/>
    </row>
    <row r="101" spans="1:4" ht="16.5" customHeight="1">
      <c r="A101" s="4069" t="s">
        <v>10151</v>
      </c>
      <c r="B101" s="4069"/>
      <c r="C101" s="4069"/>
      <c r="D101" s="4069"/>
    </row>
    <row r="102" spans="1:4" ht="30" customHeight="1">
      <c r="A102" s="4069" t="s">
        <v>10150</v>
      </c>
      <c r="B102" s="4069"/>
      <c r="C102" s="4069"/>
      <c r="D102" s="4069"/>
    </row>
    <row r="103" spans="1:4" ht="15" customHeight="1">
      <c r="A103" s="4069" t="s">
        <v>10149</v>
      </c>
      <c r="B103" s="4069"/>
      <c r="C103" s="4069"/>
      <c r="D103" s="4069"/>
    </row>
    <row r="104" spans="1:4" ht="15" customHeight="1">
      <c r="A104" s="4069" t="s">
        <v>10148</v>
      </c>
      <c r="B104" s="4069"/>
      <c r="C104" s="4069"/>
      <c r="D104" s="4069"/>
    </row>
    <row r="105" spans="1:4" ht="15" customHeight="1">
      <c r="A105" s="4069" t="s">
        <v>10147</v>
      </c>
      <c r="B105" s="4069"/>
      <c r="C105" s="4069"/>
      <c r="D105" s="4069"/>
    </row>
    <row r="106" spans="1:4" ht="15" customHeight="1">
      <c r="A106" s="4069" t="s">
        <v>10146</v>
      </c>
      <c r="B106" s="4069"/>
      <c r="C106" s="4069"/>
      <c r="D106" s="4069"/>
    </row>
    <row r="107" spans="1:4" ht="15" customHeight="1">
      <c r="A107" s="4069" t="s">
        <v>10145</v>
      </c>
      <c r="B107" s="4069"/>
      <c r="C107" s="4069"/>
      <c r="D107" s="4069"/>
    </row>
    <row r="108" spans="1:4" ht="15" customHeight="1">
      <c r="A108" s="4069" t="s">
        <v>10144</v>
      </c>
      <c r="B108" s="4069"/>
      <c r="C108" s="4069"/>
      <c r="D108" s="4069"/>
    </row>
    <row r="109" spans="1:4" ht="15" customHeight="1">
      <c r="A109" s="4069" t="s">
        <v>10143</v>
      </c>
      <c r="B109" s="4069"/>
      <c r="C109" s="4069"/>
      <c r="D109" s="4069"/>
    </row>
    <row r="110" spans="1:4" ht="27.75" customHeight="1">
      <c r="A110" s="4069" t="s">
        <v>10142</v>
      </c>
      <c r="B110" s="4069"/>
      <c r="C110" s="4069"/>
      <c r="D110" s="4069"/>
    </row>
    <row r="111" spans="1:4" ht="26.25" customHeight="1">
      <c r="A111" s="4069" t="s">
        <v>10141</v>
      </c>
      <c r="B111" s="4069"/>
      <c r="C111" s="4069"/>
      <c r="D111" s="4069"/>
    </row>
    <row r="112" spans="1:4" ht="24.75" customHeight="1">
      <c r="A112" s="4069" t="s">
        <v>10140</v>
      </c>
      <c r="B112" s="4069"/>
      <c r="C112" s="4069"/>
      <c r="D112" s="4069"/>
    </row>
    <row r="113" spans="1:4" ht="17.25" customHeight="1">
      <c r="A113" s="4069" t="s">
        <v>10139</v>
      </c>
      <c r="B113" s="4069"/>
      <c r="C113" s="4069"/>
      <c r="D113" s="4069"/>
    </row>
    <row r="114" spans="1:4" ht="16.5" customHeight="1">
      <c r="A114" s="4069" t="s">
        <v>10138</v>
      </c>
      <c r="B114" s="4069"/>
      <c r="C114" s="4069"/>
      <c r="D114" s="4069"/>
    </row>
    <row r="115" spans="1:4" ht="24.75" customHeight="1">
      <c r="A115" s="4069" t="s">
        <v>10137</v>
      </c>
      <c r="B115" s="4069"/>
      <c r="C115" s="4069"/>
      <c r="D115" s="4069"/>
    </row>
    <row r="116" spans="1:4">
      <c r="A116" s="4068"/>
      <c r="D116" s="4068"/>
    </row>
  </sheetData>
  <mergeCells count="110">
    <mergeCell ref="B66:C66"/>
    <mergeCell ref="B67:C67"/>
    <mergeCell ref="B48:C48"/>
    <mergeCell ref="A82:D82"/>
    <mergeCell ref="A83:D83"/>
    <mergeCell ref="A96:D96"/>
    <mergeCell ref="B68:C68"/>
    <mergeCell ref="B69:C69"/>
    <mergeCell ref="B70:C70"/>
    <mergeCell ref="B71:C71"/>
    <mergeCell ref="B63:C63"/>
    <mergeCell ref="B64:C64"/>
    <mergeCell ref="B42:C42"/>
    <mergeCell ref="B43:C43"/>
    <mergeCell ref="B44:C44"/>
    <mergeCell ref="B45:C45"/>
    <mergeCell ref="B46:C46"/>
    <mergeCell ref="B47:C47"/>
    <mergeCell ref="B36:C36"/>
    <mergeCell ref="B37:C37"/>
    <mergeCell ref="B38:C38"/>
    <mergeCell ref="B39:C39"/>
    <mergeCell ref="B40:C40"/>
    <mergeCell ref="B41:C41"/>
    <mergeCell ref="A113:D113"/>
    <mergeCell ref="A114:D114"/>
    <mergeCell ref="B57:C57"/>
    <mergeCell ref="B58:C58"/>
    <mergeCell ref="B60:C60"/>
    <mergeCell ref="B61:C61"/>
    <mergeCell ref="B62:C62"/>
    <mergeCell ref="A105:D105"/>
    <mergeCell ref="A106:D106"/>
    <mergeCell ref="B65:C65"/>
    <mergeCell ref="A99:D99"/>
    <mergeCell ref="A107:D107"/>
    <mergeCell ref="A108:D108"/>
    <mergeCell ref="A109:D109"/>
    <mergeCell ref="A100:D100"/>
    <mergeCell ref="A103:D103"/>
    <mergeCell ref="A115:D115"/>
    <mergeCell ref="A92:D92"/>
    <mergeCell ref="A94:D94"/>
    <mergeCell ref="A95:D95"/>
    <mergeCell ref="A101:D101"/>
    <mergeCell ref="A102:D102"/>
    <mergeCell ref="A104:D104"/>
    <mergeCell ref="A110:D110"/>
    <mergeCell ref="A111:D111"/>
    <mergeCell ref="A112:D112"/>
    <mergeCell ref="A97:D97"/>
    <mergeCell ref="A98:D98"/>
    <mergeCell ref="A88:D88"/>
    <mergeCell ref="A89:D89"/>
    <mergeCell ref="A90:D90"/>
    <mergeCell ref="A93:D93"/>
    <mergeCell ref="A86:D86"/>
    <mergeCell ref="A87:D87"/>
    <mergeCell ref="A80:D80"/>
    <mergeCell ref="A81:D81"/>
    <mergeCell ref="B78:C78"/>
    <mergeCell ref="B79:C79"/>
    <mergeCell ref="A91:D91"/>
    <mergeCell ref="B59:C59"/>
    <mergeCell ref="B72:C72"/>
    <mergeCell ref="B73:C73"/>
    <mergeCell ref="B74:C74"/>
    <mergeCell ref="B75:C75"/>
    <mergeCell ref="B76:C76"/>
    <mergeCell ref="B77:C77"/>
    <mergeCell ref="A84:D84"/>
    <mergeCell ref="A85:D85"/>
    <mergeCell ref="B31:C31"/>
    <mergeCell ref="B34:C34"/>
    <mergeCell ref="B24:C24"/>
    <mergeCell ref="B25:C25"/>
    <mergeCell ref="B26:C26"/>
    <mergeCell ref="B27:C27"/>
    <mergeCell ref="B28:C28"/>
    <mergeCell ref="B29:C29"/>
    <mergeCell ref="B52:C52"/>
    <mergeCell ref="B53:C53"/>
    <mergeCell ref="B54:C54"/>
    <mergeCell ref="B55:C55"/>
    <mergeCell ref="B56:C56"/>
    <mergeCell ref="B33:C33"/>
    <mergeCell ref="B49:C49"/>
    <mergeCell ref="B50:C50"/>
    <mergeCell ref="B51:C51"/>
    <mergeCell ref="B35:C35"/>
    <mergeCell ref="B32:C32"/>
    <mergeCell ref="B9:C9"/>
    <mergeCell ref="B16:C16"/>
    <mergeCell ref="B17:C17"/>
    <mergeCell ref="B18:C18"/>
    <mergeCell ref="B10:C10"/>
    <mergeCell ref="B11:B13"/>
    <mergeCell ref="B14:C14"/>
    <mergeCell ref="B15:C15"/>
    <mergeCell ref="B30:C30"/>
    <mergeCell ref="B7:B8"/>
    <mergeCell ref="A2:D2"/>
    <mergeCell ref="A4:B4"/>
    <mergeCell ref="B5:C5"/>
    <mergeCell ref="B6:C6"/>
    <mergeCell ref="B23:C23"/>
    <mergeCell ref="B20:C20"/>
    <mergeCell ref="B21:C21"/>
    <mergeCell ref="B22:C22"/>
    <mergeCell ref="B19:C19"/>
  </mergeCells>
  <phoneticPr fontId="51" type="noConversion"/>
  <printOptions horizontalCentered="1"/>
  <pageMargins left="0.31496062992125984" right="0.31496062992125984" top="0.74803149606299213" bottom="0.74803149606299213" header="0.31496062992125984" footer="0.31496062992125984"/>
  <pageSetup paperSize="9" scale="92" fitToHeight="0" orientation="portrait" blackAndWhite="1" r:id="rId1"/>
</worksheet>
</file>

<file path=xl/worksheets/sheet17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1:F79"/>
  <sheetViews>
    <sheetView workbookViewId="0">
      <selection activeCell="B69" sqref="B69:C69"/>
    </sheetView>
  </sheetViews>
  <sheetFormatPr defaultColWidth="9" defaultRowHeight="15.6"/>
  <cols>
    <col min="1" max="1" width="4.69921875" style="4067" customWidth="1"/>
    <col min="2" max="2" width="33" style="4067" customWidth="1"/>
    <col min="3" max="3" width="35.69921875" style="4067" customWidth="1"/>
    <col min="4" max="4" width="25.59765625" style="4067" customWidth="1"/>
    <col min="5" max="16384" width="9" style="4066"/>
  </cols>
  <sheetData>
    <row r="1" spans="1:6" ht="20.399999999999999">
      <c r="A1" s="4114"/>
      <c r="B1" s="4110"/>
      <c r="C1" s="4110"/>
      <c r="D1" s="4110"/>
    </row>
    <row r="2" spans="1:6" ht="26.25" customHeight="1">
      <c r="A2" s="4113" t="s">
        <v>10288</v>
      </c>
      <c r="B2" s="4113"/>
      <c r="C2" s="4113"/>
      <c r="D2" s="4113"/>
    </row>
    <row r="3" spans="1:6">
      <c r="A3" s="4112"/>
      <c r="B3" s="4111"/>
      <c r="C3" s="4111"/>
      <c r="D3" s="4110"/>
    </row>
    <row r="4" spans="1:6" ht="16.2" thickBot="1">
      <c r="A4" s="4109"/>
      <c r="B4" s="4108"/>
      <c r="C4" s="4107"/>
      <c r="D4" s="4106" t="s">
        <v>10287</v>
      </c>
    </row>
    <row r="5" spans="1:6" ht="15" customHeight="1">
      <c r="A5" s="4105" t="s">
        <v>6717</v>
      </c>
      <c r="B5" s="4104" t="s">
        <v>10286</v>
      </c>
      <c r="C5" s="4103"/>
      <c r="D5" s="4102" t="s">
        <v>10285</v>
      </c>
    </row>
    <row r="6" spans="1:6" ht="15" customHeight="1">
      <c r="A6" s="4078">
        <v>1</v>
      </c>
      <c r="B6" s="4080" t="s">
        <v>10248</v>
      </c>
      <c r="C6" s="4079"/>
      <c r="D6" s="4081">
        <f>SUM(D7:D9)</f>
        <v>0</v>
      </c>
      <c r="F6" s="4089"/>
    </row>
    <row r="7" spans="1:6" ht="15" customHeight="1">
      <c r="A7" s="4078">
        <v>1.1000000000000001</v>
      </c>
      <c r="B7" s="4100" t="s">
        <v>10284</v>
      </c>
      <c r="C7" s="4101" t="s">
        <v>10283</v>
      </c>
      <c r="D7" s="4115">
        <f>研发加计扣除归集审核表!D7</f>
        <v>0</v>
      </c>
      <c r="F7" s="4089"/>
    </row>
    <row r="8" spans="1:6" ht="15" customHeight="1">
      <c r="A8" s="4078">
        <v>1.2</v>
      </c>
      <c r="B8" s="4098"/>
      <c r="C8" s="4101" t="s">
        <v>10282</v>
      </c>
      <c r="D8" s="4115">
        <f>研发加计扣除归集审核表!D8</f>
        <v>0</v>
      </c>
      <c r="F8" s="4089"/>
    </row>
    <row r="9" spans="1:6" ht="15" customHeight="1">
      <c r="A9" s="4078">
        <v>1.3</v>
      </c>
      <c r="B9" s="4077" t="s">
        <v>10281</v>
      </c>
      <c r="C9" s="4076"/>
      <c r="D9" s="4115">
        <f>研发加计扣除归集审核表!D9</f>
        <v>0</v>
      </c>
      <c r="F9" s="4089"/>
    </row>
    <row r="10" spans="1:6" ht="15" customHeight="1">
      <c r="A10" s="4078">
        <v>2</v>
      </c>
      <c r="B10" s="4080" t="s">
        <v>10280</v>
      </c>
      <c r="C10" s="4079"/>
      <c r="D10" s="4081">
        <f>SUM(D11:D18)</f>
        <v>0</v>
      </c>
      <c r="F10" s="4089"/>
    </row>
    <row r="11" spans="1:6" ht="15" customHeight="1">
      <c r="A11" s="4078">
        <v>2.1</v>
      </c>
      <c r="B11" s="4100" t="s">
        <v>10279</v>
      </c>
      <c r="C11" s="4097" t="s">
        <v>10278</v>
      </c>
      <c r="D11" s="4115">
        <f>研发加计扣除归集审核表!D11</f>
        <v>0</v>
      </c>
      <c r="F11" s="4089"/>
    </row>
    <row r="12" spans="1:6" ht="15" customHeight="1">
      <c r="A12" s="4078">
        <v>2.2000000000000002</v>
      </c>
      <c r="B12" s="4099"/>
      <c r="C12" s="4097" t="s">
        <v>10277</v>
      </c>
      <c r="D12" s="4115">
        <f>研发加计扣除归集审核表!D12</f>
        <v>0</v>
      </c>
      <c r="F12" s="4089"/>
    </row>
    <row r="13" spans="1:6" ht="15" customHeight="1">
      <c r="A13" s="4078">
        <v>2.2999999999999998</v>
      </c>
      <c r="B13" s="4098"/>
      <c r="C13" s="4097" t="s">
        <v>10239</v>
      </c>
      <c r="D13" s="4115">
        <f>研发加计扣除归集审核表!D13</f>
        <v>0</v>
      </c>
      <c r="F13" s="4089"/>
    </row>
    <row r="14" spans="1:6" ht="15" customHeight="1">
      <c r="A14" s="4078">
        <v>2.4</v>
      </c>
      <c r="B14" s="4096" t="s">
        <v>10276</v>
      </c>
      <c r="C14" s="4095"/>
      <c r="D14" s="4115">
        <f>研发加计扣除归集审核表!D14</f>
        <v>0</v>
      </c>
      <c r="F14" s="4089"/>
    </row>
    <row r="15" spans="1:6" ht="15" customHeight="1">
      <c r="A15" s="4078">
        <v>2.5</v>
      </c>
      <c r="B15" s="4096" t="s">
        <v>10275</v>
      </c>
      <c r="C15" s="4095"/>
      <c r="D15" s="4115">
        <f>研发加计扣除归集审核表!D15</f>
        <v>0</v>
      </c>
      <c r="F15" s="4089"/>
    </row>
    <row r="16" spans="1:6" ht="15" customHeight="1">
      <c r="A16" s="4078">
        <v>2.6</v>
      </c>
      <c r="B16" s="4096" t="s">
        <v>10274</v>
      </c>
      <c r="C16" s="4095"/>
      <c r="D16" s="4115">
        <f>研发加计扣除归集审核表!D16</f>
        <v>0</v>
      </c>
      <c r="F16" s="4089"/>
    </row>
    <row r="17" spans="1:6" ht="15" customHeight="1">
      <c r="A17" s="4078">
        <v>2.7</v>
      </c>
      <c r="B17" s="4096" t="s">
        <v>10273</v>
      </c>
      <c r="C17" s="4095"/>
      <c r="D17" s="4115">
        <f>研发加计扣除归集审核表!D17</f>
        <v>0</v>
      </c>
      <c r="F17" s="4089"/>
    </row>
    <row r="18" spans="1:6" ht="15" customHeight="1">
      <c r="A18" s="4078">
        <v>2.8</v>
      </c>
      <c r="B18" s="4096" t="s">
        <v>10272</v>
      </c>
      <c r="C18" s="4095"/>
      <c r="D18" s="4115">
        <f>研发加计扣除归集审核表!D18</f>
        <v>0</v>
      </c>
      <c r="F18" s="4089"/>
    </row>
    <row r="19" spans="1:6" ht="15" customHeight="1">
      <c r="A19" s="4078">
        <v>3</v>
      </c>
      <c r="B19" s="4094" t="s">
        <v>10233</v>
      </c>
      <c r="C19" s="4093"/>
      <c r="D19" s="4081">
        <f>SUM(D20:D21)</f>
        <v>0</v>
      </c>
      <c r="F19" s="4089"/>
    </row>
    <row r="20" spans="1:6" ht="15" customHeight="1">
      <c r="A20" s="4078">
        <v>3.1</v>
      </c>
      <c r="B20" s="4083" t="s">
        <v>10271</v>
      </c>
      <c r="C20" s="4082"/>
      <c r="D20" s="4115">
        <f>研发加计扣除归集审核表!D20</f>
        <v>0</v>
      </c>
      <c r="F20" s="4089"/>
    </row>
    <row r="21" spans="1:6" ht="15" customHeight="1">
      <c r="A21" s="4078">
        <v>3.2</v>
      </c>
      <c r="B21" s="4083" t="s">
        <v>10270</v>
      </c>
      <c r="C21" s="4082"/>
      <c r="D21" s="4115">
        <f>研发加计扣除归集审核表!D21</f>
        <v>0</v>
      </c>
      <c r="F21" s="4089"/>
    </row>
    <row r="22" spans="1:6" ht="15" customHeight="1">
      <c r="A22" s="4078">
        <v>4</v>
      </c>
      <c r="B22" s="4094" t="s">
        <v>10269</v>
      </c>
      <c r="C22" s="4093"/>
      <c r="D22" s="4081"/>
      <c r="F22" s="4089"/>
    </row>
    <row r="23" spans="1:6" ht="15" customHeight="1">
      <c r="A23" s="4078">
        <v>4.0999999999999996</v>
      </c>
      <c r="B23" s="4083" t="s">
        <v>10268</v>
      </c>
      <c r="C23" s="4076"/>
      <c r="D23" s="4115">
        <f>研发加计扣除归集审核表!D23</f>
        <v>0</v>
      </c>
      <c r="F23" s="4089"/>
    </row>
    <row r="24" spans="1:6" ht="15" customHeight="1">
      <c r="A24" s="4078">
        <v>4.2</v>
      </c>
      <c r="B24" s="4083" t="s">
        <v>10228</v>
      </c>
      <c r="C24" s="4076"/>
      <c r="D24" s="4115">
        <f>研发加计扣除归集审核表!D24</f>
        <v>0</v>
      </c>
      <c r="F24" s="4089"/>
    </row>
    <row r="25" spans="1:6" ht="15" customHeight="1">
      <c r="A25" s="4078">
        <v>4.3</v>
      </c>
      <c r="B25" s="4090" t="s">
        <v>10267</v>
      </c>
      <c r="C25" s="4092"/>
      <c r="D25" s="4115">
        <f>研发加计扣除归集审核表!D25</f>
        <v>0</v>
      </c>
      <c r="F25" s="4089"/>
    </row>
    <row r="26" spans="1:6" ht="15" customHeight="1">
      <c r="A26" s="4078">
        <v>5</v>
      </c>
      <c r="B26" s="4091" t="s">
        <v>10266</v>
      </c>
      <c r="C26" s="4091"/>
      <c r="D26" s="4081">
        <f>SUM(D27:D30)</f>
        <v>0</v>
      </c>
      <c r="F26" s="4089"/>
    </row>
    <row r="27" spans="1:6" ht="15" customHeight="1">
      <c r="A27" s="4078">
        <v>5.0999999999999996</v>
      </c>
      <c r="B27" s="4090" t="s">
        <v>10265</v>
      </c>
      <c r="C27" s="4090"/>
      <c r="D27" s="4115">
        <f>研发加计扣除归集审核表!D27</f>
        <v>0</v>
      </c>
      <c r="F27" s="4089"/>
    </row>
    <row r="28" spans="1:6" ht="15" customHeight="1">
      <c r="A28" s="4078">
        <v>5.2</v>
      </c>
      <c r="B28" s="4090" t="s">
        <v>10264</v>
      </c>
      <c r="C28" s="4090"/>
      <c r="D28" s="4115">
        <f>研发加计扣除归集审核表!D28</f>
        <v>0</v>
      </c>
      <c r="F28" s="4089"/>
    </row>
    <row r="29" spans="1:6" ht="15" customHeight="1">
      <c r="A29" s="4078">
        <v>5.3</v>
      </c>
      <c r="B29" s="4090" t="s">
        <v>10263</v>
      </c>
      <c r="C29" s="4090"/>
      <c r="D29" s="4115">
        <f>研发加计扣除归集审核表!D29</f>
        <v>0</v>
      </c>
      <c r="F29" s="4089"/>
    </row>
    <row r="30" spans="1:6" ht="15" customHeight="1">
      <c r="A30" s="4078">
        <v>5.4</v>
      </c>
      <c r="B30" s="4090" t="s">
        <v>10262</v>
      </c>
      <c r="C30" s="4090"/>
      <c r="D30" s="4115">
        <f>研发加计扣除归集审核表!D30</f>
        <v>0</v>
      </c>
      <c r="F30" s="4089"/>
    </row>
    <row r="31" spans="1:6" ht="15" customHeight="1">
      <c r="A31" s="4078">
        <v>6</v>
      </c>
      <c r="B31" s="4088" t="s">
        <v>10261</v>
      </c>
      <c r="C31" s="4087"/>
      <c r="D31" s="4081">
        <f>SUM(D32:D71)</f>
        <v>0</v>
      </c>
    </row>
    <row r="32" spans="1:6" ht="15" customHeight="1">
      <c r="A32" s="4086" t="s">
        <v>10260</v>
      </c>
      <c r="B32" s="4117" t="str">
        <f>研发加计扣除归集审核表!B32&amp;""</f>
        <v/>
      </c>
      <c r="C32" s="4116"/>
      <c r="D32" s="4115">
        <f>研发加计扣除归集审核表!D32</f>
        <v>0</v>
      </c>
    </row>
    <row r="33" spans="1:4" ht="15" customHeight="1">
      <c r="A33" s="4086" t="s">
        <v>10219</v>
      </c>
      <c r="B33" s="4117" t="str">
        <f>研发加计扣除归集审核表!B33&amp;""</f>
        <v/>
      </c>
      <c r="C33" s="4116"/>
      <c r="D33" s="4115">
        <f>研发加计扣除归集审核表!D33</f>
        <v>0</v>
      </c>
    </row>
    <row r="34" spans="1:4" ht="15" customHeight="1">
      <c r="A34" s="4086" t="s">
        <v>10218</v>
      </c>
      <c r="B34" s="4117" t="str">
        <f>研发加计扣除归集审核表!B34&amp;""</f>
        <v/>
      </c>
      <c r="C34" s="4116"/>
      <c r="D34" s="4115">
        <f>研发加计扣除归集审核表!D34</f>
        <v>0</v>
      </c>
    </row>
    <row r="35" spans="1:4" ht="15" customHeight="1">
      <c r="A35" s="4086" t="s">
        <v>10217</v>
      </c>
      <c r="B35" s="4117" t="str">
        <f>研发加计扣除归集审核表!B35&amp;""</f>
        <v/>
      </c>
      <c r="C35" s="4116"/>
      <c r="D35" s="4115">
        <f>研发加计扣除归集审核表!D35</f>
        <v>0</v>
      </c>
    </row>
    <row r="36" spans="1:4" ht="15" customHeight="1">
      <c r="A36" s="4086" t="s">
        <v>10216</v>
      </c>
      <c r="B36" s="4117" t="str">
        <f>研发加计扣除归集审核表!B36&amp;""</f>
        <v/>
      </c>
      <c r="C36" s="4116"/>
      <c r="D36" s="4115">
        <f>研发加计扣除归集审核表!D36</f>
        <v>0</v>
      </c>
    </row>
    <row r="37" spans="1:4" ht="15" customHeight="1">
      <c r="A37" s="4086" t="s">
        <v>10215</v>
      </c>
      <c r="B37" s="4117" t="str">
        <f>研发加计扣除归集审核表!B37&amp;""</f>
        <v/>
      </c>
      <c r="C37" s="4116"/>
      <c r="D37" s="4115">
        <f>研发加计扣除归集审核表!D37</f>
        <v>0</v>
      </c>
    </row>
    <row r="38" spans="1:4" ht="15" customHeight="1">
      <c r="A38" s="4086" t="s">
        <v>10214</v>
      </c>
      <c r="B38" s="4117" t="str">
        <f>研发加计扣除归集审核表!B38&amp;""</f>
        <v/>
      </c>
      <c r="C38" s="4116"/>
      <c r="D38" s="4115">
        <f>研发加计扣除归集审核表!D38</f>
        <v>0</v>
      </c>
    </row>
    <row r="39" spans="1:4" ht="15" customHeight="1">
      <c r="A39" s="4086" t="s">
        <v>10213</v>
      </c>
      <c r="B39" s="4117" t="str">
        <f>研发加计扣除归集审核表!B39&amp;""</f>
        <v/>
      </c>
      <c r="C39" s="4116"/>
      <c r="D39" s="4115">
        <f>研发加计扣除归集审核表!D39</f>
        <v>0</v>
      </c>
    </row>
    <row r="40" spans="1:4" ht="15" customHeight="1">
      <c r="A40" s="4086" t="s">
        <v>10212</v>
      </c>
      <c r="B40" s="4117" t="str">
        <f>研发加计扣除归集审核表!B40&amp;""</f>
        <v/>
      </c>
      <c r="C40" s="4116"/>
      <c r="D40" s="4115">
        <f>研发加计扣除归集审核表!D40</f>
        <v>0</v>
      </c>
    </row>
    <row r="41" spans="1:4" ht="15" customHeight="1">
      <c r="A41" s="4086" t="s">
        <v>10211</v>
      </c>
      <c r="B41" s="4117" t="str">
        <f>研发加计扣除归集审核表!B41&amp;""</f>
        <v/>
      </c>
      <c r="C41" s="4116"/>
      <c r="D41" s="4115">
        <f>研发加计扣除归集审核表!D41</f>
        <v>0</v>
      </c>
    </row>
    <row r="42" spans="1:4" ht="15" customHeight="1">
      <c r="A42" s="4086" t="s">
        <v>10210</v>
      </c>
      <c r="B42" s="4117" t="str">
        <f>研发加计扣除归集审核表!B42&amp;""</f>
        <v/>
      </c>
      <c r="C42" s="4116"/>
      <c r="D42" s="4115">
        <f>研发加计扣除归集审核表!D42</f>
        <v>0</v>
      </c>
    </row>
    <row r="43" spans="1:4" ht="15" customHeight="1">
      <c r="A43" s="4086" t="s">
        <v>10209</v>
      </c>
      <c r="B43" s="4117" t="str">
        <f>研发加计扣除归集审核表!B43&amp;""</f>
        <v/>
      </c>
      <c r="C43" s="4116"/>
      <c r="D43" s="4115">
        <f>研发加计扣除归集审核表!D43</f>
        <v>0</v>
      </c>
    </row>
    <row r="44" spans="1:4" ht="15" customHeight="1">
      <c r="A44" s="4086" t="s">
        <v>10208</v>
      </c>
      <c r="B44" s="4117" t="str">
        <f>研发加计扣除归集审核表!B44&amp;""</f>
        <v/>
      </c>
      <c r="C44" s="4116"/>
      <c r="D44" s="4115">
        <f>研发加计扣除归集审核表!D44</f>
        <v>0</v>
      </c>
    </row>
    <row r="45" spans="1:4" ht="15" customHeight="1">
      <c r="A45" s="4086" t="s">
        <v>10207</v>
      </c>
      <c r="B45" s="4117" t="str">
        <f>研发加计扣除归集审核表!B45&amp;""</f>
        <v/>
      </c>
      <c r="C45" s="4116"/>
      <c r="D45" s="4115">
        <f>研发加计扣除归集审核表!D45</f>
        <v>0</v>
      </c>
    </row>
    <row r="46" spans="1:4" ht="15" customHeight="1">
      <c r="A46" s="4086" t="s">
        <v>10206</v>
      </c>
      <c r="B46" s="4117" t="str">
        <f>研发加计扣除归集审核表!B46&amp;""</f>
        <v/>
      </c>
      <c r="C46" s="4116"/>
      <c r="D46" s="4115">
        <f>研发加计扣除归集审核表!D46</f>
        <v>0</v>
      </c>
    </row>
    <row r="47" spans="1:4" ht="15" customHeight="1">
      <c r="A47" s="4086" t="s">
        <v>10205</v>
      </c>
      <c r="B47" s="4117" t="str">
        <f>研发加计扣除归集审核表!B47&amp;""</f>
        <v/>
      </c>
      <c r="C47" s="4116"/>
      <c r="D47" s="4115">
        <f>研发加计扣除归集审核表!D47</f>
        <v>0</v>
      </c>
    </row>
    <row r="48" spans="1:4" ht="15" customHeight="1">
      <c r="A48" s="4086" t="s">
        <v>10204</v>
      </c>
      <c r="B48" s="4117" t="str">
        <f>研发加计扣除归集审核表!B48&amp;""</f>
        <v/>
      </c>
      <c r="C48" s="4116"/>
      <c r="D48" s="4115">
        <f>研发加计扣除归集审核表!D48</f>
        <v>0</v>
      </c>
    </row>
    <row r="49" spans="1:4" ht="15" customHeight="1">
      <c r="A49" s="4086" t="s">
        <v>10203</v>
      </c>
      <c r="B49" s="4117" t="str">
        <f>研发加计扣除归集审核表!B49&amp;""</f>
        <v/>
      </c>
      <c r="C49" s="4116"/>
      <c r="D49" s="4115">
        <f>研发加计扣除归集审核表!D49</f>
        <v>0</v>
      </c>
    </row>
    <row r="50" spans="1:4" ht="15" customHeight="1">
      <c r="A50" s="4086" t="s">
        <v>10202</v>
      </c>
      <c r="B50" s="4117" t="str">
        <f>研发加计扣除归集审核表!B50&amp;""</f>
        <v/>
      </c>
      <c r="C50" s="4116"/>
      <c r="D50" s="4115">
        <f>研发加计扣除归集审核表!D50</f>
        <v>0</v>
      </c>
    </row>
    <row r="51" spans="1:4" ht="15" customHeight="1">
      <c r="A51" s="4086" t="s">
        <v>10201</v>
      </c>
      <c r="B51" s="4117" t="str">
        <f>研发加计扣除归集审核表!B51&amp;""</f>
        <v/>
      </c>
      <c r="C51" s="4116"/>
      <c r="D51" s="4115">
        <f>研发加计扣除归集审核表!D51</f>
        <v>0</v>
      </c>
    </row>
    <row r="52" spans="1:4" ht="15" customHeight="1">
      <c r="A52" s="4086" t="s">
        <v>10200</v>
      </c>
      <c r="B52" s="4117" t="str">
        <f>研发加计扣除归集审核表!B52&amp;""</f>
        <v/>
      </c>
      <c r="C52" s="4116"/>
      <c r="D52" s="4115">
        <f>研发加计扣除归集审核表!D52</f>
        <v>0</v>
      </c>
    </row>
    <row r="53" spans="1:4" ht="15" customHeight="1">
      <c r="A53" s="4086" t="s">
        <v>10199</v>
      </c>
      <c r="B53" s="4117" t="str">
        <f>研发加计扣除归集审核表!B53&amp;""</f>
        <v/>
      </c>
      <c r="C53" s="4116"/>
      <c r="D53" s="4115">
        <f>研发加计扣除归集审核表!D53</f>
        <v>0</v>
      </c>
    </row>
    <row r="54" spans="1:4" ht="15" customHeight="1">
      <c r="A54" s="4086" t="s">
        <v>10198</v>
      </c>
      <c r="B54" s="4117" t="str">
        <f>研发加计扣除归集审核表!B54&amp;""</f>
        <v/>
      </c>
      <c r="C54" s="4116"/>
      <c r="D54" s="4115">
        <f>研发加计扣除归集审核表!D54</f>
        <v>0</v>
      </c>
    </row>
    <row r="55" spans="1:4" ht="15" customHeight="1">
      <c r="A55" s="4086" t="s">
        <v>10197</v>
      </c>
      <c r="B55" s="4117" t="str">
        <f>研发加计扣除归集审核表!B55&amp;""</f>
        <v/>
      </c>
      <c r="C55" s="4116"/>
      <c r="D55" s="4115">
        <f>研发加计扣除归集审核表!D55</f>
        <v>0</v>
      </c>
    </row>
    <row r="56" spans="1:4" ht="15" customHeight="1">
      <c r="A56" s="4086" t="s">
        <v>10196</v>
      </c>
      <c r="B56" s="4117" t="str">
        <f>研发加计扣除归集审核表!B56&amp;""</f>
        <v/>
      </c>
      <c r="C56" s="4116"/>
      <c r="D56" s="4115">
        <f>研发加计扣除归集审核表!D56</f>
        <v>0</v>
      </c>
    </row>
    <row r="57" spans="1:4" ht="15" customHeight="1">
      <c r="A57" s="4086" t="s">
        <v>10195</v>
      </c>
      <c r="B57" s="4117" t="str">
        <f>研发加计扣除归集审核表!B57&amp;""</f>
        <v/>
      </c>
      <c r="C57" s="4116"/>
      <c r="D57" s="4115">
        <f>研发加计扣除归集审核表!D57</f>
        <v>0</v>
      </c>
    </row>
    <row r="58" spans="1:4" ht="15" customHeight="1">
      <c r="A58" s="4086" t="s">
        <v>10194</v>
      </c>
      <c r="B58" s="4117" t="str">
        <f>研发加计扣除归集审核表!B58&amp;""</f>
        <v/>
      </c>
      <c r="C58" s="4116"/>
      <c r="D58" s="4115">
        <f>研发加计扣除归集审核表!D58</f>
        <v>0</v>
      </c>
    </row>
    <row r="59" spans="1:4" ht="15" customHeight="1">
      <c r="A59" s="4086" t="s">
        <v>10193</v>
      </c>
      <c r="B59" s="4117" t="str">
        <f>研发加计扣除归集审核表!B59&amp;""</f>
        <v/>
      </c>
      <c r="C59" s="4116"/>
      <c r="D59" s="4115">
        <f>研发加计扣除归集审核表!D59</f>
        <v>0</v>
      </c>
    </row>
    <row r="60" spans="1:4" ht="15" customHeight="1">
      <c r="A60" s="4086" t="s">
        <v>10192</v>
      </c>
      <c r="B60" s="4117" t="str">
        <f>研发加计扣除归集审核表!B60&amp;""</f>
        <v/>
      </c>
      <c r="C60" s="4116"/>
      <c r="D60" s="4115">
        <f>研发加计扣除归集审核表!D60</f>
        <v>0</v>
      </c>
    </row>
    <row r="61" spans="1:4" ht="15" customHeight="1">
      <c r="A61" s="4086" t="s">
        <v>10191</v>
      </c>
      <c r="B61" s="4117" t="str">
        <f>研发加计扣除归集审核表!B61&amp;""</f>
        <v/>
      </c>
      <c r="C61" s="4116"/>
      <c r="D61" s="4115">
        <f>研发加计扣除归集审核表!D61</f>
        <v>0</v>
      </c>
    </row>
    <row r="62" spans="1:4" ht="15" customHeight="1">
      <c r="A62" s="4086" t="s">
        <v>10190</v>
      </c>
      <c r="B62" s="4117" t="str">
        <f>研发加计扣除归集审核表!B62&amp;""</f>
        <v/>
      </c>
      <c r="C62" s="4116"/>
      <c r="D62" s="4115">
        <f>研发加计扣除归集审核表!D62</f>
        <v>0</v>
      </c>
    </row>
    <row r="63" spans="1:4" ht="15" customHeight="1">
      <c r="A63" s="4086" t="s">
        <v>10189</v>
      </c>
      <c r="B63" s="4117" t="str">
        <f>研发加计扣除归集审核表!B63&amp;""</f>
        <v/>
      </c>
      <c r="C63" s="4116"/>
      <c r="D63" s="4115">
        <f>研发加计扣除归集审核表!D63</f>
        <v>0</v>
      </c>
    </row>
    <row r="64" spans="1:4" ht="15" customHeight="1">
      <c r="A64" s="4086" t="s">
        <v>10188</v>
      </c>
      <c r="B64" s="4117" t="str">
        <f>研发加计扣除归集审核表!B64&amp;""</f>
        <v/>
      </c>
      <c r="C64" s="4116"/>
      <c r="D64" s="4115">
        <f>研发加计扣除归集审核表!D64</f>
        <v>0</v>
      </c>
    </row>
    <row r="65" spans="1:4" ht="15" customHeight="1">
      <c r="A65" s="4086" t="s">
        <v>10187</v>
      </c>
      <c r="B65" s="4117" t="str">
        <f>研发加计扣除归集审核表!B65&amp;""</f>
        <v/>
      </c>
      <c r="C65" s="4116"/>
      <c r="D65" s="4115">
        <f>研发加计扣除归集审核表!D65</f>
        <v>0</v>
      </c>
    </row>
    <row r="66" spans="1:4" ht="15" customHeight="1">
      <c r="A66" s="4086" t="s">
        <v>10186</v>
      </c>
      <c r="B66" s="4117" t="str">
        <f>研发加计扣除归集审核表!B66&amp;""</f>
        <v/>
      </c>
      <c r="C66" s="4116"/>
      <c r="D66" s="4115">
        <f>研发加计扣除归集审核表!D66</f>
        <v>0</v>
      </c>
    </row>
    <row r="67" spans="1:4" ht="15" customHeight="1">
      <c r="A67" s="4086" t="s">
        <v>10185</v>
      </c>
      <c r="B67" s="4117" t="str">
        <f>研发加计扣除归集审核表!B67&amp;""</f>
        <v/>
      </c>
      <c r="C67" s="4116"/>
      <c r="D67" s="4115">
        <f>研发加计扣除归集审核表!D67</f>
        <v>0</v>
      </c>
    </row>
    <row r="68" spans="1:4" ht="15" customHeight="1">
      <c r="A68" s="4086" t="s">
        <v>10184</v>
      </c>
      <c r="B68" s="4117" t="str">
        <f>研发加计扣除归集审核表!B68&amp;""</f>
        <v/>
      </c>
      <c r="C68" s="4116"/>
      <c r="D68" s="4115">
        <f>研发加计扣除归集审核表!D68</f>
        <v>0</v>
      </c>
    </row>
    <row r="69" spans="1:4" ht="15" customHeight="1">
      <c r="A69" s="4086" t="s">
        <v>10183</v>
      </c>
      <c r="B69" s="4117" t="str">
        <f>研发加计扣除归集审核表!B69&amp;""</f>
        <v/>
      </c>
      <c r="C69" s="4116"/>
      <c r="D69" s="4115">
        <f>研发加计扣除归集审核表!D69</f>
        <v>0</v>
      </c>
    </row>
    <row r="70" spans="1:4" ht="15" customHeight="1">
      <c r="A70" s="4086" t="s">
        <v>10182</v>
      </c>
      <c r="B70" s="4117" t="str">
        <f>研发加计扣除归集审核表!B70&amp;""</f>
        <v/>
      </c>
      <c r="C70" s="4116"/>
      <c r="D70" s="4115">
        <f>研发加计扣除归集审核表!D70</f>
        <v>0</v>
      </c>
    </row>
    <row r="71" spans="1:4" ht="15" customHeight="1">
      <c r="A71" s="4086" t="s">
        <v>10181</v>
      </c>
      <c r="B71" s="4117" t="str">
        <f>研发加计扣除归集审核表!B71&amp;""</f>
        <v/>
      </c>
      <c r="C71" s="4116"/>
      <c r="D71" s="4115">
        <f>研发加计扣除归集审核表!D71</f>
        <v>0</v>
      </c>
    </row>
    <row r="72" spans="1:4" ht="15" customHeight="1">
      <c r="A72" s="4078">
        <v>7</v>
      </c>
      <c r="B72" s="4080" t="s">
        <v>10180</v>
      </c>
      <c r="C72" s="4079"/>
      <c r="D72" s="4115">
        <f>研发加计扣除归集审核表!D72</f>
        <v>0</v>
      </c>
    </row>
    <row r="73" spans="1:4" ht="15" customHeight="1">
      <c r="A73" s="4078">
        <v>7.1</v>
      </c>
      <c r="B73" s="4077" t="s">
        <v>10259</v>
      </c>
      <c r="C73" s="4076"/>
      <c r="D73" s="4115">
        <f>研发加计扣除归集审核表!D73</f>
        <v>0</v>
      </c>
    </row>
    <row r="74" spans="1:4" ht="15" customHeight="1">
      <c r="A74" s="4078">
        <v>8</v>
      </c>
      <c r="B74" s="4080" t="s">
        <v>10258</v>
      </c>
      <c r="C74" s="4079"/>
      <c r="D74" s="4081">
        <f>D6+D10+D19+D22+D26</f>
        <v>0</v>
      </c>
    </row>
    <row r="75" spans="1:4" ht="15" customHeight="1">
      <c r="A75" s="4078">
        <v>8.1</v>
      </c>
      <c r="B75" s="4083" t="s">
        <v>10177</v>
      </c>
      <c r="C75" s="4082"/>
      <c r="D75" s="4081">
        <f>ROUND(D74*0.1/0.9,2)</f>
        <v>0</v>
      </c>
    </row>
    <row r="76" spans="1:4" ht="15" customHeight="1">
      <c r="A76" s="4078">
        <v>9</v>
      </c>
      <c r="B76" s="4080" t="s">
        <v>10257</v>
      </c>
      <c r="C76" s="4079"/>
      <c r="D76" s="4115">
        <f>研发加计扣除归集审核表!D76</f>
        <v>0</v>
      </c>
    </row>
    <row r="77" spans="1:4" ht="15" customHeight="1">
      <c r="A77" s="4078">
        <v>10</v>
      </c>
      <c r="B77" s="4080" t="s">
        <v>10256</v>
      </c>
      <c r="C77" s="4079"/>
      <c r="D77" s="4115">
        <f>研发加计扣除归集审核表!D77</f>
        <v>0</v>
      </c>
    </row>
    <row r="78" spans="1:4" ht="15" customHeight="1">
      <c r="A78" s="4078">
        <v>10.1</v>
      </c>
      <c r="B78" s="4077" t="s">
        <v>10255</v>
      </c>
      <c r="C78" s="4076"/>
      <c r="D78" s="4115">
        <f>研发加计扣除归集审核表!D78</f>
        <v>0</v>
      </c>
    </row>
    <row r="79" spans="1:4" ht="15" customHeight="1" thickBot="1">
      <c r="A79" s="4074">
        <v>11</v>
      </c>
      <c r="B79" s="4073" t="s">
        <v>10254</v>
      </c>
      <c r="C79" s="4072"/>
      <c r="D79" s="4071">
        <f>ROUND((D76+D78)*0.5,2)</f>
        <v>0</v>
      </c>
    </row>
  </sheetData>
  <mergeCells count="74">
    <mergeCell ref="B76:C76"/>
    <mergeCell ref="B77:C77"/>
    <mergeCell ref="B67:C67"/>
    <mergeCell ref="B68:C68"/>
    <mergeCell ref="B69:C69"/>
    <mergeCell ref="B70:C70"/>
    <mergeCell ref="B78:C78"/>
    <mergeCell ref="B79:C79"/>
    <mergeCell ref="B72:C72"/>
    <mergeCell ref="B73:C73"/>
    <mergeCell ref="B74:C74"/>
    <mergeCell ref="B75:C75"/>
    <mergeCell ref="B57:C57"/>
    <mergeCell ref="B58:C58"/>
    <mergeCell ref="B71:C71"/>
    <mergeCell ref="B60:C60"/>
    <mergeCell ref="B61:C61"/>
    <mergeCell ref="B62:C62"/>
    <mergeCell ref="B63:C63"/>
    <mergeCell ref="B64:C64"/>
    <mergeCell ref="B65:C65"/>
    <mergeCell ref="B66:C66"/>
    <mergeCell ref="B59:C59"/>
    <mergeCell ref="B48:C48"/>
    <mergeCell ref="B49:C49"/>
    <mergeCell ref="B50:C50"/>
    <mergeCell ref="B51:C51"/>
    <mergeCell ref="B52:C52"/>
    <mergeCell ref="B53:C53"/>
    <mergeCell ref="B54:C54"/>
    <mergeCell ref="B55:C55"/>
    <mergeCell ref="B56:C56"/>
    <mergeCell ref="B41:C41"/>
    <mergeCell ref="B42:C42"/>
    <mergeCell ref="B43:C43"/>
    <mergeCell ref="B44:C44"/>
    <mergeCell ref="B45:C45"/>
    <mergeCell ref="B46:C46"/>
    <mergeCell ref="B31:C31"/>
    <mergeCell ref="B32:C32"/>
    <mergeCell ref="B33:C33"/>
    <mergeCell ref="B34:C34"/>
    <mergeCell ref="B47:C47"/>
    <mergeCell ref="B36:C36"/>
    <mergeCell ref="B37:C37"/>
    <mergeCell ref="B38:C38"/>
    <mergeCell ref="B39:C39"/>
    <mergeCell ref="B40:C40"/>
    <mergeCell ref="B21:C21"/>
    <mergeCell ref="B22:C22"/>
    <mergeCell ref="B35:C35"/>
    <mergeCell ref="B24:C24"/>
    <mergeCell ref="B25:C25"/>
    <mergeCell ref="B26:C26"/>
    <mergeCell ref="B27:C27"/>
    <mergeCell ref="B28:C28"/>
    <mergeCell ref="B29:C29"/>
    <mergeCell ref="B30:C30"/>
    <mergeCell ref="B23:C23"/>
    <mergeCell ref="B10:C10"/>
    <mergeCell ref="B11:B13"/>
    <mergeCell ref="B14:C14"/>
    <mergeCell ref="B15:C15"/>
    <mergeCell ref="B16:C16"/>
    <mergeCell ref="B17:C17"/>
    <mergeCell ref="B18:C18"/>
    <mergeCell ref="B19:C19"/>
    <mergeCell ref="B20:C20"/>
    <mergeCell ref="B9:C9"/>
    <mergeCell ref="A2:D2"/>
    <mergeCell ref="A4:B4"/>
    <mergeCell ref="B5:C5"/>
    <mergeCell ref="B6:C6"/>
    <mergeCell ref="B7:B8"/>
  </mergeCells>
  <phoneticPr fontId="51" type="noConversion"/>
  <printOptions horizontalCentered="1"/>
  <pageMargins left="0.31496062992125984" right="0.31496062992125984" top="0.74803149606299213" bottom="0.74803149606299213" header="0.31496062992125984" footer="0.31496062992125984"/>
  <pageSetup paperSize="9" scale="92" fitToHeight="0" orientation="portrait" blackAndWhite="1" r:id="rId1"/>
</worksheet>
</file>

<file path=xl/worksheets/sheet17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1">
    <tabColor rgb="FFFF0000"/>
  </sheetPr>
  <dimension ref="A1:G48"/>
  <sheetViews>
    <sheetView workbookViewId="0">
      <selection activeCell="H6" sqref="H6"/>
    </sheetView>
  </sheetViews>
  <sheetFormatPr defaultRowHeight="15.6"/>
  <cols>
    <col min="1" max="1" width="5.5" style="1498" bestFit="1" customWidth="1"/>
    <col min="2" max="2" width="7.3984375" style="1498" customWidth="1"/>
    <col min="3" max="4" width="13.59765625" style="1498" customWidth="1"/>
    <col min="5" max="5" width="32" style="1498" customWidth="1"/>
    <col min="6" max="6" width="21.3984375" style="1510" customWidth="1"/>
    <col min="7" max="7" width="12.59765625" style="1498" customWidth="1"/>
    <col min="8" max="256" width="9" style="1498"/>
    <col min="257" max="257" width="5.5" style="1498" bestFit="1" customWidth="1"/>
    <col min="258" max="258" width="7.3984375" style="1498" customWidth="1"/>
    <col min="259" max="260" width="13.59765625" style="1498" customWidth="1"/>
    <col min="261" max="261" width="32" style="1498" customWidth="1"/>
    <col min="262" max="262" width="21.3984375" style="1498" customWidth="1"/>
    <col min="263" max="263" width="12.59765625" style="1498" customWidth="1"/>
    <col min="264" max="512" width="9" style="1498"/>
    <col min="513" max="513" width="5.5" style="1498" bestFit="1" customWidth="1"/>
    <col min="514" max="514" width="7.3984375" style="1498" customWidth="1"/>
    <col min="515" max="516" width="13.59765625" style="1498" customWidth="1"/>
    <col min="517" max="517" width="32" style="1498" customWidth="1"/>
    <col min="518" max="518" width="21.3984375" style="1498" customWidth="1"/>
    <col min="519" max="519" width="12.59765625" style="1498" customWidth="1"/>
    <col min="520" max="768" width="9" style="1498"/>
    <col min="769" max="769" width="5.5" style="1498" bestFit="1" customWidth="1"/>
    <col min="770" max="770" width="7.3984375" style="1498" customWidth="1"/>
    <col min="771" max="772" width="13.59765625" style="1498" customWidth="1"/>
    <col min="773" max="773" width="32" style="1498" customWidth="1"/>
    <col min="774" max="774" width="21.3984375" style="1498" customWidth="1"/>
    <col min="775" max="775" width="12.59765625" style="1498" customWidth="1"/>
    <col min="776" max="1024" width="9" style="1498"/>
    <col min="1025" max="1025" width="5.5" style="1498" bestFit="1" customWidth="1"/>
    <col min="1026" max="1026" width="7.3984375" style="1498" customWidth="1"/>
    <col min="1027" max="1028" width="13.59765625" style="1498" customWidth="1"/>
    <col min="1029" max="1029" width="32" style="1498" customWidth="1"/>
    <col min="1030" max="1030" width="21.3984375" style="1498" customWidth="1"/>
    <col min="1031" max="1031" width="12.59765625" style="1498" customWidth="1"/>
    <col min="1032" max="1280" width="9" style="1498"/>
    <col min="1281" max="1281" width="5.5" style="1498" bestFit="1" customWidth="1"/>
    <col min="1282" max="1282" width="7.3984375" style="1498" customWidth="1"/>
    <col min="1283" max="1284" width="13.59765625" style="1498" customWidth="1"/>
    <col min="1285" max="1285" width="32" style="1498" customWidth="1"/>
    <col min="1286" max="1286" width="21.3984375" style="1498" customWidth="1"/>
    <col min="1287" max="1287" width="12.59765625" style="1498" customWidth="1"/>
    <col min="1288" max="1536" width="9" style="1498"/>
    <col min="1537" max="1537" width="5.5" style="1498" bestFit="1" customWidth="1"/>
    <col min="1538" max="1538" width="7.3984375" style="1498" customWidth="1"/>
    <col min="1539" max="1540" width="13.59765625" style="1498" customWidth="1"/>
    <col min="1541" max="1541" width="32" style="1498" customWidth="1"/>
    <col min="1542" max="1542" width="21.3984375" style="1498" customWidth="1"/>
    <col min="1543" max="1543" width="12.59765625" style="1498" customWidth="1"/>
    <col min="1544" max="1792" width="9" style="1498"/>
    <col min="1793" max="1793" width="5.5" style="1498" bestFit="1" customWidth="1"/>
    <col min="1794" max="1794" width="7.3984375" style="1498" customWidth="1"/>
    <col min="1795" max="1796" width="13.59765625" style="1498" customWidth="1"/>
    <col min="1797" max="1797" width="32" style="1498" customWidth="1"/>
    <col min="1798" max="1798" width="21.3984375" style="1498" customWidth="1"/>
    <col min="1799" max="1799" width="12.59765625" style="1498" customWidth="1"/>
    <col min="1800" max="2048" width="9" style="1498"/>
    <col min="2049" max="2049" width="5.5" style="1498" bestFit="1" customWidth="1"/>
    <col min="2050" max="2050" width="7.3984375" style="1498" customWidth="1"/>
    <col min="2051" max="2052" width="13.59765625" style="1498" customWidth="1"/>
    <col min="2053" max="2053" width="32" style="1498" customWidth="1"/>
    <col min="2054" max="2054" width="21.3984375" style="1498" customWidth="1"/>
    <col min="2055" max="2055" width="12.59765625" style="1498" customWidth="1"/>
    <col min="2056" max="2304" width="9" style="1498"/>
    <col min="2305" max="2305" width="5.5" style="1498" bestFit="1" customWidth="1"/>
    <col min="2306" max="2306" width="7.3984375" style="1498" customWidth="1"/>
    <col min="2307" max="2308" width="13.59765625" style="1498" customWidth="1"/>
    <col min="2309" max="2309" width="32" style="1498" customWidth="1"/>
    <col min="2310" max="2310" width="21.3984375" style="1498" customWidth="1"/>
    <col min="2311" max="2311" width="12.59765625" style="1498" customWidth="1"/>
    <col min="2312" max="2560" width="9" style="1498"/>
    <col min="2561" max="2561" width="5.5" style="1498" bestFit="1" customWidth="1"/>
    <col min="2562" max="2562" width="7.3984375" style="1498" customWidth="1"/>
    <col min="2563" max="2564" width="13.59765625" style="1498" customWidth="1"/>
    <col min="2565" max="2565" width="32" style="1498" customWidth="1"/>
    <col min="2566" max="2566" width="21.3984375" style="1498" customWidth="1"/>
    <col min="2567" max="2567" width="12.59765625" style="1498" customWidth="1"/>
    <col min="2568" max="2816" width="9" style="1498"/>
    <col min="2817" max="2817" width="5.5" style="1498" bestFit="1" customWidth="1"/>
    <col min="2818" max="2818" width="7.3984375" style="1498" customWidth="1"/>
    <col min="2819" max="2820" width="13.59765625" style="1498" customWidth="1"/>
    <col min="2821" max="2821" width="32" style="1498" customWidth="1"/>
    <col min="2822" max="2822" width="21.3984375" style="1498" customWidth="1"/>
    <col min="2823" max="2823" width="12.59765625" style="1498" customWidth="1"/>
    <col min="2824" max="3072" width="9" style="1498"/>
    <col min="3073" max="3073" width="5.5" style="1498" bestFit="1" customWidth="1"/>
    <col min="3074" max="3074" width="7.3984375" style="1498" customWidth="1"/>
    <col min="3075" max="3076" width="13.59765625" style="1498" customWidth="1"/>
    <col min="3077" max="3077" width="32" style="1498" customWidth="1"/>
    <col min="3078" max="3078" width="21.3984375" style="1498" customWidth="1"/>
    <col min="3079" max="3079" width="12.59765625" style="1498" customWidth="1"/>
    <col min="3080" max="3328" width="9" style="1498"/>
    <col min="3329" max="3329" width="5.5" style="1498" bestFit="1" customWidth="1"/>
    <col min="3330" max="3330" width="7.3984375" style="1498" customWidth="1"/>
    <col min="3331" max="3332" width="13.59765625" style="1498" customWidth="1"/>
    <col min="3333" max="3333" width="32" style="1498" customWidth="1"/>
    <col min="3334" max="3334" width="21.3984375" style="1498" customWidth="1"/>
    <col min="3335" max="3335" width="12.59765625" style="1498" customWidth="1"/>
    <col min="3336" max="3584" width="9" style="1498"/>
    <col min="3585" max="3585" width="5.5" style="1498" bestFit="1" customWidth="1"/>
    <col min="3586" max="3586" width="7.3984375" style="1498" customWidth="1"/>
    <col min="3587" max="3588" width="13.59765625" style="1498" customWidth="1"/>
    <col min="3589" max="3589" width="32" style="1498" customWidth="1"/>
    <col min="3590" max="3590" width="21.3984375" style="1498" customWidth="1"/>
    <col min="3591" max="3591" width="12.59765625" style="1498" customWidth="1"/>
    <col min="3592" max="3840" width="9" style="1498"/>
    <col min="3841" max="3841" width="5.5" style="1498" bestFit="1" customWidth="1"/>
    <col min="3842" max="3842" width="7.3984375" style="1498" customWidth="1"/>
    <col min="3843" max="3844" width="13.59765625" style="1498" customWidth="1"/>
    <col min="3845" max="3845" width="32" style="1498" customWidth="1"/>
    <col min="3846" max="3846" width="21.3984375" style="1498" customWidth="1"/>
    <col min="3847" max="3847" width="12.59765625" style="1498" customWidth="1"/>
    <col min="3848" max="4096" width="9" style="1498"/>
    <col min="4097" max="4097" width="5.5" style="1498" bestFit="1" customWidth="1"/>
    <col min="4098" max="4098" width="7.3984375" style="1498" customWidth="1"/>
    <col min="4099" max="4100" width="13.59765625" style="1498" customWidth="1"/>
    <col min="4101" max="4101" width="32" style="1498" customWidth="1"/>
    <col min="4102" max="4102" width="21.3984375" style="1498" customWidth="1"/>
    <col min="4103" max="4103" width="12.59765625" style="1498" customWidth="1"/>
    <col min="4104" max="4352" width="9" style="1498"/>
    <col min="4353" max="4353" width="5.5" style="1498" bestFit="1" customWidth="1"/>
    <col min="4354" max="4354" width="7.3984375" style="1498" customWidth="1"/>
    <col min="4355" max="4356" width="13.59765625" style="1498" customWidth="1"/>
    <col min="4357" max="4357" width="32" style="1498" customWidth="1"/>
    <col min="4358" max="4358" width="21.3984375" style="1498" customWidth="1"/>
    <col min="4359" max="4359" width="12.59765625" style="1498" customWidth="1"/>
    <col min="4360" max="4608" width="9" style="1498"/>
    <col min="4609" max="4609" width="5.5" style="1498" bestFit="1" customWidth="1"/>
    <col min="4610" max="4610" width="7.3984375" style="1498" customWidth="1"/>
    <col min="4611" max="4612" width="13.59765625" style="1498" customWidth="1"/>
    <col min="4613" max="4613" width="32" style="1498" customWidth="1"/>
    <col min="4614" max="4614" width="21.3984375" style="1498" customWidth="1"/>
    <col min="4615" max="4615" width="12.59765625" style="1498" customWidth="1"/>
    <col min="4616" max="4864" width="9" style="1498"/>
    <col min="4865" max="4865" width="5.5" style="1498" bestFit="1" customWidth="1"/>
    <col min="4866" max="4866" width="7.3984375" style="1498" customWidth="1"/>
    <col min="4867" max="4868" width="13.59765625" style="1498" customWidth="1"/>
    <col min="4869" max="4869" width="32" style="1498" customWidth="1"/>
    <col min="4870" max="4870" width="21.3984375" style="1498" customWidth="1"/>
    <col min="4871" max="4871" width="12.59765625" style="1498" customWidth="1"/>
    <col min="4872" max="5120" width="9" style="1498"/>
    <col min="5121" max="5121" width="5.5" style="1498" bestFit="1" customWidth="1"/>
    <col min="5122" max="5122" width="7.3984375" style="1498" customWidth="1"/>
    <col min="5123" max="5124" width="13.59765625" style="1498" customWidth="1"/>
    <col min="5125" max="5125" width="32" style="1498" customWidth="1"/>
    <col min="5126" max="5126" width="21.3984375" style="1498" customWidth="1"/>
    <col min="5127" max="5127" width="12.59765625" style="1498" customWidth="1"/>
    <col min="5128" max="5376" width="9" style="1498"/>
    <col min="5377" max="5377" width="5.5" style="1498" bestFit="1" customWidth="1"/>
    <col min="5378" max="5378" width="7.3984375" style="1498" customWidth="1"/>
    <col min="5379" max="5380" width="13.59765625" style="1498" customWidth="1"/>
    <col min="5381" max="5381" width="32" style="1498" customWidth="1"/>
    <col min="5382" max="5382" width="21.3984375" style="1498" customWidth="1"/>
    <col min="5383" max="5383" width="12.59765625" style="1498" customWidth="1"/>
    <col min="5384" max="5632" width="9" style="1498"/>
    <col min="5633" max="5633" width="5.5" style="1498" bestFit="1" customWidth="1"/>
    <col min="5634" max="5634" width="7.3984375" style="1498" customWidth="1"/>
    <col min="5635" max="5636" width="13.59765625" style="1498" customWidth="1"/>
    <col min="5637" max="5637" width="32" style="1498" customWidth="1"/>
    <col min="5638" max="5638" width="21.3984375" style="1498" customWidth="1"/>
    <col min="5639" max="5639" width="12.59765625" style="1498" customWidth="1"/>
    <col min="5640" max="5888" width="9" style="1498"/>
    <col min="5889" max="5889" width="5.5" style="1498" bestFit="1" customWidth="1"/>
    <col min="5890" max="5890" width="7.3984375" style="1498" customWidth="1"/>
    <col min="5891" max="5892" width="13.59765625" style="1498" customWidth="1"/>
    <col min="5893" max="5893" width="32" style="1498" customWidth="1"/>
    <col min="5894" max="5894" width="21.3984375" style="1498" customWidth="1"/>
    <col min="5895" max="5895" width="12.59765625" style="1498" customWidth="1"/>
    <col min="5896" max="6144" width="9" style="1498"/>
    <col min="6145" max="6145" width="5.5" style="1498" bestFit="1" customWidth="1"/>
    <col min="6146" max="6146" width="7.3984375" style="1498" customWidth="1"/>
    <col min="6147" max="6148" width="13.59765625" style="1498" customWidth="1"/>
    <col min="6149" max="6149" width="32" style="1498" customWidth="1"/>
    <col min="6150" max="6150" width="21.3984375" style="1498" customWidth="1"/>
    <col min="6151" max="6151" width="12.59765625" style="1498" customWidth="1"/>
    <col min="6152" max="6400" width="9" style="1498"/>
    <col min="6401" max="6401" width="5.5" style="1498" bestFit="1" customWidth="1"/>
    <col min="6402" max="6402" width="7.3984375" style="1498" customWidth="1"/>
    <col min="6403" max="6404" width="13.59765625" style="1498" customWidth="1"/>
    <col min="6405" max="6405" width="32" style="1498" customWidth="1"/>
    <col min="6406" max="6406" width="21.3984375" style="1498" customWidth="1"/>
    <col min="6407" max="6407" width="12.59765625" style="1498" customWidth="1"/>
    <col min="6408" max="6656" width="9" style="1498"/>
    <col min="6657" max="6657" width="5.5" style="1498" bestFit="1" customWidth="1"/>
    <col min="6658" max="6658" width="7.3984375" style="1498" customWidth="1"/>
    <col min="6659" max="6660" width="13.59765625" style="1498" customWidth="1"/>
    <col min="6661" max="6661" width="32" style="1498" customWidth="1"/>
    <col min="6662" max="6662" width="21.3984375" style="1498" customWidth="1"/>
    <col min="6663" max="6663" width="12.59765625" style="1498" customWidth="1"/>
    <col min="6664" max="6912" width="9" style="1498"/>
    <col min="6913" max="6913" width="5.5" style="1498" bestFit="1" customWidth="1"/>
    <col min="6914" max="6914" width="7.3984375" style="1498" customWidth="1"/>
    <col min="6915" max="6916" width="13.59765625" style="1498" customWidth="1"/>
    <col min="6917" max="6917" width="32" style="1498" customWidth="1"/>
    <col min="6918" max="6918" width="21.3984375" style="1498" customWidth="1"/>
    <col min="6919" max="6919" width="12.59765625" style="1498" customWidth="1"/>
    <col min="6920" max="7168" width="9" style="1498"/>
    <col min="7169" max="7169" width="5.5" style="1498" bestFit="1" customWidth="1"/>
    <col min="7170" max="7170" width="7.3984375" style="1498" customWidth="1"/>
    <col min="7171" max="7172" width="13.59765625" style="1498" customWidth="1"/>
    <col min="7173" max="7173" width="32" style="1498" customWidth="1"/>
    <col min="7174" max="7174" width="21.3984375" style="1498" customWidth="1"/>
    <col min="7175" max="7175" width="12.59765625" style="1498" customWidth="1"/>
    <col min="7176" max="7424" width="9" style="1498"/>
    <col min="7425" max="7425" width="5.5" style="1498" bestFit="1" customWidth="1"/>
    <col min="7426" max="7426" width="7.3984375" style="1498" customWidth="1"/>
    <col min="7427" max="7428" width="13.59765625" style="1498" customWidth="1"/>
    <col min="7429" max="7429" width="32" style="1498" customWidth="1"/>
    <col min="7430" max="7430" width="21.3984375" style="1498" customWidth="1"/>
    <col min="7431" max="7431" width="12.59765625" style="1498" customWidth="1"/>
    <col min="7432" max="7680" width="9" style="1498"/>
    <col min="7681" max="7681" width="5.5" style="1498" bestFit="1" customWidth="1"/>
    <col min="7682" max="7682" width="7.3984375" style="1498" customWidth="1"/>
    <col min="7683" max="7684" width="13.59765625" style="1498" customWidth="1"/>
    <col min="7685" max="7685" width="32" style="1498" customWidth="1"/>
    <col min="7686" max="7686" width="21.3984375" style="1498" customWidth="1"/>
    <col min="7687" max="7687" width="12.59765625" style="1498" customWidth="1"/>
    <col min="7688" max="7936" width="9" style="1498"/>
    <col min="7937" max="7937" width="5.5" style="1498" bestFit="1" customWidth="1"/>
    <col min="7938" max="7938" width="7.3984375" style="1498" customWidth="1"/>
    <col min="7939" max="7940" width="13.59765625" style="1498" customWidth="1"/>
    <col min="7941" max="7941" width="32" style="1498" customWidth="1"/>
    <col min="7942" max="7942" width="21.3984375" style="1498" customWidth="1"/>
    <col min="7943" max="7943" width="12.59765625" style="1498" customWidth="1"/>
    <col min="7944" max="8192" width="9" style="1498"/>
    <col min="8193" max="8193" width="5.5" style="1498" bestFit="1" customWidth="1"/>
    <col min="8194" max="8194" width="7.3984375" style="1498" customWidth="1"/>
    <col min="8195" max="8196" width="13.59765625" style="1498" customWidth="1"/>
    <col min="8197" max="8197" width="32" style="1498" customWidth="1"/>
    <col min="8198" max="8198" width="21.3984375" style="1498" customWidth="1"/>
    <col min="8199" max="8199" width="12.59765625" style="1498" customWidth="1"/>
    <col min="8200" max="8448" width="9" style="1498"/>
    <col min="8449" max="8449" width="5.5" style="1498" bestFit="1" customWidth="1"/>
    <col min="8450" max="8450" width="7.3984375" style="1498" customWidth="1"/>
    <col min="8451" max="8452" width="13.59765625" style="1498" customWidth="1"/>
    <col min="8453" max="8453" width="32" style="1498" customWidth="1"/>
    <col min="8454" max="8454" width="21.3984375" style="1498" customWidth="1"/>
    <col min="8455" max="8455" width="12.59765625" style="1498" customWidth="1"/>
    <col min="8456" max="8704" width="9" style="1498"/>
    <col min="8705" max="8705" width="5.5" style="1498" bestFit="1" customWidth="1"/>
    <col min="8706" max="8706" width="7.3984375" style="1498" customWidth="1"/>
    <col min="8707" max="8708" width="13.59765625" style="1498" customWidth="1"/>
    <col min="8709" max="8709" width="32" style="1498" customWidth="1"/>
    <col min="8710" max="8710" width="21.3984375" style="1498" customWidth="1"/>
    <col min="8711" max="8711" width="12.59765625" style="1498" customWidth="1"/>
    <col min="8712" max="8960" width="9" style="1498"/>
    <col min="8961" max="8961" width="5.5" style="1498" bestFit="1" customWidth="1"/>
    <col min="8962" max="8962" width="7.3984375" style="1498" customWidth="1"/>
    <col min="8963" max="8964" width="13.59765625" style="1498" customWidth="1"/>
    <col min="8965" max="8965" width="32" style="1498" customWidth="1"/>
    <col min="8966" max="8966" width="21.3984375" style="1498" customWidth="1"/>
    <col min="8967" max="8967" width="12.59765625" style="1498" customWidth="1"/>
    <col min="8968" max="9216" width="9" style="1498"/>
    <col min="9217" max="9217" width="5.5" style="1498" bestFit="1" customWidth="1"/>
    <col min="9218" max="9218" width="7.3984375" style="1498" customWidth="1"/>
    <col min="9219" max="9220" width="13.59765625" style="1498" customWidth="1"/>
    <col min="9221" max="9221" width="32" style="1498" customWidth="1"/>
    <col min="9222" max="9222" width="21.3984375" style="1498" customWidth="1"/>
    <col min="9223" max="9223" width="12.59765625" style="1498" customWidth="1"/>
    <col min="9224" max="9472" width="9" style="1498"/>
    <col min="9473" max="9473" width="5.5" style="1498" bestFit="1" customWidth="1"/>
    <col min="9474" max="9474" width="7.3984375" style="1498" customWidth="1"/>
    <col min="9475" max="9476" width="13.59765625" style="1498" customWidth="1"/>
    <col min="9477" max="9477" width="32" style="1498" customWidth="1"/>
    <col min="9478" max="9478" width="21.3984375" style="1498" customWidth="1"/>
    <col min="9479" max="9479" width="12.59765625" style="1498" customWidth="1"/>
    <col min="9480" max="9728" width="9" style="1498"/>
    <col min="9729" max="9729" width="5.5" style="1498" bestFit="1" customWidth="1"/>
    <col min="9730" max="9730" width="7.3984375" style="1498" customWidth="1"/>
    <col min="9731" max="9732" width="13.59765625" style="1498" customWidth="1"/>
    <col min="9733" max="9733" width="32" style="1498" customWidth="1"/>
    <col min="9734" max="9734" width="21.3984375" style="1498" customWidth="1"/>
    <col min="9735" max="9735" width="12.59765625" style="1498" customWidth="1"/>
    <col min="9736" max="9984" width="9" style="1498"/>
    <col min="9985" max="9985" width="5.5" style="1498" bestFit="1" customWidth="1"/>
    <col min="9986" max="9986" width="7.3984375" style="1498" customWidth="1"/>
    <col min="9987" max="9988" width="13.59765625" style="1498" customWidth="1"/>
    <col min="9989" max="9989" width="32" style="1498" customWidth="1"/>
    <col min="9990" max="9990" width="21.3984375" style="1498" customWidth="1"/>
    <col min="9991" max="9991" width="12.59765625" style="1498" customWidth="1"/>
    <col min="9992" max="10240" width="9" style="1498"/>
    <col min="10241" max="10241" width="5.5" style="1498" bestFit="1" customWidth="1"/>
    <col min="10242" max="10242" width="7.3984375" style="1498" customWidth="1"/>
    <col min="10243" max="10244" width="13.59765625" style="1498" customWidth="1"/>
    <col min="10245" max="10245" width="32" style="1498" customWidth="1"/>
    <col min="10246" max="10246" width="21.3984375" style="1498" customWidth="1"/>
    <col min="10247" max="10247" width="12.59765625" style="1498" customWidth="1"/>
    <col min="10248" max="10496" width="9" style="1498"/>
    <col min="10497" max="10497" width="5.5" style="1498" bestFit="1" customWidth="1"/>
    <col min="10498" max="10498" width="7.3984375" style="1498" customWidth="1"/>
    <col min="10499" max="10500" width="13.59765625" style="1498" customWidth="1"/>
    <col min="10501" max="10501" width="32" style="1498" customWidth="1"/>
    <col min="10502" max="10502" width="21.3984375" style="1498" customWidth="1"/>
    <col min="10503" max="10503" width="12.59765625" style="1498" customWidth="1"/>
    <col min="10504" max="10752" width="9" style="1498"/>
    <col min="10753" max="10753" width="5.5" style="1498" bestFit="1" customWidth="1"/>
    <col min="10754" max="10754" width="7.3984375" style="1498" customWidth="1"/>
    <col min="10755" max="10756" width="13.59765625" style="1498" customWidth="1"/>
    <col min="10757" max="10757" width="32" style="1498" customWidth="1"/>
    <col min="10758" max="10758" width="21.3984375" style="1498" customWidth="1"/>
    <col min="10759" max="10759" width="12.59765625" style="1498" customWidth="1"/>
    <col min="10760" max="11008" width="9" style="1498"/>
    <col min="11009" max="11009" width="5.5" style="1498" bestFit="1" customWidth="1"/>
    <col min="11010" max="11010" width="7.3984375" style="1498" customWidth="1"/>
    <col min="11011" max="11012" width="13.59765625" style="1498" customWidth="1"/>
    <col min="11013" max="11013" width="32" style="1498" customWidth="1"/>
    <col min="11014" max="11014" width="21.3984375" style="1498" customWidth="1"/>
    <col min="11015" max="11015" width="12.59765625" style="1498" customWidth="1"/>
    <col min="11016" max="11264" width="9" style="1498"/>
    <col min="11265" max="11265" width="5.5" style="1498" bestFit="1" customWidth="1"/>
    <col min="11266" max="11266" width="7.3984375" style="1498" customWidth="1"/>
    <col min="11267" max="11268" width="13.59765625" style="1498" customWidth="1"/>
    <col min="11269" max="11269" width="32" style="1498" customWidth="1"/>
    <col min="11270" max="11270" width="21.3984375" style="1498" customWidth="1"/>
    <col min="11271" max="11271" width="12.59765625" style="1498" customWidth="1"/>
    <col min="11272" max="11520" width="9" style="1498"/>
    <col min="11521" max="11521" width="5.5" style="1498" bestFit="1" customWidth="1"/>
    <col min="11522" max="11522" width="7.3984375" style="1498" customWidth="1"/>
    <col min="11523" max="11524" width="13.59765625" style="1498" customWidth="1"/>
    <col min="11525" max="11525" width="32" style="1498" customWidth="1"/>
    <col min="11526" max="11526" width="21.3984375" style="1498" customWidth="1"/>
    <col min="11527" max="11527" width="12.59765625" style="1498" customWidth="1"/>
    <col min="11528" max="11776" width="9" style="1498"/>
    <col min="11777" max="11777" width="5.5" style="1498" bestFit="1" customWidth="1"/>
    <col min="11778" max="11778" width="7.3984375" style="1498" customWidth="1"/>
    <col min="11779" max="11780" width="13.59765625" style="1498" customWidth="1"/>
    <col min="11781" max="11781" width="32" style="1498" customWidth="1"/>
    <col min="11782" max="11782" width="21.3984375" style="1498" customWidth="1"/>
    <col min="11783" max="11783" width="12.59765625" style="1498" customWidth="1"/>
    <col min="11784" max="12032" width="9" style="1498"/>
    <col min="12033" max="12033" width="5.5" style="1498" bestFit="1" customWidth="1"/>
    <col min="12034" max="12034" width="7.3984375" style="1498" customWidth="1"/>
    <col min="12035" max="12036" width="13.59765625" style="1498" customWidth="1"/>
    <col min="12037" max="12037" width="32" style="1498" customWidth="1"/>
    <col min="12038" max="12038" width="21.3984375" style="1498" customWidth="1"/>
    <col min="12039" max="12039" width="12.59765625" style="1498" customWidth="1"/>
    <col min="12040" max="12288" width="9" style="1498"/>
    <col min="12289" max="12289" width="5.5" style="1498" bestFit="1" customWidth="1"/>
    <col min="12290" max="12290" width="7.3984375" style="1498" customWidth="1"/>
    <col min="12291" max="12292" width="13.59765625" style="1498" customWidth="1"/>
    <col min="12293" max="12293" width="32" style="1498" customWidth="1"/>
    <col min="12294" max="12294" width="21.3984375" style="1498" customWidth="1"/>
    <col min="12295" max="12295" width="12.59765625" style="1498" customWidth="1"/>
    <col min="12296" max="12544" width="9" style="1498"/>
    <col min="12545" max="12545" width="5.5" style="1498" bestFit="1" customWidth="1"/>
    <col min="12546" max="12546" width="7.3984375" style="1498" customWidth="1"/>
    <col min="12547" max="12548" width="13.59765625" style="1498" customWidth="1"/>
    <col min="12549" max="12549" width="32" style="1498" customWidth="1"/>
    <col min="12550" max="12550" width="21.3984375" style="1498" customWidth="1"/>
    <col min="12551" max="12551" width="12.59765625" style="1498" customWidth="1"/>
    <col min="12552" max="12800" width="9" style="1498"/>
    <col min="12801" max="12801" width="5.5" style="1498" bestFit="1" customWidth="1"/>
    <col min="12802" max="12802" width="7.3984375" style="1498" customWidth="1"/>
    <col min="12803" max="12804" width="13.59765625" style="1498" customWidth="1"/>
    <col min="12805" max="12805" width="32" style="1498" customWidth="1"/>
    <col min="12806" max="12806" width="21.3984375" style="1498" customWidth="1"/>
    <col min="12807" max="12807" width="12.59765625" style="1498" customWidth="1"/>
    <col min="12808" max="13056" width="9" style="1498"/>
    <col min="13057" max="13057" width="5.5" style="1498" bestFit="1" customWidth="1"/>
    <col min="13058" max="13058" width="7.3984375" style="1498" customWidth="1"/>
    <col min="13059" max="13060" width="13.59765625" style="1498" customWidth="1"/>
    <col min="13061" max="13061" width="32" style="1498" customWidth="1"/>
    <col min="13062" max="13062" width="21.3984375" style="1498" customWidth="1"/>
    <col min="13063" max="13063" width="12.59765625" style="1498" customWidth="1"/>
    <col min="13064" max="13312" width="9" style="1498"/>
    <col min="13313" max="13313" width="5.5" style="1498" bestFit="1" customWidth="1"/>
    <col min="13314" max="13314" width="7.3984375" style="1498" customWidth="1"/>
    <col min="13315" max="13316" width="13.59765625" style="1498" customWidth="1"/>
    <col min="13317" max="13317" width="32" style="1498" customWidth="1"/>
    <col min="13318" max="13318" width="21.3984375" style="1498" customWidth="1"/>
    <col min="13319" max="13319" width="12.59765625" style="1498" customWidth="1"/>
    <col min="13320" max="13568" width="9" style="1498"/>
    <col min="13569" max="13569" width="5.5" style="1498" bestFit="1" customWidth="1"/>
    <col min="13570" max="13570" width="7.3984375" style="1498" customWidth="1"/>
    <col min="13571" max="13572" width="13.59765625" style="1498" customWidth="1"/>
    <col min="13573" max="13573" width="32" style="1498" customWidth="1"/>
    <col min="13574" max="13574" width="21.3984375" style="1498" customWidth="1"/>
    <col min="13575" max="13575" width="12.59765625" style="1498" customWidth="1"/>
    <col min="13576" max="13824" width="9" style="1498"/>
    <col min="13825" max="13825" width="5.5" style="1498" bestFit="1" customWidth="1"/>
    <col min="13826" max="13826" width="7.3984375" style="1498" customWidth="1"/>
    <col min="13827" max="13828" width="13.59765625" style="1498" customWidth="1"/>
    <col min="13829" max="13829" width="32" style="1498" customWidth="1"/>
    <col min="13830" max="13830" width="21.3984375" style="1498" customWidth="1"/>
    <col min="13831" max="13831" width="12.59765625" style="1498" customWidth="1"/>
    <col min="13832" max="14080" width="9" style="1498"/>
    <col min="14081" max="14081" width="5.5" style="1498" bestFit="1" customWidth="1"/>
    <col min="14082" max="14082" width="7.3984375" style="1498" customWidth="1"/>
    <col min="14083" max="14084" width="13.59765625" style="1498" customWidth="1"/>
    <col min="14085" max="14085" width="32" style="1498" customWidth="1"/>
    <col min="14086" max="14086" width="21.3984375" style="1498" customWidth="1"/>
    <col min="14087" max="14087" width="12.59765625" style="1498" customWidth="1"/>
    <col min="14088" max="14336" width="9" style="1498"/>
    <col min="14337" max="14337" width="5.5" style="1498" bestFit="1" customWidth="1"/>
    <col min="14338" max="14338" width="7.3984375" style="1498" customWidth="1"/>
    <col min="14339" max="14340" width="13.59765625" style="1498" customWidth="1"/>
    <col min="14341" max="14341" width="32" style="1498" customWidth="1"/>
    <col min="14342" max="14342" width="21.3984375" style="1498" customWidth="1"/>
    <col min="14343" max="14343" width="12.59765625" style="1498" customWidth="1"/>
    <col min="14344" max="14592" width="9" style="1498"/>
    <col min="14593" max="14593" width="5.5" style="1498" bestFit="1" customWidth="1"/>
    <col min="14594" max="14594" width="7.3984375" style="1498" customWidth="1"/>
    <col min="14595" max="14596" width="13.59765625" style="1498" customWidth="1"/>
    <col min="14597" max="14597" width="32" style="1498" customWidth="1"/>
    <col min="14598" max="14598" width="21.3984375" style="1498" customWidth="1"/>
    <col min="14599" max="14599" width="12.59765625" style="1498" customWidth="1"/>
    <col min="14600" max="14848" width="9" style="1498"/>
    <col min="14849" max="14849" width="5.5" style="1498" bestFit="1" customWidth="1"/>
    <col min="14850" max="14850" width="7.3984375" style="1498" customWidth="1"/>
    <col min="14851" max="14852" width="13.59765625" style="1498" customWidth="1"/>
    <col min="14853" max="14853" width="32" style="1498" customWidth="1"/>
    <col min="14854" max="14854" width="21.3984375" style="1498" customWidth="1"/>
    <col min="14855" max="14855" width="12.59765625" style="1498" customWidth="1"/>
    <col min="14856" max="15104" width="9" style="1498"/>
    <col min="15105" max="15105" width="5.5" style="1498" bestFit="1" customWidth="1"/>
    <col min="15106" max="15106" width="7.3984375" style="1498" customWidth="1"/>
    <col min="15107" max="15108" width="13.59765625" style="1498" customWidth="1"/>
    <col min="15109" max="15109" width="32" style="1498" customWidth="1"/>
    <col min="15110" max="15110" width="21.3984375" style="1498" customWidth="1"/>
    <col min="15111" max="15111" width="12.59765625" style="1498" customWidth="1"/>
    <col min="15112" max="15360" width="9" style="1498"/>
    <col min="15361" max="15361" width="5.5" style="1498" bestFit="1" customWidth="1"/>
    <col min="15362" max="15362" width="7.3984375" style="1498" customWidth="1"/>
    <col min="15363" max="15364" width="13.59765625" style="1498" customWidth="1"/>
    <col min="15365" max="15365" width="32" style="1498" customWidth="1"/>
    <col min="15366" max="15366" width="21.3984375" style="1498" customWidth="1"/>
    <col min="15367" max="15367" width="12.59765625" style="1498" customWidth="1"/>
    <col min="15368" max="15616" width="9" style="1498"/>
    <col min="15617" max="15617" width="5.5" style="1498" bestFit="1" customWidth="1"/>
    <col min="15618" max="15618" width="7.3984375" style="1498" customWidth="1"/>
    <col min="15619" max="15620" width="13.59765625" style="1498" customWidth="1"/>
    <col min="15621" max="15621" width="32" style="1498" customWidth="1"/>
    <col min="15622" max="15622" width="21.3984375" style="1498" customWidth="1"/>
    <col min="15623" max="15623" width="12.59765625" style="1498" customWidth="1"/>
    <col min="15624" max="15872" width="9" style="1498"/>
    <col min="15873" max="15873" width="5.5" style="1498" bestFit="1" customWidth="1"/>
    <col min="15874" max="15874" width="7.3984375" style="1498" customWidth="1"/>
    <col min="15875" max="15876" width="13.59765625" style="1498" customWidth="1"/>
    <col min="15877" max="15877" width="32" style="1498" customWidth="1"/>
    <col min="15878" max="15878" width="21.3984375" style="1498" customWidth="1"/>
    <col min="15879" max="15879" width="12.59765625" style="1498" customWidth="1"/>
    <col min="15880" max="16128" width="9" style="1498"/>
    <col min="16129" max="16129" width="5.5" style="1498" bestFit="1" customWidth="1"/>
    <col min="16130" max="16130" width="7.3984375" style="1498" customWidth="1"/>
    <col min="16131" max="16132" width="13.59765625" style="1498" customWidth="1"/>
    <col min="16133" max="16133" width="32" style="1498" customWidth="1"/>
    <col min="16134" max="16134" width="21.3984375" style="1498" customWidth="1"/>
    <col min="16135" max="16135" width="12.59765625" style="1498" customWidth="1"/>
    <col min="16136" max="16384" width="9" style="1498"/>
  </cols>
  <sheetData>
    <row r="1" spans="1:7" ht="36" customHeight="1">
      <c r="A1" s="4042" t="s">
        <v>2433</v>
      </c>
      <c r="B1" s="4042"/>
      <c r="C1" s="4042"/>
      <c r="D1" s="4042"/>
      <c r="E1" s="4042"/>
      <c r="F1" s="4042"/>
      <c r="G1" s="4042"/>
    </row>
    <row r="2" spans="1:7" s="1499" customFormat="1" ht="39.75" customHeight="1">
      <c r="A2" s="4043" t="s">
        <v>2434</v>
      </c>
      <c r="B2" s="4043"/>
      <c r="C2" s="4043"/>
      <c r="D2" s="4043"/>
      <c r="E2" s="4043"/>
      <c r="F2" s="4043"/>
      <c r="G2" s="4043"/>
    </row>
    <row r="3" spans="1:7" s="1500" customFormat="1" ht="21" customHeight="1">
      <c r="A3" s="4044" t="s">
        <v>2435</v>
      </c>
      <c r="B3" s="4044"/>
      <c r="C3" s="4044"/>
      <c r="D3" s="4044"/>
      <c r="E3" s="4044"/>
      <c r="F3" s="4044"/>
      <c r="G3" s="4044"/>
    </row>
    <row r="4" spans="1:7" s="1500" customFormat="1" ht="15.9" customHeight="1">
      <c r="A4" s="1501" t="s">
        <v>2436</v>
      </c>
      <c r="B4" s="4045" t="s">
        <v>2437</v>
      </c>
      <c r="C4" s="4045"/>
      <c r="D4" s="4045"/>
      <c r="E4" s="4045"/>
      <c r="F4" s="1502" t="s">
        <v>2438</v>
      </c>
      <c r="G4" s="1503" t="s">
        <v>2414</v>
      </c>
    </row>
    <row r="5" spans="1:7" s="1500" customFormat="1" ht="15.9" customHeight="1">
      <c r="A5" s="1501">
        <v>1</v>
      </c>
      <c r="B5" s="4046" t="s">
        <v>2439</v>
      </c>
      <c r="C5" s="4046"/>
      <c r="D5" s="4046"/>
      <c r="E5" s="4046"/>
      <c r="F5" s="4046"/>
      <c r="G5" s="3487" t="s">
        <v>2440</v>
      </c>
    </row>
    <row r="6" spans="1:7" s="1500" customFormat="1" ht="15.9" customHeight="1">
      <c r="A6" s="1501">
        <v>2</v>
      </c>
      <c r="B6" s="4041" t="s">
        <v>2441</v>
      </c>
      <c r="C6" s="4041"/>
      <c r="D6" s="4041"/>
      <c r="E6" s="4041"/>
      <c r="F6" s="1504" t="s">
        <v>2442</v>
      </c>
      <c r="G6" s="3487"/>
    </row>
    <row r="7" spans="1:7" s="1500" customFormat="1" ht="15.9" customHeight="1">
      <c r="A7" s="1501">
        <v>3</v>
      </c>
      <c r="B7" s="4041" t="s">
        <v>2443</v>
      </c>
      <c r="C7" s="4041"/>
      <c r="D7" s="4041"/>
      <c r="E7" s="4041"/>
      <c r="F7" s="1504" t="s">
        <v>2442</v>
      </c>
      <c r="G7" s="3487"/>
    </row>
    <row r="8" spans="1:7" s="1500" customFormat="1" ht="15.9" customHeight="1">
      <c r="A8" s="1501">
        <v>4</v>
      </c>
      <c r="B8" s="4041" t="s">
        <v>496</v>
      </c>
      <c r="C8" s="4041"/>
      <c r="D8" s="4041"/>
      <c r="E8" s="4041"/>
      <c r="F8" s="1504" t="s">
        <v>2442</v>
      </c>
      <c r="G8" s="3487"/>
    </row>
    <row r="9" spans="1:7" s="1500" customFormat="1" ht="15.9" customHeight="1">
      <c r="A9" s="1501">
        <v>5</v>
      </c>
      <c r="B9" s="4047" t="s">
        <v>2444</v>
      </c>
      <c r="C9" s="4047"/>
      <c r="D9" s="4047"/>
      <c r="E9" s="4047"/>
      <c r="F9" s="1504" t="s">
        <v>2442</v>
      </c>
      <c r="G9" s="3487"/>
    </row>
    <row r="10" spans="1:7" s="1500" customFormat="1" ht="15.9" customHeight="1">
      <c r="A10" s="1501">
        <v>6</v>
      </c>
      <c r="B10" s="4047" t="s">
        <v>2445</v>
      </c>
      <c r="C10" s="4047"/>
      <c r="D10" s="4047"/>
      <c r="E10" s="4047"/>
      <c r="F10" s="1504" t="s">
        <v>2442</v>
      </c>
      <c r="G10" s="3487"/>
    </row>
    <row r="11" spans="1:7" s="1500" customFormat="1" ht="15.9" customHeight="1">
      <c r="A11" s="1501">
        <v>7</v>
      </c>
      <c r="B11" s="4047" t="s">
        <v>2446</v>
      </c>
      <c r="C11" s="4047"/>
      <c r="D11" s="4047"/>
      <c r="E11" s="4047"/>
      <c r="F11" s="1504" t="s">
        <v>2442</v>
      </c>
      <c r="G11" s="3487"/>
    </row>
    <row r="12" spans="1:7" s="1500" customFormat="1" ht="15.9" customHeight="1">
      <c r="A12" s="1501">
        <v>8</v>
      </c>
      <c r="B12" s="4047" t="s">
        <v>2447</v>
      </c>
      <c r="C12" s="4047"/>
      <c r="D12" s="4047"/>
      <c r="E12" s="4047"/>
      <c r="F12" s="1504" t="s">
        <v>2442</v>
      </c>
      <c r="G12" s="3487"/>
    </row>
    <row r="13" spans="1:7" s="1500" customFormat="1" ht="15.9" customHeight="1">
      <c r="A13" s="1501">
        <v>9</v>
      </c>
      <c r="B13" s="4047" t="s">
        <v>2448</v>
      </c>
      <c r="C13" s="4047"/>
      <c r="D13" s="4047"/>
      <c r="E13" s="4047"/>
      <c r="F13" s="1504" t="s">
        <v>2442</v>
      </c>
      <c r="G13" s="3487"/>
    </row>
    <row r="14" spans="1:7" s="1500" customFormat="1" ht="15.9" customHeight="1">
      <c r="A14" s="1501">
        <v>10</v>
      </c>
      <c r="B14" s="4041" t="s">
        <v>2449</v>
      </c>
      <c r="C14" s="4041"/>
      <c r="D14" s="4041"/>
      <c r="E14" s="4041"/>
      <c r="F14" s="1504" t="s">
        <v>2442</v>
      </c>
      <c r="G14" s="3487"/>
    </row>
    <row r="15" spans="1:7" s="1500" customFormat="1" ht="15.9" customHeight="1">
      <c r="A15" s="1501">
        <v>11</v>
      </c>
      <c r="B15" s="4041" t="s">
        <v>2450</v>
      </c>
      <c r="C15" s="4041"/>
      <c r="D15" s="4041"/>
      <c r="E15" s="4041"/>
      <c r="F15" s="1504" t="s">
        <v>2442</v>
      </c>
      <c r="G15" s="3487"/>
    </row>
    <row r="16" spans="1:7" s="1500" customFormat="1" ht="15.9" customHeight="1">
      <c r="A16" s="1501">
        <v>12</v>
      </c>
      <c r="B16" s="4041" t="s">
        <v>1624</v>
      </c>
      <c r="C16" s="4041"/>
      <c r="D16" s="4041"/>
      <c r="E16" s="4041"/>
      <c r="F16" s="1504" t="s">
        <v>2442</v>
      </c>
      <c r="G16" s="3487"/>
    </row>
    <row r="17" spans="1:7" s="1500" customFormat="1" ht="15.9" customHeight="1">
      <c r="A17" s="1501">
        <v>13</v>
      </c>
      <c r="B17" s="4041" t="s">
        <v>2451</v>
      </c>
      <c r="C17" s="4041"/>
      <c r="D17" s="4041"/>
      <c r="E17" s="4041"/>
      <c r="F17" s="1504" t="s">
        <v>2442</v>
      </c>
      <c r="G17" s="3487"/>
    </row>
    <row r="18" spans="1:7" s="1500" customFormat="1" ht="15.9" customHeight="1">
      <c r="A18" s="1501">
        <v>14</v>
      </c>
      <c r="B18" s="4047" t="s">
        <v>2452</v>
      </c>
      <c r="C18" s="4047"/>
      <c r="D18" s="4047"/>
      <c r="E18" s="4047"/>
      <c r="F18" s="1504" t="s">
        <v>2442</v>
      </c>
      <c r="G18" s="3487"/>
    </row>
    <row r="19" spans="1:7" s="1500" customFormat="1" ht="15.9" customHeight="1">
      <c r="A19" s="1501">
        <v>15</v>
      </c>
      <c r="B19" s="4041" t="s">
        <v>2453</v>
      </c>
      <c r="C19" s="4041"/>
      <c r="D19" s="4041"/>
      <c r="E19" s="4041"/>
      <c r="F19" s="1504" t="s">
        <v>2442</v>
      </c>
      <c r="G19" s="3487"/>
    </row>
    <row r="20" spans="1:7" s="1500" customFormat="1" ht="15.9" customHeight="1">
      <c r="A20" s="1501">
        <v>16</v>
      </c>
      <c r="B20" s="4047" t="s">
        <v>2454</v>
      </c>
      <c r="C20" s="4047"/>
      <c r="D20" s="4047"/>
      <c r="E20" s="4047"/>
      <c r="F20" s="1504" t="s">
        <v>2442</v>
      </c>
      <c r="G20" s="3487"/>
    </row>
    <row r="21" spans="1:7" s="1500" customFormat="1" ht="15.9" customHeight="1">
      <c r="A21" s="1501">
        <v>17</v>
      </c>
      <c r="B21" s="4047" t="s">
        <v>2455</v>
      </c>
      <c r="C21" s="4047"/>
      <c r="D21" s="4047"/>
      <c r="E21" s="4047"/>
      <c r="F21" s="1504" t="s">
        <v>2442</v>
      </c>
      <c r="G21" s="3487"/>
    </row>
    <row r="22" spans="1:7" s="1500" customFormat="1" ht="15.9" customHeight="1">
      <c r="A22" s="1501">
        <v>18</v>
      </c>
      <c r="B22" s="4046" t="s">
        <v>2456</v>
      </c>
      <c r="C22" s="4046"/>
      <c r="D22" s="4046"/>
      <c r="E22" s="4046"/>
      <c r="F22" s="4046"/>
      <c r="G22" s="3487"/>
    </row>
    <row r="23" spans="1:7" s="1500" customFormat="1" ht="15.9" customHeight="1">
      <c r="A23" s="1501">
        <v>19</v>
      </c>
      <c r="B23" s="4041" t="s">
        <v>2457</v>
      </c>
      <c r="C23" s="4041"/>
      <c r="D23" s="4041"/>
      <c r="E23" s="4041"/>
      <c r="F23" s="1504" t="s">
        <v>2442</v>
      </c>
      <c r="G23" s="3487"/>
    </row>
    <row r="24" spans="1:7" s="1500" customFormat="1" ht="15.9" customHeight="1">
      <c r="A24" s="1501">
        <v>20</v>
      </c>
      <c r="B24" s="4041" t="s">
        <v>2458</v>
      </c>
      <c r="C24" s="4041"/>
      <c r="D24" s="4041"/>
      <c r="E24" s="4041"/>
      <c r="F24" s="1504" t="s">
        <v>2442</v>
      </c>
      <c r="G24" s="3487"/>
    </row>
    <row r="25" spans="1:7" s="1500" customFormat="1" ht="15.9" customHeight="1">
      <c r="A25" s="1501">
        <v>21</v>
      </c>
      <c r="B25" s="4041" t="s">
        <v>2449</v>
      </c>
      <c r="C25" s="4041"/>
      <c r="D25" s="4041"/>
      <c r="E25" s="4041"/>
      <c r="F25" s="1504" t="s">
        <v>2442</v>
      </c>
      <c r="G25" s="3487"/>
    </row>
    <row r="26" spans="1:7" s="1500" customFormat="1" ht="15.9" customHeight="1">
      <c r="A26" s="1501">
        <v>22</v>
      </c>
      <c r="B26" s="4041" t="s">
        <v>2459</v>
      </c>
      <c r="C26" s="4041"/>
      <c r="D26" s="4041"/>
      <c r="E26" s="4041"/>
      <c r="F26" s="1504" t="s">
        <v>2442</v>
      </c>
      <c r="G26" s="3487"/>
    </row>
    <row r="27" spans="1:7" s="1500" customFormat="1" ht="15.9" customHeight="1">
      <c r="A27" s="1501">
        <v>23</v>
      </c>
      <c r="B27" s="4046" t="s">
        <v>2460</v>
      </c>
      <c r="C27" s="4046"/>
      <c r="D27" s="4046"/>
      <c r="E27" s="4046"/>
      <c r="F27" s="4046"/>
      <c r="G27" s="3487"/>
    </row>
    <row r="28" spans="1:7" s="1500" customFormat="1" ht="15.9" customHeight="1">
      <c r="A28" s="1501">
        <v>24</v>
      </c>
      <c r="B28" s="4047" t="s">
        <v>2461</v>
      </c>
      <c r="C28" s="4047"/>
      <c r="D28" s="4047"/>
      <c r="E28" s="4047"/>
      <c r="F28" s="1504" t="s">
        <v>2442</v>
      </c>
      <c r="G28" s="3487"/>
    </row>
    <row r="29" spans="1:7" s="1500" customFormat="1" ht="15.9" customHeight="1">
      <c r="A29" s="1501">
        <v>25</v>
      </c>
      <c r="B29" s="4045" t="s">
        <v>2462</v>
      </c>
      <c r="C29" s="4045"/>
      <c r="D29" s="4045"/>
      <c r="E29" s="4045"/>
      <c r="F29" s="4045"/>
      <c r="G29" s="3487"/>
    </row>
    <row r="30" spans="1:7" s="1500" customFormat="1" ht="21.75" customHeight="1">
      <c r="A30" s="1501">
        <v>26</v>
      </c>
      <c r="B30" s="3487" t="s">
        <v>2463</v>
      </c>
      <c r="C30" s="4050" t="s">
        <v>2464</v>
      </c>
      <c r="D30" s="4051"/>
      <c r="E30" s="4051"/>
      <c r="F30" s="1504" t="s">
        <v>2442</v>
      </c>
      <c r="G30" s="3487"/>
    </row>
    <row r="31" spans="1:7" s="1500" customFormat="1" ht="21.75" customHeight="1">
      <c r="A31" s="1501">
        <v>27</v>
      </c>
      <c r="B31" s="3487"/>
      <c r="C31" s="4050" t="s">
        <v>2465</v>
      </c>
      <c r="D31" s="4050"/>
      <c r="E31" s="4050"/>
      <c r="F31" s="1505" t="s">
        <v>2442</v>
      </c>
      <c r="G31" s="3487"/>
    </row>
    <row r="32" spans="1:7" s="1500" customFormat="1" ht="21.75" customHeight="1">
      <c r="A32" s="1501">
        <v>28</v>
      </c>
      <c r="B32" s="3487"/>
      <c r="C32" s="4047" t="s">
        <v>2466</v>
      </c>
      <c r="D32" s="4047"/>
      <c r="E32" s="4049"/>
      <c r="F32" s="1506"/>
      <c r="G32" s="1507" t="s">
        <v>2467</v>
      </c>
    </row>
    <row r="33" spans="1:7" s="1500" customFormat="1" ht="21.75" customHeight="1">
      <c r="A33" s="1501">
        <v>29</v>
      </c>
      <c r="B33" s="3487"/>
      <c r="C33" s="4047" t="s">
        <v>2468</v>
      </c>
      <c r="D33" s="4047"/>
      <c r="E33" s="4047"/>
      <c r="F33" s="1508" t="s">
        <v>2442</v>
      </c>
      <c r="G33" s="1342" t="s">
        <v>2469</v>
      </c>
    </row>
    <row r="34" spans="1:7" s="1500" customFormat="1" ht="21.75" customHeight="1">
      <c r="A34" s="1501">
        <v>30</v>
      </c>
      <c r="B34" s="3487"/>
      <c r="C34" s="4050" t="s">
        <v>2470</v>
      </c>
      <c r="D34" s="4050"/>
      <c r="E34" s="4050"/>
      <c r="F34" s="1505" t="s">
        <v>2442</v>
      </c>
      <c r="G34" s="1342" t="s">
        <v>2469</v>
      </c>
    </row>
    <row r="35" spans="1:7" s="1500" customFormat="1" ht="21.75" customHeight="1">
      <c r="A35" s="1501">
        <v>31</v>
      </c>
      <c r="B35" s="3487" t="s">
        <v>2471</v>
      </c>
      <c r="C35" s="4047" t="s">
        <v>2472</v>
      </c>
      <c r="D35" s="4047"/>
      <c r="E35" s="4049"/>
      <c r="F35" s="1509"/>
      <c r="G35" s="1507" t="s">
        <v>2467</v>
      </c>
    </row>
    <row r="36" spans="1:7" s="1500" customFormat="1" ht="21.75" customHeight="1">
      <c r="A36" s="1501">
        <v>32</v>
      </c>
      <c r="B36" s="4048"/>
      <c r="C36" s="4047" t="s">
        <v>2473</v>
      </c>
      <c r="D36" s="4047"/>
      <c r="E36" s="4049"/>
      <c r="F36" s="1506"/>
      <c r="G36" s="1507" t="s">
        <v>2467</v>
      </c>
    </row>
    <row r="37" spans="1:7" s="1511" customFormat="1" ht="15.9" customHeight="1">
      <c r="A37" s="1498"/>
      <c r="B37" s="1498"/>
      <c r="C37" s="1498"/>
      <c r="D37" s="1498"/>
      <c r="E37" s="1498"/>
      <c r="F37" s="1510"/>
    </row>
    <row r="38" spans="1:7" s="1511" customFormat="1" ht="15.9" customHeight="1">
      <c r="A38" s="1498"/>
      <c r="B38" s="1498"/>
      <c r="C38" s="1498"/>
      <c r="D38" s="1498"/>
      <c r="E38" s="1498"/>
      <c r="F38" s="1510"/>
      <c r="G38" s="1512"/>
    </row>
    <row r="39" spans="1:7" s="1511" customFormat="1" ht="15.9" customHeight="1">
      <c r="A39" s="1498"/>
      <c r="B39" s="1498"/>
      <c r="C39" s="1498"/>
      <c r="D39" s="1498"/>
      <c r="E39" s="1498"/>
      <c r="F39" s="1510"/>
    </row>
    <row r="40" spans="1:7" s="1511" customFormat="1" ht="18.899999999999999" customHeight="1">
      <c r="A40" s="1498"/>
      <c r="B40" s="1498"/>
      <c r="C40" s="1498"/>
      <c r="D40" s="1498"/>
      <c r="E40" s="1498"/>
      <c r="F40" s="1510"/>
      <c r="G40" s="1513"/>
    </row>
    <row r="41" spans="1:7" s="1511" customFormat="1" ht="18.899999999999999" customHeight="1">
      <c r="A41" s="1498"/>
      <c r="B41" s="1498"/>
      <c r="C41" s="1498"/>
      <c r="D41" s="1498"/>
      <c r="E41" s="1498"/>
      <c r="F41" s="1510"/>
      <c r="G41" s="1513"/>
    </row>
    <row r="42" spans="1:7" s="1511" customFormat="1" ht="18.899999999999999" customHeight="1">
      <c r="A42" s="1498"/>
      <c r="B42" s="1498"/>
      <c r="C42" s="1498"/>
      <c r="D42" s="1498"/>
      <c r="E42" s="1498"/>
      <c r="F42" s="1510"/>
      <c r="G42" s="1514"/>
    </row>
    <row r="43" spans="1:7" s="1511" customFormat="1" ht="18.899999999999999" customHeight="1">
      <c r="A43" s="1498"/>
      <c r="B43" s="1498"/>
      <c r="C43" s="1498"/>
      <c r="D43" s="1498"/>
      <c r="E43" s="1498"/>
      <c r="F43" s="1510"/>
      <c r="G43" s="1515"/>
    </row>
    <row r="44" spans="1:7" s="1511" customFormat="1" ht="18.899999999999999" customHeight="1">
      <c r="A44" s="1498"/>
      <c r="B44" s="1498"/>
      <c r="C44" s="1498"/>
      <c r="D44" s="1498"/>
      <c r="E44" s="1498"/>
      <c r="F44" s="1510"/>
      <c r="G44" s="1515"/>
    </row>
    <row r="45" spans="1:7" s="1511" customFormat="1" ht="18.899999999999999" customHeight="1">
      <c r="A45" s="1498"/>
      <c r="B45" s="1498"/>
      <c r="C45" s="1498"/>
      <c r="D45" s="1498"/>
      <c r="E45" s="1498"/>
      <c r="F45" s="1510"/>
      <c r="G45" s="1515"/>
    </row>
    <row r="46" spans="1:7" s="1511" customFormat="1" ht="18.899999999999999" customHeight="1">
      <c r="A46" s="1498"/>
      <c r="B46" s="1498"/>
      <c r="C46" s="1498"/>
      <c r="D46" s="1498"/>
      <c r="E46" s="1498"/>
      <c r="F46" s="1510"/>
      <c r="G46" s="1516"/>
    </row>
    <row r="47" spans="1:7" s="1511" customFormat="1" ht="18.899999999999999" customHeight="1">
      <c r="A47" s="1498"/>
      <c r="B47" s="1498"/>
      <c r="C47" s="1498"/>
      <c r="D47" s="1498"/>
      <c r="E47" s="1498"/>
      <c r="F47" s="1510"/>
      <c r="G47" s="1498"/>
    </row>
    <row r="48" spans="1:7" ht="18.899999999999999" customHeight="1"/>
  </sheetData>
  <mergeCells count="39">
    <mergeCell ref="B35:B36"/>
    <mergeCell ref="C35:E35"/>
    <mergeCell ref="C36:E36"/>
    <mergeCell ref="B28:E28"/>
    <mergeCell ref="B29:F29"/>
    <mergeCell ref="B30:B34"/>
    <mergeCell ref="C30:E30"/>
    <mergeCell ref="C31:E31"/>
    <mergeCell ref="C32:E32"/>
    <mergeCell ref="C33:E33"/>
    <mergeCell ref="C34:E34"/>
    <mergeCell ref="B27:F27"/>
    <mergeCell ref="B16:E16"/>
    <mergeCell ref="B17:E17"/>
    <mergeCell ref="B18:E18"/>
    <mergeCell ref="B19:E19"/>
    <mergeCell ref="B20:E20"/>
    <mergeCell ref="B21:E21"/>
    <mergeCell ref="B22:F22"/>
    <mergeCell ref="B23:E23"/>
    <mergeCell ref="B24:E24"/>
    <mergeCell ref="B25:E25"/>
    <mergeCell ref="B26:E26"/>
    <mergeCell ref="B15:E15"/>
    <mergeCell ref="A1:G1"/>
    <mergeCell ref="A2:G2"/>
    <mergeCell ref="A3:G3"/>
    <mergeCell ref="B4:E4"/>
    <mergeCell ref="B5:F5"/>
    <mergeCell ref="G5:G31"/>
    <mergeCell ref="B6:E6"/>
    <mergeCell ref="B7:E7"/>
    <mergeCell ref="B8:E8"/>
    <mergeCell ref="B9:E9"/>
    <mergeCell ref="B10:E10"/>
    <mergeCell ref="B11:E11"/>
    <mergeCell ref="B12:E12"/>
    <mergeCell ref="B13:E13"/>
    <mergeCell ref="B14:E14"/>
  </mergeCells>
  <phoneticPr fontId="51" type="noConversion"/>
  <pageMargins left="0.78740157480314998" right="0.35433070866141703" top="0.511811023622047" bottom="0.11811023622047198" header="0.511811023622047" footer="0.511811023622047"/>
  <pageSetup paperSize="9" orientation="portrait" r:id="rId1"/>
</worksheet>
</file>

<file path=xl/worksheets/sheet17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10"/>
  <dimension ref="A1:G70"/>
  <sheetViews>
    <sheetView workbookViewId="0">
      <selection activeCell="I14" sqref="I14"/>
    </sheetView>
  </sheetViews>
  <sheetFormatPr defaultRowHeight="20.100000000000001" customHeight="1"/>
  <cols>
    <col min="1" max="1" width="4.5" style="1428" customWidth="1"/>
    <col min="2" max="2" width="14.19921875" style="1428" customWidth="1"/>
    <col min="3" max="3" width="17.09765625" style="1443" customWidth="1"/>
    <col min="4" max="6" width="17.3984375" style="1444" customWidth="1"/>
    <col min="7" max="7" width="18.19921875" style="1445" customWidth="1"/>
    <col min="8" max="256" width="9" style="1428"/>
    <col min="257" max="257" width="4.5" style="1428" customWidth="1"/>
    <col min="258" max="258" width="14.19921875" style="1428" customWidth="1"/>
    <col min="259" max="259" width="17.09765625" style="1428" customWidth="1"/>
    <col min="260" max="262" width="17.3984375" style="1428" customWidth="1"/>
    <col min="263" max="263" width="18.19921875" style="1428" customWidth="1"/>
    <col min="264" max="512" width="9" style="1428"/>
    <col min="513" max="513" width="4.5" style="1428" customWidth="1"/>
    <col min="514" max="514" width="14.19921875" style="1428" customWidth="1"/>
    <col min="515" max="515" width="17.09765625" style="1428" customWidth="1"/>
    <col min="516" max="518" width="17.3984375" style="1428" customWidth="1"/>
    <col min="519" max="519" width="18.19921875" style="1428" customWidth="1"/>
    <col min="520" max="768" width="9" style="1428"/>
    <col min="769" max="769" width="4.5" style="1428" customWidth="1"/>
    <col min="770" max="770" width="14.19921875" style="1428" customWidth="1"/>
    <col min="771" max="771" width="17.09765625" style="1428" customWidth="1"/>
    <col min="772" max="774" width="17.3984375" style="1428" customWidth="1"/>
    <col min="775" max="775" width="18.19921875" style="1428" customWidth="1"/>
    <col min="776" max="1024" width="9" style="1428"/>
    <col min="1025" max="1025" width="4.5" style="1428" customWidth="1"/>
    <col min="1026" max="1026" width="14.19921875" style="1428" customWidth="1"/>
    <col min="1027" max="1027" width="17.09765625" style="1428" customWidth="1"/>
    <col min="1028" max="1030" width="17.3984375" style="1428" customWidth="1"/>
    <col min="1031" max="1031" width="18.19921875" style="1428" customWidth="1"/>
    <col min="1032" max="1280" width="9" style="1428"/>
    <col min="1281" max="1281" width="4.5" style="1428" customWidth="1"/>
    <col min="1282" max="1282" width="14.19921875" style="1428" customWidth="1"/>
    <col min="1283" max="1283" width="17.09765625" style="1428" customWidth="1"/>
    <col min="1284" max="1286" width="17.3984375" style="1428" customWidth="1"/>
    <col min="1287" max="1287" width="18.19921875" style="1428" customWidth="1"/>
    <col min="1288" max="1536" width="9" style="1428"/>
    <col min="1537" max="1537" width="4.5" style="1428" customWidth="1"/>
    <col min="1538" max="1538" width="14.19921875" style="1428" customWidth="1"/>
    <col min="1539" max="1539" width="17.09765625" style="1428" customWidth="1"/>
    <col min="1540" max="1542" width="17.3984375" style="1428" customWidth="1"/>
    <col min="1543" max="1543" width="18.19921875" style="1428" customWidth="1"/>
    <col min="1544" max="1792" width="9" style="1428"/>
    <col min="1793" max="1793" width="4.5" style="1428" customWidth="1"/>
    <col min="1794" max="1794" width="14.19921875" style="1428" customWidth="1"/>
    <col min="1795" max="1795" width="17.09765625" style="1428" customWidth="1"/>
    <col min="1796" max="1798" width="17.3984375" style="1428" customWidth="1"/>
    <col min="1799" max="1799" width="18.19921875" style="1428" customWidth="1"/>
    <col min="1800" max="2048" width="9" style="1428"/>
    <col min="2049" max="2049" width="4.5" style="1428" customWidth="1"/>
    <col min="2050" max="2050" width="14.19921875" style="1428" customWidth="1"/>
    <col min="2051" max="2051" width="17.09765625" style="1428" customWidth="1"/>
    <col min="2052" max="2054" width="17.3984375" style="1428" customWidth="1"/>
    <col min="2055" max="2055" width="18.19921875" style="1428" customWidth="1"/>
    <col min="2056" max="2304" width="9" style="1428"/>
    <col min="2305" max="2305" width="4.5" style="1428" customWidth="1"/>
    <col min="2306" max="2306" width="14.19921875" style="1428" customWidth="1"/>
    <col min="2307" max="2307" width="17.09765625" style="1428" customWidth="1"/>
    <col min="2308" max="2310" width="17.3984375" style="1428" customWidth="1"/>
    <col min="2311" max="2311" width="18.19921875" style="1428" customWidth="1"/>
    <col min="2312" max="2560" width="9" style="1428"/>
    <col min="2561" max="2561" width="4.5" style="1428" customWidth="1"/>
    <col min="2562" max="2562" width="14.19921875" style="1428" customWidth="1"/>
    <col min="2563" max="2563" width="17.09765625" style="1428" customWidth="1"/>
    <col min="2564" max="2566" width="17.3984375" style="1428" customWidth="1"/>
    <col min="2567" max="2567" width="18.19921875" style="1428" customWidth="1"/>
    <col min="2568" max="2816" width="9" style="1428"/>
    <col min="2817" max="2817" width="4.5" style="1428" customWidth="1"/>
    <col min="2818" max="2818" width="14.19921875" style="1428" customWidth="1"/>
    <col min="2819" max="2819" width="17.09765625" style="1428" customWidth="1"/>
    <col min="2820" max="2822" width="17.3984375" style="1428" customWidth="1"/>
    <col min="2823" max="2823" width="18.19921875" style="1428" customWidth="1"/>
    <col min="2824" max="3072" width="9" style="1428"/>
    <col min="3073" max="3073" width="4.5" style="1428" customWidth="1"/>
    <col min="3074" max="3074" width="14.19921875" style="1428" customWidth="1"/>
    <col min="3075" max="3075" width="17.09765625" style="1428" customWidth="1"/>
    <col min="3076" max="3078" width="17.3984375" style="1428" customWidth="1"/>
    <col min="3079" max="3079" width="18.19921875" style="1428" customWidth="1"/>
    <col min="3080" max="3328" width="9" style="1428"/>
    <col min="3329" max="3329" width="4.5" style="1428" customWidth="1"/>
    <col min="3330" max="3330" width="14.19921875" style="1428" customWidth="1"/>
    <col min="3331" max="3331" width="17.09765625" style="1428" customWidth="1"/>
    <col min="3332" max="3334" width="17.3984375" style="1428" customWidth="1"/>
    <col min="3335" max="3335" width="18.19921875" style="1428" customWidth="1"/>
    <col min="3336" max="3584" width="9" style="1428"/>
    <col min="3585" max="3585" width="4.5" style="1428" customWidth="1"/>
    <col min="3586" max="3586" width="14.19921875" style="1428" customWidth="1"/>
    <col min="3587" max="3587" width="17.09765625" style="1428" customWidth="1"/>
    <col min="3588" max="3590" width="17.3984375" style="1428" customWidth="1"/>
    <col min="3591" max="3591" width="18.19921875" style="1428" customWidth="1"/>
    <col min="3592" max="3840" width="9" style="1428"/>
    <col min="3841" max="3841" width="4.5" style="1428" customWidth="1"/>
    <col min="3842" max="3842" width="14.19921875" style="1428" customWidth="1"/>
    <col min="3843" max="3843" width="17.09765625" style="1428" customWidth="1"/>
    <col min="3844" max="3846" width="17.3984375" style="1428" customWidth="1"/>
    <col min="3847" max="3847" width="18.19921875" style="1428" customWidth="1"/>
    <col min="3848" max="4096" width="9" style="1428"/>
    <col min="4097" max="4097" width="4.5" style="1428" customWidth="1"/>
    <col min="4098" max="4098" width="14.19921875" style="1428" customWidth="1"/>
    <col min="4099" max="4099" width="17.09765625" style="1428" customWidth="1"/>
    <col min="4100" max="4102" width="17.3984375" style="1428" customWidth="1"/>
    <col min="4103" max="4103" width="18.19921875" style="1428" customWidth="1"/>
    <col min="4104" max="4352" width="9" style="1428"/>
    <col min="4353" max="4353" width="4.5" style="1428" customWidth="1"/>
    <col min="4354" max="4354" width="14.19921875" style="1428" customWidth="1"/>
    <col min="4355" max="4355" width="17.09765625" style="1428" customWidth="1"/>
    <col min="4356" max="4358" width="17.3984375" style="1428" customWidth="1"/>
    <col min="4359" max="4359" width="18.19921875" style="1428" customWidth="1"/>
    <col min="4360" max="4608" width="9" style="1428"/>
    <col min="4609" max="4609" width="4.5" style="1428" customWidth="1"/>
    <col min="4610" max="4610" width="14.19921875" style="1428" customWidth="1"/>
    <col min="4611" max="4611" width="17.09765625" style="1428" customWidth="1"/>
    <col min="4612" max="4614" width="17.3984375" style="1428" customWidth="1"/>
    <col min="4615" max="4615" width="18.19921875" style="1428" customWidth="1"/>
    <col min="4616" max="4864" width="9" style="1428"/>
    <col min="4865" max="4865" width="4.5" style="1428" customWidth="1"/>
    <col min="4866" max="4866" width="14.19921875" style="1428" customWidth="1"/>
    <col min="4867" max="4867" width="17.09765625" style="1428" customWidth="1"/>
    <col min="4868" max="4870" width="17.3984375" style="1428" customWidth="1"/>
    <col min="4871" max="4871" width="18.19921875" style="1428" customWidth="1"/>
    <col min="4872" max="5120" width="9" style="1428"/>
    <col min="5121" max="5121" width="4.5" style="1428" customWidth="1"/>
    <col min="5122" max="5122" width="14.19921875" style="1428" customWidth="1"/>
    <col min="5123" max="5123" width="17.09765625" style="1428" customWidth="1"/>
    <col min="5124" max="5126" width="17.3984375" style="1428" customWidth="1"/>
    <col min="5127" max="5127" width="18.19921875" style="1428" customWidth="1"/>
    <col min="5128" max="5376" width="9" style="1428"/>
    <col min="5377" max="5377" width="4.5" style="1428" customWidth="1"/>
    <col min="5378" max="5378" width="14.19921875" style="1428" customWidth="1"/>
    <col min="5379" max="5379" width="17.09765625" style="1428" customWidth="1"/>
    <col min="5380" max="5382" width="17.3984375" style="1428" customWidth="1"/>
    <col min="5383" max="5383" width="18.19921875" style="1428" customWidth="1"/>
    <col min="5384" max="5632" width="9" style="1428"/>
    <col min="5633" max="5633" width="4.5" style="1428" customWidth="1"/>
    <col min="5634" max="5634" width="14.19921875" style="1428" customWidth="1"/>
    <col min="5635" max="5635" width="17.09765625" style="1428" customWidth="1"/>
    <col min="5636" max="5638" width="17.3984375" style="1428" customWidth="1"/>
    <col min="5639" max="5639" width="18.19921875" style="1428" customWidth="1"/>
    <col min="5640" max="5888" width="9" style="1428"/>
    <col min="5889" max="5889" width="4.5" style="1428" customWidth="1"/>
    <col min="5890" max="5890" width="14.19921875" style="1428" customWidth="1"/>
    <col min="5891" max="5891" width="17.09765625" style="1428" customWidth="1"/>
    <col min="5892" max="5894" width="17.3984375" style="1428" customWidth="1"/>
    <col min="5895" max="5895" width="18.19921875" style="1428" customWidth="1"/>
    <col min="5896" max="6144" width="9" style="1428"/>
    <col min="6145" max="6145" width="4.5" style="1428" customWidth="1"/>
    <col min="6146" max="6146" width="14.19921875" style="1428" customWidth="1"/>
    <col min="6147" max="6147" width="17.09765625" style="1428" customWidth="1"/>
    <col min="6148" max="6150" width="17.3984375" style="1428" customWidth="1"/>
    <col min="6151" max="6151" width="18.19921875" style="1428" customWidth="1"/>
    <col min="6152" max="6400" width="9" style="1428"/>
    <col min="6401" max="6401" width="4.5" style="1428" customWidth="1"/>
    <col min="6402" max="6402" width="14.19921875" style="1428" customWidth="1"/>
    <col min="6403" max="6403" width="17.09765625" style="1428" customWidth="1"/>
    <col min="6404" max="6406" width="17.3984375" style="1428" customWidth="1"/>
    <col min="6407" max="6407" width="18.19921875" style="1428" customWidth="1"/>
    <col min="6408" max="6656" width="9" style="1428"/>
    <col min="6657" max="6657" width="4.5" style="1428" customWidth="1"/>
    <col min="6658" max="6658" width="14.19921875" style="1428" customWidth="1"/>
    <col min="6659" max="6659" width="17.09765625" style="1428" customWidth="1"/>
    <col min="6660" max="6662" width="17.3984375" style="1428" customWidth="1"/>
    <col min="6663" max="6663" width="18.19921875" style="1428" customWidth="1"/>
    <col min="6664" max="6912" width="9" style="1428"/>
    <col min="6913" max="6913" width="4.5" style="1428" customWidth="1"/>
    <col min="6914" max="6914" width="14.19921875" style="1428" customWidth="1"/>
    <col min="6915" max="6915" width="17.09765625" style="1428" customWidth="1"/>
    <col min="6916" max="6918" width="17.3984375" style="1428" customWidth="1"/>
    <col min="6919" max="6919" width="18.19921875" style="1428" customWidth="1"/>
    <col min="6920" max="7168" width="9" style="1428"/>
    <col min="7169" max="7169" width="4.5" style="1428" customWidth="1"/>
    <col min="7170" max="7170" width="14.19921875" style="1428" customWidth="1"/>
    <col min="7171" max="7171" width="17.09765625" style="1428" customWidth="1"/>
    <col min="7172" max="7174" width="17.3984375" style="1428" customWidth="1"/>
    <col min="7175" max="7175" width="18.19921875" style="1428" customWidth="1"/>
    <col min="7176" max="7424" width="9" style="1428"/>
    <col min="7425" max="7425" width="4.5" style="1428" customWidth="1"/>
    <col min="7426" max="7426" width="14.19921875" style="1428" customWidth="1"/>
    <col min="7427" max="7427" width="17.09765625" style="1428" customWidth="1"/>
    <col min="7428" max="7430" width="17.3984375" style="1428" customWidth="1"/>
    <col min="7431" max="7431" width="18.19921875" style="1428" customWidth="1"/>
    <col min="7432" max="7680" width="9" style="1428"/>
    <col min="7681" max="7681" width="4.5" style="1428" customWidth="1"/>
    <col min="7682" max="7682" width="14.19921875" style="1428" customWidth="1"/>
    <col min="7683" max="7683" width="17.09765625" style="1428" customWidth="1"/>
    <col min="7684" max="7686" width="17.3984375" style="1428" customWidth="1"/>
    <col min="7687" max="7687" width="18.19921875" style="1428" customWidth="1"/>
    <col min="7688" max="7936" width="9" style="1428"/>
    <col min="7937" max="7937" width="4.5" style="1428" customWidth="1"/>
    <col min="7938" max="7938" width="14.19921875" style="1428" customWidth="1"/>
    <col min="7939" max="7939" width="17.09765625" style="1428" customWidth="1"/>
    <col min="7940" max="7942" width="17.3984375" style="1428" customWidth="1"/>
    <col min="7943" max="7943" width="18.19921875" style="1428" customWidth="1"/>
    <col min="7944" max="8192" width="9" style="1428"/>
    <col min="8193" max="8193" width="4.5" style="1428" customWidth="1"/>
    <col min="8194" max="8194" width="14.19921875" style="1428" customWidth="1"/>
    <col min="8195" max="8195" width="17.09765625" style="1428" customWidth="1"/>
    <col min="8196" max="8198" width="17.3984375" style="1428" customWidth="1"/>
    <col min="8199" max="8199" width="18.19921875" style="1428" customWidth="1"/>
    <col min="8200" max="8448" width="9" style="1428"/>
    <col min="8449" max="8449" width="4.5" style="1428" customWidth="1"/>
    <col min="8450" max="8450" width="14.19921875" style="1428" customWidth="1"/>
    <col min="8451" max="8451" width="17.09765625" style="1428" customWidth="1"/>
    <col min="8452" max="8454" width="17.3984375" style="1428" customWidth="1"/>
    <col min="8455" max="8455" width="18.19921875" style="1428" customWidth="1"/>
    <col min="8456" max="8704" width="9" style="1428"/>
    <col min="8705" max="8705" width="4.5" style="1428" customWidth="1"/>
    <col min="8706" max="8706" width="14.19921875" style="1428" customWidth="1"/>
    <col min="8707" max="8707" width="17.09765625" style="1428" customWidth="1"/>
    <col min="8708" max="8710" width="17.3984375" style="1428" customWidth="1"/>
    <col min="8711" max="8711" width="18.19921875" style="1428" customWidth="1"/>
    <col min="8712" max="8960" width="9" style="1428"/>
    <col min="8961" max="8961" width="4.5" style="1428" customWidth="1"/>
    <col min="8962" max="8962" width="14.19921875" style="1428" customWidth="1"/>
    <col min="8963" max="8963" width="17.09765625" style="1428" customWidth="1"/>
    <col min="8964" max="8966" width="17.3984375" style="1428" customWidth="1"/>
    <col min="8967" max="8967" width="18.19921875" style="1428" customWidth="1"/>
    <col min="8968" max="9216" width="9" style="1428"/>
    <col min="9217" max="9217" width="4.5" style="1428" customWidth="1"/>
    <col min="9218" max="9218" width="14.19921875" style="1428" customWidth="1"/>
    <col min="9219" max="9219" width="17.09765625" style="1428" customWidth="1"/>
    <col min="9220" max="9222" width="17.3984375" style="1428" customWidth="1"/>
    <col min="9223" max="9223" width="18.19921875" style="1428" customWidth="1"/>
    <col min="9224" max="9472" width="9" style="1428"/>
    <col min="9473" max="9473" width="4.5" style="1428" customWidth="1"/>
    <col min="9474" max="9474" width="14.19921875" style="1428" customWidth="1"/>
    <col min="9475" max="9475" width="17.09765625" style="1428" customWidth="1"/>
    <col min="9476" max="9478" width="17.3984375" style="1428" customWidth="1"/>
    <col min="9479" max="9479" width="18.19921875" style="1428" customWidth="1"/>
    <col min="9480" max="9728" width="9" style="1428"/>
    <col min="9729" max="9729" width="4.5" style="1428" customWidth="1"/>
    <col min="9730" max="9730" width="14.19921875" style="1428" customWidth="1"/>
    <col min="9731" max="9731" width="17.09765625" style="1428" customWidth="1"/>
    <col min="9732" max="9734" width="17.3984375" style="1428" customWidth="1"/>
    <col min="9735" max="9735" width="18.19921875" style="1428" customWidth="1"/>
    <col min="9736" max="9984" width="9" style="1428"/>
    <col min="9985" max="9985" width="4.5" style="1428" customWidth="1"/>
    <col min="9986" max="9986" width="14.19921875" style="1428" customWidth="1"/>
    <col min="9987" max="9987" width="17.09765625" style="1428" customWidth="1"/>
    <col min="9988" max="9990" width="17.3984375" style="1428" customWidth="1"/>
    <col min="9991" max="9991" width="18.19921875" style="1428" customWidth="1"/>
    <col min="9992" max="10240" width="9" style="1428"/>
    <col min="10241" max="10241" width="4.5" style="1428" customWidth="1"/>
    <col min="10242" max="10242" width="14.19921875" style="1428" customWidth="1"/>
    <col min="10243" max="10243" width="17.09765625" style="1428" customWidth="1"/>
    <col min="10244" max="10246" width="17.3984375" style="1428" customWidth="1"/>
    <col min="10247" max="10247" width="18.19921875" style="1428" customWidth="1"/>
    <col min="10248" max="10496" width="9" style="1428"/>
    <col min="10497" max="10497" width="4.5" style="1428" customWidth="1"/>
    <col min="10498" max="10498" width="14.19921875" style="1428" customWidth="1"/>
    <col min="10499" max="10499" width="17.09765625" style="1428" customWidth="1"/>
    <col min="10500" max="10502" width="17.3984375" style="1428" customWidth="1"/>
    <col min="10503" max="10503" width="18.19921875" style="1428" customWidth="1"/>
    <col min="10504" max="10752" width="9" style="1428"/>
    <col min="10753" max="10753" width="4.5" style="1428" customWidth="1"/>
    <col min="10754" max="10754" width="14.19921875" style="1428" customWidth="1"/>
    <col min="10755" max="10755" width="17.09765625" style="1428" customWidth="1"/>
    <col min="10756" max="10758" width="17.3984375" style="1428" customWidth="1"/>
    <col min="10759" max="10759" width="18.19921875" style="1428" customWidth="1"/>
    <col min="10760" max="11008" width="9" style="1428"/>
    <col min="11009" max="11009" width="4.5" style="1428" customWidth="1"/>
    <col min="11010" max="11010" width="14.19921875" style="1428" customWidth="1"/>
    <col min="11011" max="11011" width="17.09765625" style="1428" customWidth="1"/>
    <col min="11012" max="11014" width="17.3984375" style="1428" customWidth="1"/>
    <col min="11015" max="11015" width="18.19921875" style="1428" customWidth="1"/>
    <col min="11016" max="11264" width="9" style="1428"/>
    <col min="11265" max="11265" width="4.5" style="1428" customWidth="1"/>
    <col min="11266" max="11266" width="14.19921875" style="1428" customWidth="1"/>
    <col min="11267" max="11267" width="17.09765625" style="1428" customWidth="1"/>
    <col min="11268" max="11270" width="17.3984375" style="1428" customWidth="1"/>
    <col min="11271" max="11271" width="18.19921875" style="1428" customWidth="1"/>
    <col min="11272" max="11520" width="9" style="1428"/>
    <col min="11521" max="11521" width="4.5" style="1428" customWidth="1"/>
    <col min="11522" max="11522" width="14.19921875" style="1428" customWidth="1"/>
    <col min="11523" max="11523" width="17.09765625" style="1428" customWidth="1"/>
    <col min="11524" max="11526" width="17.3984375" style="1428" customWidth="1"/>
    <col min="11527" max="11527" width="18.19921875" style="1428" customWidth="1"/>
    <col min="11528" max="11776" width="9" style="1428"/>
    <col min="11777" max="11777" width="4.5" style="1428" customWidth="1"/>
    <col min="11778" max="11778" width="14.19921875" style="1428" customWidth="1"/>
    <col min="11779" max="11779" width="17.09765625" style="1428" customWidth="1"/>
    <col min="11780" max="11782" width="17.3984375" style="1428" customWidth="1"/>
    <col min="11783" max="11783" width="18.19921875" style="1428" customWidth="1"/>
    <col min="11784" max="12032" width="9" style="1428"/>
    <col min="12033" max="12033" width="4.5" style="1428" customWidth="1"/>
    <col min="12034" max="12034" width="14.19921875" style="1428" customWidth="1"/>
    <col min="12035" max="12035" width="17.09765625" style="1428" customWidth="1"/>
    <col min="12036" max="12038" width="17.3984375" style="1428" customWidth="1"/>
    <col min="12039" max="12039" width="18.19921875" style="1428" customWidth="1"/>
    <col min="12040" max="12288" width="9" style="1428"/>
    <col min="12289" max="12289" width="4.5" style="1428" customWidth="1"/>
    <col min="12290" max="12290" width="14.19921875" style="1428" customWidth="1"/>
    <col min="12291" max="12291" width="17.09765625" style="1428" customWidth="1"/>
    <col min="12292" max="12294" width="17.3984375" style="1428" customWidth="1"/>
    <col min="12295" max="12295" width="18.19921875" style="1428" customWidth="1"/>
    <col min="12296" max="12544" width="9" style="1428"/>
    <col min="12545" max="12545" width="4.5" style="1428" customWidth="1"/>
    <col min="12546" max="12546" width="14.19921875" style="1428" customWidth="1"/>
    <col min="12547" max="12547" width="17.09765625" style="1428" customWidth="1"/>
    <col min="12548" max="12550" width="17.3984375" style="1428" customWidth="1"/>
    <col min="12551" max="12551" width="18.19921875" style="1428" customWidth="1"/>
    <col min="12552" max="12800" width="9" style="1428"/>
    <col min="12801" max="12801" width="4.5" style="1428" customWidth="1"/>
    <col min="12802" max="12802" width="14.19921875" style="1428" customWidth="1"/>
    <col min="12803" max="12803" width="17.09765625" style="1428" customWidth="1"/>
    <col min="12804" max="12806" width="17.3984375" style="1428" customWidth="1"/>
    <col min="12807" max="12807" width="18.19921875" style="1428" customWidth="1"/>
    <col min="12808" max="13056" width="9" style="1428"/>
    <col min="13057" max="13057" width="4.5" style="1428" customWidth="1"/>
    <col min="13058" max="13058" width="14.19921875" style="1428" customWidth="1"/>
    <col min="13059" max="13059" width="17.09765625" style="1428" customWidth="1"/>
    <col min="13060" max="13062" width="17.3984375" style="1428" customWidth="1"/>
    <col min="13063" max="13063" width="18.19921875" style="1428" customWidth="1"/>
    <col min="13064" max="13312" width="9" style="1428"/>
    <col min="13313" max="13313" width="4.5" style="1428" customWidth="1"/>
    <col min="13314" max="13314" width="14.19921875" style="1428" customWidth="1"/>
    <col min="13315" max="13315" width="17.09765625" style="1428" customWidth="1"/>
    <col min="13316" max="13318" width="17.3984375" style="1428" customWidth="1"/>
    <col min="13319" max="13319" width="18.19921875" style="1428" customWidth="1"/>
    <col min="13320" max="13568" width="9" style="1428"/>
    <col min="13569" max="13569" width="4.5" style="1428" customWidth="1"/>
    <col min="13570" max="13570" width="14.19921875" style="1428" customWidth="1"/>
    <col min="13571" max="13571" width="17.09765625" style="1428" customWidth="1"/>
    <col min="13572" max="13574" width="17.3984375" style="1428" customWidth="1"/>
    <col min="13575" max="13575" width="18.19921875" style="1428" customWidth="1"/>
    <col min="13576" max="13824" width="9" style="1428"/>
    <col min="13825" max="13825" width="4.5" style="1428" customWidth="1"/>
    <col min="13826" max="13826" width="14.19921875" style="1428" customWidth="1"/>
    <col min="13827" max="13827" width="17.09765625" style="1428" customWidth="1"/>
    <col min="13828" max="13830" width="17.3984375" style="1428" customWidth="1"/>
    <col min="13831" max="13831" width="18.19921875" style="1428" customWidth="1"/>
    <col min="13832" max="14080" width="9" style="1428"/>
    <col min="14081" max="14081" width="4.5" style="1428" customWidth="1"/>
    <col min="14082" max="14082" width="14.19921875" style="1428" customWidth="1"/>
    <col min="14083" max="14083" width="17.09765625" style="1428" customWidth="1"/>
    <col min="14084" max="14086" width="17.3984375" style="1428" customWidth="1"/>
    <col min="14087" max="14087" width="18.19921875" style="1428" customWidth="1"/>
    <col min="14088" max="14336" width="9" style="1428"/>
    <col min="14337" max="14337" width="4.5" style="1428" customWidth="1"/>
    <col min="14338" max="14338" width="14.19921875" style="1428" customWidth="1"/>
    <col min="14339" max="14339" width="17.09765625" style="1428" customWidth="1"/>
    <col min="14340" max="14342" width="17.3984375" style="1428" customWidth="1"/>
    <col min="14343" max="14343" width="18.19921875" style="1428" customWidth="1"/>
    <col min="14344" max="14592" width="9" style="1428"/>
    <col min="14593" max="14593" width="4.5" style="1428" customWidth="1"/>
    <col min="14594" max="14594" width="14.19921875" style="1428" customWidth="1"/>
    <col min="14595" max="14595" width="17.09765625" style="1428" customWidth="1"/>
    <col min="14596" max="14598" width="17.3984375" style="1428" customWidth="1"/>
    <col min="14599" max="14599" width="18.19921875" style="1428" customWidth="1"/>
    <col min="14600" max="14848" width="9" style="1428"/>
    <col min="14849" max="14849" width="4.5" style="1428" customWidth="1"/>
    <col min="14850" max="14850" width="14.19921875" style="1428" customWidth="1"/>
    <col min="14851" max="14851" width="17.09765625" style="1428" customWidth="1"/>
    <col min="14852" max="14854" width="17.3984375" style="1428" customWidth="1"/>
    <col min="14855" max="14855" width="18.19921875" style="1428" customWidth="1"/>
    <col min="14856" max="15104" width="9" style="1428"/>
    <col min="15105" max="15105" width="4.5" style="1428" customWidth="1"/>
    <col min="15106" max="15106" width="14.19921875" style="1428" customWidth="1"/>
    <col min="15107" max="15107" width="17.09765625" style="1428" customWidth="1"/>
    <col min="15108" max="15110" width="17.3984375" style="1428" customWidth="1"/>
    <col min="15111" max="15111" width="18.19921875" style="1428" customWidth="1"/>
    <col min="15112" max="15360" width="9" style="1428"/>
    <col min="15361" max="15361" width="4.5" style="1428" customWidth="1"/>
    <col min="15362" max="15362" width="14.19921875" style="1428" customWidth="1"/>
    <col min="15363" max="15363" width="17.09765625" style="1428" customWidth="1"/>
    <col min="15364" max="15366" width="17.3984375" style="1428" customWidth="1"/>
    <col min="15367" max="15367" width="18.19921875" style="1428" customWidth="1"/>
    <col min="15368" max="15616" width="9" style="1428"/>
    <col min="15617" max="15617" width="4.5" style="1428" customWidth="1"/>
    <col min="15618" max="15618" width="14.19921875" style="1428" customWidth="1"/>
    <col min="15619" max="15619" width="17.09765625" style="1428" customWidth="1"/>
    <col min="15620" max="15622" width="17.3984375" style="1428" customWidth="1"/>
    <col min="15623" max="15623" width="18.19921875" style="1428" customWidth="1"/>
    <col min="15624" max="15872" width="9" style="1428"/>
    <col min="15873" max="15873" width="4.5" style="1428" customWidth="1"/>
    <col min="15874" max="15874" width="14.19921875" style="1428" customWidth="1"/>
    <col min="15875" max="15875" width="17.09765625" style="1428" customWidth="1"/>
    <col min="15876" max="15878" width="17.3984375" style="1428" customWidth="1"/>
    <col min="15879" max="15879" width="18.19921875" style="1428" customWidth="1"/>
    <col min="15880" max="16128" width="9" style="1428"/>
    <col min="16129" max="16129" width="4.5" style="1428" customWidth="1"/>
    <col min="16130" max="16130" width="14.19921875" style="1428" customWidth="1"/>
    <col min="16131" max="16131" width="17.09765625" style="1428" customWidth="1"/>
    <col min="16132" max="16134" width="17.3984375" style="1428" customWidth="1"/>
    <col min="16135" max="16135" width="18.19921875" style="1428" customWidth="1"/>
    <col min="16136" max="16384" width="9" style="1428"/>
  </cols>
  <sheetData>
    <row r="1" spans="1:7" ht="25.5" customHeight="1">
      <c r="A1" s="4055" t="s">
        <v>2355</v>
      </c>
      <c r="B1" s="4055"/>
      <c r="C1" s="4055"/>
      <c r="D1" s="4055"/>
      <c r="E1" s="4055"/>
      <c r="F1" s="4055"/>
      <c r="G1" s="4055"/>
    </row>
    <row r="2" spans="1:7" s="1430" customFormat="1" ht="20.100000000000001" customHeight="1">
      <c r="A2" s="4056" t="s">
        <v>2356</v>
      </c>
      <c r="B2" s="4056"/>
      <c r="C2" s="1429" t="str">
        <f>'(二)企业基本情况和审核事项说明'!B15</f>
        <v>2016-01-01</v>
      </c>
      <c r="D2" s="4057" t="s">
        <v>2357</v>
      </c>
      <c r="E2" s="4057"/>
      <c r="F2" s="4057"/>
      <c r="G2" s="4057"/>
    </row>
    <row r="3" spans="1:7" s="1430" customFormat="1" ht="20.100000000000001" customHeight="1">
      <c r="A3" s="4056" t="s">
        <v>2358</v>
      </c>
      <c r="B3" s="4056"/>
      <c r="C3" s="1431" t="str">
        <f>'(二)企业基本情况和审核事项说明'!D15</f>
        <v>2016-12-31</v>
      </c>
      <c r="D3" s="4057" t="s">
        <v>2359</v>
      </c>
      <c r="E3" s="4057"/>
      <c r="F3" s="4057"/>
      <c r="G3" s="4057"/>
    </row>
    <row r="4" spans="1:7" s="1430" customFormat="1" ht="20.100000000000001" customHeight="1">
      <c r="A4" s="4058" t="s">
        <v>1633</v>
      </c>
      <c r="B4" s="4058"/>
      <c r="C4" s="4058"/>
      <c r="D4" s="4058"/>
      <c r="E4" s="4058"/>
      <c r="F4" s="4058"/>
      <c r="G4" s="4058"/>
    </row>
    <row r="5" spans="1:7" s="1430" customFormat="1" ht="19.5" customHeight="1">
      <c r="A5" s="1371" t="s">
        <v>2360</v>
      </c>
      <c r="B5" s="1432" t="s">
        <v>177</v>
      </c>
      <c r="C5" s="1433" t="s">
        <v>666</v>
      </c>
      <c r="D5" s="1393" t="s">
        <v>1629</v>
      </c>
      <c r="E5" s="1393" t="s">
        <v>27</v>
      </c>
      <c r="F5" s="1393" t="s">
        <v>2361</v>
      </c>
      <c r="G5" s="1382" t="s">
        <v>2362</v>
      </c>
    </row>
    <row r="6" spans="1:7" s="1430" customFormat="1" ht="20.100000000000001" customHeight="1">
      <c r="A6" s="1371">
        <v>1</v>
      </c>
      <c r="B6" s="4052" t="s">
        <v>12</v>
      </c>
      <c r="C6" s="1434" t="s">
        <v>708</v>
      </c>
      <c r="D6" s="1435">
        <f>企业各税审核汇总表!D6</f>
        <v>0</v>
      </c>
      <c r="E6" s="1435">
        <f>企业各税审核汇总表!E6</f>
        <v>0</v>
      </c>
      <c r="F6" s="1435">
        <f>企业各税审核汇总表!F6</f>
        <v>0</v>
      </c>
      <c r="G6" s="1435"/>
    </row>
    <row r="7" spans="1:7" s="1430" customFormat="1" ht="20.100000000000001" customHeight="1">
      <c r="A7" s="1371">
        <v>2</v>
      </c>
      <c r="B7" s="4052"/>
      <c r="C7" s="1434" t="s">
        <v>665</v>
      </c>
      <c r="D7" s="1435">
        <f>企业各税审核汇总表!D7</f>
        <v>0</v>
      </c>
      <c r="E7" s="1435">
        <f>企业各税审核汇总表!E7</f>
        <v>0</v>
      </c>
      <c r="F7" s="1435">
        <f>企业各税审核汇总表!F7</f>
        <v>0</v>
      </c>
      <c r="G7" s="1384"/>
    </row>
    <row r="8" spans="1:7" s="1430" customFormat="1" ht="20.100000000000001" customHeight="1">
      <c r="A8" s="1371">
        <v>3</v>
      </c>
      <c r="B8" s="4052"/>
      <c r="C8" s="1434" t="s">
        <v>709</v>
      </c>
      <c r="D8" s="1435">
        <f>企业各税审核汇总表!D8</f>
        <v>0</v>
      </c>
      <c r="E8" s="1435">
        <f>企业各税审核汇总表!E8</f>
        <v>0</v>
      </c>
      <c r="F8" s="1435">
        <f>企业各税审核汇总表!F8</f>
        <v>0</v>
      </c>
      <c r="G8" s="1384"/>
    </row>
    <row r="9" spans="1:7" s="1430" customFormat="1" ht="20.100000000000001" customHeight="1">
      <c r="A9" s="1371">
        <v>4</v>
      </c>
      <c r="B9" s="4052"/>
      <c r="C9" s="1434" t="s">
        <v>710</v>
      </c>
      <c r="D9" s="1435">
        <f>企业各税审核汇总表!D9</f>
        <v>0</v>
      </c>
      <c r="E9" s="1435">
        <f>企业各税审核汇总表!E9</f>
        <v>0</v>
      </c>
      <c r="F9" s="1435">
        <f>企业各税审核汇总表!F9</f>
        <v>0</v>
      </c>
      <c r="G9" s="1384"/>
    </row>
    <row r="10" spans="1:7" s="1430" customFormat="1" ht="20.100000000000001" customHeight="1">
      <c r="A10" s="1371">
        <v>5</v>
      </c>
      <c r="B10" s="4052" t="s">
        <v>224</v>
      </c>
      <c r="C10" s="1434" t="s">
        <v>708</v>
      </c>
      <c r="D10" s="1435">
        <f>企业各税审核汇总表!D10</f>
        <v>0</v>
      </c>
      <c r="E10" s="1435">
        <f>企业各税审核汇总表!E10</f>
        <v>0</v>
      </c>
      <c r="F10" s="1435">
        <f>企业各税审核汇总表!F10</f>
        <v>0</v>
      </c>
      <c r="G10" s="1436"/>
    </row>
    <row r="11" spans="1:7" s="1430" customFormat="1" ht="20.100000000000001" customHeight="1">
      <c r="A11" s="1371">
        <v>6</v>
      </c>
      <c r="B11" s="4052"/>
      <c r="C11" s="1434" t="s">
        <v>665</v>
      </c>
      <c r="D11" s="1435">
        <f>企业各税审核汇总表!D11</f>
        <v>0</v>
      </c>
      <c r="E11" s="1435">
        <f>企业各税审核汇总表!E11</f>
        <v>0</v>
      </c>
      <c r="F11" s="1435">
        <f>企业各税审核汇总表!F11</f>
        <v>0</v>
      </c>
      <c r="G11" s="1437"/>
    </row>
    <row r="12" spans="1:7" s="1430" customFormat="1" ht="20.100000000000001" customHeight="1">
      <c r="A12" s="1371">
        <v>7</v>
      </c>
      <c r="B12" s="4052"/>
      <c r="C12" s="1434" t="s">
        <v>709</v>
      </c>
      <c r="D12" s="1435">
        <f>企业各税审核汇总表!D12</f>
        <v>0</v>
      </c>
      <c r="E12" s="1435">
        <f>企业各税审核汇总表!E12</f>
        <v>0</v>
      </c>
      <c r="F12" s="1435">
        <f>企业各税审核汇总表!F12</f>
        <v>0</v>
      </c>
      <c r="G12" s="1384"/>
    </row>
    <row r="13" spans="1:7" s="1430" customFormat="1" ht="20.100000000000001" customHeight="1">
      <c r="A13" s="1371">
        <v>8</v>
      </c>
      <c r="B13" s="4052"/>
      <c r="C13" s="1434" t="s">
        <v>710</v>
      </c>
      <c r="D13" s="1435">
        <f>企业各税审核汇总表!D13</f>
        <v>0</v>
      </c>
      <c r="E13" s="1435">
        <f>企业各税审核汇总表!E13</f>
        <v>0</v>
      </c>
      <c r="F13" s="1435">
        <f>企业各税审核汇总表!F13</f>
        <v>0</v>
      </c>
      <c r="G13" s="1384"/>
    </row>
    <row r="14" spans="1:7" s="1430" customFormat="1" ht="20.100000000000001" customHeight="1">
      <c r="A14" s="1371">
        <v>9</v>
      </c>
      <c r="B14" s="4052" t="s">
        <v>1271</v>
      </c>
      <c r="C14" s="1434" t="s">
        <v>708</v>
      </c>
      <c r="D14" s="1435">
        <f>企业各税审核汇总表!D14</f>
        <v>0</v>
      </c>
      <c r="E14" s="1435">
        <f>企业各税审核汇总表!E14</f>
        <v>0</v>
      </c>
      <c r="F14" s="1435">
        <f>企业各税审核汇总表!F14</f>
        <v>0</v>
      </c>
      <c r="G14" s="1384"/>
    </row>
    <row r="15" spans="1:7" s="1430" customFormat="1" ht="20.100000000000001" customHeight="1">
      <c r="A15" s="1371">
        <v>10</v>
      </c>
      <c r="B15" s="4052"/>
      <c r="C15" s="1434" t="s">
        <v>665</v>
      </c>
      <c r="D15" s="1435">
        <f>企业各税审核汇总表!D15</f>
        <v>0</v>
      </c>
      <c r="E15" s="1435">
        <f>企业各税审核汇总表!E15</f>
        <v>0</v>
      </c>
      <c r="F15" s="1435">
        <f>企业各税审核汇总表!F15</f>
        <v>0</v>
      </c>
      <c r="G15" s="1437"/>
    </row>
    <row r="16" spans="1:7" s="1430" customFormat="1" ht="20.100000000000001" customHeight="1">
      <c r="A16" s="1371">
        <v>11</v>
      </c>
      <c r="B16" s="4052"/>
      <c r="C16" s="1434" t="s">
        <v>709</v>
      </c>
      <c r="D16" s="1435">
        <f>企业各税审核汇总表!D16</f>
        <v>0</v>
      </c>
      <c r="E16" s="1435">
        <f>企业各税审核汇总表!E16</f>
        <v>0</v>
      </c>
      <c r="F16" s="1435">
        <f>企业各税审核汇总表!F16</f>
        <v>0</v>
      </c>
      <c r="G16" s="1436"/>
    </row>
    <row r="17" spans="1:7" s="1430" customFormat="1" ht="20.100000000000001" customHeight="1">
      <c r="A17" s="1371">
        <v>12</v>
      </c>
      <c r="B17" s="4052"/>
      <c r="C17" s="1434" t="s">
        <v>710</v>
      </c>
      <c r="D17" s="1435">
        <f>企业各税审核汇总表!D17</f>
        <v>0</v>
      </c>
      <c r="E17" s="1435">
        <f>企业各税审核汇总表!E17</f>
        <v>0</v>
      </c>
      <c r="F17" s="1435">
        <f>企业各税审核汇总表!F17</f>
        <v>0</v>
      </c>
      <c r="G17" s="1437"/>
    </row>
    <row r="18" spans="1:7" s="1430" customFormat="1" ht="20.100000000000001" customHeight="1">
      <c r="A18" s="1371">
        <v>13</v>
      </c>
      <c r="B18" s="4052" t="s">
        <v>711</v>
      </c>
      <c r="C18" s="1434" t="s">
        <v>708</v>
      </c>
      <c r="D18" s="1435">
        <f>企业各税审核汇总表!D18</f>
        <v>0</v>
      </c>
      <c r="E18" s="1435">
        <f>企业各税审核汇总表!E18</f>
        <v>0</v>
      </c>
      <c r="F18" s="1435">
        <f>企业各税审核汇总表!F18</f>
        <v>0</v>
      </c>
      <c r="G18" s="1384"/>
    </row>
    <row r="19" spans="1:7" s="1430" customFormat="1" ht="20.100000000000001" customHeight="1">
      <c r="A19" s="1371">
        <v>14</v>
      </c>
      <c r="B19" s="4052"/>
      <c r="C19" s="1434" t="s">
        <v>665</v>
      </c>
      <c r="D19" s="1435">
        <f>企业各税审核汇总表!D19</f>
        <v>0</v>
      </c>
      <c r="E19" s="1435">
        <f>企业各税审核汇总表!E19</f>
        <v>0</v>
      </c>
      <c r="F19" s="1435">
        <f>企业各税审核汇总表!F19</f>
        <v>0</v>
      </c>
      <c r="G19" s="1437"/>
    </row>
    <row r="20" spans="1:7" s="1430" customFormat="1" ht="20.100000000000001" customHeight="1">
      <c r="A20" s="1371">
        <v>15</v>
      </c>
      <c r="B20" s="4052"/>
      <c r="C20" s="1434" t="s">
        <v>709</v>
      </c>
      <c r="D20" s="1435">
        <f>企业各税审核汇总表!D20</f>
        <v>0</v>
      </c>
      <c r="E20" s="1435">
        <f>企业各税审核汇总表!E20</f>
        <v>0</v>
      </c>
      <c r="F20" s="1435">
        <f>企业各税审核汇总表!F20</f>
        <v>0</v>
      </c>
      <c r="G20" s="1437"/>
    </row>
    <row r="21" spans="1:7" s="1430" customFormat="1" ht="20.100000000000001" customHeight="1">
      <c r="A21" s="1371">
        <v>16</v>
      </c>
      <c r="B21" s="4052"/>
      <c r="C21" s="1434" t="s">
        <v>710</v>
      </c>
      <c r="D21" s="1435">
        <f>企业各税审核汇总表!D21</f>
        <v>0</v>
      </c>
      <c r="E21" s="1435">
        <f>企业各税审核汇总表!E21</f>
        <v>0</v>
      </c>
      <c r="F21" s="1435">
        <f>企业各税审核汇总表!F21</f>
        <v>0</v>
      </c>
      <c r="G21" s="1437"/>
    </row>
    <row r="22" spans="1:7" s="1430" customFormat="1" ht="20.100000000000001" customHeight="1">
      <c r="A22" s="1371">
        <v>17</v>
      </c>
      <c r="B22" s="4052" t="s">
        <v>1273</v>
      </c>
      <c r="C22" s="1434" t="s">
        <v>708</v>
      </c>
      <c r="D22" s="1435">
        <f>企业各税审核汇总表!D22</f>
        <v>0</v>
      </c>
      <c r="E22" s="1435">
        <f>企业各税审核汇总表!E22</f>
        <v>0</v>
      </c>
      <c r="F22" s="1435">
        <f>企业各税审核汇总表!F22</f>
        <v>0</v>
      </c>
      <c r="G22" s="1437"/>
    </row>
    <row r="23" spans="1:7" s="1430" customFormat="1" ht="20.100000000000001" customHeight="1">
      <c r="A23" s="1371">
        <v>18</v>
      </c>
      <c r="B23" s="4052"/>
      <c r="C23" s="1434" t="s">
        <v>665</v>
      </c>
      <c r="D23" s="1435">
        <f>企业各税审核汇总表!D23</f>
        <v>0</v>
      </c>
      <c r="E23" s="1435">
        <f>企业各税审核汇总表!E23</f>
        <v>0</v>
      </c>
      <c r="F23" s="1435">
        <f>企业各税审核汇总表!F23</f>
        <v>0</v>
      </c>
      <c r="G23" s="1437"/>
    </row>
    <row r="24" spans="1:7" s="1430" customFormat="1" ht="20.100000000000001" customHeight="1">
      <c r="A24" s="1371">
        <v>19</v>
      </c>
      <c r="B24" s="4052"/>
      <c r="C24" s="1434" t="s">
        <v>709</v>
      </c>
      <c r="D24" s="1435">
        <f>企业各税审核汇总表!D24</f>
        <v>0</v>
      </c>
      <c r="E24" s="1435">
        <f>企业各税审核汇总表!E24</f>
        <v>0</v>
      </c>
      <c r="F24" s="1435">
        <f>企业各税审核汇总表!F24</f>
        <v>0</v>
      </c>
      <c r="G24" s="1384"/>
    </row>
    <row r="25" spans="1:7" s="1430" customFormat="1" ht="20.100000000000001" customHeight="1">
      <c r="A25" s="1371">
        <v>20</v>
      </c>
      <c r="B25" s="4052"/>
      <c r="C25" s="1434" t="s">
        <v>710</v>
      </c>
      <c r="D25" s="1435">
        <f>企业各税审核汇总表!D25</f>
        <v>0</v>
      </c>
      <c r="E25" s="1435">
        <f>企业各税审核汇总表!E25</f>
        <v>0</v>
      </c>
      <c r="F25" s="1435">
        <f>企业各税审核汇总表!F25</f>
        <v>0</v>
      </c>
      <c r="G25" s="1436"/>
    </row>
    <row r="26" spans="1:7" s="1430" customFormat="1" ht="20.100000000000001" customHeight="1">
      <c r="A26" s="1371">
        <v>21</v>
      </c>
      <c r="B26" s="4052" t="s">
        <v>1274</v>
      </c>
      <c r="C26" s="1434" t="s">
        <v>708</v>
      </c>
      <c r="D26" s="1435">
        <f>企业各税审核汇总表!D26</f>
        <v>0</v>
      </c>
      <c r="E26" s="1435">
        <f>企业各税审核汇总表!E26</f>
        <v>0</v>
      </c>
      <c r="F26" s="1435">
        <f>企业各税审核汇总表!F26</f>
        <v>0</v>
      </c>
      <c r="G26" s="1437"/>
    </row>
    <row r="27" spans="1:7" s="1430" customFormat="1" ht="20.100000000000001" customHeight="1">
      <c r="A27" s="1371">
        <v>22</v>
      </c>
      <c r="B27" s="4052"/>
      <c r="C27" s="1434" t="s">
        <v>665</v>
      </c>
      <c r="D27" s="1435">
        <f>企业各税审核汇总表!D27</f>
        <v>0</v>
      </c>
      <c r="E27" s="1435">
        <f>企业各税审核汇总表!E27</f>
        <v>0</v>
      </c>
      <c r="F27" s="1435">
        <f>企业各税审核汇总表!F27</f>
        <v>0</v>
      </c>
      <c r="G27" s="1384"/>
    </row>
    <row r="28" spans="1:7" s="1430" customFormat="1" ht="20.100000000000001" customHeight="1">
      <c r="A28" s="1371">
        <v>23</v>
      </c>
      <c r="B28" s="4052"/>
      <c r="C28" s="1434" t="s">
        <v>709</v>
      </c>
      <c r="D28" s="1435">
        <f>企业各税审核汇总表!D28</f>
        <v>0</v>
      </c>
      <c r="E28" s="1435">
        <f>企业各税审核汇总表!E28</f>
        <v>0</v>
      </c>
      <c r="F28" s="1435">
        <f>企业各税审核汇总表!F28</f>
        <v>0</v>
      </c>
      <c r="G28" s="1384"/>
    </row>
    <row r="29" spans="1:7" s="1430" customFormat="1" ht="20.100000000000001" customHeight="1">
      <c r="A29" s="1371">
        <v>24</v>
      </c>
      <c r="B29" s="4052"/>
      <c r="C29" s="1434" t="s">
        <v>710</v>
      </c>
      <c r="D29" s="1435">
        <f>企业各税审核汇总表!D29</f>
        <v>0</v>
      </c>
      <c r="E29" s="1435">
        <f>企业各税审核汇总表!E29</f>
        <v>0</v>
      </c>
      <c r="F29" s="1435">
        <f>企业各税审核汇总表!F29</f>
        <v>0</v>
      </c>
      <c r="G29" s="1384"/>
    </row>
    <row r="30" spans="1:7" s="1430" customFormat="1" ht="20.100000000000001" customHeight="1">
      <c r="A30" s="1371">
        <v>25</v>
      </c>
      <c r="B30" s="4052" t="s">
        <v>226</v>
      </c>
      <c r="C30" s="1434" t="s">
        <v>708</v>
      </c>
      <c r="D30" s="1435">
        <f>企业各税审核汇总表!D30</f>
        <v>0</v>
      </c>
      <c r="E30" s="1435">
        <f>企业各税审核汇总表!E30</f>
        <v>0</v>
      </c>
      <c r="F30" s="1435">
        <f>企业各税审核汇总表!F30</f>
        <v>0</v>
      </c>
      <c r="G30" s="1384"/>
    </row>
    <row r="31" spans="1:7" s="1430" customFormat="1" ht="20.100000000000001" customHeight="1">
      <c r="A31" s="1371">
        <v>26</v>
      </c>
      <c r="B31" s="4052"/>
      <c r="C31" s="1434" t="s">
        <v>665</v>
      </c>
      <c r="D31" s="1435">
        <f>企业各税审核汇总表!D31</f>
        <v>0</v>
      </c>
      <c r="E31" s="1435">
        <f>企业各税审核汇总表!E31</f>
        <v>0</v>
      </c>
      <c r="F31" s="1435">
        <f>企业各税审核汇总表!F31</f>
        <v>0</v>
      </c>
      <c r="G31" s="1384"/>
    </row>
    <row r="32" spans="1:7" s="1430" customFormat="1" ht="20.100000000000001" customHeight="1">
      <c r="A32" s="1371">
        <v>27</v>
      </c>
      <c r="B32" s="4052"/>
      <c r="C32" s="1434" t="s">
        <v>709</v>
      </c>
      <c r="D32" s="1435">
        <f>企业各税审核汇总表!D32</f>
        <v>0</v>
      </c>
      <c r="E32" s="1435">
        <f>企业各税审核汇总表!E32</f>
        <v>0</v>
      </c>
      <c r="F32" s="1435">
        <f>企业各税审核汇总表!F32</f>
        <v>0</v>
      </c>
      <c r="G32" s="1384"/>
    </row>
    <row r="33" spans="1:7" s="1430" customFormat="1" ht="20.100000000000001" customHeight="1">
      <c r="A33" s="1371">
        <v>28</v>
      </c>
      <c r="B33" s="4052"/>
      <c r="C33" s="1434" t="s">
        <v>710</v>
      </c>
      <c r="D33" s="1435">
        <f>企业各税审核汇总表!D33</f>
        <v>0</v>
      </c>
      <c r="E33" s="1435">
        <f>企业各税审核汇总表!E33</f>
        <v>0</v>
      </c>
      <c r="F33" s="1435">
        <f>企业各税审核汇总表!F33</f>
        <v>0</v>
      </c>
      <c r="G33" s="1384"/>
    </row>
    <row r="34" spans="1:7" s="1430" customFormat="1" ht="20.100000000000001" customHeight="1">
      <c r="A34" s="1371">
        <v>29</v>
      </c>
      <c r="B34" s="4052" t="s">
        <v>230</v>
      </c>
      <c r="C34" s="1434" t="s">
        <v>708</v>
      </c>
      <c r="D34" s="1435">
        <f>企业各税审核汇总表!D34</f>
        <v>0</v>
      </c>
      <c r="E34" s="1435">
        <f>企业各税审核汇总表!E34</f>
        <v>0</v>
      </c>
      <c r="F34" s="1435">
        <f>企业各税审核汇总表!F34</f>
        <v>0</v>
      </c>
      <c r="G34" s="1436"/>
    </row>
    <row r="35" spans="1:7" s="1430" customFormat="1" ht="20.100000000000001" customHeight="1">
      <c r="A35" s="1371">
        <v>30</v>
      </c>
      <c r="B35" s="4052"/>
      <c r="C35" s="1434" t="s">
        <v>665</v>
      </c>
      <c r="D35" s="1435">
        <f>企业各税审核汇总表!D35</f>
        <v>0</v>
      </c>
      <c r="E35" s="1435">
        <f>企业各税审核汇总表!E35</f>
        <v>0</v>
      </c>
      <c r="F35" s="1435">
        <f>企业各税审核汇总表!F35</f>
        <v>0</v>
      </c>
      <c r="G35" s="1384"/>
    </row>
    <row r="36" spans="1:7" s="1430" customFormat="1" ht="20.100000000000001" customHeight="1">
      <c r="A36" s="1371">
        <v>31</v>
      </c>
      <c r="B36" s="4052"/>
      <c r="C36" s="1434" t="s">
        <v>709</v>
      </c>
      <c r="D36" s="1435">
        <f>企业各税审核汇总表!D36</f>
        <v>0</v>
      </c>
      <c r="E36" s="1435">
        <f>企业各税审核汇总表!E36</f>
        <v>0</v>
      </c>
      <c r="F36" s="1435">
        <f>企业各税审核汇总表!F36</f>
        <v>0</v>
      </c>
      <c r="G36" s="1384"/>
    </row>
    <row r="37" spans="1:7" s="1430" customFormat="1" ht="20.100000000000001" customHeight="1">
      <c r="A37" s="1371">
        <v>32</v>
      </c>
      <c r="B37" s="4052"/>
      <c r="C37" s="1434" t="s">
        <v>710</v>
      </c>
      <c r="D37" s="1435">
        <f>企业各税审核汇总表!D37</f>
        <v>0</v>
      </c>
      <c r="E37" s="1435">
        <f>企业各税审核汇总表!E37</f>
        <v>0</v>
      </c>
      <c r="F37" s="1435">
        <f>企业各税审核汇总表!F37</f>
        <v>0</v>
      </c>
      <c r="G37" s="1384"/>
    </row>
    <row r="38" spans="1:7" s="1430" customFormat="1" ht="20.100000000000001" customHeight="1">
      <c r="A38" s="1371">
        <v>33</v>
      </c>
      <c r="B38" s="4052" t="s">
        <v>1278</v>
      </c>
      <c r="C38" s="1434" t="s">
        <v>708</v>
      </c>
      <c r="D38" s="1435">
        <f>企业各税审核汇总表!D38</f>
        <v>0</v>
      </c>
      <c r="E38" s="1435">
        <f>企业各税审核汇总表!E38</f>
        <v>0</v>
      </c>
      <c r="F38" s="1435">
        <f>企业各税审核汇总表!F38</f>
        <v>0</v>
      </c>
      <c r="G38" s="1384"/>
    </row>
    <row r="39" spans="1:7" s="1430" customFormat="1" ht="20.100000000000001" customHeight="1">
      <c r="A39" s="1371">
        <v>34</v>
      </c>
      <c r="B39" s="4052"/>
      <c r="C39" s="1434" t="s">
        <v>665</v>
      </c>
      <c r="D39" s="1435">
        <f>企业各税审核汇总表!D39</f>
        <v>0</v>
      </c>
      <c r="E39" s="1435">
        <f>企业各税审核汇总表!E39</f>
        <v>0</v>
      </c>
      <c r="F39" s="1435">
        <f>企业各税审核汇总表!F39</f>
        <v>0</v>
      </c>
      <c r="G39" s="1436"/>
    </row>
    <row r="40" spans="1:7" s="1430" customFormat="1" ht="20.100000000000001" customHeight="1">
      <c r="A40" s="1371">
        <v>35</v>
      </c>
      <c r="B40" s="4052"/>
      <c r="C40" s="1434" t="s">
        <v>709</v>
      </c>
      <c r="D40" s="1435">
        <f>企业各税审核汇总表!D40</f>
        <v>0</v>
      </c>
      <c r="E40" s="1435">
        <f>企业各税审核汇总表!E40</f>
        <v>0</v>
      </c>
      <c r="F40" s="1435">
        <f>企业各税审核汇总表!F40</f>
        <v>0</v>
      </c>
      <c r="G40" s="1436"/>
    </row>
    <row r="41" spans="1:7" s="1430" customFormat="1" ht="20.100000000000001" customHeight="1">
      <c r="A41" s="1371">
        <v>36</v>
      </c>
      <c r="B41" s="4052"/>
      <c r="C41" s="1434" t="s">
        <v>710</v>
      </c>
      <c r="D41" s="1435">
        <f>企业各税审核汇总表!D41</f>
        <v>0</v>
      </c>
      <c r="E41" s="1435">
        <f>企业各税审核汇总表!E41</f>
        <v>0</v>
      </c>
      <c r="F41" s="1435">
        <f>企业各税审核汇总表!F41</f>
        <v>0</v>
      </c>
      <c r="G41" s="1384"/>
    </row>
    <row r="42" spans="1:7" s="1430" customFormat="1" ht="20.100000000000001" customHeight="1">
      <c r="A42" s="1371">
        <v>37</v>
      </c>
      <c r="B42" s="4052" t="s">
        <v>2363</v>
      </c>
      <c r="C42" s="1434" t="s">
        <v>708</v>
      </c>
      <c r="D42" s="1435">
        <f>企业各税审核汇总表!D42</f>
        <v>0</v>
      </c>
      <c r="E42" s="1435">
        <f>企业各税审核汇总表!E42</f>
        <v>0</v>
      </c>
      <c r="F42" s="1435">
        <f>企业各税审核汇总表!F42</f>
        <v>0</v>
      </c>
      <c r="G42" s="1384"/>
    </row>
    <row r="43" spans="1:7" s="1430" customFormat="1" ht="20.100000000000001" customHeight="1">
      <c r="A43" s="1371">
        <v>38</v>
      </c>
      <c r="B43" s="4052"/>
      <c r="C43" s="1434" t="s">
        <v>665</v>
      </c>
      <c r="D43" s="1435">
        <f>企业各税审核汇总表!D43</f>
        <v>0</v>
      </c>
      <c r="E43" s="1435">
        <f>企业各税审核汇总表!E43</f>
        <v>0</v>
      </c>
      <c r="F43" s="1435">
        <f>企业各税审核汇总表!F43</f>
        <v>0</v>
      </c>
      <c r="G43" s="1384"/>
    </row>
    <row r="44" spans="1:7" s="1430" customFormat="1" ht="20.100000000000001" customHeight="1">
      <c r="A44" s="1371">
        <v>39</v>
      </c>
      <c r="B44" s="4052"/>
      <c r="C44" s="1434" t="s">
        <v>709</v>
      </c>
      <c r="D44" s="1435">
        <f>企业各税审核汇总表!D44</f>
        <v>0</v>
      </c>
      <c r="E44" s="1435">
        <f>企业各税审核汇总表!E44</f>
        <v>0</v>
      </c>
      <c r="F44" s="1435">
        <f>企业各税审核汇总表!F44</f>
        <v>0</v>
      </c>
      <c r="G44" s="1437"/>
    </row>
    <row r="45" spans="1:7" s="1430" customFormat="1" ht="20.100000000000001" customHeight="1">
      <c r="A45" s="1371">
        <v>40</v>
      </c>
      <c r="B45" s="4052"/>
      <c r="C45" s="1434" t="s">
        <v>710</v>
      </c>
      <c r="D45" s="1435">
        <f>企业各税审核汇总表!D45</f>
        <v>0</v>
      </c>
      <c r="E45" s="1435">
        <f>企业各税审核汇总表!E45</f>
        <v>0</v>
      </c>
      <c r="F45" s="1435">
        <f>企业各税审核汇总表!F45</f>
        <v>0</v>
      </c>
      <c r="G45" s="1384"/>
    </row>
    <row r="46" spans="1:7" s="1430" customFormat="1" ht="20.100000000000001" customHeight="1">
      <c r="A46" s="1371">
        <v>41</v>
      </c>
      <c r="B46" s="4052" t="s">
        <v>184</v>
      </c>
      <c r="C46" s="1434" t="s">
        <v>708</v>
      </c>
      <c r="D46" s="1435">
        <f>企业各税审核汇总表!D46</f>
        <v>0</v>
      </c>
      <c r="E46" s="1435">
        <f>企业各税审核汇总表!E46</f>
        <v>0</v>
      </c>
      <c r="F46" s="1435">
        <f>企业各税审核汇总表!F46</f>
        <v>0</v>
      </c>
      <c r="G46" s="1436"/>
    </row>
    <row r="47" spans="1:7" s="1430" customFormat="1" ht="20.100000000000001" customHeight="1">
      <c r="A47" s="1371">
        <v>42</v>
      </c>
      <c r="B47" s="4052"/>
      <c r="C47" s="1434" t="s">
        <v>665</v>
      </c>
      <c r="D47" s="1435">
        <f>企业各税审核汇总表!D47</f>
        <v>0</v>
      </c>
      <c r="E47" s="1435">
        <f>企业各税审核汇总表!E47</f>
        <v>0</v>
      </c>
      <c r="F47" s="1435">
        <f>企业各税审核汇总表!F47</f>
        <v>0</v>
      </c>
      <c r="G47" s="1384"/>
    </row>
    <row r="48" spans="1:7" s="1430" customFormat="1" ht="20.100000000000001" customHeight="1">
      <c r="A48" s="1371">
        <v>43</v>
      </c>
      <c r="B48" s="4052"/>
      <c r="C48" s="1434" t="s">
        <v>709</v>
      </c>
      <c r="D48" s="1435">
        <f>企业各税审核汇总表!D48</f>
        <v>0</v>
      </c>
      <c r="E48" s="1435">
        <f>企业各税审核汇总表!E48</f>
        <v>0</v>
      </c>
      <c r="F48" s="1435">
        <f>企业各税审核汇总表!F48</f>
        <v>0</v>
      </c>
      <c r="G48" s="1437"/>
    </row>
    <row r="49" spans="1:7" s="1430" customFormat="1" ht="20.100000000000001" customHeight="1">
      <c r="A49" s="1371">
        <v>44</v>
      </c>
      <c r="B49" s="4052"/>
      <c r="C49" s="1434" t="s">
        <v>710</v>
      </c>
      <c r="D49" s="1435">
        <f>企业各税审核汇总表!D49</f>
        <v>0</v>
      </c>
      <c r="E49" s="1435">
        <f>企业各税审核汇总表!E49</f>
        <v>0</v>
      </c>
      <c r="F49" s="1435">
        <f>企业各税审核汇总表!F49</f>
        <v>0</v>
      </c>
      <c r="G49" s="1437"/>
    </row>
    <row r="50" spans="1:7" s="1430" customFormat="1" ht="20.100000000000001" customHeight="1">
      <c r="A50" s="1371">
        <v>45</v>
      </c>
      <c r="B50" s="4052" t="s">
        <v>1280</v>
      </c>
      <c r="C50" s="1434" t="s">
        <v>708</v>
      </c>
      <c r="D50" s="1435">
        <f>企业各税审核汇总表!D50</f>
        <v>0</v>
      </c>
      <c r="E50" s="1435">
        <f>企业各税审核汇总表!E50</f>
        <v>0</v>
      </c>
      <c r="F50" s="1435">
        <f>企业各税审核汇总表!F50</f>
        <v>0</v>
      </c>
      <c r="G50" s="1437"/>
    </row>
    <row r="51" spans="1:7" s="1430" customFormat="1" ht="20.100000000000001" customHeight="1">
      <c r="A51" s="1371">
        <v>46</v>
      </c>
      <c r="B51" s="4052"/>
      <c r="C51" s="1434" t="s">
        <v>665</v>
      </c>
      <c r="D51" s="1435">
        <f>企业各税审核汇总表!D51</f>
        <v>0</v>
      </c>
      <c r="E51" s="1435">
        <f>企业各税审核汇总表!E51</f>
        <v>0</v>
      </c>
      <c r="F51" s="1435">
        <f>企业各税审核汇总表!F51</f>
        <v>0</v>
      </c>
      <c r="G51" s="1437"/>
    </row>
    <row r="52" spans="1:7" s="1430" customFormat="1" ht="20.100000000000001" customHeight="1">
      <c r="A52" s="1371">
        <v>47</v>
      </c>
      <c r="B52" s="4052"/>
      <c r="C52" s="1434" t="s">
        <v>709</v>
      </c>
      <c r="D52" s="1435">
        <f>企业各税审核汇总表!D52</f>
        <v>0</v>
      </c>
      <c r="E52" s="1435">
        <f>企业各税审核汇总表!E52</f>
        <v>0</v>
      </c>
      <c r="F52" s="1435">
        <f>企业各税审核汇总表!F52</f>
        <v>0</v>
      </c>
      <c r="G52" s="1384"/>
    </row>
    <row r="53" spans="1:7" s="1430" customFormat="1" ht="20.100000000000001" customHeight="1">
      <c r="A53" s="1371">
        <v>48</v>
      </c>
      <c r="B53" s="4052"/>
      <c r="C53" s="1434" t="s">
        <v>710</v>
      </c>
      <c r="D53" s="1435">
        <f>企业各税审核汇总表!D53</f>
        <v>0</v>
      </c>
      <c r="E53" s="1435">
        <f>企业各税审核汇总表!E53</f>
        <v>0</v>
      </c>
      <c r="F53" s="1435">
        <f>企业各税审核汇总表!F53</f>
        <v>0</v>
      </c>
      <c r="G53" s="1437"/>
    </row>
    <row r="54" spans="1:7" s="1430" customFormat="1" ht="20.100000000000001" customHeight="1">
      <c r="A54" s="1371">
        <v>49</v>
      </c>
      <c r="B54" s="4052" t="s">
        <v>228</v>
      </c>
      <c r="C54" s="1434" t="s">
        <v>708</v>
      </c>
      <c r="D54" s="1435">
        <f>企业各税审核汇总表!D54</f>
        <v>0</v>
      </c>
      <c r="E54" s="1435">
        <f>企业各税审核汇总表!E54</f>
        <v>0</v>
      </c>
      <c r="F54" s="1435">
        <f>企业各税审核汇总表!F54</f>
        <v>0</v>
      </c>
      <c r="G54" s="1437"/>
    </row>
    <row r="55" spans="1:7" s="1430" customFormat="1" ht="20.100000000000001" customHeight="1">
      <c r="A55" s="1371">
        <v>50</v>
      </c>
      <c r="B55" s="4052"/>
      <c r="C55" s="1434" t="s">
        <v>665</v>
      </c>
      <c r="D55" s="1435">
        <f>企业各税审核汇总表!D55</f>
        <v>0</v>
      </c>
      <c r="E55" s="1435">
        <f>企业各税审核汇总表!E55</f>
        <v>0</v>
      </c>
      <c r="F55" s="1435">
        <f>企业各税审核汇总表!F55</f>
        <v>0</v>
      </c>
      <c r="G55" s="1384"/>
    </row>
    <row r="56" spans="1:7" s="1430" customFormat="1" ht="20.100000000000001" customHeight="1">
      <c r="A56" s="1371">
        <v>51</v>
      </c>
      <c r="B56" s="4052"/>
      <c r="C56" s="1434" t="s">
        <v>709</v>
      </c>
      <c r="D56" s="1435">
        <f>企业各税审核汇总表!D56</f>
        <v>0</v>
      </c>
      <c r="E56" s="1435">
        <f>企业各税审核汇总表!E56</f>
        <v>0</v>
      </c>
      <c r="F56" s="1435">
        <f>企业各税审核汇总表!F56</f>
        <v>0</v>
      </c>
      <c r="G56" s="1437"/>
    </row>
    <row r="57" spans="1:7" s="1430" customFormat="1" ht="20.100000000000001" customHeight="1">
      <c r="A57" s="1371">
        <v>52</v>
      </c>
      <c r="B57" s="4052"/>
      <c r="C57" s="1434" t="s">
        <v>710</v>
      </c>
      <c r="D57" s="1435">
        <f>企业各税审核汇总表!D57</f>
        <v>0</v>
      </c>
      <c r="E57" s="1435">
        <f>企业各税审核汇总表!E57</f>
        <v>0</v>
      </c>
      <c r="F57" s="1435">
        <f>企业各税审核汇总表!F57</f>
        <v>0</v>
      </c>
      <c r="G57" s="1384"/>
    </row>
    <row r="58" spans="1:7" s="1430" customFormat="1" ht="20.100000000000001" customHeight="1">
      <c r="A58" s="1371">
        <v>53</v>
      </c>
      <c r="B58" s="4052" t="s">
        <v>1277</v>
      </c>
      <c r="C58" s="1434" t="s">
        <v>708</v>
      </c>
      <c r="D58" s="1435">
        <f>企业各税审核汇总表!D58</f>
        <v>0</v>
      </c>
      <c r="E58" s="1435">
        <f>企业各税审核汇总表!E58</f>
        <v>0</v>
      </c>
      <c r="F58" s="1435">
        <f>企业各税审核汇总表!F58</f>
        <v>0</v>
      </c>
      <c r="G58" s="1384"/>
    </row>
    <row r="59" spans="1:7" s="1430" customFormat="1" ht="20.100000000000001" customHeight="1">
      <c r="A59" s="1371">
        <v>54</v>
      </c>
      <c r="B59" s="4052"/>
      <c r="C59" s="1434" t="s">
        <v>665</v>
      </c>
      <c r="D59" s="1435">
        <f>企业各税审核汇总表!D59</f>
        <v>0</v>
      </c>
      <c r="E59" s="1435">
        <f>企业各税审核汇总表!E59</f>
        <v>0</v>
      </c>
      <c r="F59" s="1435">
        <f>企业各税审核汇总表!F59</f>
        <v>0</v>
      </c>
      <c r="G59" s="1384"/>
    </row>
    <row r="60" spans="1:7" s="1430" customFormat="1" ht="20.100000000000001" customHeight="1">
      <c r="A60" s="1371">
        <v>55</v>
      </c>
      <c r="B60" s="4052"/>
      <c r="C60" s="1434" t="s">
        <v>709</v>
      </c>
      <c r="D60" s="1435">
        <f>企业各税审核汇总表!D60</f>
        <v>0</v>
      </c>
      <c r="E60" s="1435">
        <f>企业各税审核汇总表!E60</f>
        <v>0</v>
      </c>
      <c r="F60" s="1435">
        <f>企业各税审核汇总表!F60</f>
        <v>0</v>
      </c>
      <c r="G60" s="1384"/>
    </row>
    <row r="61" spans="1:7" s="1430" customFormat="1" ht="20.100000000000001" customHeight="1">
      <c r="A61" s="1371">
        <v>56</v>
      </c>
      <c r="B61" s="4052"/>
      <c r="C61" s="1434" t="s">
        <v>710</v>
      </c>
      <c r="D61" s="1435">
        <f>企业各税审核汇总表!D61</f>
        <v>0</v>
      </c>
      <c r="E61" s="1435">
        <f>企业各税审核汇总表!E61</f>
        <v>0</v>
      </c>
      <c r="F61" s="1435">
        <f>企业各税审核汇总表!F61</f>
        <v>0</v>
      </c>
      <c r="G61" s="1384"/>
    </row>
    <row r="62" spans="1:7" s="1430" customFormat="1" ht="20.100000000000001" customHeight="1">
      <c r="A62" s="1371">
        <v>57</v>
      </c>
      <c r="B62" s="4052" t="s">
        <v>233</v>
      </c>
      <c r="C62" s="1434" t="s">
        <v>708</v>
      </c>
      <c r="D62" s="1435">
        <f>企业各税审核汇总表!D62</f>
        <v>0</v>
      </c>
      <c r="E62" s="1435">
        <f>企业各税审核汇总表!E62</f>
        <v>0</v>
      </c>
      <c r="F62" s="1435">
        <f>企业各税审核汇总表!F62</f>
        <v>0</v>
      </c>
      <c r="G62" s="1384"/>
    </row>
    <row r="63" spans="1:7" s="1430" customFormat="1" ht="20.100000000000001" customHeight="1">
      <c r="A63" s="1371">
        <v>58</v>
      </c>
      <c r="B63" s="4052"/>
      <c r="C63" s="1434" t="s">
        <v>665</v>
      </c>
      <c r="D63" s="1435">
        <f>企业各税审核汇总表!D63</f>
        <v>0</v>
      </c>
      <c r="E63" s="1435">
        <f>企业各税审核汇总表!E63</f>
        <v>0</v>
      </c>
      <c r="F63" s="1435">
        <f>企业各税审核汇总表!F63</f>
        <v>0</v>
      </c>
      <c r="G63" s="1384"/>
    </row>
    <row r="64" spans="1:7" s="1430" customFormat="1" ht="20.100000000000001" customHeight="1">
      <c r="A64" s="1371">
        <v>59</v>
      </c>
      <c r="B64" s="4052"/>
      <c r="C64" s="1434" t="s">
        <v>709</v>
      </c>
      <c r="D64" s="1435">
        <f>企业各税审核汇总表!D64</f>
        <v>0</v>
      </c>
      <c r="E64" s="1435">
        <f>企业各税审核汇总表!E64</f>
        <v>0</v>
      </c>
      <c r="F64" s="1435">
        <f>企业各税审核汇总表!F64</f>
        <v>0</v>
      </c>
      <c r="G64" s="1384"/>
    </row>
    <row r="65" spans="1:7" s="1430" customFormat="1" ht="20.100000000000001" customHeight="1">
      <c r="A65" s="1371">
        <v>60</v>
      </c>
      <c r="B65" s="4052"/>
      <c r="C65" s="1434" t="s">
        <v>710</v>
      </c>
      <c r="D65" s="1435">
        <f>企业各税审核汇总表!D65</f>
        <v>0</v>
      </c>
      <c r="E65" s="1435">
        <f>企业各税审核汇总表!E65</f>
        <v>0</v>
      </c>
      <c r="F65" s="1435">
        <f>企业各税审核汇总表!F65</f>
        <v>0</v>
      </c>
      <c r="G65" s="1437"/>
    </row>
    <row r="66" spans="1:7" s="1430" customFormat="1" ht="20.100000000000001" customHeight="1">
      <c r="A66" s="1438"/>
      <c r="C66" s="1439"/>
      <c r="D66" s="1440"/>
      <c r="E66" s="1440"/>
      <c r="F66" s="1440"/>
      <c r="G66" s="1441"/>
    </row>
    <row r="67" spans="1:7" ht="20.100000000000001" customHeight="1">
      <c r="A67" s="4053" t="s">
        <v>2364</v>
      </c>
      <c r="B67" s="4054"/>
      <c r="C67" s="4054"/>
      <c r="D67" s="4054"/>
      <c r="E67" s="4054"/>
      <c r="F67" s="4054"/>
      <c r="G67" s="4054"/>
    </row>
    <row r="68" spans="1:7" ht="20.100000000000001" customHeight="1">
      <c r="A68" s="1442"/>
    </row>
    <row r="69" spans="1:7" ht="20.100000000000001" customHeight="1">
      <c r="A69" s="1442"/>
    </row>
    <row r="70" spans="1:7" ht="20.100000000000001" customHeight="1">
      <c r="A70" s="1442"/>
    </row>
  </sheetData>
  <mergeCells count="22">
    <mergeCell ref="B26:B29"/>
    <mergeCell ref="A1:G1"/>
    <mergeCell ref="A2:B2"/>
    <mergeCell ref="D2:G2"/>
    <mergeCell ref="A3:B3"/>
    <mergeCell ref="D3:G3"/>
    <mergeCell ref="A4:G4"/>
    <mergeCell ref="B6:B9"/>
    <mergeCell ref="B10:B13"/>
    <mergeCell ref="B14:B17"/>
    <mergeCell ref="B18:B21"/>
    <mergeCell ref="B22:B25"/>
    <mergeCell ref="B54:B57"/>
    <mergeCell ref="B58:B61"/>
    <mergeCell ref="B62:B65"/>
    <mergeCell ref="A67:G67"/>
    <mergeCell ref="B30:B33"/>
    <mergeCell ref="B34:B37"/>
    <mergeCell ref="B38:B41"/>
    <mergeCell ref="B42:B45"/>
    <mergeCell ref="B46:B49"/>
    <mergeCell ref="B50:B53"/>
  </mergeCells>
  <phoneticPr fontId="51" type="noConversion"/>
  <pageMargins left="0.78740157480314998" right="0.35433070866141703" top="0.511811023622047" bottom="0.11811023622047198" header="0.511811023622047" footer="0.511811023622047"/>
  <pageSetup paperSize="9" orientation="portrait" r:id="rId1"/>
</worksheet>
</file>

<file path=xl/worksheets/sheet17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12"/>
  <dimension ref="A1:H5"/>
  <sheetViews>
    <sheetView workbookViewId="0">
      <selection activeCell="I14" sqref="I14"/>
    </sheetView>
  </sheetViews>
  <sheetFormatPr defaultRowHeight="30" customHeight="1"/>
  <cols>
    <col min="1" max="7" width="12" style="1447" customWidth="1"/>
    <col min="8" max="8" width="19.3984375" style="1447" customWidth="1"/>
    <col min="9" max="256" width="9" style="1447"/>
    <col min="257" max="263" width="12" style="1447" customWidth="1"/>
    <col min="264" max="264" width="19.3984375" style="1447" customWidth="1"/>
    <col min="265" max="512" width="9" style="1447"/>
    <col min="513" max="519" width="12" style="1447" customWidth="1"/>
    <col min="520" max="520" width="19.3984375" style="1447" customWidth="1"/>
    <col min="521" max="768" width="9" style="1447"/>
    <col min="769" max="775" width="12" style="1447" customWidth="1"/>
    <col min="776" max="776" width="19.3984375" style="1447" customWidth="1"/>
    <col min="777" max="1024" width="9" style="1447"/>
    <col min="1025" max="1031" width="12" style="1447" customWidth="1"/>
    <col min="1032" max="1032" width="19.3984375" style="1447" customWidth="1"/>
    <col min="1033" max="1280" width="9" style="1447"/>
    <col min="1281" max="1287" width="12" style="1447" customWidth="1"/>
    <col min="1288" max="1288" width="19.3984375" style="1447" customWidth="1"/>
    <col min="1289" max="1536" width="9" style="1447"/>
    <col min="1537" max="1543" width="12" style="1447" customWidth="1"/>
    <col min="1544" max="1544" width="19.3984375" style="1447" customWidth="1"/>
    <col min="1545" max="1792" width="9" style="1447"/>
    <col min="1793" max="1799" width="12" style="1447" customWidth="1"/>
    <col min="1800" max="1800" width="19.3984375" style="1447" customWidth="1"/>
    <col min="1801" max="2048" width="9" style="1447"/>
    <col min="2049" max="2055" width="12" style="1447" customWidth="1"/>
    <col min="2056" max="2056" width="19.3984375" style="1447" customWidth="1"/>
    <col min="2057" max="2304" width="9" style="1447"/>
    <col min="2305" max="2311" width="12" style="1447" customWidth="1"/>
    <col min="2312" max="2312" width="19.3984375" style="1447" customWidth="1"/>
    <col min="2313" max="2560" width="9" style="1447"/>
    <col min="2561" max="2567" width="12" style="1447" customWidth="1"/>
    <col min="2568" max="2568" width="19.3984375" style="1447" customWidth="1"/>
    <col min="2569" max="2816" width="9" style="1447"/>
    <col min="2817" max="2823" width="12" style="1447" customWidth="1"/>
    <col min="2824" max="2824" width="19.3984375" style="1447" customWidth="1"/>
    <col min="2825" max="3072" width="9" style="1447"/>
    <col min="3073" max="3079" width="12" style="1447" customWidth="1"/>
    <col min="3080" max="3080" width="19.3984375" style="1447" customWidth="1"/>
    <col min="3081" max="3328" width="9" style="1447"/>
    <col min="3329" max="3335" width="12" style="1447" customWidth="1"/>
    <col min="3336" max="3336" width="19.3984375" style="1447" customWidth="1"/>
    <col min="3337" max="3584" width="9" style="1447"/>
    <col min="3585" max="3591" width="12" style="1447" customWidth="1"/>
    <col min="3592" max="3592" width="19.3984375" style="1447" customWidth="1"/>
    <col min="3593" max="3840" width="9" style="1447"/>
    <col min="3841" max="3847" width="12" style="1447" customWidth="1"/>
    <col min="3848" max="3848" width="19.3984375" style="1447" customWidth="1"/>
    <col min="3849" max="4096" width="9" style="1447"/>
    <col min="4097" max="4103" width="12" style="1447" customWidth="1"/>
    <col min="4104" max="4104" width="19.3984375" style="1447" customWidth="1"/>
    <col min="4105" max="4352" width="9" style="1447"/>
    <col min="4353" max="4359" width="12" style="1447" customWidth="1"/>
    <col min="4360" max="4360" width="19.3984375" style="1447" customWidth="1"/>
    <col min="4361" max="4608" width="9" style="1447"/>
    <col min="4609" max="4615" width="12" style="1447" customWidth="1"/>
    <col min="4616" max="4616" width="19.3984375" style="1447" customWidth="1"/>
    <col min="4617" max="4864" width="9" style="1447"/>
    <col min="4865" max="4871" width="12" style="1447" customWidth="1"/>
    <col min="4872" max="4872" width="19.3984375" style="1447" customWidth="1"/>
    <col min="4873" max="5120" width="9" style="1447"/>
    <col min="5121" max="5127" width="12" style="1447" customWidth="1"/>
    <col min="5128" max="5128" width="19.3984375" style="1447" customWidth="1"/>
    <col min="5129" max="5376" width="9" style="1447"/>
    <col min="5377" max="5383" width="12" style="1447" customWidth="1"/>
    <col min="5384" max="5384" width="19.3984375" style="1447" customWidth="1"/>
    <col min="5385" max="5632" width="9" style="1447"/>
    <col min="5633" max="5639" width="12" style="1447" customWidth="1"/>
    <col min="5640" max="5640" width="19.3984375" style="1447" customWidth="1"/>
    <col min="5641" max="5888" width="9" style="1447"/>
    <col min="5889" max="5895" width="12" style="1447" customWidth="1"/>
    <col min="5896" max="5896" width="19.3984375" style="1447" customWidth="1"/>
    <col min="5897" max="6144" width="9" style="1447"/>
    <col min="6145" max="6151" width="12" style="1447" customWidth="1"/>
    <col min="6152" max="6152" width="19.3984375" style="1447" customWidth="1"/>
    <col min="6153" max="6400" width="9" style="1447"/>
    <col min="6401" max="6407" width="12" style="1447" customWidth="1"/>
    <col min="6408" max="6408" width="19.3984375" style="1447" customWidth="1"/>
    <col min="6409" max="6656" width="9" style="1447"/>
    <col min="6657" max="6663" width="12" style="1447" customWidth="1"/>
    <col min="6664" max="6664" width="19.3984375" style="1447" customWidth="1"/>
    <col min="6665" max="6912" width="9" style="1447"/>
    <col min="6913" max="6919" width="12" style="1447" customWidth="1"/>
    <col min="6920" max="6920" width="19.3984375" style="1447" customWidth="1"/>
    <col min="6921" max="7168" width="9" style="1447"/>
    <col min="7169" max="7175" width="12" style="1447" customWidth="1"/>
    <col min="7176" max="7176" width="19.3984375" style="1447" customWidth="1"/>
    <col min="7177" max="7424" width="9" style="1447"/>
    <col min="7425" max="7431" width="12" style="1447" customWidth="1"/>
    <col min="7432" max="7432" width="19.3984375" style="1447" customWidth="1"/>
    <col min="7433" max="7680" width="9" style="1447"/>
    <col min="7681" max="7687" width="12" style="1447" customWidth="1"/>
    <col min="7688" max="7688" width="19.3984375" style="1447" customWidth="1"/>
    <col min="7689" max="7936" width="9" style="1447"/>
    <col min="7937" max="7943" width="12" style="1447" customWidth="1"/>
    <col min="7944" max="7944" width="19.3984375" style="1447" customWidth="1"/>
    <col min="7945" max="8192" width="9" style="1447"/>
    <col min="8193" max="8199" width="12" style="1447" customWidth="1"/>
    <col min="8200" max="8200" width="19.3984375" style="1447" customWidth="1"/>
    <col min="8201" max="8448" width="9" style="1447"/>
    <col min="8449" max="8455" width="12" style="1447" customWidth="1"/>
    <col min="8456" max="8456" width="19.3984375" style="1447" customWidth="1"/>
    <col min="8457" max="8704" width="9" style="1447"/>
    <col min="8705" max="8711" width="12" style="1447" customWidth="1"/>
    <col min="8712" max="8712" width="19.3984375" style="1447" customWidth="1"/>
    <col min="8713" max="8960" width="9" style="1447"/>
    <col min="8961" max="8967" width="12" style="1447" customWidth="1"/>
    <col min="8968" max="8968" width="19.3984375" style="1447" customWidth="1"/>
    <col min="8969" max="9216" width="9" style="1447"/>
    <col min="9217" max="9223" width="12" style="1447" customWidth="1"/>
    <col min="9224" max="9224" width="19.3984375" style="1447" customWidth="1"/>
    <col min="9225" max="9472" width="9" style="1447"/>
    <col min="9473" max="9479" width="12" style="1447" customWidth="1"/>
    <col min="9480" max="9480" width="19.3984375" style="1447" customWidth="1"/>
    <col min="9481" max="9728" width="9" style="1447"/>
    <col min="9729" max="9735" width="12" style="1447" customWidth="1"/>
    <col min="9736" max="9736" width="19.3984375" style="1447" customWidth="1"/>
    <col min="9737" max="9984" width="9" style="1447"/>
    <col min="9985" max="9991" width="12" style="1447" customWidth="1"/>
    <col min="9992" max="9992" width="19.3984375" style="1447" customWidth="1"/>
    <col min="9993" max="10240" width="9" style="1447"/>
    <col min="10241" max="10247" width="12" style="1447" customWidth="1"/>
    <col min="10248" max="10248" width="19.3984375" style="1447" customWidth="1"/>
    <col min="10249" max="10496" width="9" style="1447"/>
    <col min="10497" max="10503" width="12" style="1447" customWidth="1"/>
    <col min="10504" max="10504" width="19.3984375" style="1447" customWidth="1"/>
    <col min="10505" max="10752" width="9" style="1447"/>
    <col min="10753" max="10759" width="12" style="1447" customWidth="1"/>
    <col min="10760" max="10760" width="19.3984375" style="1447" customWidth="1"/>
    <col min="10761" max="11008" width="9" style="1447"/>
    <col min="11009" max="11015" width="12" style="1447" customWidth="1"/>
    <col min="11016" max="11016" width="19.3984375" style="1447" customWidth="1"/>
    <col min="11017" max="11264" width="9" style="1447"/>
    <col min="11265" max="11271" width="12" style="1447" customWidth="1"/>
    <col min="11272" max="11272" width="19.3984375" style="1447" customWidth="1"/>
    <col min="11273" max="11520" width="9" style="1447"/>
    <col min="11521" max="11527" width="12" style="1447" customWidth="1"/>
    <col min="11528" max="11528" width="19.3984375" style="1447" customWidth="1"/>
    <col min="11529" max="11776" width="9" style="1447"/>
    <col min="11777" max="11783" width="12" style="1447" customWidth="1"/>
    <col min="11784" max="11784" width="19.3984375" style="1447" customWidth="1"/>
    <col min="11785" max="12032" width="9" style="1447"/>
    <col min="12033" max="12039" width="12" style="1447" customWidth="1"/>
    <col min="12040" max="12040" width="19.3984375" style="1447" customWidth="1"/>
    <col min="12041" max="12288" width="9" style="1447"/>
    <col min="12289" max="12295" width="12" style="1447" customWidth="1"/>
    <col min="12296" max="12296" width="19.3984375" style="1447" customWidth="1"/>
    <col min="12297" max="12544" width="9" style="1447"/>
    <col min="12545" max="12551" width="12" style="1447" customWidth="1"/>
    <col min="12552" max="12552" width="19.3984375" style="1447" customWidth="1"/>
    <col min="12553" max="12800" width="9" style="1447"/>
    <col min="12801" max="12807" width="12" style="1447" customWidth="1"/>
    <col min="12808" max="12808" width="19.3984375" style="1447" customWidth="1"/>
    <col min="12809" max="13056" width="9" style="1447"/>
    <col min="13057" max="13063" width="12" style="1447" customWidth="1"/>
    <col min="13064" max="13064" width="19.3984375" style="1447" customWidth="1"/>
    <col min="13065" max="13312" width="9" style="1447"/>
    <col min="13313" max="13319" width="12" style="1447" customWidth="1"/>
    <col min="13320" max="13320" width="19.3984375" style="1447" customWidth="1"/>
    <col min="13321" max="13568" width="9" style="1447"/>
    <col min="13569" max="13575" width="12" style="1447" customWidth="1"/>
    <col min="13576" max="13576" width="19.3984375" style="1447" customWidth="1"/>
    <col min="13577" max="13824" width="9" style="1447"/>
    <col min="13825" max="13831" width="12" style="1447" customWidth="1"/>
    <col min="13832" max="13832" width="19.3984375" style="1447" customWidth="1"/>
    <col min="13833" max="14080" width="9" style="1447"/>
    <col min="14081" max="14087" width="12" style="1447" customWidth="1"/>
    <col min="14088" max="14088" width="19.3984375" style="1447" customWidth="1"/>
    <col min="14089" max="14336" width="9" style="1447"/>
    <col min="14337" max="14343" width="12" style="1447" customWidth="1"/>
    <col min="14344" max="14344" width="19.3984375" style="1447" customWidth="1"/>
    <col min="14345" max="14592" width="9" style="1447"/>
    <col min="14593" max="14599" width="12" style="1447" customWidth="1"/>
    <col min="14600" max="14600" width="19.3984375" style="1447" customWidth="1"/>
    <col min="14601" max="14848" width="9" style="1447"/>
    <col min="14849" max="14855" width="12" style="1447" customWidth="1"/>
    <col min="14856" max="14856" width="19.3984375" style="1447" customWidth="1"/>
    <col min="14857" max="15104" width="9" style="1447"/>
    <col min="15105" max="15111" width="12" style="1447" customWidth="1"/>
    <col min="15112" max="15112" width="19.3984375" style="1447" customWidth="1"/>
    <col min="15113" max="15360" width="9" style="1447"/>
    <col min="15361" max="15367" width="12" style="1447" customWidth="1"/>
    <col min="15368" max="15368" width="19.3984375" style="1447" customWidth="1"/>
    <col min="15369" max="15616" width="9" style="1447"/>
    <col min="15617" max="15623" width="12" style="1447" customWidth="1"/>
    <col min="15624" max="15624" width="19.3984375" style="1447" customWidth="1"/>
    <col min="15625" max="15872" width="9" style="1447"/>
    <col min="15873" max="15879" width="12" style="1447" customWidth="1"/>
    <col min="15880" max="15880" width="19.3984375" style="1447" customWidth="1"/>
    <col min="15881" max="16128" width="9" style="1447"/>
    <col min="16129" max="16135" width="12" style="1447" customWidth="1"/>
    <col min="16136" max="16136" width="19.3984375" style="1447" customWidth="1"/>
    <col min="16137" max="16384" width="9" style="1447"/>
  </cols>
  <sheetData>
    <row r="1" spans="1:8" ht="30" customHeight="1">
      <c r="A1" s="4059" t="s">
        <v>2365</v>
      </c>
      <c r="B1" s="4060"/>
      <c r="C1" s="4060"/>
      <c r="D1" s="4060"/>
      <c r="E1" s="4060"/>
      <c r="F1" s="4060"/>
      <c r="G1" s="4060"/>
      <c r="H1" s="1446" t="s">
        <v>610</v>
      </c>
    </row>
    <row r="2" spans="1:8" ht="30" customHeight="1">
      <c r="A2" s="4061" t="s">
        <v>2366</v>
      </c>
      <c r="B2" s="4061"/>
      <c r="C2" s="4061"/>
      <c r="D2" s="4061" t="s">
        <v>2367</v>
      </c>
      <c r="E2" s="4061"/>
      <c r="F2" s="4061"/>
      <c r="G2" s="4061"/>
      <c r="H2" s="4062" t="s">
        <v>2368</v>
      </c>
    </row>
    <row r="3" spans="1:8" ht="43.5" customHeight="1">
      <c r="A3" s="1448" t="s">
        <v>2369</v>
      </c>
      <c r="B3" s="1448" t="s">
        <v>2370</v>
      </c>
      <c r="C3" s="1448" t="s">
        <v>2371</v>
      </c>
      <c r="D3" s="1448" t="s">
        <v>2372</v>
      </c>
      <c r="E3" s="1448" t="s">
        <v>2373</v>
      </c>
      <c r="F3" s="1448" t="s">
        <v>2374</v>
      </c>
      <c r="G3" s="1448" t="s">
        <v>2375</v>
      </c>
      <c r="H3" s="4063"/>
    </row>
    <row r="4" spans="1:8" ht="30" customHeight="1">
      <c r="A4" s="1449"/>
      <c r="B4" s="1449"/>
      <c r="C4" s="1449"/>
      <c r="D4" s="1435"/>
      <c r="E4" s="1435"/>
      <c r="F4" s="1435"/>
      <c r="G4" s="1435"/>
      <c r="H4" s="1450"/>
    </row>
    <row r="5" spans="1:8" ht="99" customHeight="1">
      <c r="A5" s="4064" t="s">
        <v>2376</v>
      </c>
      <c r="B5" s="4065"/>
      <c r="C5" s="4065"/>
      <c r="D5" s="4065"/>
      <c r="E5" s="4065"/>
      <c r="F5" s="4065"/>
      <c r="G5" s="4065"/>
      <c r="H5" s="4065"/>
    </row>
  </sheetData>
  <mergeCells count="5">
    <mergeCell ref="A1:G1"/>
    <mergeCell ref="A2:C2"/>
    <mergeCell ref="D2:G2"/>
    <mergeCell ref="H2:H3"/>
    <mergeCell ref="A5:H5"/>
  </mergeCells>
  <phoneticPr fontId="51" type="noConversion"/>
  <pageMargins left="0.78740157480314998" right="0.35433070866141703" top="0.511811023622047" bottom="0.11811023622047198" header="0.511811023622047" footer="0.511811023622047"/>
  <pageSetup paperSize="9" orientation="portrait"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工作表</vt:lpstr>
      </vt:variant>
      <vt:variant>
        <vt:i4>173</vt:i4>
      </vt:variant>
      <vt:variant>
        <vt:lpstr>命名范围</vt:lpstr>
      </vt:variant>
      <vt:variant>
        <vt:i4>120</vt:i4>
      </vt:variant>
    </vt:vector>
  </HeadingPairs>
  <TitlesOfParts>
    <vt:vector size="293" baseType="lpstr">
      <vt:lpstr>档案封面</vt:lpstr>
      <vt:lpstr>待办事项</vt:lpstr>
      <vt:lpstr>档案索引</vt:lpstr>
      <vt:lpstr>签发单</vt:lpstr>
      <vt:lpstr>三级复核</vt:lpstr>
      <vt:lpstr>业务约定</vt:lpstr>
      <vt:lpstr>地税、基本情况</vt:lpstr>
      <vt:lpstr>基本情况</vt:lpstr>
      <vt:lpstr>税审收费标准</vt:lpstr>
      <vt:lpstr>当局声明</vt:lpstr>
      <vt:lpstr>计划</vt:lpstr>
      <vt:lpstr>内控</vt:lpstr>
      <vt:lpstr>审核问卷</vt:lpstr>
      <vt:lpstr>重大问题</vt:lpstr>
      <vt:lpstr>交换意见</vt:lpstr>
      <vt:lpstr>资料清单</vt:lpstr>
      <vt:lpstr>审核标识</vt:lpstr>
      <vt:lpstr>盘点表</vt:lpstr>
      <vt:lpstr>通用记录</vt:lpstr>
      <vt:lpstr>凭证检查</vt:lpstr>
      <vt:lpstr>使用说明</vt:lpstr>
      <vt:lpstr>资产负债</vt:lpstr>
      <vt:lpstr>利润</vt:lpstr>
      <vt:lpstr>纳税申报数据</vt:lpstr>
      <vt:lpstr>工资福利</vt:lpstr>
      <vt:lpstr>招待</vt:lpstr>
      <vt:lpstr>固资折旧</vt:lpstr>
      <vt:lpstr>折旧测算</vt:lpstr>
      <vt:lpstr>无形长摊</vt:lpstr>
      <vt:lpstr>社保</vt:lpstr>
      <vt:lpstr>社保明细工资人数</vt:lpstr>
      <vt:lpstr>广宣</vt:lpstr>
      <vt:lpstr>捐赠</vt:lpstr>
      <vt:lpstr>利息</vt:lpstr>
      <vt:lpstr>租金</vt:lpstr>
      <vt:lpstr>补亏</vt:lpstr>
      <vt:lpstr>其他事项</vt:lpstr>
      <vt:lpstr>无限期结转扣除项目审核表</vt:lpstr>
      <vt:lpstr>跨年度确认所得情况表</vt:lpstr>
      <vt:lpstr>视同销售和房地产开发企业特定业务审核表</vt:lpstr>
      <vt:lpstr>未按权责发生制确认收入审核表</vt:lpstr>
      <vt:lpstr>投资收益审核表</vt:lpstr>
      <vt:lpstr>专项用途财政性资金审核表</vt:lpstr>
      <vt:lpstr>固定资产加速折旧审核表</vt:lpstr>
      <vt:lpstr>资产损失税前扣除审核表</vt:lpstr>
      <vt:lpstr>资产损失（专项申报）税前扣除审核表</vt:lpstr>
      <vt:lpstr>企业重组审核表</vt:lpstr>
      <vt:lpstr>政策性搬迁审核表</vt:lpstr>
      <vt:lpstr>特殊行业准备金审核表</vt:lpstr>
      <vt:lpstr>免税、减计收入及加计扣除优惠审核表</vt:lpstr>
      <vt:lpstr>股息红利优惠审核表</vt:lpstr>
      <vt:lpstr>综合利用资源生产产品取得的收入优惠审核表</vt:lpstr>
      <vt:lpstr>金融保险等机构取得涉农利息保费收入优惠审核表</vt:lpstr>
      <vt:lpstr>研发费用加计扣除优惠审核表</vt:lpstr>
      <vt:lpstr>所得减免优惠审核表</vt:lpstr>
      <vt:lpstr>抵扣应纳税所得额审核表</vt:lpstr>
      <vt:lpstr>减免所得税优惠审核表</vt:lpstr>
      <vt:lpstr>高新技术企业优惠情况审核表</vt:lpstr>
      <vt:lpstr>软件、集成电路企业优惠情况审核表</vt:lpstr>
      <vt:lpstr>税额抵免优惠审核表</vt:lpstr>
      <vt:lpstr>境外所得税收抵免审核表</vt:lpstr>
      <vt:lpstr>境外所得纳税调整后所得审核表</vt:lpstr>
      <vt:lpstr>境外分支机构弥补亏损审核表</vt:lpstr>
      <vt:lpstr>跨年度结转抵免境外所得税审核表</vt:lpstr>
      <vt:lpstr>跨地区经营汇总纳税企业年度分摊企业所得税审核表</vt:lpstr>
      <vt:lpstr>企业所得税汇总纳税分支机构所得税分配表</vt:lpstr>
      <vt:lpstr>减值准备审核表</vt:lpstr>
      <vt:lpstr>公允价值变动审定表</vt:lpstr>
      <vt:lpstr>主页</vt:lpstr>
      <vt:lpstr>报告目录</vt:lpstr>
      <vt:lpstr>主营收支</vt:lpstr>
      <vt:lpstr>收入与申报核对表</vt:lpstr>
      <vt:lpstr>毛利分析</vt:lpstr>
      <vt:lpstr>制造费用、生产成本</vt:lpstr>
      <vt:lpstr>成本倒轧</vt:lpstr>
      <vt:lpstr>存货计价测试</vt:lpstr>
      <vt:lpstr>主营税金</vt:lpstr>
      <vt:lpstr>税费缴纳测算</vt:lpstr>
      <vt:lpstr>其他业务</vt:lpstr>
      <vt:lpstr>营业费用</vt:lpstr>
      <vt:lpstr>管理费用</vt:lpstr>
      <vt:lpstr>财务费用</vt:lpstr>
      <vt:lpstr>营外收支</vt:lpstr>
      <vt:lpstr>货币资金</vt:lpstr>
      <vt:lpstr>现金证明</vt:lpstr>
      <vt:lpstr>银行调节</vt:lpstr>
      <vt:lpstr>应收</vt:lpstr>
      <vt:lpstr>预付</vt:lpstr>
      <vt:lpstr>其他应收</vt:lpstr>
      <vt:lpstr>存货</vt:lpstr>
      <vt:lpstr>待摊预提</vt:lpstr>
      <vt:lpstr>在建工程审核表</vt:lpstr>
      <vt:lpstr>对外投资</vt:lpstr>
      <vt:lpstr>应付</vt:lpstr>
      <vt:lpstr>预收</vt:lpstr>
      <vt:lpstr>其他应付</vt:lpstr>
      <vt:lpstr>借款</vt:lpstr>
      <vt:lpstr>实收公积</vt:lpstr>
      <vt:lpstr>未分利润</vt:lpstr>
      <vt:lpstr>报告封面</vt:lpstr>
      <vt:lpstr>报告正文</vt:lpstr>
      <vt:lpstr>企业情况表</vt:lpstr>
      <vt:lpstr>事项说明</vt:lpstr>
      <vt:lpstr>企业各税审核汇总表</vt:lpstr>
      <vt:lpstr>检查表</vt:lpstr>
      <vt:lpstr>余额表</vt:lpstr>
      <vt:lpstr>税金申报明细</vt:lpstr>
      <vt:lpstr>(三)子表12.企业所得税汇总纳税分支机构所得税分配表</vt:lpstr>
      <vt:lpstr>(四)无限期结转扣除项目情况表</vt:lpstr>
      <vt:lpstr>(五)跨年度确认所得情况表</vt:lpstr>
      <vt:lpstr>基本情况（封面）</vt:lpstr>
      <vt:lpstr>1.保留意见</vt:lpstr>
      <vt:lpstr>2.否定意见</vt:lpstr>
      <vt:lpstr>3.无保留意见</vt:lpstr>
      <vt:lpstr>4.无法表明意见</vt:lpstr>
      <vt:lpstr>(二)企业基本情况和审核事项说明</vt:lpstr>
      <vt:lpstr>(二)附表-科目说明</vt:lpstr>
      <vt:lpstr>(二)附表-纳税调整额的审核</vt:lpstr>
      <vt:lpstr>（三）企业所得税年度纳税申报表填报表单</vt:lpstr>
      <vt:lpstr>A000000企业基础信息表</vt:lpstr>
      <vt:lpstr>A100000中华人民共和国企业所得税年度纳税申报表（A类）</vt:lpstr>
      <vt:lpstr>A101010一般企业收入明细表</vt:lpstr>
      <vt:lpstr>A101020金融企业收入明细表</vt:lpstr>
      <vt:lpstr>A102010一般企业成本支出明细表</vt:lpstr>
      <vt:lpstr>A102020金融企业支出明细表</vt:lpstr>
      <vt:lpstr>A103000事业单位、民间非营利组织收入、支出明细表</vt:lpstr>
      <vt:lpstr>A104000期间费用明细表</vt:lpstr>
      <vt:lpstr>A105000纳税调整项目明细表</vt:lpstr>
      <vt:lpstr>A105010视同销售和房地产开发企业特定业务纳税调整明细表</vt:lpstr>
      <vt:lpstr>A105020未按权责发生制确认收入纳税调整明细表</vt:lpstr>
      <vt:lpstr>A105030投资收益纳税调整明细表</vt:lpstr>
      <vt:lpstr>A105040专项用途财政性资金纳税调整表</vt:lpstr>
      <vt:lpstr>A105050职工薪酬纳税调整明细表</vt:lpstr>
      <vt:lpstr>A105060广告费和业务宣传费跨年度纳税调整明细表</vt:lpstr>
      <vt:lpstr>A105070捐赠支出纳税调整明细表</vt:lpstr>
      <vt:lpstr>A105080资产折旧、摊销情况及纳税调整明细表</vt:lpstr>
      <vt:lpstr>A105081固定资产加速折旧、扣除明细表</vt:lpstr>
      <vt:lpstr>A105090资产损失税前扣除及纳税调整明细表</vt:lpstr>
      <vt:lpstr>A105091资产损失（专项申报）税前扣除及纳税调整明细表</vt:lpstr>
      <vt:lpstr>A105100企业重组纳税调整明细表</vt:lpstr>
      <vt:lpstr>A105110政策性搬迁纳税调整明细表</vt:lpstr>
      <vt:lpstr>A105120特殊行业准备金纳税调整明细表</vt:lpstr>
      <vt:lpstr>A106000企业所得税弥补亏损明细表</vt:lpstr>
      <vt:lpstr>A107010免税、减计收入及加计扣除优惠明细表</vt:lpstr>
      <vt:lpstr>A107011股息红利优惠明细表</vt:lpstr>
      <vt:lpstr>A107012综合利用资源生产产品取得的收入优惠明细表</vt:lpstr>
      <vt:lpstr>A107013金融保险等机构取得涉农利息保费收入优惠明细表</vt:lpstr>
      <vt:lpstr>A107014研发费用加计扣除优惠明细表</vt:lpstr>
      <vt:lpstr>A107020所得减免优惠明细表</vt:lpstr>
      <vt:lpstr>A107030抵扣应纳税所得额明细表</vt:lpstr>
      <vt:lpstr>A107040减免所得税优惠明细表</vt:lpstr>
      <vt:lpstr>A107041高新技术企业优惠情况及明细表</vt:lpstr>
      <vt:lpstr>A107042软件、集成电路企业优惠情况及明细表</vt:lpstr>
      <vt:lpstr>A107050税额抵免优惠明细表</vt:lpstr>
      <vt:lpstr>A108000境外所得税收抵免明细表</vt:lpstr>
      <vt:lpstr>A108010境外所得纳税调整后所得明细表</vt:lpstr>
      <vt:lpstr>A108020境外分支机构弥补亏损明细表</vt:lpstr>
      <vt:lpstr>A108030跨年度结转抵免境外所得税明细表</vt:lpstr>
      <vt:lpstr>A109000跨地区经营汇总纳税企业年度分摊企业所得税明细表</vt:lpstr>
      <vt:lpstr>A109010企业所得税汇总纳税分支机构所得税分配表</vt:lpstr>
      <vt:lpstr>A110010特殊性处理报告表</vt:lpstr>
      <vt:lpstr>A110011债务重组报告表</vt:lpstr>
      <vt:lpstr>A110012股权收购报告表 </vt:lpstr>
      <vt:lpstr>A110013资产收购报告表</vt:lpstr>
      <vt:lpstr>A110014企业合并报告表 </vt:lpstr>
      <vt:lpstr>A110015企业分立申报表</vt:lpstr>
      <vt:lpstr>A110016非货币资产投资递延纳税调整表</vt:lpstr>
      <vt:lpstr>A110017居民企业资产（股权）划转特殊性税务处理申报表</vt:lpstr>
      <vt:lpstr>研发加计扣除归集审核表</vt:lpstr>
      <vt:lpstr>研发项目可加计扣除研究开发费用情况归集表</vt:lpstr>
      <vt:lpstr>分支机构企业所得税申报表（A类）</vt:lpstr>
      <vt:lpstr>（四）企业各税（费）审核汇总表</vt:lpstr>
      <vt:lpstr>（五）社会保险费明细表</vt:lpstr>
      <vt:lpstr>A000000企业基础信息表!Print_Area</vt:lpstr>
      <vt:lpstr>'A100000中华人民共和国企业所得税年度纳税申报表（A类）'!Print_Area</vt:lpstr>
      <vt:lpstr>A110010特殊性处理报告表!Print_Area</vt:lpstr>
      <vt:lpstr>A110011债务重组报告表!Print_Area</vt:lpstr>
      <vt:lpstr>'A110012股权收购报告表 '!Print_Area</vt:lpstr>
      <vt:lpstr>A110013资产收购报告表!Print_Area</vt:lpstr>
      <vt:lpstr>'A110014企业合并报告表 '!Print_Area</vt:lpstr>
      <vt:lpstr>A110015企业分立申报表!Print_Area</vt:lpstr>
      <vt:lpstr>A110016非货币资产投资递延纳税调整表!Print_Area</vt:lpstr>
      <vt:lpstr>'A110017居民企业资产（股权）划转特殊性税务处理申报表'!Print_Area</vt:lpstr>
      <vt:lpstr>报告封面!Print_Area</vt:lpstr>
      <vt:lpstr>报告正文!Print_Area</vt:lpstr>
      <vt:lpstr>补亏!Print_Area</vt:lpstr>
      <vt:lpstr>财务费用!Print_Area</vt:lpstr>
      <vt:lpstr>成本倒轧!Print_Area</vt:lpstr>
      <vt:lpstr>存货!Print_Area</vt:lpstr>
      <vt:lpstr>存货计价测试!Print_Area</vt:lpstr>
      <vt:lpstr>待办事项!Print_Area</vt:lpstr>
      <vt:lpstr>待摊预提!Print_Area</vt:lpstr>
      <vt:lpstr>当局声明!Print_Area</vt:lpstr>
      <vt:lpstr>档案封面!Print_Area</vt:lpstr>
      <vt:lpstr>档案索引!Print_Area</vt:lpstr>
      <vt:lpstr>对外投资!Print_Area</vt:lpstr>
      <vt:lpstr>工资福利!Print_Area</vt:lpstr>
      <vt:lpstr>公允价值变动审定表!Print_Area</vt:lpstr>
      <vt:lpstr>固资折旧!Print_Area</vt:lpstr>
      <vt:lpstr>管理费用!Print_Area</vt:lpstr>
      <vt:lpstr>广宣!Print_Area</vt:lpstr>
      <vt:lpstr>货币资金!Print_Area</vt:lpstr>
      <vt:lpstr>基本情况!Print_Area</vt:lpstr>
      <vt:lpstr>计划!Print_Area</vt:lpstr>
      <vt:lpstr>减值准备审核表!Print_Area</vt:lpstr>
      <vt:lpstr>交换意见!Print_Area</vt:lpstr>
      <vt:lpstr>借款!Print_Area</vt:lpstr>
      <vt:lpstr>捐赠!Print_Area</vt:lpstr>
      <vt:lpstr>跨年度确认所得情况表!Print_Area</vt:lpstr>
      <vt:lpstr>利润!Print_Area</vt:lpstr>
      <vt:lpstr>利息!Print_Area</vt:lpstr>
      <vt:lpstr>毛利分析!Print_Area</vt:lpstr>
      <vt:lpstr>纳税申报数据!Print_Area</vt:lpstr>
      <vt:lpstr>内控!Print_Area</vt:lpstr>
      <vt:lpstr>盘点表!Print_Area</vt:lpstr>
      <vt:lpstr>凭证检查!Print_Area</vt:lpstr>
      <vt:lpstr>其他事项!Print_Area</vt:lpstr>
      <vt:lpstr>其他业务!Print_Area</vt:lpstr>
      <vt:lpstr>其他应付!Print_Area</vt:lpstr>
      <vt:lpstr>其他应收!Print_Area</vt:lpstr>
      <vt:lpstr>企业各税审核汇总表!Print_Area</vt:lpstr>
      <vt:lpstr>企业情况表!Print_Area</vt:lpstr>
      <vt:lpstr>签发单!Print_Area</vt:lpstr>
      <vt:lpstr>三级复核!Print_Area</vt:lpstr>
      <vt:lpstr>社保!Print_Area</vt:lpstr>
      <vt:lpstr>社保明细工资人数!Print_Area</vt:lpstr>
      <vt:lpstr>审核标识!Print_Area</vt:lpstr>
      <vt:lpstr>审核问卷!Print_Area</vt:lpstr>
      <vt:lpstr>实收公积!Print_Area</vt:lpstr>
      <vt:lpstr>使用说明!Print_Area</vt:lpstr>
      <vt:lpstr>事项说明!Print_Area</vt:lpstr>
      <vt:lpstr>视同销售和房地产开发企业特定业务审核表!Print_Area</vt:lpstr>
      <vt:lpstr>收入与申报核对表!Print_Area</vt:lpstr>
      <vt:lpstr>税费缴纳测算!Print_Area</vt:lpstr>
      <vt:lpstr>税审收费标准!Print_Area</vt:lpstr>
      <vt:lpstr>通用记录!Print_Area</vt:lpstr>
      <vt:lpstr>未分利润!Print_Area</vt:lpstr>
      <vt:lpstr>无限期结转扣除项目审核表!Print_Area</vt:lpstr>
      <vt:lpstr>无形长摊!Print_Area</vt:lpstr>
      <vt:lpstr>现金证明!Print_Area</vt:lpstr>
      <vt:lpstr>研发加计扣除归集审核表!Print_Area</vt:lpstr>
      <vt:lpstr>研发项目可加计扣除研究开发费用情况归集表!Print_Area</vt:lpstr>
      <vt:lpstr>业务约定!Print_Area</vt:lpstr>
      <vt:lpstr>银行调节!Print_Area</vt:lpstr>
      <vt:lpstr>营外收支!Print_Area</vt:lpstr>
      <vt:lpstr>营业费用!Print_Area</vt:lpstr>
      <vt:lpstr>应付!Print_Area</vt:lpstr>
      <vt:lpstr>应收!Print_Area</vt:lpstr>
      <vt:lpstr>预付!Print_Area</vt:lpstr>
      <vt:lpstr>预收!Print_Area</vt:lpstr>
      <vt:lpstr>在建工程审核表!Print_Area</vt:lpstr>
      <vt:lpstr>招待!Print_Area</vt:lpstr>
      <vt:lpstr>折旧测算!Print_Area</vt:lpstr>
      <vt:lpstr>制造费用、生产成本!Print_Area</vt:lpstr>
      <vt:lpstr>重大问题!Print_Area</vt:lpstr>
      <vt:lpstr>主页!Print_Area</vt:lpstr>
      <vt:lpstr>主营收支!Print_Area</vt:lpstr>
      <vt:lpstr>主营税金!Print_Area</vt:lpstr>
      <vt:lpstr>资产负债!Print_Area</vt:lpstr>
      <vt:lpstr>资料清单!Print_Area</vt:lpstr>
      <vt:lpstr>租金!Print_Area</vt:lpstr>
      <vt:lpstr>'A110012股权收购报告表 '!Print_Titles</vt:lpstr>
      <vt:lpstr>档案索引!Print_Titles</vt:lpstr>
      <vt:lpstr>凭证检查!Print_Titles</vt:lpstr>
      <vt:lpstr>其他应付!Print_Titles</vt:lpstr>
      <vt:lpstr>其他应收!Print_Titles</vt:lpstr>
      <vt:lpstr>应付!Print_Titles</vt:lpstr>
      <vt:lpstr>应收!Print_Titles</vt:lpstr>
      <vt:lpstr>预付!Print_Titles</vt:lpstr>
      <vt:lpstr>预收!Print_Titles</vt:lpstr>
      <vt:lpstr>折旧测算!Print_Titles</vt:lpstr>
      <vt:lpstr>本年度</vt:lpstr>
      <vt:lpstr>本年折旧</vt:lpstr>
      <vt:lpstr>编制列表</vt:lpstr>
      <vt:lpstr>工业企业</vt:lpstr>
      <vt:lpstr>工作人员列表</vt:lpstr>
      <vt:lpstr>购入日期</vt:lpstr>
      <vt:lpstr>行业类型</vt:lpstr>
      <vt:lpstr>减少日期</vt:lpstr>
      <vt:lpstr>建筑业</vt:lpstr>
      <vt:lpstr>截止日</vt:lpstr>
      <vt:lpstr>截止月</vt:lpstr>
      <vt:lpstr>企业类型</vt:lpstr>
      <vt:lpstr>起始日</vt:lpstr>
      <vt:lpstr>起始月</vt:lpstr>
      <vt:lpstr>签字列表</vt:lpstr>
      <vt:lpstr>税收折旧</vt:lpstr>
      <vt:lpstr>一至三年</vt:lpstr>
      <vt:lpstr>折旧明细</vt:lpstr>
      <vt:lpstr>资产购入金额</vt:lpstr>
      <vt:lpstr>资产减少金额</vt:lpstr>
      <vt:lpstr>资产类别</vt:lpstr>
      <vt:lpstr>资产原值</vt:lpstr>
    </vt:vector>
  </TitlesOfParts>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Administrator</dc:creator>
  <cp:lastModifiedBy>半妖白鷐</cp:lastModifiedBy>
  <cp:lastPrinted>2017-03-11T03:30:03Z</cp:lastPrinted>
  <dcterms:created xsi:type="dcterms:W3CDTF">2012-02-13T06:17:15Z</dcterms:created>
  <dcterms:modified xsi:type="dcterms:W3CDTF">2017-04-23T14:18:17Z</dcterms:modified>
</cp:coreProperties>
</file>